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EstaPasta_de_trabalho"/>
  <mc:AlternateContent xmlns:mc="http://schemas.openxmlformats.org/markup-compatibility/2006">
    <mc:Choice Requires="x15">
      <x15ac:absPath xmlns:x15ac="http://schemas.microsoft.com/office/spreadsheetml/2010/11/ac" url="C:\Users\Usuario\Desktop\TRABALHO SOCIAL\"/>
    </mc:Choice>
  </mc:AlternateContent>
  <xr:revisionPtr revIDLastSave="0" documentId="8_{1795AF52-A718-4CF8-A2F3-84A53464BB2A}" xr6:coauthVersionLast="47" xr6:coauthVersionMax="47" xr10:uidLastSave="{00000000-0000-0000-0000-000000000000}"/>
  <workbookProtection workbookAlgorithmName="SHA-512" workbookHashValue="QbBuoSXHnjehcs5gIrpPfCAjF1kw7qCVG2zEOsZ5mgmMmy/YJkN9TZJ9O/xl5W8cE1/IfdbkoewegMXMXi2LRw==" workbookSaltValue="Q4px2WJ+pegs4YFsf24pQg==" workbookSpinCount="100000" lockStructure="1"/>
  <bookViews>
    <workbookView xWindow="-120" yWindow="-120" windowWidth="21840" windowHeight="13290" tabRatio="801" activeTab="1"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BM!$C$15:$C$191</definedName>
    <definedName name="_xlnm._FilterDatabase" localSheetId="6" hidden="1">CÁLCULO!$C$15:$C$191</definedName>
    <definedName name="_xlnm._FilterDatabase" localSheetId="8" hidden="1">CRONO!$G$13:$G$109</definedName>
    <definedName name="_xlnm._FilterDatabase" localSheetId="7" hidden="1">CRONOPLE!$A$13:$A$60</definedName>
    <definedName name="_xlnm._FilterDatabase" localSheetId="5" hidden="1">EVENTOS!$A$13:$A$53</definedName>
    <definedName name="_xlnm._FilterDatabase" localSheetId="4" hidden="1">ORÇAMENTO!$L$15:$L$191</definedName>
    <definedName name="_xlnm._FilterDatabase" localSheetId="10" hidden="1">PLE!$A$13:$A$62</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BDI!$J$1:$S$132</definedName>
    <definedName name="_xlnm.Print_Area" localSheetId="11">BM!$D$1:$O$206</definedName>
    <definedName name="_xlnm.Print_Area" localSheetId="6">CÁLCULO!$E$6:$AI$199</definedName>
    <definedName name="_xlnm.Print_Area" localSheetId="8">CRONO!$I$1:$AG$109</definedName>
    <definedName name="_xlnm.Print_Area" localSheetId="5">EVENTOS!$C$2:$Z$53</definedName>
    <definedName name="_xlnm.Print_Area" localSheetId="1">MENU!$A$1:$I$25</definedName>
    <definedName name="_xlnm.Print_Area" localSheetId="13">OFÍCIO!$A$1:$G$56</definedName>
    <definedName name="_xlnm.Print_Area" localSheetId="4">ORÇAMENTO!$O$1:$Y$208</definedName>
    <definedName name="_xlnm.Print_Area" localSheetId="10">PLE!$B$3:$AG$63</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BM!$C$15:$C$191</definedName>
    <definedName name="BM.firstrow" hidden="1">BM!$15:$15</definedName>
    <definedName name="BM.FormulaMed" hidden="1">BM!$AO$7</definedName>
    <definedName name="BM.lastrow" hidden="1">BM!$191:$191</definedName>
    <definedName name="BM.LinhaPadrão" hidden="1">BM!$14:$14</definedName>
    <definedName name="BM.MaxMed" hidden="1">IF(RegimeExecucao="Global",1,BM!$G1)</definedName>
    <definedName name="BM.MCAIXA.Filter" hidden="1">BM!$C$15:$Z$191</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CÁLCULO!$C$15:$C$191</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CÁLCULO!$AI:$AI</definedName>
    <definedName name="CÁLCULO.lastrow" hidden="1">CÁLCULO!$191:$191</definedName>
    <definedName name="CÁLCULO.LinhaPadrão" hidden="1">CÁLCULO!$14:$14</definedName>
    <definedName name="CÁLCULO.margemrow" hidden="1">CÁLCULO!$199:$199</definedName>
    <definedName name="CÁLCULO.MATRIZ1.ColunaPadrão" hidden="1">CÁLCULO!$AK:$AK</definedName>
    <definedName name="CÁLCULO.MATRIZ1.firstcol" hidden="1">CÁLCULO!$AI:$AI</definedName>
    <definedName name="CÁLCULO.MATRIZ1.lastcol" hidden="1">CÁLCULO!$BB:$BB</definedName>
    <definedName name="CÁLCULO.MATRIZ1.lastrow" hidden="1">CÁLCULO!$191:$191</definedName>
    <definedName name="CÁLCULO.MATRIZ2.ColunaPadrão" hidden="1">CÁLCULO!$BD:$BD</definedName>
    <definedName name="CÁLCULO.MATRIZ2.firstcol" hidden="1">CÁLCULO!$BB:$BB</definedName>
    <definedName name="CÁLCULO.MATRIZ2.lastcol" hidden="1">CÁLCULO!$BU:$BU</definedName>
    <definedName name="CÁLCULO.MATRIZ2.lastrow" hidden="1">CÁLCULO!$191:$191</definedName>
    <definedName name="CÁLCULO.MATRIZ3.ColunaPadrão" hidden="1">CÁLCULO!$BW:$BW</definedName>
    <definedName name="CÁLCULO.MATRIZ3.firstcol" hidden="1">CÁLCULO!$BU:$BU</definedName>
    <definedName name="CÁLCULO.MATRIZ3.lastcol" hidden="1">CÁLCULO!$CN:$CN</definedName>
    <definedName name="CÁLCULO.MATRIZ3.lastrow" hidden="1">CÁLCULO!$191:$191</definedName>
    <definedName name="CÁLCULO.nEvento" hidden="1">CÁLCULO!$M$12</definedName>
    <definedName name="CÁLCULO.NúmeroDeEventos" hidden="1">IF(AUTOEVENTO&lt;&gt;"manual",MAX(CÁLCULO!$M$15:$M$191),MAX(OFFSET(EVENTOS!$C$1:$C$46,1,0)))</definedName>
    <definedName name="CÁLCULO.NúmeroDeFrentes" hidden="1">COLUMN(CÁLCULO!$AI$15)-COLUMN(CÁLCULO!$Q$15)</definedName>
    <definedName name="CÁLCULO.Título" hidden="1">CÁLCULO!$F$6</definedName>
    <definedName name="CÁLCULO.TotalAdmLocal" hidden="1">IF(AUTOEVENTO="manual",SUMIF(CÁLCULO!$M$15:$M$191,1,ORÇAMENTO!$X$15:$X$191),0)</definedName>
    <definedName name="CRONO.ColAux" hidden="1">CRONO!$M:$R</definedName>
    <definedName name="CRONO.ColunaPadrão" hidden="1">CRONO!$E:$E</definedName>
    <definedName name="CRONO.Erro" hidden="1">CRONO!$K$10</definedName>
    <definedName name="CRONO.Filtro" hidden="1">CRONO!$G$13:$G$109</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CRONO!$92:$92</definedName>
    <definedName name="CRONO.lastrow2" hidden="1">CRONO!$104:$104</definedName>
    <definedName name="CRONO.LinhaPadrão" hidden="1">CRONO!$1:$3</definedName>
    <definedName name="CRONO.LinhasNecessarias" hidden="1">COUNTIF(QCI!$B$13:$B$24,"Manual")+COUNTIF(QCI!$B$13:$B$24,"SemiAuto")+COUNT(ORÇAMENTO.ListaCrono)</definedName>
    <definedName name="CRONO.Lista.AdmLocal" hidden="1">CRONO!$A$13:$A$92</definedName>
    <definedName name="CRONO.Lista.Níveis" hidden="1">CRONO!$A$9:$A$11</definedName>
    <definedName name="CRONO.margemrow" hidden="1">CRONO!$109:$109</definedName>
    <definedName name="CRONO.MaxParc" hidden="1">CRONO!$H1048576+CRONO!A1</definedName>
    <definedName name="CRONO.NivelExibicao" hidden="1">CRONO!$H$10</definedName>
    <definedName name="CRONO.Parcela1" hidden="1">CRONO!$U$12:$U$13</definedName>
    <definedName name="CRONO.ParcelaFinal" hidden="1">MATCH(100%,CRONO!$U$98:$AG$98,0)</definedName>
    <definedName name="CRONO.Título" hidden="1">CRONO!$S$4</definedName>
    <definedName name="CRONOPLE.ColunaPadrão" hidden="1">CRONOPLE!$E:$E</definedName>
    <definedName name="CRONOPLE.Erro" hidden="1">CRONOPLE!$B$6</definedName>
    <definedName name="CRONOPLE.Filtro" hidden="1">CRONOPLE!$A$13:$A$60</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CRONOPLE!$46:$46</definedName>
    <definedName name="CRONOPLE.lastrow2" hidden="1">CRONOPLE!$55:$55</definedName>
    <definedName name="CRONOPLE.LinhaPadrão" hidden="1">CRONOPLE!$1:$1</definedName>
    <definedName name="CRONOPLE.Lista.AdmLocal" hidden="1">CRONOPLE!$F$15:$F$46</definedName>
    <definedName name="CRONOPLE.margemrow" hidden="1">CRONOPLE!$62:$62</definedName>
    <definedName name="CRONOPLE.Título" hidden="1">CRONOPLE!$G$2</definedName>
    <definedName name="CRONOPLE.ValorDoEvento" hidden="1">SUMIF(CÁLCULO!$M$15:$M$191,CRONOPLE!$B1,OFFSET(CÁLCULO!$AI$15:$AI$191,0,CRONOPLE!A$12))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EVENTOS!$A$13:$A$53</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EVENTOS!$46:$46</definedName>
    <definedName name="EVENTOS.LinhaPadrão" hidden="1">EVENTOS!$1:$1</definedName>
    <definedName name="EVENTOS.Lista" hidden="1">EVENTOS!$C$15:OFFSET(EVENTOS!$C$46,-1,0)</definedName>
    <definedName name="EVENTOS.Lista.Agrupar" hidden="1">EVENTOS!$B$6:$B$9</definedName>
    <definedName name="EVENTOS.ListaValidacao" hidden="1">EVENTOS!$B$15:OFFSET(EVENTOS!$B$46,-1,0)</definedName>
    <definedName name="EVENTOS.Manual.Preenchidos" hidden="1">EVENTOS!$C$10</definedName>
    <definedName name="EVENTOS.MargemRow" hidden="1">EVENTOS!$53:$53</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BM!$D$194</definedName>
    <definedName name="Import.BMAFAcumulado" hidden="1">OFFSET(BM!$R$15,1,0):OFFSET(BM!$R$191,-1,0)</definedName>
    <definedName name="Import.BMArred" hidden="1">BM!$A$9</definedName>
    <definedName name="Import.CNPJ" hidden="1">DADOS!$C$39</definedName>
    <definedName name="Import.Código" hidden="1">OFFSET(ORÇAMENTO!$Q$15,1,0):OFFSET(ORÇAMENTO!$Q$191,-1,0)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OFFSET(CRONOPLE!$F$15,1,1):OFFSET(CRONOPLE!$AF$46,-1,-1)</definedName>
    <definedName name="Import.CTEF" hidden="1">DADOS!$C$37</definedName>
    <definedName name="Import.CustoUnitário" hidden="1">OFFSET(ORÇAMENTO!$U$15,1,0):OFFSET(ORÇAMENTO!$U$191,-1,0)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OFFSET(ORÇAMENTO!$R$15,1,0):OFFSET(ORÇAMENTO!$R$191,-1,0)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OFFSET(EVENTOS!$D$15,1,0):OFFSET(EVENTOS!$D$46,-1,0)</definedName>
    <definedName name="Import.Fonte" hidden="1">OFFSET(ORÇAMENTO!$P$15,1,0):OFFSET(ORÇAMENTO!$P$191,-1,0)</definedName>
    <definedName name="Import.FrenteDeObra" hidden="1">CÁLCULO!$Q$12:OFFSET(CÁLCULO!$AI$12,0,-1)</definedName>
    <definedName name="Import.MacrosserviçoAdmLocal" hidden="1">CRONO!$H$103</definedName>
    <definedName name="Import.Município" hidden="1">DADOS!$C$6</definedName>
    <definedName name="Import.Nível" hidden="1">OFFSET(ORÇAMENTO!$M$15,1,0):OFFSET(ORÇAMENTO!$M$191,-1,0)</definedName>
    <definedName name="Import.Ofício.Dest" hidden="1">OFÍCIO!$B$11</definedName>
    <definedName name="Import.Ofício.GIGOV" hidden="1">OFÍCIO!$C$11</definedName>
    <definedName name="Import.Ofício.Num" hidden="1">OFÍCIO!$C$6</definedName>
    <definedName name="Import.OpcaoBDI" hidden="1">OFFSET(ORÇAMENTO!$V$15,1,0):OFFSET(ORÇAMENTO!$V$191,-1,0)</definedName>
    <definedName name="Import.ORÇAMENTO.DivRecurso" hidden="1">OFFSET(ORÇAMENTO!$Y$15,1,0):OFFSET(ORÇAMENTO!$Y$191,-1,0)</definedName>
    <definedName name="Import.ORÇAMENTO.Obs" hidden="1">ORÇAMENTO!$O$197</definedName>
    <definedName name="Import.PLE" hidden="1">OFFSET(PLE!$G$15,1,1):OFFSET(PLE!$AG$46,-1,-1)</definedName>
    <definedName name="Import.PLE.Datas" hidden="1">PLE!$I$49:$AF$49</definedName>
    <definedName name="Import.PLQ" hidden="1">OFFSET(CÁLCULO!$P$15,1,1):OFFSET(CÁLCULO!$AI$191,-1,-1)</definedName>
    <definedName name="Import.PLQ.MemCalc" hidden="1">OFFSET(CÁLCULO!$I$15,1,0):OFFSET(CÁLCULO!$I$191,-1,0)</definedName>
    <definedName name="Import.PLQ.nAgrupEvent" hidden="1">OFFSET(CÁLCULO!$K$15,1,0):OFFSET(CÁLCULO!$K$191,-1,0)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OFFSET(ORÇAMENTO!$AJ$15,1,0):OFFSET(ORÇAMENTO!$AJ$191,-1,0)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OFFSET(ORÇAMENTO!$S$15,1,0):OFFSET(ORÇAMENTO!$S$191,-1,0)</definedName>
    <definedName name="Import.UnitarioLicitado" hidden="1">OFFSET(ORÇAMENTO!$AL$15,1,0):OFFSET(ORÇAMENTO!$AL$191,-1,0)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ORÇAMENTO!$L$15:$L$191</definedName>
    <definedName name="ORÇAMENTO.firstrow" hidden="1">ORÇAMENTO!$15:$15</definedName>
    <definedName name="ORÇAMENTO.Fonte" hidden="1">ORÇAMENTO!$P1</definedName>
    <definedName name="ORÇAMENTO.lastrow" hidden="1">ORÇAMENTO!$191:$191</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OFFSET(ORÇAMENTO!$AD$15,1,0):OFFSET(ORÇAMENTO!$AD$191,-1,0)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OFFSET(ORÇAMENTO!$P$15,1,0):OFFSET(ORÇAMENTO!$S$191,-1,0)</definedName>
    <definedName name="ORÇAMENTO.PasteFormat2" hidden="1">OFFSET(ORÇAMENTO!$U$15,1,0):OFFSET(ORÇAMENTO!$V$191,-1,0)</definedName>
    <definedName name="ORÇAMENTO.PrecoUnitarioLicitado" hidden="1">ORÇAMENTO!$AL1</definedName>
    <definedName name="ORÇAMENTO.QuantBM" hidden="1">ORÇAMENTO!$AJ1</definedName>
    <definedName name="ORÇAMENTO.RangeQuant" hidden="1">OFFSET(ORÇAMENTO!$T$15,1,0):OFFSET(ORÇAMENTO!$T$191,-1,0)</definedName>
    <definedName name="ORÇAMENTO.SumCPMANUAL" hidden="1">SUMIF(ORÇAMENTO!$Z$15:$Z$191,"CP",ORÇAMENTO!$AA$15:$AA$191)</definedName>
    <definedName name="ORÇAMENTO.SumINVMANUAL" hidden="1">SUMIF(ORÇAMENTO!$Z$15:$Z$191,"RP",ORÇAMENTO!$X$15:$X$191)+SUMIF(ORÇAMENTO!$Z$15:$Z$191,"CP",ORÇAMENTO!$X$15:$X$191)+SUMIF(ORÇAMENTO!$Z$15:$Z$191,"OU",ORÇAMENTO!$X$15:$X$191)</definedName>
    <definedName name="ORÇAMENTO.SumOUTROSMANUAL" hidden="1">SUMIF(ORÇAMENTO!$Z$15:$Z$191,"OU",ORÇAMENTO!$AB$15:$AB$191)</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PLE!$A$13:$A$62</definedName>
    <definedName name="PLE.FirstCol" hidden="1">PLE!$G:$G</definedName>
    <definedName name="PLE.firstrow" hidden="1">PLE!$15:$15</definedName>
    <definedName name="PLE.FrenteRow" hidden="1">PLE!$11:$11</definedName>
    <definedName name="PLE.LastCol" hidden="1">PLE!$AG:$AG</definedName>
    <definedName name="PLE.lastrow" hidden="1">PLE!$46:$46</definedName>
    <definedName name="PLE.LinhaPadrão" hidden="1">PLE!$1:$1</definedName>
    <definedName name="PLE.margemrow" hidden="1">PLE!$63:$63</definedName>
    <definedName name="PLE.Medicao" hidden="1">PLE!$J$9</definedName>
    <definedName name="PLE.MEDIÇÕES.firstrow" hidden="1">PLE!$47:$47</definedName>
    <definedName name="PLE.MEDIÇÕES.lastrow" hidden="1">PLE!$57:$57</definedName>
    <definedName name="PLE.MEDIÇÕES.LinhaPadrão" hidden="1">PLE!$47:$54</definedName>
    <definedName name="PLE.Título" hidden="1">PLE!$H$3</definedName>
    <definedName name="PLE.ValorDoEvento" hidden="1">SUMIF(CÁLCULO!$M$15:$M$191,PLE!$B1,OFFSET(CÁLCULO!$AI$15:$AI$191,0,PLE!A$12))</definedName>
    <definedName name="PO.ValoresBDI" hidden="1">OFFSET(ORÇAMENTO!$AH$15,1,0):OFFSET(ORÇAMENTO!$AH$191,-1,0)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212" i="16" l="1"/>
  <c r="S211" i="16"/>
  <c r="S210" i="16"/>
  <c r="S209" i="16"/>
  <c r="S208" i="16"/>
  <c r="S207" i="16"/>
  <c r="S205" i="16"/>
  <c r="S204" i="16"/>
  <c r="S203" i="16"/>
  <c r="S202" i="16"/>
  <c r="S201" i="16"/>
  <c r="S200" i="16"/>
  <c r="S199" i="16"/>
  <c r="S198" i="16"/>
  <c r="S197" i="16"/>
  <c r="S196" i="16"/>
  <c r="S195" i="16"/>
  <c r="S194" i="16"/>
  <c r="S193" i="16"/>
  <c r="S192" i="16"/>
  <c r="S191" i="16"/>
  <c r="S189" i="16"/>
  <c r="S188" i="16"/>
  <c r="S187" i="16"/>
  <c r="S185" i="16"/>
  <c r="S184" i="16"/>
  <c r="S183" i="16"/>
  <c r="S182" i="16"/>
  <c r="S181" i="16"/>
  <c r="S180" i="16"/>
  <c r="S179" i="16"/>
  <c r="S178" i="16"/>
  <c r="S177" i="16"/>
  <c r="S175" i="16"/>
  <c r="S173" i="16"/>
  <c r="S172" i="16"/>
  <c r="S171" i="16"/>
  <c r="S170" i="16"/>
  <c r="S169" i="16"/>
  <c r="S168" i="16"/>
  <c r="S167" i="16"/>
  <c r="S166" i="16"/>
  <c r="S164" i="16"/>
  <c r="S163" i="16"/>
  <c r="S162" i="16"/>
  <c r="S160" i="16"/>
  <c r="S159" i="16"/>
  <c r="S158" i="16"/>
  <c r="S157" i="16"/>
  <c r="S156" i="16"/>
  <c r="S155" i="16"/>
  <c r="S154" i="16"/>
  <c r="S153" i="16"/>
  <c r="S152" i="16"/>
  <c r="S151" i="16"/>
  <c r="S150" i="16"/>
  <c r="S149" i="16"/>
  <c r="S148" i="16"/>
  <c r="S147" i="16"/>
  <c r="S146" i="16"/>
  <c r="S145" i="16"/>
  <c r="S144" i="16"/>
  <c r="S143" i="16"/>
  <c r="S142" i="16"/>
  <c r="S141" i="16"/>
  <c r="S140" i="16"/>
  <c r="S139" i="16"/>
  <c r="S138" i="16"/>
  <c r="S137" i="16"/>
  <c r="S136" i="16"/>
  <c r="S135" i="16"/>
  <c r="S133" i="16"/>
  <c r="S132" i="16"/>
  <c r="S130" i="16"/>
  <c r="S128" i="16"/>
  <c r="S127" i="16"/>
  <c r="S126" i="16"/>
  <c r="S124" i="16"/>
  <c r="S123" i="16"/>
  <c r="S122" i="16"/>
  <c r="S121" i="16"/>
  <c r="S120" i="16"/>
  <c r="S119" i="16"/>
  <c r="S117" i="16"/>
  <c r="S116" i="16"/>
  <c r="S115" i="16"/>
  <c r="S114" i="16"/>
  <c r="S113" i="16"/>
  <c r="S112" i="16"/>
  <c r="S110" i="16"/>
  <c r="S109" i="16"/>
  <c r="S108" i="16"/>
  <c r="S107" i="16"/>
  <c r="S106" i="16"/>
  <c r="S105" i="16"/>
  <c r="S104" i="16"/>
  <c r="S102" i="16"/>
  <c r="S101" i="16"/>
  <c r="S100" i="16"/>
  <c r="S99" i="16"/>
  <c r="S98" i="16"/>
  <c r="S97" i="16"/>
  <c r="S96" i="16"/>
  <c r="S94" i="16"/>
  <c r="S93" i="16"/>
  <c r="S92" i="16"/>
  <c r="S91" i="16"/>
  <c r="S90" i="16"/>
  <c r="S89" i="16"/>
  <c r="S88" i="16"/>
  <c r="S87" i="16"/>
  <c r="S86" i="16"/>
  <c r="S85" i="16"/>
  <c r="S83" i="16"/>
  <c r="S82" i="16"/>
  <c r="S81" i="16"/>
  <c r="S80" i="16"/>
  <c r="S79" i="16"/>
  <c r="S78" i="16"/>
  <c r="S77" i="16"/>
  <c r="S76" i="16"/>
  <c r="S75" i="16"/>
  <c r="S74" i="16"/>
  <c r="S73" i="16"/>
  <c r="S72" i="16"/>
  <c r="S70" i="16"/>
  <c r="S69" i="16"/>
  <c r="S68" i="16"/>
  <c r="S67" i="16"/>
  <c r="S66" i="16"/>
  <c r="S65" i="16"/>
  <c r="S63" i="16"/>
  <c r="S61" i="16"/>
  <c r="S60" i="16"/>
  <c r="S59" i="16"/>
  <c r="S57" i="16"/>
  <c r="S56" i="16"/>
  <c r="S55" i="16"/>
  <c r="S54" i="16"/>
  <c r="S53" i="16"/>
  <c r="S51" i="16"/>
  <c r="S50" i="16"/>
  <c r="S49" i="16"/>
  <c r="S48" i="16"/>
  <c r="S47" i="16"/>
  <c r="S46" i="16"/>
  <c r="S45" i="16"/>
  <c r="S44" i="16"/>
  <c r="S43" i="16"/>
  <c r="S42" i="16"/>
  <c r="S41" i="16"/>
  <c r="S40" i="16"/>
  <c r="S39" i="16"/>
  <c r="S38" i="16"/>
  <c r="S37" i="16"/>
  <c r="S36" i="16"/>
  <c r="S35" i="16"/>
  <c r="S34" i="16"/>
  <c r="S33" i="16"/>
  <c r="S32" i="16"/>
  <c r="S31" i="16"/>
  <c r="S30" i="16"/>
  <c r="S29" i="16"/>
  <c r="S28" i="16"/>
  <c r="S27" i="16"/>
  <c r="S26" i="16"/>
  <c r="S25" i="16"/>
  <c r="S24" i="16"/>
  <c r="S23" i="16"/>
  <c r="S22" i="16"/>
  <c r="S21" i="16"/>
  <c r="S20" i="16"/>
  <c r="S19" i="16"/>
  <c r="S18" i="16"/>
  <c r="S17" i="16"/>
  <c r="S16" i="16"/>
  <c r="S14" i="16"/>
  <c r="S13" i="16"/>
  <c r="S12" i="16"/>
  <c r="S11" i="16"/>
  <c r="S10" i="16"/>
  <c r="S9" i="16"/>
  <c r="S8" i="16"/>
  <c r="S6" i="16"/>
  <c r="S5" i="16"/>
  <c r="S4" i="16"/>
  <c r="S3" i="16"/>
  <c r="L210" i="16"/>
  <c r="L209" i="16"/>
  <c r="L208" i="16"/>
  <c r="L207" i="16"/>
  <c r="L206" i="16"/>
  <c r="L205" i="16"/>
  <c r="L204" i="16"/>
  <c r="L203" i="16"/>
  <c r="L202" i="16"/>
  <c r="L201" i="16"/>
  <c r="L200" i="16"/>
  <c r="L199" i="16"/>
  <c r="L198" i="16"/>
  <c r="L197" i="16"/>
  <c r="L196" i="16"/>
  <c r="L195" i="16"/>
  <c r="L194" i="16"/>
  <c r="L193" i="16"/>
  <c r="L192" i="16"/>
  <c r="L191" i="16"/>
  <c r="L190" i="16"/>
  <c r="L189" i="16"/>
  <c r="L188" i="16"/>
  <c r="L187" i="16"/>
  <c r="L186" i="16"/>
  <c r="L185" i="16"/>
  <c r="L184" i="16"/>
  <c r="L183" i="16"/>
  <c r="L182" i="16"/>
  <c r="L181" i="16"/>
  <c r="L180" i="16"/>
  <c r="L179" i="16"/>
  <c r="L178" i="16"/>
  <c r="L177" i="16"/>
  <c r="L176" i="16"/>
  <c r="L175" i="16"/>
  <c r="L174" i="16"/>
  <c r="L173" i="16"/>
  <c r="L172" i="16"/>
  <c r="L171" i="16"/>
  <c r="L170" i="16"/>
  <c r="L169" i="16"/>
  <c r="L168" i="16"/>
  <c r="L167" i="16"/>
  <c r="L166" i="16"/>
  <c r="L165" i="16"/>
  <c r="L164" i="16"/>
  <c r="L163" i="16"/>
  <c r="L162" i="16"/>
  <c r="L161" i="16"/>
  <c r="L160" i="16"/>
  <c r="L159" i="16"/>
  <c r="L158" i="16"/>
  <c r="L157" i="16"/>
  <c r="L156" i="16"/>
  <c r="L155" i="16"/>
  <c r="L154" i="16"/>
  <c r="L153" i="16"/>
  <c r="L152" i="16"/>
  <c r="L151" i="16"/>
  <c r="L150" i="16"/>
  <c r="L149" i="16"/>
  <c r="L148" i="16"/>
  <c r="L147" i="16"/>
  <c r="L146" i="16"/>
  <c r="L145" i="16"/>
  <c r="L144" i="16"/>
  <c r="L143" i="16"/>
  <c r="L142" i="16"/>
  <c r="L141" i="16"/>
  <c r="L140" i="16"/>
  <c r="L139" i="16"/>
  <c r="L138" i="16"/>
  <c r="L137" i="16"/>
  <c r="L136" i="16"/>
  <c r="L135" i="16"/>
  <c r="L134" i="16"/>
  <c r="L133" i="16"/>
  <c r="L132" i="16"/>
  <c r="L131" i="16"/>
  <c r="L130" i="16"/>
  <c r="L129" i="16"/>
  <c r="L128" i="16"/>
  <c r="L127" i="16"/>
  <c r="L126" i="16"/>
  <c r="L125" i="16"/>
  <c r="L124" i="16"/>
  <c r="L123" i="16"/>
  <c r="L122" i="16"/>
  <c r="L121" i="16"/>
  <c r="L120" i="16"/>
  <c r="L119" i="16"/>
  <c r="L118" i="16"/>
  <c r="L117" i="16"/>
  <c r="L116" i="16"/>
  <c r="L115" i="16"/>
  <c r="L114" i="16"/>
  <c r="L113" i="16"/>
  <c r="L112" i="16"/>
  <c r="L111" i="16"/>
  <c r="L110" i="16"/>
  <c r="L109" i="16"/>
  <c r="L108" i="16"/>
  <c r="L107" i="16"/>
  <c r="L106" i="16"/>
  <c r="L105" i="16"/>
  <c r="L104" i="16"/>
  <c r="L103" i="16"/>
  <c r="L102" i="16"/>
  <c r="L101" i="16"/>
  <c r="L100" i="16"/>
  <c r="L99" i="16"/>
  <c r="L98" i="16"/>
  <c r="L97" i="16"/>
  <c r="L96" i="16"/>
  <c r="L95" i="16"/>
  <c r="L94" i="16"/>
  <c r="L93" i="16"/>
  <c r="L92" i="16"/>
  <c r="L91" i="16"/>
  <c r="L90" i="16"/>
  <c r="L89" i="16"/>
  <c r="L88" i="16"/>
  <c r="L87" i="16"/>
  <c r="L86" i="16"/>
  <c r="L85" i="16"/>
  <c r="L84" i="16"/>
  <c r="L83" i="16"/>
  <c r="L82" i="16"/>
  <c r="L81" i="16"/>
  <c r="L80" i="16"/>
  <c r="L79" i="16"/>
  <c r="L78" i="16"/>
  <c r="L77" i="16"/>
  <c r="L76" i="16"/>
  <c r="L75" i="16"/>
  <c r="L74" i="16"/>
  <c r="L73" i="16"/>
  <c r="L72" i="16"/>
  <c r="L71" i="16"/>
  <c r="L70" i="16"/>
  <c r="L69" i="16"/>
  <c r="L68" i="16"/>
  <c r="L67" i="16"/>
  <c r="L66" i="16"/>
  <c r="L65" i="16"/>
  <c r="L64" i="16"/>
  <c r="L63" i="16"/>
  <c r="L62" i="16"/>
  <c r="L61" i="16"/>
  <c r="L60" i="16"/>
  <c r="L59" i="16"/>
  <c r="L58" i="16"/>
  <c r="L57" i="16"/>
  <c r="L56" i="16"/>
  <c r="L55" i="16"/>
  <c r="L54" i="16"/>
  <c r="L53" i="16"/>
  <c r="L52" i="16"/>
  <c r="L43" i="16"/>
  <c r="L34" i="16"/>
  <c r="L25" i="16"/>
  <c r="L16" i="16"/>
  <c r="L15" i="16"/>
  <c r="L14" i="16"/>
  <c r="L10" i="16"/>
  <c r="L9" i="16"/>
  <c r="L8" i="16"/>
  <c r="L7" i="16"/>
  <c r="L6" i="16"/>
  <c r="L5" i="16"/>
  <c r="L4" i="16"/>
  <c r="L3" i="16"/>
  <c r="L2" i="16"/>
  <c r="K210" i="16"/>
  <c r="K209" i="16"/>
  <c r="K208" i="16"/>
  <c r="K207" i="16"/>
  <c r="K205" i="16"/>
  <c r="K204" i="16"/>
  <c r="K203" i="16"/>
  <c r="K202" i="16"/>
  <c r="K201" i="16"/>
  <c r="K200" i="16"/>
  <c r="K199" i="16"/>
  <c r="K198" i="16"/>
  <c r="K197" i="16"/>
  <c r="K196" i="16"/>
  <c r="K195" i="16"/>
  <c r="K194" i="16"/>
  <c r="K193" i="16"/>
  <c r="K192" i="16"/>
  <c r="K191" i="16"/>
  <c r="K189" i="16"/>
  <c r="K188" i="16"/>
  <c r="K187" i="16"/>
  <c r="K185" i="16"/>
  <c r="K184" i="16"/>
  <c r="K183" i="16"/>
  <c r="K182" i="16"/>
  <c r="K181" i="16"/>
  <c r="K180" i="16"/>
  <c r="K179" i="16"/>
  <c r="K178" i="16"/>
  <c r="K177" i="16"/>
  <c r="K175" i="16"/>
  <c r="K173" i="16"/>
  <c r="K172" i="16"/>
  <c r="K171" i="16"/>
  <c r="K170" i="16"/>
  <c r="K169" i="16"/>
  <c r="K168" i="16"/>
  <c r="K167" i="16"/>
  <c r="K166" i="16"/>
  <c r="K164" i="16"/>
  <c r="K163" i="16"/>
  <c r="K162" i="16"/>
  <c r="K160" i="16"/>
  <c r="K159" i="16"/>
  <c r="K158" i="16"/>
  <c r="K157" i="16"/>
  <c r="K156" i="16"/>
  <c r="K155" i="16"/>
  <c r="K154" i="16"/>
  <c r="K153" i="16"/>
  <c r="K152" i="16"/>
  <c r="K151" i="16"/>
  <c r="K150" i="16"/>
  <c r="K149" i="16"/>
  <c r="K148" i="16"/>
  <c r="K147" i="16"/>
  <c r="K146" i="16"/>
  <c r="K145" i="16"/>
  <c r="K144" i="16"/>
  <c r="K143" i="16"/>
  <c r="K142" i="16"/>
  <c r="K141" i="16"/>
  <c r="K140" i="16"/>
  <c r="K139" i="16"/>
  <c r="K138" i="16"/>
  <c r="K137" i="16"/>
  <c r="K136" i="16"/>
  <c r="K135" i="16"/>
  <c r="K133" i="16"/>
  <c r="K132" i="16"/>
  <c r="K130" i="16"/>
  <c r="K128" i="16"/>
  <c r="K127" i="16"/>
  <c r="K126" i="16"/>
  <c r="K124" i="16"/>
  <c r="K123" i="16"/>
  <c r="K122" i="16"/>
  <c r="K121" i="16"/>
  <c r="K120" i="16"/>
  <c r="K119" i="16"/>
  <c r="K117" i="16"/>
  <c r="K116" i="16"/>
  <c r="K115" i="16"/>
  <c r="K114" i="16"/>
  <c r="K113" i="16"/>
  <c r="K112" i="16"/>
  <c r="K110" i="16"/>
  <c r="K109" i="16"/>
  <c r="K108" i="16"/>
  <c r="K107" i="16"/>
  <c r="K106" i="16"/>
  <c r="K105" i="16"/>
  <c r="K104" i="16"/>
  <c r="K102" i="16"/>
  <c r="K101" i="16"/>
  <c r="K100" i="16"/>
  <c r="K99" i="16"/>
  <c r="K98" i="16"/>
  <c r="K97" i="16"/>
  <c r="K96" i="16"/>
  <c r="K94" i="16"/>
  <c r="K93" i="16"/>
  <c r="K92" i="16"/>
  <c r="K91" i="16"/>
  <c r="K90" i="16"/>
  <c r="K89" i="16"/>
  <c r="K88" i="16"/>
  <c r="K87" i="16"/>
  <c r="K86" i="16"/>
  <c r="K85" i="16"/>
  <c r="K83" i="16"/>
  <c r="K82" i="16"/>
  <c r="K81" i="16"/>
  <c r="K80" i="16"/>
  <c r="K79" i="16"/>
  <c r="K78" i="16"/>
  <c r="K77" i="16"/>
  <c r="K76" i="16"/>
  <c r="K75" i="16"/>
  <c r="K74" i="16"/>
  <c r="K73" i="16"/>
  <c r="K72" i="16"/>
  <c r="K70" i="16"/>
  <c r="K69" i="16"/>
  <c r="K68" i="16"/>
  <c r="K67" i="16"/>
  <c r="K66" i="16"/>
  <c r="K65" i="16"/>
  <c r="K63" i="16"/>
  <c r="K61" i="16"/>
  <c r="K60" i="16"/>
  <c r="K59" i="16"/>
  <c r="K57" i="16"/>
  <c r="K56" i="16"/>
  <c r="K55" i="16"/>
  <c r="K54" i="16"/>
  <c r="K53" i="16"/>
  <c r="K43" i="16"/>
  <c r="K34" i="16"/>
  <c r="K25" i="16"/>
  <c r="K16" i="16"/>
  <c r="K14" i="16"/>
  <c r="K10" i="16"/>
  <c r="K9" i="16"/>
  <c r="K8" i="16"/>
  <c r="K6" i="16"/>
  <c r="K5" i="16"/>
  <c r="K4" i="16"/>
  <c r="K3" i="16"/>
  <c r="F210" i="16"/>
  <c r="F209" i="16"/>
  <c r="F208" i="16"/>
  <c r="F207" i="16"/>
  <c r="F205" i="16"/>
  <c r="F204" i="16"/>
  <c r="F203" i="16"/>
  <c r="F202" i="16"/>
  <c r="F201" i="16"/>
  <c r="F200" i="16"/>
  <c r="F199" i="16"/>
  <c r="F198" i="16"/>
  <c r="F197" i="16"/>
  <c r="F196" i="16"/>
  <c r="F195" i="16"/>
  <c r="F194" i="16"/>
  <c r="F193" i="16"/>
  <c r="F192" i="16"/>
  <c r="F191" i="16"/>
  <c r="F189" i="16"/>
  <c r="F188" i="16"/>
  <c r="F187" i="16"/>
  <c r="F185" i="16"/>
  <c r="F184" i="16"/>
  <c r="F183" i="16"/>
  <c r="F182" i="16"/>
  <c r="F181" i="16"/>
  <c r="F180" i="16"/>
  <c r="F179" i="16"/>
  <c r="F178" i="16"/>
  <c r="F177" i="16"/>
  <c r="F175" i="16"/>
  <c r="F173" i="16"/>
  <c r="F172" i="16"/>
  <c r="F171" i="16"/>
  <c r="F170" i="16"/>
  <c r="F169" i="16"/>
  <c r="F168" i="16"/>
  <c r="F167" i="16"/>
  <c r="F166" i="16"/>
  <c r="F164" i="16"/>
  <c r="F163" i="16"/>
  <c r="F162" i="16"/>
  <c r="F160" i="16"/>
  <c r="F159" i="16"/>
  <c r="F158" i="16"/>
  <c r="F157" i="16"/>
  <c r="F156" i="16"/>
  <c r="F155" i="16"/>
  <c r="F154" i="16"/>
  <c r="F153" i="16"/>
  <c r="F152" i="16"/>
  <c r="F151" i="16"/>
  <c r="F150" i="16"/>
  <c r="F149" i="16"/>
  <c r="F148" i="16"/>
  <c r="F147" i="16"/>
  <c r="F146" i="16"/>
  <c r="F145" i="16"/>
  <c r="F144" i="16"/>
  <c r="F143" i="16"/>
  <c r="F142" i="16"/>
  <c r="F141" i="16"/>
  <c r="F140" i="16"/>
  <c r="F139" i="16"/>
  <c r="F138" i="16"/>
  <c r="F137" i="16"/>
  <c r="F136" i="16"/>
  <c r="F135" i="16"/>
  <c r="F133" i="16"/>
  <c r="F132" i="16"/>
  <c r="F130" i="16"/>
  <c r="F128" i="16"/>
  <c r="F127" i="16"/>
  <c r="F126" i="16"/>
  <c r="F124" i="16"/>
  <c r="F123" i="16"/>
  <c r="F122" i="16"/>
  <c r="F121" i="16"/>
  <c r="F120" i="16"/>
  <c r="F119" i="16"/>
  <c r="F117" i="16"/>
  <c r="F116" i="16"/>
  <c r="F115" i="16"/>
  <c r="F114" i="16"/>
  <c r="F113" i="16"/>
  <c r="F112" i="16"/>
  <c r="F110" i="16"/>
  <c r="F109" i="16"/>
  <c r="F108" i="16"/>
  <c r="F107" i="16"/>
  <c r="F106" i="16"/>
  <c r="F105" i="16"/>
  <c r="F104" i="16"/>
  <c r="F102" i="16"/>
  <c r="F101" i="16"/>
  <c r="F100" i="16"/>
  <c r="F99" i="16"/>
  <c r="F98" i="16"/>
  <c r="F97" i="16"/>
  <c r="F96" i="16"/>
  <c r="F94" i="16"/>
  <c r="F93" i="16"/>
  <c r="F92" i="16"/>
  <c r="F91" i="16"/>
  <c r="F90" i="16"/>
  <c r="F89" i="16"/>
  <c r="F88" i="16"/>
  <c r="F87" i="16"/>
  <c r="F86" i="16"/>
  <c r="F85" i="16"/>
  <c r="F83" i="16"/>
  <c r="F82" i="16"/>
  <c r="F81" i="16"/>
  <c r="F80" i="16"/>
  <c r="F79" i="16"/>
  <c r="F78" i="16"/>
  <c r="F77" i="16"/>
  <c r="F76" i="16"/>
  <c r="F75" i="16"/>
  <c r="F74" i="16"/>
  <c r="F73" i="16"/>
  <c r="F72" i="16"/>
  <c r="F70" i="16"/>
  <c r="F69" i="16"/>
  <c r="F68" i="16"/>
  <c r="F67" i="16"/>
  <c r="F66" i="16"/>
  <c r="F65" i="16"/>
  <c r="F63" i="16"/>
  <c r="F61" i="16"/>
  <c r="F60" i="16"/>
  <c r="F59" i="16"/>
  <c r="F57" i="16"/>
  <c r="F56" i="16"/>
  <c r="F55" i="16"/>
  <c r="F54" i="16"/>
  <c r="F53" i="16"/>
  <c r="F43" i="16"/>
  <c r="F34" i="16"/>
  <c r="F25" i="16"/>
  <c r="F16" i="16"/>
  <c r="F14" i="16"/>
  <c r="F10" i="16"/>
  <c r="F9" i="16"/>
  <c r="F8" i="16"/>
  <c r="F6" i="16"/>
  <c r="F5" i="16"/>
  <c r="F4" i="16"/>
  <c r="F3" i="16"/>
  <c r="G90" i="8" a="1"/>
  <c r="G90" i="8" s="1"/>
  <c r="G87" i="8" l="1" a="1"/>
  <c r="G87" i="8" s="1"/>
  <c r="G84" i="8" a="1"/>
  <c r="G84" i="8" s="1"/>
  <c r="G81" i="8" a="1"/>
  <c r="G81" i="8" s="1"/>
  <c r="G78" i="8" a="1"/>
  <c r="G78" i="8" s="1"/>
  <c r="G75" i="8" a="1"/>
  <c r="G75" i="8" s="1"/>
  <c r="G72" i="8" a="1"/>
  <c r="G72" i="8" s="1"/>
  <c r="G69" i="8" a="1"/>
  <c r="G69" i="8" s="1"/>
  <c r="G66" i="8" a="1"/>
  <c r="G66" i="8" s="1"/>
  <c r="G63" i="8" a="1"/>
  <c r="G63" i="8" s="1"/>
  <c r="G60" i="8" a="1"/>
  <c r="G60" i="8" s="1"/>
  <c r="G57" i="8" a="1"/>
  <c r="G57" i="8" s="1"/>
  <c r="G54" i="8" a="1"/>
  <c r="G54" i="8" s="1"/>
  <c r="G51" i="8" a="1"/>
  <c r="G51" i="8" s="1"/>
  <c r="G48" i="8" a="1"/>
  <c r="G48" i="8" s="1"/>
  <c r="G45" i="8" a="1"/>
  <c r="G45" i="8" s="1"/>
  <c r="G42" i="8" a="1"/>
  <c r="G42" i="8" s="1"/>
  <c r="G39" i="8" a="1"/>
  <c r="G39" i="8" s="1"/>
  <c r="G36" i="8" a="1"/>
  <c r="G36" i="8" s="1"/>
  <c r="A17" i="7"/>
  <c r="CM15" i="6"/>
  <c r="CL15" i="6"/>
  <c r="CK15" i="6"/>
  <c r="CJ15" i="6"/>
  <c r="CI15" i="6"/>
  <c r="CH15" i="6"/>
  <c r="CG15" i="6"/>
  <c r="CF15" i="6"/>
  <c r="BT15" i="6"/>
  <c r="BS15" i="6"/>
  <c r="BR15" i="6"/>
  <c r="BQ15" i="6"/>
  <c r="BP15" i="6"/>
  <c r="BO15" i="6"/>
  <c r="BN15" i="6"/>
  <c r="BM15" i="6"/>
  <c r="AB197" i="6" a="1"/>
  <c r="AC10" i="6"/>
  <c r="AA10" i="6"/>
  <c r="A45" i="7"/>
  <c r="A44" i="7"/>
  <c r="A43" i="7"/>
  <c r="A42" i="7"/>
  <c r="A41" i="7"/>
  <c r="A40" i="7"/>
  <c r="A39" i="7"/>
  <c r="A38" i="7"/>
  <c r="AB199" i="6" l="1"/>
  <c r="AB197" i="6"/>
  <c r="AB198" i="6"/>
  <c r="A27" i="7"/>
  <c r="A26" i="7"/>
  <c r="A25" i="7"/>
  <c r="A24" i="7"/>
  <c r="A23" i="7"/>
  <c r="A37" i="7" l="1"/>
  <c r="A36" i="7"/>
  <c r="A35" i="7"/>
  <c r="A34" i="7"/>
  <c r="A33" i="7"/>
  <c r="A32" i="7"/>
  <c r="A31" i="7"/>
  <c r="A30" i="7"/>
  <c r="A29" i="7"/>
  <c r="A28" i="7"/>
  <c r="A22" i="5"/>
  <c r="A185" i="5"/>
  <c r="A183" i="5"/>
  <c r="A66" i="5"/>
  <c r="A74" i="5"/>
  <c r="A46" i="5"/>
  <c r="A37" i="5"/>
  <c r="A62" i="5"/>
  <c r="A104" i="5"/>
  <c r="A108" i="5"/>
  <c r="A85" i="5"/>
  <c r="A58" i="5"/>
  <c r="A165" i="5"/>
  <c r="A50" i="5"/>
  <c r="A35" i="5"/>
  <c r="A169" i="5" l="1"/>
  <c r="A81" i="5"/>
  <c r="A82" i="5"/>
  <c r="A80" i="5"/>
  <c r="A75" i="5"/>
  <c r="H23" i="13"/>
  <c r="G23" i="13"/>
  <c r="H22" i="13"/>
  <c r="G22" i="13"/>
  <c r="H21" i="13"/>
  <c r="G21" i="13"/>
  <c r="H20" i="13"/>
  <c r="G20" i="13"/>
  <c r="H19" i="13"/>
  <c r="G19" i="13"/>
  <c r="H18" i="13"/>
  <c r="G18" i="13"/>
  <c r="H17" i="13"/>
  <c r="G17" i="13"/>
  <c r="H16" i="13"/>
  <c r="G16" i="13"/>
  <c r="H15" i="13"/>
  <c r="G15" i="13"/>
  <c r="H14" i="13"/>
  <c r="G14" i="13"/>
  <c r="S23" i="11"/>
  <c r="J23" i="11"/>
  <c r="I23" i="13" s="1"/>
  <c r="D23" i="11"/>
  <c r="S22" i="11"/>
  <c r="J22" i="11"/>
  <c r="I22" i="13" s="1"/>
  <c r="D22" i="11"/>
  <c r="S21" i="11"/>
  <c r="J21" i="11"/>
  <c r="I21" i="13" s="1"/>
  <c r="D21" i="11"/>
  <c r="S20" i="11"/>
  <c r="J20" i="11"/>
  <c r="I20" i="13" s="1"/>
  <c r="D20" i="11"/>
  <c r="S19" i="11"/>
  <c r="J19" i="11"/>
  <c r="I19" i="13" s="1"/>
  <c r="D19" i="11"/>
  <c r="S18" i="11"/>
  <c r="J18" i="11"/>
  <c r="I18" i="13" s="1"/>
  <c r="D18" i="11"/>
  <c r="S17" i="11"/>
  <c r="J17" i="11"/>
  <c r="I17" i="13" s="1"/>
  <c r="D17" i="11"/>
  <c r="S16" i="11"/>
  <c r="J16" i="11"/>
  <c r="I16" i="13" s="1"/>
  <c r="D16" i="11"/>
  <c r="S15" i="11"/>
  <c r="J15" i="11"/>
  <c r="I15" i="13" s="1"/>
  <c r="D15" i="11"/>
  <c r="S14" i="11"/>
  <c r="J14" i="11"/>
  <c r="I14" i="13" s="1"/>
  <c r="D14" i="11"/>
  <c r="B14" i="8"/>
  <c r="B17" i="8" s="1"/>
  <c r="A22" i="7"/>
  <c r="A21" i="7"/>
  <c r="A20" i="7"/>
  <c r="A19" i="7"/>
  <c r="A18" i="7"/>
  <c r="A16" i="7"/>
  <c r="F186" i="12" a="1"/>
  <c r="F186" i="12" s="1"/>
  <c r="E186" i="12"/>
  <c r="F170" i="12" a="1"/>
  <c r="F170" i="12" s="1"/>
  <c r="E170" i="12"/>
  <c r="F166" i="12" a="1"/>
  <c r="F166" i="12" s="1"/>
  <c r="E166" i="12"/>
  <c r="F156" i="12" a="1"/>
  <c r="F156" i="12" s="1"/>
  <c r="E156" i="12"/>
  <c r="F154" i="12" a="1"/>
  <c r="F154" i="12" s="1"/>
  <c r="E154" i="12"/>
  <c r="F145" i="12" a="1"/>
  <c r="F145" i="12" s="1"/>
  <c r="E145" i="12"/>
  <c r="F141" i="12" a="1"/>
  <c r="F141" i="12" s="1"/>
  <c r="E141" i="12"/>
  <c r="F114" i="12" a="1"/>
  <c r="F114" i="12" s="1"/>
  <c r="E114" i="12"/>
  <c r="F111" i="12" a="1"/>
  <c r="F111" i="12" s="1"/>
  <c r="E111" i="12"/>
  <c r="F109" i="12" a="1"/>
  <c r="F109" i="12" s="1"/>
  <c r="E109" i="12"/>
  <c r="F105" i="12" a="1"/>
  <c r="F105" i="12" s="1"/>
  <c r="E105" i="12"/>
  <c r="F98" i="12" a="1"/>
  <c r="F98" i="12" s="1"/>
  <c r="E98" i="12"/>
  <c r="F91" i="12" a="1"/>
  <c r="F91" i="12" s="1"/>
  <c r="E91" i="12"/>
  <c r="F83" i="12" a="1"/>
  <c r="F83" i="12" s="1"/>
  <c r="E83" i="12"/>
  <c r="F64" i="12" a="1"/>
  <c r="F64" i="12" s="1"/>
  <c r="E64" i="12"/>
  <c r="F51" i="12" a="1"/>
  <c r="F51" i="12" s="1"/>
  <c r="E51" i="12"/>
  <c r="F44" i="12" a="1"/>
  <c r="F44" i="12" s="1"/>
  <c r="E44" i="12"/>
  <c r="F42" i="12" a="1"/>
  <c r="F42" i="12" s="1"/>
  <c r="E42" i="12"/>
  <c r="F38" i="12" a="1"/>
  <c r="F38" i="12" s="1"/>
  <c r="E38" i="12"/>
  <c r="F32" i="12" a="1"/>
  <c r="F32" i="12" s="1"/>
  <c r="E32" i="12"/>
  <c r="F27" i="12" a="1"/>
  <c r="F27" i="12" s="1"/>
  <c r="E27" i="12"/>
  <c r="F17" i="12" a="1"/>
  <c r="F17" i="12" s="1"/>
  <c r="E17" i="12"/>
  <c r="F16" i="12" a="1"/>
  <c r="F16" i="12" s="1"/>
  <c r="E16" i="12"/>
  <c r="L16" i="6"/>
  <c r="L17" i="6" s="1"/>
  <c r="A190" i="5"/>
  <c r="A189" i="5"/>
  <c r="A188" i="5"/>
  <c r="A187" i="5"/>
  <c r="A186" i="5"/>
  <c r="A184" i="5"/>
  <c r="A182" i="5"/>
  <c r="A181" i="5"/>
  <c r="A180" i="5"/>
  <c r="A179" i="5"/>
  <c r="A178" i="5"/>
  <c r="A177" i="5"/>
  <c r="A176" i="5"/>
  <c r="A175" i="5"/>
  <c r="A174" i="5"/>
  <c r="A173" i="5"/>
  <c r="A172" i="5"/>
  <c r="A171" i="5"/>
  <c r="A170" i="5"/>
  <c r="A168" i="5"/>
  <c r="A167" i="5"/>
  <c r="A166" i="5"/>
  <c r="A164" i="5"/>
  <c r="A163" i="5"/>
  <c r="A162" i="5"/>
  <c r="A161" i="5"/>
  <c r="A160" i="5"/>
  <c r="A159" i="5"/>
  <c r="A158" i="5"/>
  <c r="A157" i="5"/>
  <c r="A156" i="5"/>
  <c r="A155" i="5"/>
  <c r="A154" i="5"/>
  <c r="A153" i="5"/>
  <c r="A152" i="5"/>
  <c r="A151" i="5"/>
  <c r="A150" i="5"/>
  <c r="A149" i="5"/>
  <c r="A148" i="5"/>
  <c r="A147" i="5"/>
  <c r="A146" i="5"/>
  <c r="A145" i="5"/>
  <c r="A144" i="5"/>
  <c r="A143" i="5"/>
  <c r="A142" i="5"/>
  <c r="A141" i="5"/>
  <c r="A140" i="5"/>
  <c r="A139" i="5"/>
  <c r="A138" i="5"/>
  <c r="A137" i="5"/>
  <c r="A136" i="5"/>
  <c r="A135" i="5"/>
  <c r="A134" i="5"/>
  <c r="A133" i="5"/>
  <c r="A132" i="5"/>
  <c r="A131" i="5"/>
  <c r="A130" i="5"/>
  <c r="A129" i="5"/>
  <c r="A128" i="5"/>
  <c r="A127" i="5"/>
  <c r="A126" i="5"/>
  <c r="A125" i="5"/>
  <c r="A124" i="5"/>
  <c r="A123" i="5"/>
  <c r="A122" i="5"/>
  <c r="A121" i="5"/>
  <c r="A120" i="5"/>
  <c r="A119" i="5"/>
  <c r="A118" i="5"/>
  <c r="A117" i="5"/>
  <c r="A116" i="5"/>
  <c r="A115" i="5"/>
  <c r="A114" i="5"/>
  <c r="A113" i="5"/>
  <c r="A112" i="5"/>
  <c r="A111" i="5"/>
  <c r="A110" i="5"/>
  <c r="A109" i="5"/>
  <c r="A107" i="5"/>
  <c r="A106" i="5"/>
  <c r="A105" i="5"/>
  <c r="A103" i="5"/>
  <c r="A102" i="5"/>
  <c r="A101" i="5"/>
  <c r="A100" i="5"/>
  <c r="A99" i="5"/>
  <c r="A98" i="5"/>
  <c r="A97" i="5"/>
  <c r="A96" i="5"/>
  <c r="A95" i="5"/>
  <c r="A94" i="5"/>
  <c r="A93" i="5"/>
  <c r="A92" i="5"/>
  <c r="A91" i="5"/>
  <c r="A90" i="5"/>
  <c r="A89" i="5"/>
  <c r="A88" i="5"/>
  <c r="A87" i="5"/>
  <c r="A86" i="5"/>
  <c r="A84" i="5"/>
  <c r="A83" i="5"/>
  <c r="A79" i="5"/>
  <c r="A78" i="5"/>
  <c r="A77" i="5"/>
  <c r="A76" i="5"/>
  <c r="A73" i="5"/>
  <c r="A72" i="5"/>
  <c r="A71" i="5"/>
  <c r="A70" i="5"/>
  <c r="A69" i="5"/>
  <c r="A68" i="5"/>
  <c r="A67" i="5"/>
  <c r="A65" i="5"/>
  <c r="A64" i="5"/>
  <c r="A63" i="5"/>
  <c r="A61" i="5"/>
  <c r="A60" i="5"/>
  <c r="A59" i="5"/>
  <c r="A57" i="5"/>
  <c r="A56" i="5"/>
  <c r="A55" i="5"/>
  <c r="A54" i="5"/>
  <c r="A53" i="5"/>
  <c r="A52" i="5"/>
  <c r="A51" i="5"/>
  <c r="A49" i="5"/>
  <c r="A48" i="5"/>
  <c r="A47" i="5"/>
  <c r="A45" i="5"/>
  <c r="A44" i="5"/>
  <c r="A43" i="5"/>
  <c r="A42" i="5"/>
  <c r="A41" i="5"/>
  <c r="A40" i="5"/>
  <c r="A39" i="5"/>
  <c r="A38" i="5"/>
  <c r="A36" i="5"/>
  <c r="A34" i="5"/>
  <c r="A33" i="5"/>
  <c r="A32" i="5"/>
  <c r="A31" i="5"/>
  <c r="A30" i="5"/>
  <c r="A29" i="5"/>
  <c r="A28" i="5"/>
  <c r="A27" i="5"/>
  <c r="A26" i="5"/>
  <c r="A25" i="5"/>
  <c r="A24" i="5"/>
  <c r="A23" i="5"/>
  <c r="A21" i="5"/>
  <c r="A20" i="5"/>
  <c r="A19" i="5"/>
  <c r="A18" i="5"/>
  <c r="A17" i="5"/>
  <c r="C16" i="5"/>
  <c r="A16" i="5"/>
  <c r="F16" i="6" l="1"/>
  <c r="A16" i="12"/>
  <c r="B16" i="6"/>
  <c r="G16" i="5"/>
  <c r="I16" i="5"/>
  <c r="N16" i="5"/>
  <c r="B16" i="5"/>
  <c r="F16" i="5"/>
  <c r="H16" i="5"/>
  <c r="W16" i="5" a="1"/>
  <c r="W16" i="5" s="1"/>
  <c r="H16" i="12" s="1" a="1"/>
  <c r="H16" i="12" s="1"/>
  <c r="AE16" i="5" a="1"/>
  <c r="AE16" i="5" s="1"/>
  <c r="C17" i="5"/>
  <c r="B17" i="6" s="1"/>
  <c r="L18" i="6"/>
  <c r="F17" i="6"/>
  <c r="B20" i="8"/>
  <c r="E14" i="13"/>
  <c r="A14" i="11"/>
  <c r="A15" i="11" s="1"/>
  <c r="A16" i="11" s="1"/>
  <c r="E15" i="13"/>
  <c r="E16" i="13"/>
  <c r="E17" i="13"/>
  <c r="A17" i="11"/>
  <c r="E18" i="13"/>
  <c r="A18" i="11"/>
  <c r="E19" i="13"/>
  <c r="A19" i="11"/>
  <c r="E20" i="13"/>
  <c r="A20" i="11"/>
  <c r="E21" i="13"/>
  <c r="A21" i="11"/>
  <c r="E22" i="13"/>
  <c r="A22" i="11"/>
  <c r="A23" i="11"/>
  <c r="E23" i="13"/>
  <c r="C192" i="3"/>
  <c r="R101" i="4"/>
  <c r="J105" i="4"/>
  <c r="J102" i="4"/>
  <c r="J101" i="4"/>
  <c r="J65" i="4"/>
  <c r="J62" i="4"/>
  <c r="J61" i="4"/>
  <c r="C188" i="3"/>
  <c r="B23" i="8" l="1"/>
  <c r="L19" i="6"/>
  <c r="AD16" i="5"/>
  <c r="AD17" i="5" s="1"/>
  <c r="A17" i="12"/>
  <c r="N17" i="5"/>
  <c r="I17" i="5"/>
  <c r="G17" i="5"/>
  <c r="H17" i="5"/>
  <c r="B17" i="5"/>
  <c r="C18" i="5"/>
  <c r="AE17" i="5" a="1"/>
  <c r="AE17" i="5" s="1"/>
  <c r="W17" i="5" a="1"/>
  <c r="W17" i="5" s="1"/>
  <c r="H17" i="12" s="1" a="1"/>
  <c r="H17" i="12" s="1"/>
  <c r="F17" i="5"/>
  <c r="D16" i="6"/>
  <c r="E16" i="5"/>
  <c r="C184" i="3"/>
  <c r="C183" i="3"/>
  <c r="C181" i="3"/>
  <c r="B18" i="6" l="1"/>
  <c r="N16" i="6"/>
  <c r="H16" i="6" a="1"/>
  <c r="H16" i="6" s="1"/>
  <c r="T16" i="5" s="1"/>
  <c r="M16" i="6"/>
  <c r="G16" i="6"/>
  <c r="E17" i="5"/>
  <c r="E18" i="5" s="1"/>
  <c r="D17" i="6"/>
  <c r="A14" i="13"/>
  <c r="B26" i="8"/>
  <c r="B14" i="11"/>
  <c r="A18" i="12"/>
  <c r="C19" i="5"/>
  <c r="AE18" i="5" a="1"/>
  <c r="AE18" i="5" s="1"/>
  <c r="J18" i="5"/>
  <c r="H18" i="5"/>
  <c r="F18" i="5"/>
  <c r="D18" i="5"/>
  <c r="B18" i="12" s="1"/>
  <c r="B18" i="5"/>
  <c r="AD18" i="5"/>
  <c r="N18" i="5"/>
  <c r="K18" i="5"/>
  <c r="G18" i="5"/>
  <c r="L20" i="6"/>
  <c r="AC191" i="5" a="1"/>
  <c r="AC191" i="5" s="1"/>
  <c r="B19" i="6" l="1"/>
  <c r="B29" i="8"/>
  <c r="G16" i="12" a="1"/>
  <c r="G16" i="12" s="1"/>
  <c r="L21" i="6"/>
  <c r="L22" i="6" s="1"/>
  <c r="D18" i="6"/>
  <c r="A19" i="12"/>
  <c r="AD19" i="5"/>
  <c r="N19" i="5"/>
  <c r="K19" i="5"/>
  <c r="G19" i="5"/>
  <c r="E19" i="5"/>
  <c r="C20" i="5"/>
  <c r="H19" i="5"/>
  <c r="D19" i="5"/>
  <c r="B19" i="12" s="1"/>
  <c r="AE19" i="5" a="1"/>
  <c r="AE19" i="5" s="1"/>
  <c r="J19" i="5"/>
  <c r="F19" i="5"/>
  <c r="B19" i="5"/>
  <c r="C14" i="13"/>
  <c r="K14" i="11" a="1"/>
  <c r="K14" i="11" s="1"/>
  <c r="J14" i="13" s="1"/>
  <c r="G14" i="11"/>
  <c r="F14" i="13" s="1"/>
  <c r="N17" i="6"/>
  <c r="H17" i="6" a="1"/>
  <c r="H17" i="6" s="1"/>
  <c r="T17" i="5" s="1"/>
  <c r="M17" i="6"/>
  <c r="G17" i="6"/>
  <c r="L14" i="6"/>
  <c r="AE7" i="10" a="1"/>
  <c r="AE7" i="10" s="1"/>
  <c r="AE6" i="10" a="1"/>
  <c r="AE6" i="10" s="1"/>
  <c r="V7" i="10" a="1"/>
  <c r="V7" i="10" s="1"/>
  <c r="V6" i="10" a="1"/>
  <c r="V6" i="10" s="1"/>
  <c r="D198" i="12" a="1"/>
  <c r="D198"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B20" i="6" l="1"/>
  <c r="AF16" i="5" a="1"/>
  <c r="AF16" i="5" s="1"/>
  <c r="AG16" i="5" s="1" a="1"/>
  <c r="AG16" i="5" s="1"/>
  <c r="AF17" i="5" a="1"/>
  <c r="AF17" i="5" s="1"/>
  <c r="AG17" i="5" s="1" a="1"/>
  <c r="AG17" i="5" s="1"/>
  <c r="D19" i="6"/>
  <c r="B32" i="8"/>
  <c r="B35" i="8" s="1"/>
  <c r="G17" i="12" a="1"/>
  <c r="G17" i="12" s="1"/>
  <c r="A20" i="12"/>
  <c r="C21" i="5"/>
  <c r="AE20" i="5" a="1"/>
  <c r="AE20" i="5" s="1"/>
  <c r="J20" i="5"/>
  <c r="H20" i="5"/>
  <c r="F20" i="5"/>
  <c r="D20" i="5"/>
  <c r="B20" i="12" s="1"/>
  <c r="B20" i="5"/>
  <c r="N20" i="5"/>
  <c r="K20" i="5"/>
  <c r="G20" i="5"/>
  <c r="E20" i="5"/>
  <c r="AD20" i="5"/>
  <c r="L23" i="6"/>
  <c r="B14" i="6"/>
  <c r="O8" i="5"/>
  <c r="F11" i="5"/>
  <c r="B38" i="8" l="1"/>
  <c r="B21" i="6"/>
  <c r="L24" i="6"/>
  <c r="D20" i="6"/>
  <c r="A21" i="12"/>
  <c r="AD21" i="5"/>
  <c r="N21" i="5"/>
  <c r="K21" i="5"/>
  <c r="G21" i="5"/>
  <c r="E21" i="5"/>
  <c r="J21" i="5"/>
  <c r="H21" i="5"/>
  <c r="D21" i="5"/>
  <c r="B21" i="12" s="1"/>
  <c r="AE21" i="5" a="1"/>
  <c r="AE21" i="5" s="1"/>
  <c r="F21" i="5"/>
  <c r="B21" i="5"/>
  <c r="C22" i="5" s="1"/>
  <c r="F14" i="6"/>
  <c r="D14" i="6"/>
  <c r="C171" i="3"/>
  <c r="C170" i="3"/>
  <c r="C169" i="3"/>
  <c r="C166" i="3"/>
  <c r="C160" i="3"/>
  <c r="C159" i="3"/>
  <c r="B41" i="8" l="1"/>
  <c r="B22" i="6"/>
  <c r="AF22" i="5" a="1"/>
  <c r="AF22" i="5" s="1"/>
  <c r="AE22" i="5" a="1"/>
  <c r="AE22" i="5" s="1"/>
  <c r="E22" i="5"/>
  <c r="A22" i="12"/>
  <c r="B22" i="5"/>
  <c r="E22" i="12"/>
  <c r="H22" i="5"/>
  <c r="AD22" i="5"/>
  <c r="C23" i="5"/>
  <c r="F22" i="5"/>
  <c r="G22" i="5"/>
  <c r="N22" i="5"/>
  <c r="D22" i="6" s="1"/>
  <c r="D21" i="6"/>
  <c r="L25" i="6"/>
  <c r="G14" i="6"/>
  <c r="H14" i="6" a="1"/>
  <c r="H14" i="6" s="1"/>
  <c r="X9" i="5"/>
  <c r="W9" i="5"/>
  <c r="V9" i="5"/>
  <c r="U9" i="5"/>
  <c r="T9" i="5"/>
  <c r="N23" i="5" l="1"/>
  <c r="D23" i="6" s="1"/>
  <c r="B44" i="8"/>
  <c r="B23" i="5"/>
  <c r="D23" i="5"/>
  <c r="B23" i="12" s="1"/>
  <c r="F23" i="5"/>
  <c r="H23" i="5"/>
  <c r="J23" i="5"/>
  <c r="AE23" i="5" a="1"/>
  <c r="AE23" i="5" s="1"/>
  <c r="B23" i="6"/>
  <c r="C24" i="5"/>
  <c r="AD23" i="5"/>
  <c r="A23" i="12"/>
  <c r="F22" i="6"/>
  <c r="G23" i="5"/>
  <c r="K23" i="5"/>
  <c r="S22" i="5" a="1"/>
  <c r="S22" i="5" s="1"/>
  <c r="F22" i="12" s="1" a="1"/>
  <c r="F22" i="12" s="1"/>
  <c r="AG22" i="5" a="1"/>
  <c r="AG22" i="5" s="1"/>
  <c r="E23" i="5"/>
  <c r="G22" i="6"/>
  <c r="L26" i="6"/>
  <c r="C177" i="3"/>
  <c r="C175" i="3"/>
  <c r="B47" i="8" l="1"/>
  <c r="G24" i="5"/>
  <c r="K24" i="5"/>
  <c r="D24" i="5"/>
  <c r="B24" i="12" s="1"/>
  <c r="A24" i="12"/>
  <c r="N24" i="5"/>
  <c r="D24" i="6" s="1"/>
  <c r="AD24" i="5"/>
  <c r="F24" i="5"/>
  <c r="H24" i="5"/>
  <c r="B24" i="6"/>
  <c r="AE24" i="5" a="1"/>
  <c r="AE24" i="5" s="1"/>
  <c r="C25" i="5"/>
  <c r="E24" i="5"/>
  <c r="B24" i="5"/>
  <c r="J24" i="5"/>
  <c r="C157" i="3"/>
  <c r="C173" i="3"/>
  <c r="C167" i="3"/>
  <c r="C164" i="3"/>
  <c r="C163" i="3"/>
  <c r="C161" i="3"/>
  <c r="C26" i="5" l="1"/>
  <c r="B50" i="8"/>
  <c r="G25" i="5"/>
  <c r="K25" i="5"/>
  <c r="E25" i="5"/>
  <c r="N25" i="5"/>
  <c r="D25" i="6" s="1"/>
  <c r="AD25" i="5"/>
  <c r="B25" i="5"/>
  <c r="A25" i="12"/>
  <c r="D25" i="5"/>
  <c r="B25" i="12" s="1"/>
  <c r="B25" i="6"/>
  <c r="H25" i="5"/>
  <c r="J25" i="5"/>
  <c r="AE25" i="5" a="1"/>
  <c r="AE25" i="5" s="1"/>
  <c r="F25" i="5"/>
  <c r="C153" i="3"/>
  <c r="C151" i="3"/>
  <c r="A26" i="12" l="1"/>
  <c r="H26" i="5"/>
  <c r="D26" i="5"/>
  <c r="B26" i="12" s="1"/>
  <c r="J26" i="5"/>
  <c r="B26" i="6"/>
  <c r="K26" i="5"/>
  <c r="B26" i="5"/>
  <c r="N26" i="5"/>
  <c r="D26" i="6" s="1"/>
  <c r="AD26" i="5"/>
  <c r="AE26" i="5" a="1"/>
  <c r="AE26" i="5" s="1"/>
  <c r="E26" i="5"/>
  <c r="F26" i="5"/>
  <c r="G26" i="5"/>
  <c r="B53" i="8"/>
  <c r="A12" i="6"/>
  <c r="B56" i="8" l="1"/>
  <c r="A17" i="6"/>
  <c r="A16" i="6"/>
  <c r="L27" i="6"/>
  <c r="A14" i="6"/>
  <c r="A11" i="6"/>
  <c r="C147" i="3"/>
  <c r="C149" i="3"/>
  <c r="C145" i="3"/>
  <c r="C143" i="3"/>
  <c r="C141" i="3"/>
  <c r="U11" i="4"/>
  <c r="U10" i="4"/>
  <c r="Y26" i="4"/>
  <c r="Z26" i="4" s="1"/>
  <c r="Y106" i="4"/>
  <c r="Z106" i="4" s="1"/>
  <c r="Y66" i="4"/>
  <c r="Z66" i="4" s="1"/>
  <c r="R64" i="4"/>
  <c r="R63" i="4"/>
  <c r="R23" i="4"/>
  <c r="R24" i="4"/>
  <c r="C133" i="3"/>
  <c r="B59" i="8" l="1"/>
  <c r="F27" i="6"/>
  <c r="X26" i="4"/>
  <c r="X106" i="4"/>
  <c r="X66" i="4"/>
  <c r="C137" i="3"/>
  <c r="C135" i="3"/>
  <c r="C132" i="3"/>
  <c r="B62" i="8" l="1"/>
  <c r="L28"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B65" i="8" l="1"/>
  <c r="N22" i="6"/>
  <c r="L29" i="6"/>
  <c r="J4" i="15"/>
  <c r="AB13" i="12" a="1"/>
  <c r="AB13" i="12" s="1"/>
  <c r="I50" i="10"/>
  <c r="B68" i="8" l="1"/>
  <c r="C27" i="5"/>
  <c r="A27" i="12" s="1"/>
  <c r="AO23" i="13"/>
  <c r="AN23" i="13" a="1"/>
  <c r="AN23" i="13" s="1"/>
  <c r="AM23" i="13" a="1"/>
  <c r="AM23" i="13" s="1"/>
  <c r="AO22" i="13"/>
  <c r="AN22" i="13" a="1"/>
  <c r="AN22" i="13" s="1"/>
  <c r="AM22" i="13" a="1"/>
  <c r="AM22" i="13" s="1"/>
  <c r="AO21" i="13"/>
  <c r="AN21" i="13" a="1"/>
  <c r="AN21" i="13" s="1"/>
  <c r="AM21" i="13" a="1"/>
  <c r="AM21" i="13" s="1"/>
  <c r="AO20" i="13"/>
  <c r="AN20" i="13" a="1"/>
  <c r="AN20" i="13" s="1"/>
  <c r="AM20" i="13" a="1"/>
  <c r="AM20" i="13" s="1"/>
  <c r="AO19" i="13"/>
  <c r="AN19" i="13" a="1"/>
  <c r="AN19" i="13" s="1"/>
  <c r="AM19" i="13" a="1"/>
  <c r="AM19" i="13" s="1"/>
  <c r="AL23" i="13"/>
  <c r="AJ23" i="13" a="1"/>
  <c r="AJ23" i="13" s="1"/>
  <c r="AL22" i="13"/>
  <c r="AJ22" i="13" a="1"/>
  <c r="AJ22" i="13" s="1"/>
  <c r="AL21" i="13"/>
  <c r="AJ21" i="13" a="1"/>
  <c r="AJ21" i="13" s="1"/>
  <c r="AL20" i="13"/>
  <c r="AJ20" i="13" a="1"/>
  <c r="AJ20" i="13" s="1"/>
  <c r="AL19" i="13"/>
  <c r="AJ19" i="13" a="1"/>
  <c r="AJ19" i="13" s="1"/>
  <c r="AL18" i="13"/>
  <c r="AK18" i="13" a="1"/>
  <c r="AK18" i="13" s="1"/>
  <c r="AJ18" i="13" a="1"/>
  <c r="AJ18" i="13" s="1"/>
  <c r="AL17" i="13"/>
  <c r="AK17" i="13" a="1"/>
  <c r="AK17" i="13" s="1"/>
  <c r="AJ17" i="13" a="1"/>
  <c r="AJ17" i="13" s="1"/>
  <c r="AL16" i="13"/>
  <c r="AK16" i="13" a="1"/>
  <c r="AK16" i="13" s="1"/>
  <c r="AJ16" i="13" a="1"/>
  <c r="AJ16" i="13" s="1"/>
  <c r="AL15" i="13"/>
  <c r="AK15" i="13" a="1"/>
  <c r="AK15" i="13" s="1"/>
  <c r="AJ15" i="13" a="1"/>
  <c r="AJ15" i="13" s="1"/>
  <c r="AL14" i="13"/>
  <c r="AK14" i="13" a="1"/>
  <c r="AK14" i="13" s="1"/>
  <c r="AJ14" i="13" a="1"/>
  <c r="AJ14" i="13" s="1"/>
  <c r="AN18" i="13" a="1"/>
  <c r="AN18" i="13" s="1"/>
  <c r="AN17" i="13" a="1"/>
  <c r="AN17" i="13" s="1"/>
  <c r="AN16" i="13" a="1"/>
  <c r="AN16" i="13" s="1"/>
  <c r="AN15" i="13" a="1"/>
  <c r="AN15" i="13" s="1"/>
  <c r="AN14" i="13" a="1"/>
  <c r="AN14" i="13" s="1"/>
  <c r="AK23" i="13" a="1"/>
  <c r="AK23" i="13" s="1"/>
  <c r="AK21" i="13" a="1"/>
  <c r="AK21" i="13" s="1"/>
  <c r="AK19" i="13" a="1"/>
  <c r="AK19" i="13" s="1"/>
  <c r="AO18" i="13"/>
  <c r="AO17" i="13"/>
  <c r="AO16" i="13"/>
  <c r="AO15" i="13"/>
  <c r="AO14" i="13"/>
  <c r="AK22" i="13" a="1"/>
  <c r="AK22" i="13" s="1"/>
  <c r="AK20" i="13" a="1"/>
  <c r="AK20" i="13" s="1"/>
  <c r="AM18" i="13" a="1"/>
  <c r="AM18" i="13" s="1"/>
  <c r="AM17" i="13" a="1"/>
  <c r="AM17" i="13" s="1"/>
  <c r="AM16" i="13" a="1"/>
  <c r="AM16" i="13" s="1"/>
  <c r="AM15" i="13" a="1"/>
  <c r="AM15" i="13" s="1"/>
  <c r="AM14" i="13" a="1"/>
  <c r="AM14" i="13" s="1"/>
  <c r="G33" i="8" a="1"/>
  <c r="G33" i="8" s="1"/>
  <c r="G30" i="8" a="1"/>
  <c r="G30" i="8" s="1"/>
  <c r="G27" i="8" a="1"/>
  <c r="G27" i="8" s="1"/>
  <c r="G24" i="8" a="1"/>
  <c r="G24" i="8" s="1"/>
  <c r="G21" i="8" a="1"/>
  <c r="G21" i="8" s="1"/>
  <c r="G18" i="8" a="1"/>
  <c r="G18" i="8" s="1"/>
  <c r="G15" i="8" a="1"/>
  <c r="G15" i="8" s="1"/>
  <c r="K14" i="13" a="1"/>
  <c r="K14" i="13" s="1"/>
  <c r="P7" i="13"/>
  <c r="G22" i="15" a="1"/>
  <c r="G22" i="15" s="1"/>
  <c r="C22" i="15" a="1"/>
  <c r="C22" i="15" s="1"/>
  <c r="F10" i="12" a="1"/>
  <c r="F10" i="12" s="1"/>
  <c r="F8" i="7"/>
  <c r="M8" i="12" a="1"/>
  <c r="M8" i="12" s="1"/>
  <c r="H104" i="8" a="1"/>
  <c r="H104" i="8" s="1"/>
  <c r="H102" i="8" a="1"/>
  <c r="H102" i="8" s="1"/>
  <c r="F7" i="6" a="1"/>
  <c r="F7" i="6" s="1"/>
  <c r="F6" i="6" a="1"/>
  <c r="F6" i="6" s="1"/>
  <c r="Q1" i="6" a="1"/>
  <c r="Q1" i="6" s="1"/>
  <c r="O1" i="6" a="1"/>
  <c r="O1" i="6" s="1"/>
  <c r="C11" i="7" a="1"/>
  <c r="C11" i="7" s="1"/>
  <c r="C122" i="3"/>
  <c r="C120" i="3"/>
  <c r="B71" i="8" l="1"/>
  <c r="B27" i="6"/>
  <c r="A27" i="6" s="1"/>
  <c r="N27" i="5"/>
  <c r="D27" i="6" s="1"/>
  <c r="E27" i="5"/>
  <c r="AF27" i="5" a="1"/>
  <c r="AF27" i="5" s="1"/>
  <c r="AG27" i="5" s="1" a="1"/>
  <c r="AG27" i="5" s="1"/>
  <c r="U27" i="5" s="1"/>
  <c r="AE27" i="5" a="1"/>
  <c r="AE27" i="5" s="1"/>
  <c r="AD27" i="5"/>
  <c r="F27" i="5"/>
  <c r="G27" i="5"/>
  <c r="W27" i="5" a="1"/>
  <c r="W27" i="5" s="1"/>
  <c r="H27" i="12" s="1" a="1"/>
  <c r="H27" i="12" s="1"/>
  <c r="H27" i="5"/>
  <c r="I27" i="5"/>
  <c r="B27" i="5"/>
  <c r="C28" i="5"/>
  <c r="C14" i="14" a="1"/>
  <c r="C14" i="14" s="1"/>
  <c r="B39" i="14" a="1"/>
  <c r="B39" i="14" s="1"/>
  <c r="B37" i="14" a="1"/>
  <c r="B37" i="14" s="1"/>
  <c r="E28" i="14" a="1"/>
  <c r="E28" i="14" s="1"/>
  <c r="R1" i="6" a="1"/>
  <c r="R1" i="6" s="1"/>
  <c r="S67" i="4"/>
  <c r="U67" i="4" s="1"/>
  <c r="S107" i="4"/>
  <c r="U107" i="4" s="1"/>
  <c r="S27" i="4"/>
  <c r="U27" i="4" s="1"/>
  <c r="C124" i="3"/>
  <c r="B74" i="8" l="1"/>
  <c r="N27" i="6"/>
  <c r="M27" i="6"/>
  <c r="H27" i="6" a="1"/>
  <c r="H27" i="6" s="1"/>
  <c r="T27" i="5" s="1"/>
  <c r="G27" i="12" s="1" a="1"/>
  <c r="G27" i="12" s="1"/>
  <c r="G27" i="6"/>
  <c r="B28" i="6"/>
  <c r="AD28" i="5"/>
  <c r="K28" i="5"/>
  <c r="E28" i="5"/>
  <c r="D28" i="5"/>
  <c r="B28" i="12" s="1"/>
  <c r="AE28" i="5" a="1"/>
  <c r="AE28" i="5" s="1"/>
  <c r="F28" i="5"/>
  <c r="H28" i="5"/>
  <c r="J28" i="5"/>
  <c r="A28" i="12"/>
  <c r="N28" i="5"/>
  <c r="D28" i="6" s="1"/>
  <c r="G28" i="5"/>
  <c r="C29" i="5"/>
  <c r="B28" i="5"/>
  <c r="S1" i="6" a="1"/>
  <c r="S1" i="6" s="1"/>
  <c r="H48" i="9"/>
  <c r="B77" i="8" l="1"/>
  <c r="J29" i="5"/>
  <c r="F29" i="5"/>
  <c r="B29" i="5"/>
  <c r="N29" i="5"/>
  <c r="D29" i="6" s="1"/>
  <c r="G29" i="5"/>
  <c r="A29" i="12"/>
  <c r="AE29" i="5" a="1"/>
  <c r="AE29" i="5" s="1"/>
  <c r="H29" i="5"/>
  <c r="D29" i="5"/>
  <c r="B29" i="12" s="1"/>
  <c r="AD29" i="5"/>
  <c r="K29" i="5"/>
  <c r="E29" i="5"/>
  <c r="B29" i="6"/>
  <c r="L30" i="6"/>
  <c r="T1" i="6" a="1"/>
  <c r="T1" i="6" s="1"/>
  <c r="C94" i="3"/>
  <c r="C92" i="3"/>
  <c r="B80" i="8" l="1"/>
  <c r="U1" i="6" a="1"/>
  <c r="U1" i="6" s="1"/>
  <c r="C98" i="3"/>
  <c r="B83" i="8" l="1"/>
  <c r="L31" i="6"/>
  <c r="V1" i="6" a="1"/>
  <c r="V1" i="6" s="1"/>
  <c r="C5" i="14"/>
  <c r="B86" i="8" l="1"/>
  <c r="B89" i="8" s="1"/>
  <c r="C30" i="5"/>
  <c r="W1" i="6" a="1"/>
  <c r="W1" i="6" s="1"/>
  <c r="S12" i="11"/>
  <c r="J30" i="5" l="1"/>
  <c r="F30" i="5"/>
  <c r="B30" i="5"/>
  <c r="N30" i="5"/>
  <c r="D30" i="6" s="1"/>
  <c r="G30" i="5"/>
  <c r="B30" i="6"/>
  <c r="A30" i="12"/>
  <c r="AE30" i="5" a="1"/>
  <c r="AE30" i="5" s="1"/>
  <c r="H30" i="5"/>
  <c r="D30" i="5"/>
  <c r="B30" i="12" s="1"/>
  <c r="AD30" i="5"/>
  <c r="K30" i="5"/>
  <c r="E30" i="5"/>
  <c r="L32" i="6"/>
  <c r="X1" i="6" a="1"/>
  <c r="X1" i="6" s="1"/>
  <c r="C1" i="7" a="1"/>
  <c r="C1" i="7" s="1"/>
  <c r="C31" i="5" l="1"/>
  <c r="L33" i="6"/>
  <c r="F32" i="6"/>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AE31" i="5" l="1" a="1"/>
  <c r="AE31" i="5" s="1"/>
  <c r="H31" i="5"/>
  <c r="D31" i="5"/>
  <c r="B31" i="12" s="1"/>
  <c r="N31" i="5"/>
  <c r="D31" i="6" s="1"/>
  <c r="AD31" i="5"/>
  <c r="E31" i="5"/>
  <c r="B31" i="6"/>
  <c r="A31" i="12"/>
  <c r="J31" i="5"/>
  <c r="F31" i="5"/>
  <c r="B31" i="5"/>
  <c r="G31" i="5"/>
  <c r="K31" i="5"/>
  <c r="L34" i="6"/>
  <c r="Z1" i="6" a="1"/>
  <c r="Z1" i="6" s="1"/>
  <c r="AA1" i="6" s="1" a="1"/>
  <c r="AA1" i="6" s="1"/>
  <c r="D27" i="2"/>
  <c r="D15" i="2"/>
  <c r="D35" i="2"/>
  <c r="D3" i="2"/>
  <c r="AB1" i="6" l="1" a="1"/>
  <c r="AB1" i="6" s="1"/>
  <c r="L35" i="6"/>
  <c r="H10" i="7"/>
  <c r="AC1" i="6" l="1" a="1"/>
  <c r="AC1" i="6" s="1"/>
  <c r="L36" i="6"/>
  <c r="L37" i="6" s="1"/>
  <c r="AG104" i="8"/>
  <c r="AD1" i="6" l="1" a="1"/>
  <c r="AD1" i="6" s="1"/>
  <c r="C103" i="3"/>
  <c r="C100" i="3"/>
  <c r="C96" i="3"/>
  <c r="AE1" i="6" l="1" a="1"/>
  <c r="AE1" i="6" s="1"/>
  <c r="L38" i="6"/>
  <c r="C93" i="3"/>
  <c r="AF1" i="6" l="1" a="1"/>
  <c r="AF1" i="6" s="1"/>
  <c r="C32" i="5"/>
  <c r="AD32" i="5" s="1"/>
  <c r="L39" i="6"/>
  <c r="F38" i="6"/>
  <c r="C112" i="3"/>
  <c r="C108" i="3"/>
  <c r="C70" i="3"/>
  <c r="L35" i="13"/>
  <c r="L34" i="13" s="1"/>
  <c r="C84" i="3"/>
  <c r="AG1" i="6" l="1" a="1"/>
  <c r="AG1" i="6" s="1"/>
  <c r="B32" i="6"/>
  <c r="F32" i="5"/>
  <c r="G32" i="5"/>
  <c r="AF32" i="5" a="1"/>
  <c r="AF32" i="5" s="1"/>
  <c r="AG32" i="5" s="1" a="1"/>
  <c r="AG32" i="5" s="1"/>
  <c r="U32" i="5" s="1"/>
  <c r="AE32" i="5" a="1"/>
  <c r="AE32" i="5" s="1"/>
  <c r="H32" i="5"/>
  <c r="N32" i="5"/>
  <c r="D32" i="6" s="1"/>
  <c r="E32" i="5"/>
  <c r="C33" i="5"/>
  <c r="A32" i="12"/>
  <c r="W32" i="5" a="1"/>
  <c r="W32" i="5" s="1"/>
  <c r="H32" i="12" s="1" a="1"/>
  <c r="H32" i="12" s="1"/>
  <c r="B32" i="5"/>
  <c r="I32" i="5"/>
  <c r="L40" i="6"/>
  <c r="C56" i="3"/>
  <c r="AH1" i="6" l="1" a="1"/>
  <c r="AH1" i="6" s="1"/>
  <c r="D33" i="5"/>
  <c r="B33" i="12" s="1"/>
  <c r="AD33" i="5"/>
  <c r="J33" i="5"/>
  <c r="A33" i="12"/>
  <c r="AE33" i="5" a="1"/>
  <c r="AE33" i="5" s="1"/>
  <c r="K33" i="5"/>
  <c r="F33" i="5"/>
  <c r="N33" i="5"/>
  <c r="D33" i="6" s="1"/>
  <c r="H33" i="5"/>
  <c r="E33" i="5"/>
  <c r="B33" i="5"/>
  <c r="G33" i="5"/>
  <c r="B33" i="6"/>
  <c r="C34" i="5"/>
  <c r="M32" i="6"/>
  <c r="G32" i="6"/>
  <c r="H32" i="6" a="1"/>
  <c r="H32" i="6" s="1"/>
  <c r="T32" i="5" s="1"/>
  <c r="G32" i="12" s="1" a="1"/>
  <c r="G32" i="12" s="1"/>
  <c r="N32" i="6"/>
  <c r="A32" i="6"/>
  <c r="Q13" i="6"/>
  <c r="A1" i="7"/>
  <c r="V51" i="7" a="1"/>
  <c r="V51" i="7" s="1"/>
  <c r="Y5" i="7"/>
  <c r="X5" i="7"/>
  <c r="P5" i="7"/>
  <c r="C60" i="3"/>
  <c r="F5" i="7"/>
  <c r="A34" i="12" l="1"/>
  <c r="C35" i="5"/>
  <c r="N34" i="5"/>
  <c r="D34" i="6" s="1"/>
  <c r="AD34" i="5"/>
  <c r="K34" i="5"/>
  <c r="B34" i="5"/>
  <c r="H34" i="5"/>
  <c r="D34" i="5"/>
  <c r="B34" i="12" s="1"/>
  <c r="F34" i="5"/>
  <c r="B34" i="6"/>
  <c r="AE34" i="5" a="1"/>
  <c r="AE34" i="5" s="1"/>
  <c r="J34" i="5"/>
  <c r="G34" i="5"/>
  <c r="E34" i="5"/>
  <c r="L41" i="6"/>
  <c r="R13" i="6"/>
  <c r="S13" i="6" s="1"/>
  <c r="V52" i="7"/>
  <c r="V53" i="7"/>
  <c r="N5" i="7"/>
  <c r="O5" i="7"/>
  <c r="A35" i="12" l="1"/>
  <c r="AE35" i="5" a="1"/>
  <c r="AE35" i="5" s="1"/>
  <c r="J35" i="5"/>
  <c r="D35" i="5"/>
  <c r="B35" i="12" s="1"/>
  <c r="N35" i="5"/>
  <c r="AD35" i="5"/>
  <c r="K35" i="5"/>
  <c r="B35" i="6"/>
  <c r="E35" i="5"/>
  <c r="H35" i="5"/>
  <c r="F35" i="5"/>
  <c r="B35" i="5"/>
  <c r="C36" i="5"/>
  <c r="G35" i="5"/>
  <c r="T13" i="6"/>
  <c r="E10" i="7"/>
  <c r="C57" i="3"/>
  <c r="C82" i="3"/>
  <c r="C77" i="3"/>
  <c r="B59" i="9"/>
  <c r="D52" i="7"/>
  <c r="V58" i="9" a="1"/>
  <c r="V60" i="9" s="1"/>
  <c r="B56" i="9"/>
  <c r="J48" i="9"/>
  <c r="L48" i="9" s="1"/>
  <c r="N48" i="9" s="1"/>
  <c r="P48" i="9" s="1"/>
  <c r="R48" i="9" s="1"/>
  <c r="T48" i="9" s="1"/>
  <c r="V48" i="9" s="1"/>
  <c r="X48" i="9" s="1"/>
  <c r="Z48" i="9" s="1"/>
  <c r="AB48" i="9" s="1"/>
  <c r="AD48" i="9" s="1"/>
  <c r="M5" i="9"/>
  <c r="J5" i="9"/>
  <c r="G5" i="9"/>
  <c r="B5" i="9"/>
  <c r="C37" i="5" l="1"/>
  <c r="D35" i="6"/>
  <c r="AE36" i="5" a="1"/>
  <c r="AE36" i="5" s="1"/>
  <c r="A36" i="12"/>
  <c r="B36" i="6"/>
  <c r="AD36" i="5"/>
  <c r="F36" i="5"/>
  <c r="D36" i="5"/>
  <c r="B36" i="12" s="1"/>
  <c r="H36" i="5"/>
  <c r="J36" i="5"/>
  <c r="G36" i="5"/>
  <c r="N36" i="5"/>
  <c r="D36" i="6" s="1"/>
  <c r="E36" i="5"/>
  <c r="B36" i="5"/>
  <c r="K36" i="5"/>
  <c r="L42" i="6"/>
  <c r="U13" i="6"/>
  <c r="V58" i="9"/>
  <c r="V59" i="9"/>
  <c r="L51" i="7" a="1"/>
  <c r="L53" i="7" s="1"/>
  <c r="D49" i="7"/>
  <c r="C5" i="7"/>
  <c r="A37" i="12" l="1"/>
  <c r="F37" i="5"/>
  <c r="B37" i="5"/>
  <c r="C38" i="5" s="1"/>
  <c r="B37" i="6"/>
  <c r="J37" i="5"/>
  <c r="G37" i="5"/>
  <c r="K37" i="5"/>
  <c r="E37" i="5"/>
  <c r="N37" i="5"/>
  <c r="D37" i="6" s="1"/>
  <c r="H37" i="5"/>
  <c r="D37" i="5"/>
  <c r="B37" i="12" s="1"/>
  <c r="AD37" i="5"/>
  <c r="AE37" i="5" a="1"/>
  <c r="AE37" i="5" s="1"/>
  <c r="L43" i="6"/>
  <c r="F42" i="6"/>
  <c r="V13" i="6"/>
  <c r="L51" i="7"/>
  <c r="L52" i="7"/>
  <c r="C69" i="3"/>
  <c r="C86" i="3"/>
  <c r="C81" i="3"/>
  <c r="C80" i="3"/>
  <c r="C79" i="3"/>
  <c r="C76" i="3"/>
  <c r="C75" i="3"/>
  <c r="C74" i="3"/>
  <c r="C67" i="3"/>
  <c r="C65" i="3"/>
  <c r="C64" i="3"/>
  <c r="C61" i="3"/>
  <c r="C62" i="3"/>
  <c r="C59" i="3"/>
  <c r="C58" i="3"/>
  <c r="C72" i="3"/>
  <c r="S108" i="4" a="1"/>
  <c r="S108" i="4" s="1"/>
  <c r="S68" i="4" a="1"/>
  <c r="S68" i="4" s="1"/>
  <c r="S28" i="4" a="1"/>
  <c r="S28" i="4" s="1"/>
  <c r="B38" i="5" l="1"/>
  <c r="C39" i="5"/>
  <c r="G38" i="5"/>
  <c r="A38" i="12"/>
  <c r="I38" i="5"/>
  <c r="W38" i="5" a="1"/>
  <c r="W38" i="5" s="1"/>
  <c r="H38" i="12" s="1" a="1"/>
  <c r="H38" i="12" s="1"/>
  <c r="AD38" i="5"/>
  <c r="AE38" i="5" a="1"/>
  <c r="AE38" i="5" s="1"/>
  <c r="E38" i="5"/>
  <c r="F38" i="5"/>
  <c r="B38" i="6"/>
  <c r="H38" i="5"/>
  <c r="AF38" i="5" a="1"/>
  <c r="AF38" i="5" s="1"/>
  <c r="AG38" i="5" s="1" a="1"/>
  <c r="AG38" i="5" s="1"/>
  <c r="U38" i="5" s="1"/>
  <c r="N38" i="5"/>
  <c r="D38" i="6" s="1"/>
  <c r="L44" i="6"/>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BV13" i="6"/>
  <c r="AJ13" i="6"/>
  <c r="AJ12" i="6" s="1"/>
  <c r="BC13" i="6"/>
  <c r="H12" i="10"/>
  <c r="H11" i="10" s="1" a="1"/>
  <c r="H11" i="10" s="1"/>
  <c r="CE15" i="6"/>
  <c r="CD15" i="6"/>
  <c r="CC15" i="6"/>
  <c r="CB15" i="6"/>
  <c r="CA15" i="6"/>
  <c r="BZ15" i="6"/>
  <c r="BY15" i="6"/>
  <c r="BX15" i="6"/>
  <c r="BW15" i="6"/>
  <c r="BV15" i="6"/>
  <c r="G12" i="9"/>
  <c r="C20" i="3"/>
  <c r="C22" i="3"/>
  <c r="C24" i="3"/>
  <c r="C26" i="3"/>
  <c r="C28" i="3"/>
  <c r="C19" i="3"/>
  <c r="C15" i="3"/>
  <c r="C14" i="3"/>
  <c r="C12" i="3"/>
  <c r="I36" i="11"/>
  <c r="I35" i="11"/>
  <c r="AA107" i="8" a="1"/>
  <c r="T197" i="6" a="1"/>
  <c r="T199" i="6" s="1"/>
  <c r="I197" i="6" a="1"/>
  <c r="I198" i="6" s="1"/>
  <c r="C2" i="4"/>
  <c r="Z7" i="11"/>
  <c r="V12" i="8"/>
  <c r="E12" i="8"/>
  <c r="C14" i="5"/>
  <c r="AF14" i="5" s="1" a="1"/>
  <c r="AF14" i="5" s="1"/>
  <c r="BL15" i="6"/>
  <c r="BK15" i="6"/>
  <c r="BJ15" i="6"/>
  <c r="BI15" i="6"/>
  <c r="BH15" i="6"/>
  <c r="BG15" i="6"/>
  <c r="BF15" i="6"/>
  <c r="BE15" i="6"/>
  <c r="BD15" i="6"/>
  <c r="BC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200" i="12"/>
  <c r="E201" i="12"/>
  <c r="K203" i="12" a="1"/>
  <c r="K205" i="12" s="1"/>
  <c r="E10" i="6"/>
  <c r="I10" i="6"/>
  <c r="K10" i="6"/>
  <c r="S10" i="6"/>
  <c r="U10" i="6"/>
  <c r="O13" i="6"/>
  <c r="O15" i="6" s="1"/>
  <c r="O11" i="6" s="1"/>
  <c r="B15" i="6"/>
  <c r="C15" i="6"/>
  <c r="E15" i="6"/>
  <c r="B191" i="6"/>
  <c r="C191" i="6"/>
  <c r="F195" i="6"/>
  <c r="S5" i="8"/>
  <c r="I8" i="8"/>
  <c r="L8" i="8"/>
  <c r="U8" i="8"/>
  <c r="E13" i="8"/>
  <c r="V13" i="8"/>
  <c r="W13" i="8" s="1"/>
  <c r="X13" i="8" s="1"/>
  <c r="Y13" i="8" s="1"/>
  <c r="Z13" i="8" s="1"/>
  <c r="AA13" i="8" s="1"/>
  <c r="AB13" i="8" s="1"/>
  <c r="AC13" i="8" s="1"/>
  <c r="AD13" i="8" s="1"/>
  <c r="AE13" i="8" s="1"/>
  <c r="AF13" i="8" s="1"/>
  <c r="T94" i="8"/>
  <c r="T99" i="8"/>
  <c r="I105"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201" i="5"/>
  <c r="O15" i="5"/>
  <c r="O204" i="5"/>
  <c r="T206" i="5" a="1"/>
  <c r="T206" i="5" s="1"/>
  <c r="B1" i="10"/>
  <c r="H4" i="10"/>
  <c r="B7" i="10"/>
  <c r="H7" i="10"/>
  <c r="O7" i="10"/>
  <c r="F12" i="10"/>
  <c r="F11" i="10" s="1" a="1"/>
  <c r="F11" i="10" s="1"/>
  <c r="B58" i="10"/>
  <c r="W60" i="10" a="1"/>
  <c r="W61"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N38" i="6" l="1"/>
  <c r="M38" i="6"/>
  <c r="G38" i="6"/>
  <c r="H38" i="6" a="1"/>
  <c r="H38" i="6" s="1"/>
  <c r="T38" i="5" s="1"/>
  <c r="G38" i="12" s="1" a="1"/>
  <c r="G38" i="12" s="1"/>
  <c r="B39" i="6"/>
  <c r="C40" i="5"/>
  <c r="AD39" i="5"/>
  <c r="AE39" i="5" a="1"/>
  <c r="AE39" i="5" s="1"/>
  <c r="G39" i="5"/>
  <c r="F39" i="5"/>
  <c r="H39" i="5"/>
  <c r="N39" i="5"/>
  <c r="D39" i="6" s="1"/>
  <c r="E39" i="5"/>
  <c r="A39" i="12"/>
  <c r="B39" i="5"/>
  <c r="L45" i="6"/>
  <c r="L46" i="6" s="1"/>
  <c r="F44" i="6"/>
  <c r="R14" i="5" a="1"/>
  <c r="R14" i="5" s="1"/>
  <c r="AE14" i="5" a="1"/>
  <c r="AE14" i="5" s="1"/>
  <c r="BC12" i="6"/>
  <c r="BV12" i="6"/>
  <c r="K130" i="4"/>
  <c r="U108" i="4"/>
  <c r="U68" i="4"/>
  <c r="U28" i="4"/>
  <c r="A15" i="6" a="1"/>
  <c r="A15" i="6" s="1"/>
  <c r="S109" i="4"/>
  <c r="S69" i="4"/>
  <c r="S29" i="4"/>
  <c r="C34" i="4"/>
  <c r="C45" i="4"/>
  <c r="BW13" i="6"/>
  <c r="K50" i="4"/>
  <c r="N9" i="10"/>
  <c r="C33" i="4"/>
  <c r="C48" i="4"/>
  <c r="C27" i="4"/>
  <c r="A16" i="4"/>
  <c r="W12" i="8"/>
  <c r="X13" i="6"/>
  <c r="O7" i="11"/>
  <c r="AC13" i="12"/>
  <c r="K50" i="10"/>
  <c r="K55" i="10" s="1"/>
  <c r="W63" i="10"/>
  <c r="E12" i="13"/>
  <c r="C47" i="4"/>
  <c r="C23" i="4"/>
  <c r="A30" i="4"/>
  <c r="A31" i="4" s="1"/>
  <c r="C31" i="4" s="1"/>
  <c r="C46" i="4"/>
  <c r="C28" i="4"/>
  <c r="K206" i="12"/>
  <c r="C21" i="4"/>
  <c r="C22" i="4"/>
  <c r="K132" i="4"/>
  <c r="W62" i="10"/>
  <c r="K203" i="12"/>
  <c r="T208" i="5"/>
  <c r="O7" i="13"/>
  <c r="T198" i="6"/>
  <c r="P125" i="4"/>
  <c r="I108" i="8"/>
  <c r="I199" i="6"/>
  <c r="I197" i="6"/>
  <c r="AK13" i="6"/>
  <c r="AK12" i="6" s="1"/>
  <c r="BD13" i="6"/>
  <c r="B14" i="5"/>
  <c r="F14" i="5"/>
  <c r="G15" i="9"/>
  <c r="H15" i="10"/>
  <c r="S110" i="4"/>
  <c r="I12" i="10"/>
  <c r="I11" i="10" s="1" a="1"/>
  <c r="I11" i="10" s="1"/>
  <c r="H12" i="9"/>
  <c r="S30" i="4"/>
  <c r="A36" i="4"/>
  <c r="C35" i="4"/>
  <c r="C24" i="4"/>
  <c r="AA108" i="8"/>
  <c r="AA109" i="8"/>
  <c r="AA107" i="8"/>
  <c r="P45" i="4"/>
  <c r="K14" i="5"/>
  <c r="J14" i="5"/>
  <c r="H14" i="5"/>
  <c r="A14" i="12"/>
  <c r="D14" i="5"/>
  <c r="B14" i="12" s="1"/>
  <c r="AD14" i="5"/>
  <c r="E14" i="5"/>
  <c r="G14" i="5"/>
  <c r="N14" i="5"/>
  <c r="E204" i="12"/>
  <c r="B61" i="10"/>
  <c r="F198" i="6"/>
  <c r="O207" i="5"/>
  <c r="D36" i="11"/>
  <c r="W60" i="10"/>
  <c r="A4" i="4"/>
  <c r="K51" i="4"/>
  <c r="K204" i="12"/>
  <c r="S70" i="4"/>
  <c r="K91" i="4"/>
  <c r="T197" i="6"/>
  <c r="K90" i="4"/>
  <c r="T207" i="5"/>
  <c r="BT38" i="6" l="1"/>
  <c r="CI38" i="6" a="1"/>
  <c r="CI38" i="6" s="1"/>
  <c r="BQ38" i="6"/>
  <c r="BS38" i="6"/>
  <c r="CF38" i="6" a="1"/>
  <c r="CF38" i="6" s="1"/>
  <c r="BR38" i="6"/>
  <c r="CK38" i="6" a="1"/>
  <c r="CK38" i="6" s="1"/>
  <c r="CL38" i="6" a="1"/>
  <c r="CL38" i="6" s="1"/>
  <c r="BN38" i="6"/>
  <c r="CJ38" i="6" a="1"/>
  <c r="CJ38" i="6" s="1"/>
  <c r="CG38" i="6" a="1"/>
  <c r="CG38" i="6" s="1"/>
  <c r="BM38" i="6"/>
  <c r="CM38" i="6" a="1"/>
  <c r="CM38" i="6" s="1"/>
  <c r="CH16" i="6" a="1"/>
  <c r="CH16" i="6" s="1"/>
  <c r="BO16" i="6"/>
  <c r="CM17" i="6" a="1"/>
  <c r="CM17" i="6" s="1"/>
  <c r="BR16" i="6"/>
  <c r="BT16" i="6"/>
  <c r="BN17" i="6"/>
  <c r="CI16" i="6" a="1"/>
  <c r="CI16" i="6" s="1"/>
  <c r="CM16" i="6" a="1"/>
  <c r="CM16" i="6" s="1"/>
  <c r="CK16" i="6" a="1"/>
  <c r="CK16" i="6" s="1"/>
  <c r="CG17" i="6" a="1"/>
  <c r="CG17" i="6" s="1"/>
  <c r="CG16" i="6" a="1"/>
  <c r="CG16" i="6" s="1"/>
  <c r="BS16" i="6"/>
  <c r="CI17" i="6" a="1"/>
  <c r="CI17" i="6" s="1"/>
  <c r="CK17" i="6" a="1"/>
  <c r="CK17" i="6" s="1"/>
  <c r="CJ16" i="6" a="1"/>
  <c r="CJ16" i="6" s="1"/>
  <c r="CL17" i="6" a="1"/>
  <c r="CL17" i="6" s="1"/>
  <c r="BM17" i="6"/>
  <c r="CF16" i="6" a="1"/>
  <c r="CF16" i="6" s="1"/>
  <c r="BM16" i="6"/>
  <c r="BP17" i="6"/>
  <c r="BS17" i="6"/>
  <c r="CL16" i="6" a="1"/>
  <c r="CL16" i="6" s="1"/>
  <c r="CF17" i="6" a="1"/>
  <c r="CF17" i="6" s="1"/>
  <c r="BR17" i="6"/>
  <c r="BQ16" i="6"/>
  <c r="BO17" i="6"/>
  <c r="BQ17" i="6"/>
  <c r="CJ17" i="6" a="1"/>
  <c r="CJ17" i="6" s="1"/>
  <c r="BN16" i="6"/>
  <c r="BT17" i="6"/>
  <c r="BP16" i="6"/>
  <c r="CH17" i="6" a="1"/>
  <c r="CH17" i="6" s="1"/>
  <c r="CK27" i="6" a="1"/>
  <c r="CK27" i="6" s="1"/>
  <c r="BP27" i="6"/>
  <c r="CJ27" i="6" a="1"/>
  <c r="CJ27" i="6" s="1"/>
  <c r="BR27" i="6"/>
  <c r="CH27" i="6" a="1"/>
  <c r="CH27" i="6" s="1"/>
  <c r="BM27" i="6"/>
  <c r="BS27" i="6"/>
  <c r="CG27" i="6" a="1"/>
  <c r="CG27" i="6" s="1"/>
  <c r="CF27" i="6" a="1"/>
  <c r="CF27" i="6" s="1"/>
  <c r="CI27" i="6" a="1"/>
  <c r="CI27" i="6" s="1"/>
  <c r="BT27" i="6"/>
  <c r="BO27" i="6"/>
  <c r="BN27" i="6"/>
  <c r="CM27" i="6" a="1"/>
  <c r="CM27" i="6" s="1"/>
  <c r="CL27" i="6" a="1"/>
  <c r="CL27" i="6" s="1"/>
  <c r="BQ27" i="6"/>
  <c r="BT32" i="6"/>
  <c r="CK32" i="6" a="1"/>
  <c r="CK32" i="6" s="1"/>
  <c r="BS32" i="6"/>
  <c r="CI32" i="6" a="1"/>
  <c r="CI32" i="6" s="1"/>
  <c r="CH32" i="6" a="1"/>
  <c r="CH32" i="6" s="1"/>
  <c r="BQ32" i="6"/>
  <c r="BP32" i="6"/>
  <c r="BN32" i="6"/>
  <c r="CM32" i="6" a="1"/>
  <c r="CM32" i="6" s="1"/>
  <c r="BR32" i="6"/>
  <c r="BM32" i="6"/>
  <c r="CL32" i="6" a="1"/>
  <c r="CL32" i="6" s="1"/>
  <c r="CF32" i="6" a="1"/>
  <c r="CF32" i="6" s="1"/>
  <c r="CJ32" i="6" a="1"/>
  <c r="CJ32" i="6" s="1"/>
  <c r="CG32" i="6" a="1"/>
  <c r="CG32" i="6" s="1"/>
  <c r="BO32" i="6"/>
  <c r="BO38" i="6"/>
  <c r="CH38" i="6" a="1"/>
  <c r="CH38" i="6" s="1"/>
  <c r="BP38" i="6"/>
  <c r="B40" i="6"/>
  <c r="B40" i="5"/>
  <c r="H40" i="5"/>
  <c r="AD40" i="5"/>
  <c r="F40" i="5"/>
  <c r="AE40" i="5" a="1"/>
  <c r="AE40" i="5" s="1"/>
  <c r="E40" i="5"/>
  <c r="J40" i="5"/>
  <c r="G40" i="5"/>
  <c r="K40" i="5"/>
  <c r="A40" i="12"/>
  <c r="N40" i="5"/>
  <c r="D40" i="6" s="1"/>
  <c r="D40" i="5"/>
  <c r="B40" i="12" s="1"/>
  <c r="BL16" i="6"/>
  <c r="BD16" i="6"/>
  <c r="BZ16" i="6" a="1"/>
  <c r="BZ16" i="6" s="1"/>
  <c r="BE16" i="6"/>
  <c r="CA16" i="6" a="1"/>
  <c r="CA16" i="6" s="1"/>
  <c r="BG16" i="6"/>
  <c r="BF16" i="6"/>
  <c r="BX16" i="6" a="1"/>
  <c r="BX16" i="6" s="1"/>
  <c r="CC16" i="6" a="1"/>
  <c r="CC16" i="6" s="1"/>
  <c r="BK16" i="6"/>
  <c r="BJ17" i="6"/>
  <c r="CC17" i="6" a="1"/>
  <c r="CC17" i="6" s="1"/>
  <c r="BK17" i="6"/>
  <c r="CD17" i="6" a="1"/>
  <c r="CD17" i="6" s="1"/>
  <c r="BV17" i="6" a="1"/>
  <c r="BV17" i="6" s="1"/>
  <c r="BL17" i="6"/>
  <c r="BD17" i="6"/>
  <c r="CA17" i="6" a="1"/>
  <c r="CA17" i="6" s="1"/>
  <c r="BG17" i="6"/>
  <c r="BX17" i="6" a="1"/>
  <c r="BX17" i="6" s="1"/>
  <c r="BH16" i="6"/>
  <c r="CD16" i="6" a="1"/>
  <c r="CD16" i="6" s="1"/>
  <c r="BV16" i="6" a="1"/>
  <c r="BV16" i="6" s="1"/>
  <c r="CE16" i="6" a="1"/>
  <c r="CE16" i="6" s="1"/>
  <c r="BW16" i="6" a="1"/>
  <c r="BW16" i="6" s="1"/>
  <c r="BJ16" i="6"/>
  <c r="CB16" i="6" a="1"/>
  <c r="CB16" i="6" s="1"/>
  <c r="BI16" i="6"/>
  <c r="BY16" i="6" a="1"/>
  <c r="BY16" i="6" s="1"/>
  <c r="BC16" i="6"/>
  <c r="BF17" i="6"/>
  <c r="BY17" i="6" a="1"/>
  <c r="BY17" i="6" s="1"/>
  <c r="BC17" i="6"/>
  <c r="BZ17" i="6" a="1"/>
  <c r="BZ17" i="6" s="1"/>
  <c r="BE17" i="6"/>
  <c r="BH17" i="6"/>
  <c r="CE17" i="6" a="1"/>
  <c r="CE17" i="6" s="1"/>
  <c r="BW17" i="6" a="1"/>
  <c r="BW17" i="6" s="1"/>
  <c r="CB17" i="6" a="1"/>
  <c r="CB17" i="6" s="1"/>
  <c r="BI17" i="6"/>
  <c r="CB27" i="6" a="1"/>
  <c r="CB27" i="6" s="1"/>
  <c r="BX27" i="6" a="1"/>
  <c r="BX27" i="6" s="1"/>
  <c r="BI27" i="6"/>
  <c r="BJ27" i="6"/>
  <c r="CC27" i="6" a="1"/>
  <c r="CC27" i="6" s="1"/>
  <c r="BY27" i="6" a="1"/>
  <c r="BY27" i="6" s="1"/>
  <c r="BK27" i="6"/>
  <c r="BC27" i="6"/>
  <c r="CD27" i="6" a="1"/>
  <c r="CD27" i="6" s="1"/>
  <c r="BZ27" i="6" a="1"/>
  <c r="BZ27" i="6" s="1"/>
  <c r="BV27" i="6" a="1"/>
  <c r="BV27" i="6" s="1"/>
  <c r="BF27" i="6"/>
  <c r="BE27" i="6"/>
  <c r="BG27" i="6"/>
  <c r="CA27" i="6" a="1"/>
  <c r="CA27" i="6" s="1"/>
  <c r="BD27" i="6"/>
  <c r="BL27" i="6"/>
  <c r="BW27" i="6" a="1"/>
  <c r="BW27" i="6" s="1"/>
  <c r="CE27" i="6" a="1"/>
  <c r="CE27" i="6" s="1"/>
  <c r="BH27" i="6"/>
  <c r="BK32" i="6"/>
  <c r="CC32" i="6" a="1"/>
  <c r="CC32" i="6" s="1"/>
  <c r="BV32" i="6" a="1"/>
  <c r="BV32" i="6" s="1"/>
  <c r="CD32" i="6" a="1"/>
  <c r="CD32" i="6" s="1"/>
  <c r="BH32" i="6"/>
  <c r="BW32" i="6" a="1"/>
  <c r="BW32" i="6" s="1"/>
  <c r="CE32" i="6" a="1"/>
  <c r="CE32" i="6" s="1"/>
  <c r="BX32" i="6" a="1"/>
  <c r="BX32" i="6" s="1"/>
  <c r="BF32" i="6"/>
  <c r="BJ32" i="6"/>
  <c r="BC32" i="6"/>
  <c r="BY32" i="6" a="1"/>
  <c r="BY32" i="6" s="1"/>
  <c r="BE32" i="6"/>
  <c r="BZ32" i="6" a="1"/>
  <c r="BZ32" i="6" s="1"/>
  <c r="BD32" i="6"/>
  <c r="BL32" i="6"/>
  <c r="BG32" i="6"/>
  <c r="CA32" i="6" a="1"/>
  <c r="CA32" i="6" s="1"/>
  <c r="BI32" i="6"/>
  <c r="CB32" i="6" a="1"/>
  <c r="CB32" i="6" s="1"/>
  <c r="BL38" i="6"/>
  <c r="BH38" i="6"/>
  <c r="BD38" i="6"/>
  <c r="CD38" i="6" a="1"/>
  <c r="CD38" i="6" s="1"/>
  <c r="BZ38" i="6" a="1"/>
  <c r="BZ38" i="6" s="1"/>
  <c r="BV38" i="6" a="1"/>
  <c r="BV38" i="6" s="1"/>
  <c r="BE38" i="6"/>
  <c r="CC38" i="6" a="1"/>
  <c r="CC38" i="6" s="1"/>
  <c r="BY38" i="6" a="1"/>
  <c r="BY38" i="6" s="1"/>
  <c r="BK38" i="6"/>
  <c r="BC38" i="6"/>
  <c r="BG38" i="6"/>
  <c r="CA38" i="6" a="1"/>
  <c r="CA38" i="6" s="1"/>
  <c r="BI38" i="6"/>
  <c r="CB38" i="6" a="1"/>
  <c r="CB38" i="6" s="1"/>
  <c r="BJ38" i="6"/>
  <c r="BW38" i="6" a="1"/>
  <c r="BW38" i="6" s="1"/>
  <c r="CE38" i="6" a="1"/>
  <c r="CE38" i="6" s="1"/>
  <c r="BX38" i="6" a="1"/>
  <c r="BX38" i="6" s="1"/>
  <c r="BF38" i="6"/>
  <c r="L47" i="6"/>
  <c r="AJ38" i="6"/>
  <c r="AJ32" i="6"/>
  <c r="AJ16" i="6"/>
  <c r="AK16" i="6"/>
  <c r="AK17" i="6"/>
  <c r="AK27" i="6"/>
  <c r="AK32" i="6"/>
  <c r="AK38" i="6"/>
  <c r="AJ27" i="6"/>
  <c r="AJ17" i="6"/>
  <c r="BD12" i="6"/>
  <c r="BW12" i="6"/>
  <c r="U97" i="4"/>
  <c r="U57" i="4"/>
  <c r="C15" i="7" a="1"/>
  <c r="C15" i="7" s="1"/>
  <c r="B10" i="9"/>
  <c r="M50" i="10"/>
  <c r="M55" i="10" s="1"/>
  <c r="I12" i="9"/>
  <c r="U17" i="4"/>
  <c r="U14" i="4" s="1"/>
  <c r="T21" i="4" s="1"/>
  <c r="H5" i="5"/>
  <c r="X8" i="5" s="1" a="1"/>
  <c r="X8" i="5" s="1"/>
  <c r="F5" i="5"/>
  <c r="AH22" i="5" s="1"/>
  <c r="G5" i="5"/>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BX13" i="6"/>
  <c r="C30" i="4"/>
  <c r="C16" i="4"/>
  <c r="A17" i="4"/>
  <c r="X12" i="8"/>
  <c r="AD13" i="12"/>
  <c r="Y13" i="6"/>
  <c r="B42" i="14"/>
  <c r="AL13" i="6"/>
  <c r="AL12" i="6" s="1"/>
  <c r="BE13" i="6"/>
  <c r="B8" i="14"/>
  <c r="I10" i="13"/>
  <c r="J12" i="10"/>
  <c r="J11" i="10" s="1" a="1"/>
  <c r="J11" i="10" s="1"/>
  <c r="C4" i="4"/>
  <c r="A5" i="4"/>
  <c r="C36" i="4"/>
  <c r="A37" i="4"/>
  <c r="C37" i="4" s="1"/>
  <c r="AN22" i="5" l="1" a="1"/>
  <c r="AN22" i="5" s="1"/>
  <c r="W22" i="5" a="1"/>
  <c r="W22" i="5" s="1"/>
  <c r="H22" i="12" s="1" a="1"/>
  <c r="H22" i="12" s="1"/>
  <c r="M22" i="6"/>
  <c r="AH183" i="5"/>
  <c r="AH185" i="5"/>
  <c r="AH74" i="5"/>
  <c r="AH66" i="5"/>
  <c r="AH46" i="5"/>
  <c r="AH62" i="5"/>
  <c r="AH37" i="5"/>
  <c r="AH108" i="5"/>
  <c r="AH104" i="5"/>
  <c r="AH58" i="5"/>
  <c r="AH85" i="5"/>
  <c r="AH50" i="5"/>
  <c r="AH165" i="5"/>
  <c r="AH35" i="5"/>
  <c r="AH169" i="5"/>
  <c r="AH81" i="5"/>
  <c r="AH80" i="5"/>
  <c r="AH82" i="5"/>
  <c r="AH75" i="5"/>
  <c r="C41" i="5"/>
  <c r="AL16" i="6"/>
  <c r="AL17" i="6"/>
  <c r="AL27" i="6"/>
  <c r="AL32" i="6"/>
  <c r="AL38" i="6"/>
  <c r="W8" i="5" a="1"/>
  <c r="W8" i="5" s="1"/>
  <c r="AH162" i="5"/>
  <c r="AH43" i="5"/>
  <c r="AH190" i="5"/>
  <c r="AH189" i="5"/>
  <c r="AH187" i="5"/>
  <c r="AH184" i="5"/>
  <c r="AH181" i="5"/>
  <c r="AH179" i="5"/>
  <c r="AH177" i="5"/>
  <c r="AH175" i="5"/>
  <c r="AH173" i="5"/>
  <c r="AH171" i="5"/>
  <c r="AH167" i="5"/>
  <c r="AH164" i="5"/>
  <c r="AH160" i="5"/>
  <c r="AH158" i="5"/>
  <c r="AH156" i="5"/>
  <c r="AH154" i="5"/>
  <c r="AH152" i="5"/>
  <c r="AH150" i="5"/>
  <c r="AH149" i="5"/>
  <c r="AH148" i="5"/>
  <c r="AH147" i="5"/>
  <c r="AH145" i="5"/>
  <c r="AH143" i="5"/>
  <c r="AH141" i="5"/>
  <c r="AH140" i="5"/>
  <c r="AH138" i="5"/>
  <c r="AH136" i="5"/>
  <c r="AH134" i="5"/>
  <c r="AH132" i="5"/>
  <c r="AH131" i="5"/>
  <c r="AH129" i="5"/>
  <c r="AH127" i="5"/>
  <c r="AH125" i="5"/>
  <c r="AH124" i="5"/>
  <c r="AH122" i="5"/>
  <c r="AH121" i="5"/>
  <c r="AH119" i="5"/>
  <c r="AH117" i="5"/>
  <c r="AH115" i="5"/>
  <c r="AH113" i="5"/>
  <c r="AH111" i="5"/>
  <c r="AH109" i="5"/>
  <c r="AH106" i="5"/>
  <c r="AH103" i="5"/>
  <c r="AH101" i="5"/>
  <c r="AH99" i="5"/>
  <c r="AH97" i="5"/>
  <c r="AH95" i="5"/>
  <c r="AH93" i="5"/>
  <c r="AH91" i="5"/>
  <c r="AH89" i="5"/>
  <c r="AH87" i="5"/>
  <c r="AH84" i="5"/>
  <c r="AH79" i="5"/>
  <c r="AH77" i="5"/>
  <c r="AH73" i="5"/>
  <c r="AH71" i="5"/>
  <c r="AH69" i="5"/>
  <c r="AH67" i="5"/>
  <c r="AH64" i="5"/>
  <c r="AH61" i="5"/>
  <c r="AH59" i="5"/>
  <c r="AH56" i="5"/>
  <c r="AH54" i="5"/>
  <c r="AH52" i="5"/>
  <c r="AH49" i="5"/>
  <c r="AH47" i="5"/>
  <c r="AH44" i="5"/>
  <c r="AH42" i="5"/>
  <c r="AH41" i="5"/>
  <c r="AH40" i="5"/>
  <c r="AH38" i="5"/>
  <c r="AN38" i="5" s="1" a="1"/>
  <c r="AN38" i="5" s="1"/>
  <c r="AH36" i="5"/>
  <c r="AH34" i="5"/>
  <c r="AH32" i="5"/>
  <c r="AN32" i="5" s="1" a="1"/>
  <c r="AN32" i="5" s="1"/>
  <c r="AH31" i="5"/>
  <c r="AH30" i="5"/>
  <c r="AH29" i="5"/>
  <c r="AH25" i="5"/>
  <c r="AH23" i="5"/>
  <c r="AH20" i="5"/>
  <c r="AH18" i="5"/>
  <c r="AH16" i="5"/>
  <c r="AN16" i="5" s="1" a="1"/>
  <c r="AN16" i="5" s="1"/>
  <c r="AH137" i="5"/>
  <c r="AH126" i="5"/>
  <c r="AH116" i="5"/>
  <c r="AH114" i="5"/>
  <c r="AH112" i="5"/>
  <c r="AH107" i="5"/>
  <c r="AH98" i="5"/>
  <c r="AH96" i="5"/>
  <c r="AH92" i="5"/>
  <c r="AH90" i="5"/>
  <c r="AH88" i="5"/>
  <c r="AH86" i="5"/>
  <c r="AH68" i="5"/>
  <c r="AH65" i="5"/>
  <c r="AH57" i="5"/>
  <c r="AH55" i="5"/>
  <c r="AH51" i="5"/>
  <c r="AH26" i="5"/>
  <c r="AH188" i="5"/>
  <c r="AH186" i="5"/>
  <c r="AH182" i="5"/>
  <c r="AH180" i="5"/>
  <c r="AH178" i="5"/>
  <c r="AH176" i="5"/>
  <c r="AH174" i="5"/>
  <c r="AH172" i="5"/>
  <c r="AH170" i="5"/>
  <c r="AH168" i="5"/>
  <c r="AH166" i="5"/>
  <c r="AH163" i="5"/>
  <c r="AH161" i="5"/>
  <c r="AH159" i="5"/>
  <c r="AH157" i="5"/>
  <c r="AH155" i="5"/>
  <c r="AH153" i="5"/>
  <c r="AH151" i="5"/>
  <c r="AH146" i="5"/>
  <c r="AH144" i="5"/>
  <c r="AH142" i="5"/>
  <c r="AH139" i="5"/>
  <c r="AH135" i="5"/>
  <c r="AH133" i="5"/>
  <c r="AH130" i="5"/>
  <c r="AH128" i="5"/>
  <c r="AH123" i="5"/>
  <c r="AH120" i="5"/>
  <c r="AH118" i="5"/>
  <c r="AH110" i="5"/>
  <c r="AH105" i="5"/>
  <c r="AH102" i="5"/>
  <c r="AH100" i="5"/>
  <c r="AH94" i="5"/>
  <c r="AH83" i="5"/>
  <c r="AH78" i="5"/>
  <c r="AH76" i="5"/>
  <c r="AH72" i="5"/>
  <c r="AH70" i="5"/>
  <c r="AH63" i="5"/>
  <c r="AH60" i="5"/>
  <c r="AH53" i="5"/>
  <c r="AH48" i="5"/>
  <c r="AH45" i="5"/>
  <c r="AH39" i="5"/>
  <c r="AH33" i="5"/>
  <c r="AH28" i="5"/>
  <c r="AH27" i="5"/>
  <c r="AN27" i="5" s="1" a="1"/>
  <c r="AN27" i="5" s="1"/>
  <c r="AH24" i="5"/>
  <c r="AH21" i="5"/>
  <c r="AH19" i="5"/>
  <c r="AH17" i="5"/>
  <c r="AN17" i="5" s="1" a="1"/>
  <c r="AN17" i="5" s="1"/>
  <c r="L48" i="6"/>
  <c r="BX12" i="6"/>
  <c r="BE12" i="6"/>
  <c r="U94" i="4"/>
  <c r="T101" i="4" s="1"/>
  <c r="U54" i="4"/>
  <c r="T61" i="4" s="1"/>
  <c r="B15" i="9"/>
  <c r="B16" i="9" s="1"/>
  <c r="B17" i="9" s="1"/>
  <c r="C17" i="9" s="1"/>
  <c r="F17" i="9" s="1"/>
  <c r="T57" i="4"/>
  <c r="T97" i="4"/>
  <c r="T22" i="4"/>
  <c r="T23" i="4"/>
  <c r="T24" i="4"/>
  <c r="T25" i="4"/>
  <c r="T26" i="4"/>
  <c r="U26" i="4" s="1"/>
  <c r="T17" i="4"/>
  <c r="V8" i="5" a="1"/>
  <c r="V8" i="5" s="1"/>
  <c r="O50" i="10"/>
  <c r="O55" i="10" s="1"/>
  <c r="J12" i="9"/>
  <c r="AH14" i="5"/>
  <c r="W14" i="5" s="1" a="1"/>
  <c r="W14" i="5" s="1"/>
  <c r="BY13" i="6"/>
  <c r="A18" i="4"/>
  <c r="C17" i="4"/>
  <c r="Y12" i="8"/>
  <c r="AE13" i="12"/>
  <c r="Z13" i="6"/>
  <c r="AA13" i="6" s="1"/>
  <c r="AM13" i="6"/>
  <c r="BF13" i="6"/>
  <c r="K12" i="10"/>
  <c r="K11" i="10" s="1" a="1"/>
  <c r="K11" i="10" s="1"/>
  <c r="C5" i="4"/>
  <c r="A6" i="4"/>
  <c r="AB13" i="6" l="1"/>
  <c r="CK22" i="6" a="1"/>
  <c r="CK22" i="6" s="1"/>
  <c r="CL22" i="6" a="1"/>
  <c r="CL22" i="6" s="1"/>
  <c r="CH22" i="6" a="1"/>
  <c r="CH22" i="6" s="1"/>
  <c r="CG22" i="6" a="1"/>
  <c r="CG22" i="6" s="1"/>
  <c r="CM22" i="6" a="1"/>
  <c r="CM22" i="6" s="1"/>
  <c r="BR22" i="6"/>
  <c r="CF22" i="6" a="1"/>
  <c r="CF22" i="6" s="1"/>
  <c r="BO22" i="6"/>
  <c r="BQ22" i="6"/>
  <c r="BN22" i="6"/>
  <c r="BM22" i="6"/>
  <c r="BS22" i="6"/>
  <c r="CI22" i="6" a="1"/>
  <c r="CI22" i="6" s="1"/>
  <c r="CJ22" i="6" a="1"/>
  <c r="CJ22" i="6" s="1"/>
  <c r="BT22" i="6"/>
  <c r="BP22" i="6"/>
  <c r="BE22" i="6"/>
  <c r="BZ22" i="6" a="1"/>
  <c r="BZ22" i="6" s="1"/>
  <c r="BD22" i="6"/>
  <c r="BY22" i="6" a="1"/>
  <c r="BY22" i="6" s="1"/>
  <c r="BV22" i="6" a="1"/>
  <c r="BV22" i="6" s="1"/>
  <c r="BC22" i="6"/>
  <c r="BX22" i="6" a="1"/>
  <c r="BX22" i="6" s="1"/>
  <c r="BW22" i="6" a="1"/>
  <c r="BW22" i="6" s="1"/>
  <c r="BF22" i="6"/>
  <c r="A41" i="12"/>
  <c r="AD41" i="5"/>
  <c r="N41" i="5"/>
  <c r="D41" i="6" s="1"/>
  <c r="D41" i="5"/>
  <c r="B41" i="12" s="1"/>
  <c r="B41" i="6"/>
  <c r="B41" i="5"/>
  <c r="H41" i="5"/>
  <c r="E41" i="5"/>
  <c r="F41" i="5"/>
  <c r="AE41" i="5" a="1"/>
  <c r="AE41" i="5" s="1"/>
  <c r="K41" i="5"/>
  <c r="J41" i="5"/>
  <c r="G41" i="5"/>
  <c r="L49" i="6"/>
  <c r="L50" i="6" s="1"/>
  <c r="B18" i="9"/>
  <c r="BY12" i="6"/>
  <c r="BF12" i="6"/>
  <c r="H14" i="12" a="1"/>
  <c r="H14" i="12" s="1"/>
  <c r="AN14" i="5" a="1"/>
  <c r="AN14" i="5" s="1"/>
  <c r="T62" i="4"/>
  <c r="T63" i="4"/>
  <c r="T64" i="4"/>
  <c r="T66" i="4"/>
  <c r="U66" i="4" s="1"/>
  <c r="T65" i="4"/>
  <c r="T102" i="4"/>
  <c r="T104" i="4"/>
  <c r="T103" i="4"/>
  <c r="T106" i="4"/>
  <c r="U106" i="4" s="1"/>
  <c r="T105" i="4"/>
  <c r="U7" i="4"/>
  <c r="H49" i="10"/>
  <c r="Q50" i="10"/>
  <c r="Q55" i="10" s="1"/>
  <c r="K12" i="9"/>
  <c r="BZ13" i="6"/>
  <c r="AN13" i="6"/>
  <c r="AN12" i="6" s="1"/>
  <c r="AM12" i="6"/>
  <c r="A19" i="4"/>
  <c r="C19" i="4" s="1"/>
  <c r="C18" i="4"/>
  <c r="Z12" i="8"/>
  <c r="AF13" i="12"/>
  <c r="BG13" i="6"/>
  <c r="BG22" i="6" s="1"/>
  <c r="L12" i="10"/>
  <c r="L11" i="10" s="1" a="1"/>
  <c r="L11" i="10" s="1"/>
  <c r="A7" i="4"/>
  <c r="C7" i="4" s="1"/>
  <c r="C6" i="4"/>
  <c r="AC13" i="6" l="1"/>
  <c r="C42" i="5"/>
  <c r="AM16" i="6"/>
  <c r="AM17" i="6"/>
  <c r="AM27" i="6"/>
  <c r="AM32" i="6"/>
  <c r="AM38" i="6"/>
  <c r="L51" i="6"/>
  <c r="AN16" i="6"/>
  <c r="AN17" i="6"/>
  <c r="AN27" i="6"/>
  <c r="AN32" i="6"/>
  <c r="AN38" i="6"/>
  <c r="B19" i="9"/>
  <c r="X29" i="4"/>
  <c r="S50" i="10"/>
  <c r="S55" i="10" s="1"/>
  <c r="L12" i="9"/>
  <c r="BZ12" i="6"/>
  <c r="BG12" i="6"/>
  <c r="AO13" i="6"/>
  <c r="AO12" i="6" s="1"/>
  <c r="CA13" i="6"/>
  <c r="CA22" i="6" s="1" a="1"/>
  <c r="CA22" i="6" s="1"/>
  <c r="AA12" i="8"/>
  <c r="AG13" i="12"/>
  <c r="BH13" i="6"/>
  <c r="BH22" i="6" s="1"/>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D13" i="6" l="1"/>
  <c r="A42" i="12"/>
  <c r="N42" i="5"/>
  <c r="D42" i="6" s="1"/>
  <c r="W42" i="5" a="1"/>
  <c r="W42" i="5" s="1"/>
  <c r="H42" i="12" s="1" a="1"/>
  <c r="H42" i="12" s="1"/>
  <c r="E42" i="5"/>
  <c r="B42" i="5"/>
  <c r="F42" i="5"/>
  <c r="B42" i="6"/>
  <c r="H42" i="5"/>
  <c r="AF42" i="5" a="1"/>
  <c r="AF42" i="5" s="1"/>
  <c r="AG42" i="5" s="1" a="1"/>
  <c r="AG42" i="5" s="1"/>
  <c r="U42" i="5" s="1"/>
  <c r="AN42" i="5" s="1" a="1"/>
  <c r="AN42" i="5" s="1"/>
  <c r="AD42" i="5"/>
  <c r="AE42" i="5" a="1"/>
  <c r="AE42" i="5" s="1"/>
  <c r="C43" i="5"/>
  <c r="I42" i="5"/>
  <c r="G42" i="5"/>
  <c r="J39" i="5" s="1"/>
  <c r="B20" i="9"/>
  <c r="L52" i="6"/>
  <c r="F51" i="6"/>
  <c r="AO16" i="6"/>
  <c r="AO17" i="6"/>
  <c r="AO27" i="6"/>
  <c r="AO32" i="6"/>
  <c r="AO38" i="6"/>
  <c r="U29" i="4"/>
  <c r="U69" i="4"/>
  <c r="U65" i="4"/>
  <c r="U103" i="4"/>
  <c r="U61" i="4"/>
  <c r="U105" i="4"/>
  <c r="U64" i="4"/>
  <c r="U102" i="4"/>
  <c r="U62" i="4"/>
  <c r="U21" i="4"/>
  <c r="U23" i="4"/>
  <c r="U104" i="4"/>
  <c r="U101" i="4"/>
  <c r="U24" i="4"/>
  <c r="U25" i="4"/>
  <c r="U22" i="4"/>
  <c r="U63" i="4"/>
  <c r="U109" i="4"/>
  <c r="K112" i="4" s="1"/>
  <c r="U50" i="10"/>
  <c r="U55" i="10" s="1"/>
  <c r="M12" i="9"/>
  <c r="CA12" i="6"/>
  <c r="BH12" i="6"/>
  <c r="AP13" i="6"/>
  <c r="AP12" i="6" s="1"/>
  <c r="CB13" i="6"/>
  <c r="AB12" i="8"/>
  <c r="AH13" i="12"/>
  <c r="BI13" i="6"/>
  <c r="N12" i="10"/>
  <c r="N11" i="10" s="1" a="1"/>
  <c r="N11" i="10" s="1"/>
  <c r="AE13" i="6" l="1"/>
  <c r="CB22" i="6" a="1"/>
  <c r="CB22" i="6" s="1"/>
  <c r="BI22" i="6"/>
  <c r="A42" i="6"/>
  <c r="A43" i="12"/>
  <c r="D43" i="5"/>
  <c r="B43" i="12" s="1"/>
  <c r="E43" i="5"/>
  <c r="B43" i="6"/>
  <c r="J43" i="5"/>
  <c r="K43" i="5"/>
  <c r="B43" i="5"/>
  <c r="C44" i="5" s="1"/>
  <c r="G43" i="5"/>
  <c r="AD43" i="5"/>
  <c r="AE43" i="5" a="1"/>
  <c r="AE43" i="5" s="1"/>
  <c r="N43" i="5"/>
  <c r="D43" i="6" s="1"/>
  <c r="F43" i="5"/>
  <c r="H43" i="5"/>
  <c r="G42" i="6"/>
  <c r="M42" i="6"/>
  <c r="BE42" i="6" s="1"/>
  <c r="N42" i="6"/>
  <c r="H42" i="6" a="1"/>
  <c r="H42" i="6" s="1"/>
  <c r="AP16" i="6"/>
  <c r="AP17" i="6"/>
  <c r="AP27" i="6"/>
  <c r="AP32" i="6"/>
  <c r="AP38" i="6"/>
  <c r="B21" i="9"/>
  <c r="L53" i="6"/>
  <c r="AB10" i="12"/>
  <c r="W50" i="10"/>
  <c r="W55" i="10" s="1"/>
  <c r="N12" i="9"/>
  <c r="J72" i="4"/>
  <c r="U8" i="4"/>
  <c r="CB12" i="6"/>
  <c r="BI12" i="6"/>
  <c r="AQ13" i="6"/>
  <c r="AQ12" i="6" s="1"/>
  <c r="CC13" i="6"/>
  <c r="CC22" i="6" s="1" a="1"/>
  <c r="CC22" i="6" s="1"/>
  <c r="AC12" i="8"/>
  <c r="AI13" i="12"/>
  <c r="K72" i="4"/>
  <c r="J112" i="4"/>
  <c r="BJ13" i="6"/>
  <c r="BJ22" i="6" s="1"/>
  <c r="O12" i="10"/>
  <c r="O11" i="10" s="1" a="1"/>
  <c r="O11" i="10" s="1"/>
  <c r="K32" i="4"/>
  <c r="J32" i="4"/>
  <c r="BP42" i="6" l="1"/>
  <c r="BS42" i="6"/>
  <c r="BT42" i="6"/>
  <c r="CI42" i="6" a="1"/>
  <c r="CI42" i="6" s="1"/>
  <c r="BN42" i="6"/>
  <c r="BO42" i="6"/>
  <c r="CK42" i="6" a="1"/>
  <c r="CK42" i="6" s="1"/>
  <c r="BR42" i="6"/>
  <c r="CF42" i="6" a="1"/>
  <c r="CF42" i="6" s="1"/>
  <c r="BM42" i="6"/>
  <c r="CJ42" i="6" a="1"/>
  <c r="CJ42" i="6" s="1"/>
  <c r="CH42" i="6" a="1"/>
  <c r="CH42" i="6" s="1"/>
  <c r="CL42" i="6" a="1"/>
  <c r="CL42" i="6" s="1"/>
  <c r="BQ42" i="6"/>
  <c r="CG42" i="6" a="1"/>
  <c r="CG42" i="6" s="1"/>
  <c r="AF13" i="6"/>
  <c r="CM42" i="6" a="1"/>
  <c r="CM42" i="6" s="1"/>
  <c r="BH42" i="6"/>
  <c r="AN42" i="6"/>
  <c r="BZ42" i="6" a="1"/>
  <c r="BZ42" i="6" s="1"/>
  <c r="AP42" i="6"/>
  <c r="BF42" i="6"/>
  <c r="AL42" i="6"/>
  <c r="CE42" i="6" a="1"/>
  <c r="CE42" i="6" s="1"/>
  <c r="BG42" i="6"/>
  <c r="CB42" i="6" a="1"/>
  <c r="CB42" i="6" s="1"/>
  <c r="CD42" i="6" a="1"/>
  <c r="CD42" i="6" s="1"/>
  <c r="BC42" i="6"/>
  <c r="T42" i="5"/>
  <c r="AK42" i="6"/>
  <c r="AO42" i="6"/>
  <c r="AJ42" i="6"/>
  <c r="AM42" i="6"/>
  <c r="BJ42" i="6"/>
  <c r="CA42" i="6" a="1"/>
  <c r="CA42" i="6" s="1"/>
  <c r="CC42" i="6" a="1"/>
  <c r="CC42" i="6" s="1"/>
  <c r="BW42" i="6" a="1"/>
  <c r="BW42" i="6" s="1"/>
  <c r="BK42" i="6"/>
  <c r="BX42" i="6" a="1"/>
  <c r="BX42" i="6" s="1"/>
  <c r="BL42" i="6"/>
  <c r="BV42" i="6" a="1"/>
  <c r="BV42" i="6" s="1"/>
  <c r="BI42" i="6"/>
  <c r="BD42" i="6"/>
  <c r="BY42" i="6" a="1"/>
  <c r="BY42" i="6" s="1"/>
  <c r="B44" i="5"/>
  <c r="C45" i="5"/>
  <c r="G44" i="5"/>
  <c r="A44" i="12"/>
  <c r="I44" i="5"/>
  <c r="W44" i="5" a="1"/>
  <c r="W44" i="5" s="1"/>
  <c r="H44" i="12" s="1" a="1"/>
  <c r="H44" i="12" s="1"/>
  <c r="AD44" i="5"/>
  <c r="AE44" i="5" a="1"/>
  <c r="AE44" i="5" s="1"/>
  <c r="E44" i="5"/>
  <c r="F44" i="5"/>
  <c r="B44" i="6"/>
  <c r="H44" i="5"/>
  <c r="AF44" i="5" a="1"/>
  <c r="AF44" i="5" s="1"/>
  <c r="AG44" i="5" s="1" a="1"/>
  <c r="AG44" i="5" s="1"/>
  <c r="U44" i="5" s="1"/>
  <c r="AN44" i="5" s="1" a="1"/>
  <c r="AN44" i="5" s="1"/>
  <c r="N44" i="5"/>
  <c r="D44" i="6" s="1"/>
  <c r="AQ16" i="6"/>
  <c r="AQ17" i="6"/>
  <c r="AQ27" i="6"/>
  <c r="AQ32" i="6"/>
  <c r="AQ38" i="6"/>
  <c r="AQ42" i="6"/>
  <c r="L54" i="6"/>
  <c r="B22" i="9"/>
  <c r="O12" i="9"/>
  <c r="Y50" i="10"/>
  <c r="Y55" i="10" s="1"/>
  <c r="T11" i="11"/>
  <c r="CC12" i="6"/>
  <c r="BJ12" i="6"/>
  <c r="AR13" i="6"/>
  <c r="AR12" i="6" s="1"/>
  <c r="CD13" i="6"/>
  <c r="AD12" i="8"/>
  <c r="AJ13" i="12"/>
  <c r="BK13" i="6"/>
  <c r="P12" i="10"/>
  <c r="P11" i="10" s="1" a="1"/>
  <c r="P11" i="10" s="1"/>
  <c r="C46" i="5" l="1"/>
  <c r="A46" i="12" s="1"/>
  <c r="M44" i="6"/>
  <c r="BJ44" i="6" s="1"/>
  <c r="AG13" i="6"/>
  <c r="B23" i="9"/>
  <c r="BK22" i="6"/>
  <c r="CD22" i="6" a="1"/>
  <c r="CD22" i="6" s="1"/>
  <c r="K46" i="5"/>
  <c r="J46" i="5"/>
  <c r="B46" i="6"/>
  <c r="A44" i="6"/>
  <c r="H44" i="6" a="1"/>
  <c r="H44" i="6" s="1"/>
  <c r="N44" i="6"/>
  <c r="G44" i="6"/>
  <c r="B45" i="6"/>
  <c r="H45" i="5"/>
  <c r="N45" i="5"/>
  <c r="D45" i="6" s="1"/>
  <c r="AE45" i="5" a="1"/>
  <c r="AE45" i="5" s="1"/>
  <c r="E45" i="5"/>
  <c r="A45" i="12"/>
  <c r="D45" i="5"/>
  <c r="B45" i="12" s="1"/>
  <c r="K45" i="5"/>
  <c r="F45" i="5"/>
  <c r="J45" i="5"/>
  <c r="AD45" i="5"/>
  <c r="G45" i="5"/>
  <c r="B45" i="5"/>
  <c r="G42" i="12" a="1"/>
  <c r="G42" i="12" s="1"/>
  <c r="L55" i="6"/>
  <c r="AR16" i="6"/>
  <c r="AR17" i="6"/>
  <c r="AR27" i="6"/>
  <c r="AR32" i="6"/>
  <c r="AR38" i="6"/>
  <c r="AR42" i="6"/>
  <c r="P12" i="9"/>
  <c r="AA50" i="10"/>
  <c r="AA55" i="10" s="1"/>
  <c r="CD12" i="6"/>
  <c r="BK12" i="6"/>
  <c r="AS13" i="6"/>
  <c r="AT13" i="6" s="1"/>
  <c r="CE13" i="6"/>
  <c r="AE12" i="8"/>
  <c r="AK13" i="12"/>
  <c r="BL13" i="6"/>
  <c r="Q12" i="10"/>
  <c r="Q11" i="10" s="1" a="1"/>
  <c r="Q11" i="10" s="1"/>
  <c r="E46" i="5" l="1"/>
  <c r="AD46" i="5"/>
  <c r="B46" i="5"/>
  <c r="G46" i="5"/>
  <c r="D46" i="5"/>
  <c r="B46" i="12" s="1"/>
  <c r="H46" i="5"/>
  <c r="C47" i="5"/>
  <c r="AE46" i="5" a="1"/>
  <c r="AE46" i="5" s="1"/>
  <c r="N46" i="5"/>
  <c r="D46" i="6" s="1"/>
  <c r="F46" i="5"/>
  <c r="CC44" i="6" a="1"/>
  <c r="CC44" i="6" s="1"/>
  <c r="BE44" i="6"/>
  <c r="BI44" i="6"/>
  <c r="BZ44" i="6" a="1"/>
  <c r="BZ44" i="6" s="1"/>
  <c r="CA44" i="6" a="1"/>
  <c r="CA44" i="6" s="1"/>
  <c r="AJ44" i="6"/>
  <c r="BC44" i="6"/>
  <c r="BD44" i="6"/>
  <c r="CD44" i="6" a="1"/>
  <c r="CD44" i="6" s="1"/>
  <c r="BL44" i="6"/>
  <c r="BX44" i="6" a="1"/>
  <c r="BX44" i="6" s="1"/>
  <c r="CE44" i="6" a="1"/>
  <c r="CE44" i="6" s="1"/>
  <c r="CB44" i="6" a="1"/>
  <c r="CB44" i="6" s="1"/>
  <c r="BG44" i="6"/>
  <c r="BV44" i="6" a="1"/>
  <c r="BV44" i="6" s="1"/>
  <c r="BF44" i="6"/>
  <c r="BW44" i="6" a="1"/>
  <c r="BW44" i="6" s="1"/>
  <c r="BY44" i="6" a="1"/>
  <c r="BY44" i="6" s="1"/>
  <c r="BH44" i="6"/>
  <c r="BK44" i="6"/>
  <c r="BM44" i="6"/>
  <c r="BP44" i="6"/>
  <c r="BQ44" i="6"/>
  <c r="BR44" i="6"/>
  <c r="BT44" i="6"/>
  <c r="CL44" i="6" a="1"/>
  <c r="CL44" i="6" s="1"/>
  <c r="BS44" i="6"/>
  <c r="CK44" i="6" a="1"/>
  <c r="CK44" i="6" s="1"/>
  <c r="BL22" i="6"/>
  <c r="BM13" i="6"/>
  <c r="BN44" i="6"/>
  <c r="CJ44" i="6" a="1"/>
  <c r="CJ44" i="6" s="1"/>
  <c r="CE22" i="6" a="1"/>
  <c r="CE22" i="6" s="1"/>
  <c r="CF13" i="6"/>
  <c r="CG44" i="6" a="1"/>
  <c r="CG44" i="6" s="1"/>
  <c r="AT12" i="6"/>
  <c r="AU13" i="6"/>
  <c r="CF44" i="6" a="1"/>
  <c r="CF44" i="6" s="1"/>
  <c r="CM44" i="6" a="1"/>
  <c r="CM44" i="6" s="1"/>
  <c r="AH13" i="6"/>
  <c r="CH44" i="6" a="1"/>
  <c r="CH44" i="6" s="1"/>
  <c r="BO44" i="6"/>
  <c r="CI44" i="6" a="1"/>
  <c r="CI44" i="6" s="1"/>
  <c r="B24" i="9"/>
  <c r="C23" i="9"/>
  <c r="F23" i="9" s="1"/>
  <c r="AM44" i="6"/>
  <c r="AK44" i="6"/>
  <c r="AL44" i="6"/>
  <c r="AR44" i="6"/>
  <c r="AQ44" i="6"/>
  <c r="AP44" i="6"/>
  <c r="AO44" i="6"/>
  <c r="T44" i="5"/>
  <c r="G44" i="12" s="1" a="1"/>
  <c r="G44" i="12" s="1"/>
  <c r="AN44" i="6"/>
  <c r="L56" i="6"/>
  <c r="AS12" i="6"/>
  <c r="Q12" i="9"/>
  <c r="AC50" i="10"/>
  <c r="AC55" i="10" s="1"/>
  <c r="CE12" i="6"/>
  <c r="BL12" i="6"/>
  <c r="AF12" i="8"/>
  <c r="AL13" i="12"/>
  <c r="R12" i="10"/>
  <c r="R11" i="10" s="1" a="1"/>
  <c r="R11" i="10" s="1"/>
  <c r="D47" i="5" l="1"/>
  <c r="B47" i="12" s="1"/>
  <c r="B47" i="6"/>
  <c r="E47" i="5"/>
  <c r="J47" i="5"/>
  <c r="K47" i="5"/>
  <c r="G47" i="5"/>
  <c r="AE47" i="5" a="1"/>
  <c r="AE47" i="5" s="1"/>
  <c r="AD47" i="5"/>
  <c r="C48" i="5"/>
  <c r="H47" i="5"/>
  <c r="F47" i="5"/>
  <c r="N47" i="5"/>
  <c r="D47" i="6" s="1"/>
  <c r="A47" i="12"/>
  <c r="B47" i="5"/>
  <c r="CG13" i="6"/>
  <c r="CF12" i="6"/>
  <c r="AV13" i="6"/>
  <c r="AU12" i="6"/>
  <c r="AT16" i="6"/>
  <c r="AT17" i="6"/>
  <c r="AT27" i="6"/>
  <c r="AT32" i="6"/>
  <c r="AT38" i="6"/>
  <c r="AT42" i="6"/>
  <c r="AT44" i="6"/>
  <c r="BN13" i="6"/>
  <c r="BM12" i="6"/>
  <c r="B25" i="9"/>
  <c r="C24" i="9"/>
  <c r="F24" i="9" s="1"/>
  <c r="L57" i="6"/>
  <c r="L58" i="6" s="1"/>
  <c r="AS16" i="6"/>
  <c r="AS17" i="6"/>
  <c r="AS27" i="6"/>
  <c r="AS32" i="6"/>
  <c r="AS38" i="6"/>
  <c r="AS42" i="6"/>
  <c r="AS44" i="6"/>
  <c r="R12" i="9"/>
  <c r="AE50" i="10"/>
  <c r="AE55" i="10" s="1"/>
  <c r="AM13" i="12"/>
  <c r="S12" i="10"/>
  <c r="S11" i="10" s="1" a="1"/>
  <c r="S11" i="10" s="1"/>
  <c r="A48" i="12" l="1"/>
  <c r="B48" i="6"/>
  <c r="J48" i="5"/>
  <c r="H48" i="5"/>
  <c r="G48" i="5"/>
  <c r="D48" i="5"/>
  <c r="B48" i="12" s="1"/>
  <c r="E48" i="5"/>
  <c r="C49" i="5"/>
  <c r="N48" i="5"/>
  <c r="D48" i="6" s="1"/>
  <c r="B48" i="5"/>
  <c r="AD48" i="5"/>
  <c r="AE48" i="5" a="1"/>
  <c r="AE48" i="5" s="1"/>
  <c r="F48" i="5"/>
  <c r="K48" i="5"/>
  <c r="BO13" i="6"/>
  <c r="BN12" i="6"/>
  <c r="AU16" i="6"/>
  <c r="AU17" i="6"/>
  <c r="AU27" i="6"/>
  <c r="AU32" i="6"/>
  <c r="AU38" i="6"/>
  <c r="AU42" i="6"/>
  <c r="AU44" i="6"/>
  <c r="AW13" i="6"/>
  <c r="AV12" i="6"/>
  <c r="CH13" i="6"/>
  <c r="CG12" i="6"/>
  <c r="B26" i="9"/>
  <c r="C25" i="9"/>
  <c r="F25" i="9" s="1"/>
  <c r="L46" i="12" a="1"/>
  <c r="L46" i="12" s="1"/>
  <c r="J46" i="12" a="1"/>
  <c r="J46" i="12" s="1"/>
  <c r="L37" i="12" a="1"/>
  <c r="L37" i="12" s="1"/>
  <c r="J37" i="12" a="1"/>
  <c r="J37" i="12" s="1"/>
  <c r="J35" i="12" a="1"/>
  <c r="J35" i="12" s="1"/>
  <c r="L35" i="12" a="1"/>
  <c r="L35" i="12" s="1"/>
  <c r="L19" i="12" a="1"/>
  <c r="L19" i="12" s="1"/>
  <c r="J41" i="12" a="1"/>
  <c r="J41" i="12" s="1"/>
  <c r="J24" i="12" a="1"/>
  <c r="J24" i="12" s="1"/>
  <c r="J18" i="12" a="1"/>
  <c r="J18" i="12" s="1"/>
  <c r="L23" i="12" a="1"/>
  <c r="L23" i="12" s="1"/>
  <c r="L26" i="12" a="1"/>
  <c r="L26" i="12" s="1"/>
  <c r="J21" i="12" a="1"/>
  <c r="J21" i="12" s="1"/>
  <c r="J20" i="12" a="1"/>
  <c r="J20" i="12" s="1"/>
  <c r="L25" i="12" a="1"/>
  <c r="L25" i="12" s="1"/>
  <c r="L24" i="12" a="1"/>
  <c r="L24" i="12" s="1"/>
  <c r="J19" i="12" a="1"/>
  <c r="J19" i="12" s="1"/>
  <c r="J23" i="12" a="1"/>
  <c r="J23" i="12" s="1"/>
  <c r="L18" i="12" a="1"/>
  <c r="L18" i="12" s="1"/>
  <c r="L21" i="12" a="1"/>
  <c r="L21" i="12" s="1"/>
  <c r="J26" i="12" a="1"/>
  <c r="J26" i="12" s="1"/>
  <c r="J25" i="12" a="1"/>
  <c r="J25" i="12" s="1"/>
  <c r="L20" i="12" a="1"/>
  <c r="L20" i="12" s="1"/>
  <c r="J36" i="12" a="1"/>
  <c r="J36" i="12" s="1"/>
  <c r="J30" i="12" a="1"/>
  <c r="J30" i="12" s="1"/>
  <c r="J40" i="12" a="1"/>
  <c r="J40" i="12" s="1"/>
  <c r="L30" i="12" a="1"/>
  <c r="L30" i="12" s="1"/>
  <c r="L41" i="12" a="1"/>
  <c r="L41" i="12" s="1"/>
  <c r="L31" i="12" a="1"/>
  <c r="L31" i="12" s="1"/>
  <c r="J33" i="12" a="1"/>
  <c r="J33" i="12" s="1"/>
  <c r="J28" i="12" a="1"/>
  <c r="J28" i="12" s="1"/>
  <c r="J31" i="12" a="1"/>
  <c r="J31" i="12" s="1"/>
  <c r="J34" i="12" a="1"/>
  <c r="J34" i="12" s="1"/>
  <c r="L29" i="12" a="1"/>
  <c r="L29" i="12" s="1"/>
  <c r="L40" i="12" a="1"/>
  <c r="L40" i="12" s="1"/>
  <c r="L34" i="12" a="1"/>
  <c r="L34" i="12" s="1"/>
  <c r="J29" i="12" a="1"/>
  <c r="J29" i="12" s="1"/>
  <c r="L36" i="12" a="1"/>
  <c r="L36" i="12" s="1"/>
  <c r="L33" i="12" a="1"/>
  <c r="L33" i="12" s="1"/>
  <c r="L28" i="12" a="1"/>
  <c r="L28" i="12" s="1"/>
  <c r="L43" i="12" a="1"/>
  <c r="L43" i="12" s="1"/>
  <c r="J43" i="12" a="1"/>
  <c r="J43" i="12" s="1"/>
  <c r="L45" i="12" a="1"/>
  <c r="L45" i="12" s="1"/>
  <c r="J45" i="12" a="1"/>
  <c r="J45" i="12" s="1"/>
  <c r="L47" i="12" a="1"/>
  <c r="L47" i="12" s="1"/>
  <c r="J47" i="12" a="1"/>
  <c r="J47" i="12" s="1"/>
  <c r="L48" i="12" a="1"/>
  <c r="L48" i="12" s="1"/>
  <c r="J48" i="12" a="1"/>
  <c r="J48" i="12" s="1"/>
  <c r="L59" i="6"/>
  <c r="AO7" i="12" a="1"/>
  <c r="AO7" i="12" s="1"/>
  <c r="L14" i="12" a="1"/>
  <c r="L14" i="12" s="1"/>
  <c r="J14" i="12" a="1"/>
  <c r="J14" i="12" s="1"/>
  <c r="S12" i="9"/>
  <c r="T12" i="10"/>
  <c r="T11" i="10" s="1" a="1"/>
  <c r="T11" i="10" s="1"/>
  <c r="B49" i="6" l="1"/>
  <c r="AE49" i="5" a="1"/>
  <c r="AE49" i="5" s="1"/>
  <c r="G49" i="5"/>
  <c r="N49" i="5"/>
  <c r="D49" i="6" s="1"/>
  <c r="E49" i="5"/>
  <c r="H49" i="5"/>
  <c r="J49" i="5"/>
  <c r="F49" i="5"/>
  <c r="K49" i="5"/>
  <c r="B49" i="5"/>
  <c r="AD49" i="5"/>
  <c r="A49" i="12"/>
  <c r="J49" i="12" s="1" a="1"/>
  <c r="J49" i="12" s="1"/>
  <c r="D49" i="5"/>
  <c r="B49" i="12" s="1"/>
  <c r="C50" i="5"/>
  <c r="AV16" i="6"/>
  <c r="AV17" i="6"/>
  <c r="AV27" i="6"/>
  <c r="AV32" i="6"/>
  <c r="AV38" i="6"/>
  <c r="AV42" i="6"/>
  <c r="AV44" i="6"/>
  <c r="AX13" i="6"/>
  <c r="AW12" i="6"/>
  <c r="CI13" i="6"/>
  <c r="CH12" i="6"/>
  <c r="BP13" i="6"/>
  <c r="BO12" i="6"/>
  <c r="B27" i="9"/>
  <c r="C26" i="9"/>
  <c r="F26" i="9" s="1"/>
  <c r="K46" i="12"/>
  <c r="K37" i="12"/>
  <c r="K21" i="12"/>
  <c r="K35" i="12"/>
  <c r="K20" i="12"/>
  <c r="K18" i="12"/>
  <c r="K34" i="12"/>
  <c r="K36" i="12"/>
  <c r="K28" i="12"/>
  <c r="K33" i="12"/>
  <c r="K41" i="12"/>
  <c r="K47" i="12"/>
  <c r="K45" i="12"/>
  <c r="K43" i="12"/>
  <c r="K24" i="12"/>
  <c r="K40" i="12"/>
  <c r="K30" i="12"/>
  <c r="L60" i="6"/>
  <c r="K48" i="12"/>
  <c r="K31" i="12"/>
  <c r="K25" i="12"/>
  <c r="K26" i="12"/>
  <c r="K29" i="12"/>
  <c r="K23" i="12"/>
  <c r="K19" i="12"/>
  <c r="T12" i="9"/>
  <c r="K14" i="12"/>
  <c r="U12" i="10"/>
  <c r="U11" i="10" s="1" a="1"/>
  <c r="U11" i="10" s="1"/>
  <c r="N50" i="5" l="1"/>
  <c r="D50" i="6" s="1"/>
  <c r="AD50" i="5"/>
  <c r="A50" i="12"/>
  <c r="J50" i="12" s="1" a="1"/>
  <c r="J50" i="12" s="1"/>
  <c r="B50" i="5"/>
  <c r="C51" i="5" s="1"/>
  <c r="A51" i="12" s="1"/>
  <c r="J50" i="5"/>
  <c r="AE50" i="5" a="1"/>
  <c r="AE50" i="5" s="1"/>
  <c r="K50" i="5"/>
  <c r="H50" i="5"/>
  <c r="B50" i="6"/>
  <c r="E50" i="5"/>
  <c r="L49" i="12" a="1"/>
  <c r="L49" i="12" s="1"/>
  <c r="K49" i="12" s="1"/>
  <c r="G50" i="5"/>
  <c r="D50" i="5"/>
  <c r="B50" i="12" s="1"/>
  <c r="F50" i="5"/>
  <c r="AW16" i="6"/>
  <c r="AW17" i="6"/>
  <c r="AW27" i="6"/>
  <c r="AW32" i="6"/>
  <c r="AW38" i="6"/>
  <c r="AW42" i="6"/>
  <c r="AW44" i="6"/>
  <c r="AY13" i="6"/>
  <c r="AX12" i="6"/>
  <c r="BQ13" i="6"/>
  <c r="BP12" i="6"/>
  <c r="CI12" i="6"/>
  <c r="CJ13" i="6"/>
  <c r="C27" i="9"/>
  <c r="F27" i="9" s="1"/>
  <c r="B28" i="9"/>
  <c r="L61" i="6"/>
  <c r="L62" i="6" s="1"/>
  <c r="U12" i="9"/>
  <c r="V12" i="10"/>
  <c r="V11" i="10" s="1" a="1"/>
  <c r="V11" i="10" s="1"/>
  <c r="L50" i="12" l="1" a="1"/>
  <c r="L50" i="12" s="1"/>
  <c r="K50" i="12" s="1"/>
  <c r="W51" i="5" a="1"/>
  <c r="W51" i="5" s="1"/>
  <c r="H51" i="12" s="1" a="1"/>
  <c r="H51" i="12" s="1"/>
  <c r="B51" i="6"/>
  <c r="C52" i="5"/>
  <c r="I51" i="5"/>
  <c r="H51" i="5"/>
  <c r="N51" i="5"/>
  <c r="D51" i="6" s="1"/>
  <c r="N51" i="6" s="1"/>
  <c r="G51" i="5"/>
  <c r="B51" i="5"/>
  <c r="AF51" i="5" a="1"/>
  <c r="AF51" i="5" s="1"/>
  <c r="AG51" i="5" s="1" a="1"/>
  <c r="AG51" i="5" s="1"/>
  <c r="U51" i="5" s="1"/>
  <c r="AN51" i="5" s="1" a="1"/>
  <c r="AN51" i="5" s="1"/>
  <c r="E51" i="5"/>
  <c r="AD51" i="5"/>
  <c r="AE51" i="5" a="1"/>
  <c r="AE51" i="5" s="1"/>
  <c r="F51" i="5"/>
  <c r="AY12" i="6"/>
  <c r="AZ13" i="6"/>
  <c r="CJ12" i="6"/>
  <c r="CK13" i="6"/>
  <c r="AX16" i="6"/>
  <c r="AX17" i="6"/>
  <c r="AX27" i="6"/>
  <c r="AX32" i="6"/>
  <c r="AX38" i="6"/>
  <c r="AX42" i="6"/>
  <c r="AX44" i="6"/>
  <c r="BR13" i="6"/>
  <c r="BQ12" i="6"/>
  <c r="B29" i="9"/>
  <c r="C28" i="9"/>
  <c r="F28" i="9" s="1"/>
  <c r="L63" i="6"/>
  <c r="V12" i="9"/>
  <c r="W12" i="10"/>
  <c r="W11" i="10" s="1" a="1"/>
  <c r="W11" i="10" s="1"/>
  <c r="D52" i="5" l="1"/>
  <c r="B52" i="12" s="1"/>
  <c r="G52" i="5"/>
  <c r="B52" i="6"/>
  <c r="AD52" i="5"/>
  <c r="C53" i="5"/>
  <c r="B52" i="5"/>
  <c r="E52" i="5"/>
  <c r="J52" i="5"/>
  <c r="H52" i="5"/>
  <c r="A52" i="12"/>
  <c r="J52" i="12" s="1" a="1"/>
  <c r="J52" i="12" s="1"/>
  <c r="N52" i="5"/>
  <c r="D52" i="6" s="1"/>
  <c r="AE52" i="5" a="1"/>
  <c r="AE52" i="5" s="1"/>
  <c r="K52" i="5"/>
  <c r="F52" i="5"/>
  <c r="H51" i="6" a="1"/>
  <c r="H51" i="6" s="1"/>
  <c r="T51" i="5" s="1"/>
  <c r="G51" i="12" s="1" a="1"/>
  <c r="G51" i="12" s="1"/>
  <c r="M51" i="6"/>
  <c r="BL51" i="6" s="1"/>
  <c r="G51" i="6"/>
  <c r="BS13" i="6"/>
  <c r="BR12" i="6"/>
  <c r="CK12" i="6"/>
  <c r="CL13" i="6"/>
  <c r="AZ12" i="6"/>
  <c r="BA13" i="6"/>
  <c r="BA12" i="6" s="1"/>
  <c r="AY16" i="6"/>
  <c r="AY17" i="6"/>
  <c r="AY27" i="6"/>
  <c r="AY32" i="6"/>
  <c r="AY38" i="6"/>
  <c r="AY42" i="6"/>
  <c r="AY44" i="6"/>
  <c r="B30" i="9"/>
  <c r="C29" i="9"/>
  <c r="F29" i="9" s="1"/>
  <c r="A53" i="12"/>
  <c r="L53" i="12" s="1" a="1"/>
  <c r="L53" i="12" s="1"/>
  <c r="J53" i="5"/>
  <c r="W12" i="9"/>
  <c r="X12" i="10"/>
  <c r="X11" i="10" s="1" a="1"/>
  <c r="X11" i="10" s="1"/>
  <c r="B53" i="5" l="1"/>
  <c r="AE53" i="5" a="1"/>
  <c r="AE53" i="5" s="1"/>
  <c r="E53" i="5"/>
  <c r="AD53" i="5"/>
  <c r="H53" i="5"/>
  <c r="C54" i="5"/>
  <c r="G53" i="5"/>
  <c r="K53" i="5"/>
  <c r="B53" i="6"/>
  <c r="F53" i="5"/>
  <c r="F54" i="5" s="1"/>
  <c r="N53" i="5"/>
  <c r="D53" i="6" s="1"/>
  <c r="D53" i="5"/>
  <c r="B53" i="12" s="1"/>
  <c r="L52" i="12" a="1"/>
  <c r="L52" i="12" s="1"/>
  <c r="K52" i="12" s="1"/>
  <c r="BE51" i="6"/>
  <c r="BV51" i="6" a="1"/>
  <c r="BV51" i="6" s="1"/>
  <c r="CD51" i="6" a="1"/>
  <c r="CD51" i="6" s="1"/>
  <c r="CG51" i="6" a="1"/>
  <c r="CG51" i="6" s="1"/>
  <c r="AO51" i="6"/>
  <c r="CB51" i="6" a="1"/>
  <c r="CB51" i="6" s="1"/>
  <c r="BF51" i="6"/>
  <c r="CM51" i="6" a="1"/>
  <c r="CM51" i="6" s="1"/>
  <c r="AS51" i="6"/>
  <c r="AR51" i="6"/>
  <c r="AT51" i="6"/>
  <c r="BQ51" i="6"/>
  <c r="BH51" i="6"/>
  <c r="CJ51" i="6" a="1"/>
  <c r="CJ51" i="6" s="1"/>
  <c r="BG51" i="6"/>
  <c r="BY51" i="6" a="1"/>
  <c r="BY51" i="6" s="1"/>
  <c r="CE51" i="6" a="1"/>
  <c r="CE51" i="6" s="1"/>
  <c r="AK51" i="6"/>
  <c r="AL51" i="6"/>
  <c r="BK51" i="6"/>
  <c r="CH51" i="6" a="1"/>
  <c r="CH51" i="6" s="1"/>
  <c r="AM51" i="6"/>
  <c r="CI51" i="6" a="1"/>
  <c r="CI51" i="6" s="1"/>
  <c r="BW51" i="6" a="1"/>
  <c r="BW51" i="6" s="1"/>
  <c r="BN51" i="6"/>
  <c r="CF51" i="6" a="1"/>
  <c r="CF51" i="6" s="1"/>
  <c r="AX51" i="6"/>
  <c r="CK51" i="6" a="1"/>
  <c r="CK51" i="6" s="1"/>
  <c r="AP51" i="6"/>
  <c r="CC51" i="6" a="1"/>
  <c r="CC51" i="6" s="1"/>
  <c r="BD51" i="6"/>
  <c r="AY51" i="6"/>
  <c r="BT51" i="6"/>
  <c r="BI51" i="6"/>
  <c r="BZ51" i="6" a="1"/>
  <c r="BZ51" i="6" s="1"/>
  <c r="BX51" i="6" a="1"/>
  <c r="BX51" i="6" s="1"/>
  <c r="BO51" i="6"/>
  <c r="BR51" i="6"/>
  <c r="BP51" i="6"/>
  <c r="BM51" i="6"/>
  <c r="AJ51" i="6"/>
  <c r="AN51" i="6"/>
  <c r="BS51" i="6"/>
  <c r="AW51" i="6"/>
  <c r="BC51" i="6"/>
  <c r="BJ51" i="6"/>
  <c r="AU51" i="6"/>
  <c r="AV51" i="6"/>
  <c r="AQ51" i="6"/>
  <c r="CA51" i="6" a="1"/>
  <c r="CA51" i="6" s="1"/>
  <c r="CL51" i="6" a="1"/>
  <c r="CL51" i="6" s="1"/>
  <c r="AZ16" i="6"/>
  <c r="AZ17" i="6"/>
  <c r="AZ27" i="6"/>
  <c r="AZ32" i="6"/>
  <c r="AZ38" i="6"/>
  <c r="AZ42" i="6"/>
  <c r="AZ44" i="6"/>
  <c r="AZ51" i="6"/>
  <c r="CL12" i="6"/>
  <c r="CM13" i="6"/>
  <c r="CM12" i="6" s="1"/>
  <c r="BS12" i="6"/>
  <c r="BT13" i="6"/>
  <c r="BT12" i="6" s="1"/>
  <c r="BA16" i="6"/>
  <c r="BA17" i="6"/>
  <c r="BA27" i="6"/>
  <c r="BA32" i="6"/>
  <c r="BA38" i="6"/>
  <c r="BA42" i="6"/>
  <c r="BA44" i="6"/>
  <c r="BA51" i="6"/>
  <c r="B31" i="9"/>
  <c r="C30" i="9"/>
  <c r="F30" i="9" s="1"/>
  <c r="A51" i="6"/>
  <c r="J53" i="12" a="1"/>
  <c r="J53" i="12" s="1"/>
  <c r="K53" i="12" s="1"/>
  <c r="B54" i="6"/>
  <c r="K54" i="5"/>
  <c r="AE54" i="5" a="1"/>
  <c r="AE54" i="5" s="1"/>
  <c r="N54" i="5"/>
  <c r="D54" i="6" s="1"/>
  <c r="X12" i="9"/>
  <c r="Y12" i="10"/>
  <c r="Y11" i="10" s="1" a="1"/>
  <c r="Y11" i="10" s="1"/>
  <c r="H54" i="5" l="1"/>
  <c r="E54" i="5"/>
  <c r="G54" i="5"/>
  <c r="A54" i="12"/>
  <c r="L54" i="12" s="1" a="1"/>
  <c r="L54" i="12" s="1"/>
  <c r="J54" i="5"/>
  <c r="B54" i="5"/>
  <c r="AD54" i="5"/>
  <c r="D54" i="5"/>
  <c r="B54" i="12" s="1"/>
  <c r="C55" i="5"/>
  <c r="D55" i="5" s="1"/>
  <c r="B55" i="12" s="1"/>
  <c r="B32" i="9"/>
  <c r="C31" i="9"/>
  <c r="F31" i="9" s="1"/>
  <c r="L64" i="6"/>
  <c r="Y12" i="9"/>
  <c r="Z12" i="10"/>
  <c r="Z11" i="10" s="1" a="1"/>
  <c r="Z11" i="10" s="1"/>
  <c r="J54" i="12" l="1" a="1"/>
  <c r="J54" i="12" s="1"/>
  <c r="K54" i="12" s="1"/>
  <c r="G55" i="5"/>
  <c r="AD55" i="5"/>
  <c r="J55" i="5"/>
  <c r="B55" i="5"/>
  <c r="H55" i="5"/>
  <c r="N55" i="5"/>
  <c r="D55" i="6" s="1"/>
  <c r="AE55" i="5" a="1"/>
  <c r="AE55" i="5" s="1"/>
  <c r="B55" i="6"/>
  <c r="F55" i="5"/>
  <c r="K55" i="5"/>
  <c r="E55" i="5"/>
  <c r="C56" i="5"/>
  <c r="N56" i="5" s="1"/>
  <c r="D56" i="6" s="1"/>
  <c r="A55" i="12"/>
  <c r="J55" i="12" s="1" a="1"/>
  <c r="J55" i="12" s="1"/>
  <c r="B33" i="9"/>
  <c r="C32" i="9"/>
  <c r="F32" i="9" s="1"/>
  <c r="K56" i="5"/>
  <c r="L65" i="6"/>
  <c r="L66" i="6" s="1"/>
  <c r="F64" i="6"/>
  <c r="Z12" i="9"/>
  <c r="AA12" i="10"/>
  <c r="AA11" i="10" s="1" a="1"/>
  <c r="AA11" i="10" s="1"/>
  <c r="AE56" i="5" l="1" a="1"/>
  <c r="AE56" i="5" s="1"/>
  <c r="G56" i="5"/>
  <c r="F56" i="5"/>
  <c r="L55" i="12" a="1"/>
  <c r="L55" i="12" s="1"/>
  <c r="H56" i="5"/>
  <c r="AD56" i="5"/>
  <c r="E56" i="5"/>
  <c r="J56" i="5"/>
  <c r="B56" i="5"/>
  <c r="K55" i="12"/>
  <c r="B56" i="6"/>
  <c r="D56" i="5"/>
  <c r="B56" i="12" s="1"/>
  <c r="C57" i="5"/>
  <c r="E57" i="5" s="1"/>
  <c r="A56" i="12"/>
  <c r="L56" i="12" s="1" a="1"/>
  <c r="L56" i="12" s="1"/>
  <c r="B34" i="9"/>
  <c r="C33" i="9"/>
  <c r="F33" i="9" s="1"/>
  <c r="L67" i="6"/>
  <c r="AA12" i="9"/>
  <c r="AB12" i="10"/>
  <c r="AB11" i="10" s="1" a="1"/>
  <c r="AB11" i="10" s="1"/>
  <c r="G57" i="5" l="1"/>
  <c r="B57" i="6"/>
  <c r="B57" i="5"/>
  <c r="H57" i="5"/>
  <c r="J56" i="12" a="1"/>
  <c r="J56" i="12" s="1"/>
  <c r="K56" i="12" s="1"/>
  <c r="N57" i="5"/>
  <c r="D57" i="6" s="1"/>
  <c r="A57" i="12"/>
  <c r="J57" i="12" s="1" a="1"/>
  <c r="J57" i="12" s="1"/>
  <c r="K57" i="5"/>
  <c r="D57" i="5"/>
  <c r="B57" i="12" s="1"/>
  <c r="AE57" i="5" a="1"/>
  <c r="AE57" i="5" s="1"/>
  <c r="J57" i="5"/>
  <c r="C58" i="5"/>
  <c r="F57" i="5"/>
  <c r="AD57" i="5"/>
  <c r="C34" i="9"/>
  <c r="F34" i="9" s="1"/>
  <c r="B35" i="9"/>
  <c r="L68" i="6"/>
  <c r="AB12" i="9"/>
  <c r="AC12" i="10"/>
  <c r="AC11" i="10" s="1" a="1"/>
  <c r="AC11" i="10" s="1"/>
  <c r="L57" i="12" l="1" a="1"/>
  <c r="L57" i="12" s="1"/>
  <c r="K57" i="12" s="1"/>
  <c r="H58" i="5"/>
  <c r="A58" i="12"/>
  <c r="L58" i="12" s="1" a="1"/>
  <c r="L58" i="12" s="1"/>
  <c r="G58" i="5"/>
  <c r="E58" i="5"/>
  <c r="AD58" i="5"/>
  <c r="F58" i="5"/>
  <c r="AE58" i="5" a="1"/>
  <c r="AE58" i="5" s="1"/>
  <c r="B58" i="5"/>
  <c r="K58" i="5"/>
  <c r="B58" i="6"/>
  <c r="D58" i="5"/>
  <c r="B58" i="12" s="1"/>
  <c r="N58" i="5"/>
  <c r="D58" i="6" s="1"/>
  <c r="C59" i="5"/>
  <c r="N59" i="5" s="1"/>
  <c r="D59" i="6" s="1"/>
  <c r="J58" i="5"/>
  <c r="J59" i="5"/>
  <c r="AE59" i="5" a="1"/>
  <c r="AE59" i="5" s="1"/>
  <c r="B36" i="9"/>
  <c r="C35" i="9"/>
  <c r="F35" i="9" s="1"/>
  <c r="L69" i="6"/>
  <c r="AC12" i="9"/>
  <c r="AD12" i="10"/>
  <c r="AD11" i="10" s="1" a="1"/>
  <c r="AD11" i="10" s="1"/>
  <c r="D59" i="5" l="1"/>
  <c r="B59" i="12" s="1"/>
  <c r="F59" i="5"/>
  <c r="B59" i="6"/>
  <c r="K59" i="5"/>
  <c r="J58" i="12" a="1"/>
  <c r="J58" i="12" s="1"/>
  <c r="A59" i="12"/>
  <c r="J59" i="12" s="1" a="1"/>
  <c r="J59" i="12" s="1"/>
  <c r="AD59" i="5"/>
  <c r="G59" i="5"/>
  <c r="E59" i="5"/>
  <c r="H59" i="5"/>
  <c r="C60" i="5"/>
  <c r="B59" i="5"/>
  <c r="B37" i="9"/>
  <c r="C36" i="9"/>
  <c r="F36" i="9" s="1"/>
  <c r="K58" i="12"/>
  <c r="L70" i="6"/>
  <c r="AD12" i="9"/>
  <c r="AE12" i="10"/>
  <c r="AE11" i="10" s="1" a="1"/>
  <c r="AE11" i="10" s="1"/>
  <c r="L59" i="12" l="1" a="1"/>
  <c r="L59" i="12" s="1"/>
  <c r="K59" i="12" s="1"/>
  <c r="B60" i="5"/>
  <c r="B60" i="6"/>
  <c r="H60" i="5"/>
  <c r="J60" i="5"/>
  <c r="C61" i="5"/>
  <c r="AE60" i="5" a="1"/>
  <c r="AE60" i="5" s="1"/>
  <c r="D60" i="5"/>
  <c r="B60" i="12" s="1"/>
  <c r="AD60" i="5"/>
  <c r="N60" i="5"/>
  <c r="D60" i="6" s="1"/>
  <c r="K60" i="5"/>
  <c r="A60" i="12"/>
  <c r="E60" i="5"/>
  <c r="F60" i="5"/>
  <c r="G60" i="5"/>
  <c r="C37" i="9"/>
  <c r="F37" i="9" s="1"/>
  <c r="B38" i="9"/>
  <c r="L71" i="6"/>
  <c r="AE12" i="9"/>
  <c r="AF12" i="10"/>
  <c r="AF11" i="10" s="1" a="1"/>
  <c r="AF11" i="10" s="1"/>
  <c r="L60" i="12" l="1" a="1"/>
  <c r="L60" i="12" s="1"/>
  <c r="J60" i="12" a="1"/>
  <c r="J60" i="12" s="1"/>
  <c r="AE61" i="5" a="1"/>
  <c r="AE61" i="5" s="1"/>
  <c r="AD61" i="5"/>
  <c r="E61" i="5"/>
  <c r="K61" i="5"/>
  <c r="G61" i="5"/>
  <c r="J61" i="5"/>
  <c r="F61" i="5"/>
  <c r="B61" i="6"/>
  <c r="D61" i="5"/>
  <c r="B61" i="12" s="1"/>
  <c r="H61" i="5"/>
  <c r="N61" i="5"/>
  <c r="D61" i="6" s="1"/>
  <c r="B61" i="5"/>
  <c r="A61" i="12"/>
  <c r="C62" i="5"/>
  <c r="B39" i="9"/>
  <c r="C38" i="9"/>
  <c r="F38" i="9" s="1"/>
  <c r="L72" i="6"/>
  <c r="M1" i="6"/>
  <c r="F62" i="5" l="1"/>
  <c r="N62" i="5"/>
  <c r="D62" i="6" s="1"/>
  <c r="H62" i="6" s="1" a="1"/>
  <c r="H62" i="6" s="1"/>
  <c r="T62" i="5" s="1"/>
  <c r="E62" i="5"/>
  <c r="A62" i="12"/>
  <c r="B62" i="6"/>
  <c r="H62" i="5"/>
  <c r="K62" i="5"/>
  <c r="J62" i="5"/>
  <c r="G62" i="5"/>
  <c r="D62" i="5"/>
  <c r="B62" i="12" s="1"/>
  <c r="AE62" i="5" a="1"/>
  <c r="AE62" i="5" s="1"/>
  <c r="C63" i="5"/>
  <c r="B62" i="5"/>
  <c r="AD62" i="5"/>
  <c r="J61" i="12" a="1"/>
  <c r="J61" i="12" s="1"/>
  <c r="L61" i="12" a="1"/>
  <c r="L61" i="12" s="1"/>
  <c r="K61" i="12" s="1"/>
  <c r="K60" i="12"/>
  <c r="B40" i="9"/>
  <c r="C39" i="9"/>
  <c r="F39" i="9" s="1"/>
  <c r="H22" i="6" a="1"/>
  <c r="H22" i="6" s="1"/>
  <c r="H46" i="6" a="1"/>
  <c r="H46" i="6" s="1"/>
  <c r="H37" i="6" a="1"/>
  <c r="H37" i="6" s="1"/>
  <c r="H58" i="6" a="1"/>
  <c r="H58" i="6" s="1"/>
  <c r="H50" i="6" a="1"/>
  <c r="H50" i="6" s="1"/>
  <c r="H35" i="6" a="1"/>
  <c r="H35" i="6" s="1"/>
  <c r="J17" i="6" a="1"/>
  <c r="J17" i="6" s="1"/>
  <c r="J16" i="6" a="1"/>
  <c r="J16" i="6" s="1"/>
  <c r="J27" i="6" a="1"/>
  <c r="J27" i="6" s="1"/>
  <c r="H19" i="6" a="1"/>
  <c r="H19" i="6" s="1"/>
  <c r="H20" i="6" a="1"/>
  <c r="H20" i="6" s="1"/>
  <c r="H23" i="6" a="1"/>
  <c r="H23" i="6" s="1"/>
  <c r="H24" i="6" a="1"/>
  <c r="H24" i="6" s="1"/>
  <c r="H25" i="6" a="1"/>
  <c r="H25" i="6" s="1"/>
  <c r="H26" i="6" a="1"/>
  <c r="H26" i="6" s="1"/>
  <c r="H21" i="6" a="1"/>
  <c r="H21" i="6" s="1"/>
  <c r="H18" i="6" a="1"/>
  <c r="H18" i="6" s="1"/>
  <c r="H29" i="6" a="1"/>
  <c r="H29" i="6" s="1"/>
  <c r="H30" i="6" a="1"/>
  <c r="H30" i="6" s="1"/>
  <c r="H31" i="6" a="1"/>
  <c r="H31" i="6" s="1"/>
  <c r="J32" i="6" a="1"/>
  <c r="J32" i="6" s="1"/>
  <c r="H33" i="6" a="1"/>
  <c r="H33" i="6" s="1"/>
  <c r="H34" i="6" a="1"/>
  <c r="H34" i="6" s="1"/>
  <c r="H36" i="6" a="1"/>
  <c r="H36" i="6" s="1"/>
  <c r="J38" i="6" a="1"/>
  <c r="J38" i="6" s="1"/>
  <c r="H39" i="6" a="1"/>
  <c r="H39" i="6" s="1"/>
  <c r="H40" i="6" a="1"/>
  <c r="H40" i="6" s="1"/>
  <c r="H41" i="6" a="1"/>
  <c r="H41" i="6" s="1"/>
  <c r="J42" i="6" a="1"/>
  <c r="J42" i="6" s="1"/>
  <c r="H43" i="6" a="1"/>
  <c r="H43" i="6" s="1"/>
  <c r="J44" i="6" a="1"/>
  <c r="J44" i="6" s="1"/>
  <c r="H45" i="6" a="1"/>
  <c r="H45" i="6" s="1"/>
  <c r="H47" i="6" a="1"/>
  <c r="H47" i="6" s="1"/>
  <c r="H48" i="6" a="1"/>
  <c r="H48" i="6" s="1"/>
  <c r="H49" i="6" a="1"/>
  <c r="H49" i="6" s="1"/>
  <c r="J51" i="6" a="1"/>
  <c r="J51" i="6" s="1"/>
  <c r="H52" i="6" a="1"/>
  <c r="H52" i="6" s="1"/>
  <c r="H53" i="6" a="1"/>
  <c r="H53" i="6" s="1"/>
  <c r="H54" i="6" a="1"/>
  <c r="H54" i="6" s="1"/>
  <c r="H55" i="6" a="1"/>
  <c r="H55" i="6" s="1"/>
  <c r="H56" i="6" a="1"/>
  <c r="H56" i="6" s="1"/>
  <c r="H57" i="6" a="1"/>
  <c r="H57" i="6" s="1"/>
  <c r="H59" i="6" a="1"/>
  <c r="H59" i="6" s="1"/>
  <c r="H60" i="6" a="1"/>
  <c r="H60" i="6" s="1"/>
  <c r="H61" i="6" a="1"/>
  <c r="H61" i="6" s="1"/>
  <c r="L73" i="6"/>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L62" i="12" l="1" a="1"/>
  <c r="L62" i="12" s="1"/>
  <c r="J62" i="12" a="1"/>
  <c r="J62" i="12" s="1"/>
  <c r="A63" i="12"/>
  <c r="D63" i="5"/>
  <c r="B63" i="12" s="1"/>
  <c r="N63" i="5"/>
  <c r="D63" i="6" s="1"/>
  <c r="H63" i="6" s="1" a="1"/>
  <c r="H63" i="6" s="1"/>
  <c r="T63" i="5" s="1"/>
  <c r="B63" i="6"/>
  <c r="B63" i="5"/>
  <c r="C64" i="5" s="1"/>
  <c r="AF64" i="5" s="1" a="1"/>
  <c r="AF64" i="5" s="1"/>
  <c r="AG64" i="5" s="1" a="1"/>
  <c r="AG64" i="5" s="1"/>
  <c r="U64" i="5" s="1"/>
  <c r="AN64" i="5" s="1" a="1"/>
  <c r="AN64" i="5" s="1"/>
  <c r="AD63" i="5"/>
  <c r="F63" i="5"/>
  <c r="AE63" i="5" a="1"/>
  <c r="AE63" i="5" s="1"/>
  <c r="J63" i="5"/>
  <c r="E63" i="5"/>
  <c r="K63" i="5"/>
  <c r="H63" i="5"/>
  <c r="G63" i="5"/>
  <c r="AT22" i="6"/>
  <c r="AU22" i="6"/>
  <c r="AV22" i="6"/>
  <c r="AW22" i="6"/>
  <c r="AX22" i="6"/>
  <c r="AY22" i="6"/>
  <c r="BA22" i="6"/>
  <c r="AZ22" i="6"/>
  <c r="B41" i="9"/>
  <c r="C40" i="9"/>
  <c r="F40" i="9" s="1"/>
  <c r="T22" i="5"/>
  <c r="AJ22" i="6"/>
  <c r="AK22" i="6"/>
  <c r="AL22" i="6"/>
  <c r="AM22" i="6"/>
  <c r="AN22" i="6"/>
  <c r="AO22" i="6"/>
  <c r="AP22" i="6"/>
  <c r="AQ22" i="6"/>
  <c r="AR22" i="6"/>
  <c r="AS22" i="6"/>
  <c r="L74" i="6"/>
  <c r="T46" i="5"/>
  <c r="T37" i="5"/>
  <c r="G62" i="12" a="1"/>
  <c r="G62" i="12" s="1"/>
  <c r="T58" i="5"/>
  <c r="T50" i="5"/>
  <c r="T35" i="5"/>
  <c r="T61" i="5"/>
  <c r="T59" i="5"/>
  <c r="T57" i="5"/>
  <c r="T55" i="5"/>
  <c r="T53" i="5"/>
  <c r="T49" i="5"/>
  <c r="T48" i="5"/>
  <c r="T43" i="5"/>
  <c r="T41" i="5"/>
  <c r="T39" i="5"/>
  <c r="T33" i="5"/>
  <c r="T31" i="5"/>
  <c r="T29" i="5"/>
  <c r="T18" i="5"/>
  <c r="T21" i="5"/>
  <c r="T25" i="5"/>
  <c r="T23" i="5"/>
  <c r="T19" i="5"/>
  <c r="T60" i="5"/>
  <c r="T56" i="5"/>
  <c r="T54" i="5"/>
  <c r="T52" i="5"/>
  <c r="T47" i="5"/>
  <c r="T45" i="5"/>
  <c r="T40" i="5"/>
  <c r="T36" i="5"/>
  <c r="T34" i="5"/>
  <c r="T30" i="5"/>
  <c r="T26" i="5"/>
  <c r="T24" i="5"/>
  <c r="T20" i="5"/>
  <c r="I10" i="7"/>
  <c r="K13" i="7"/>
  <c r="L13" i="7" s="1"/>
  <c r="J10" i="7"/>
  <c r="AE64" i="5" l="1" a="1"/>
  <c r="AE64" i="5" s="1"/>
  <c r="I64" i="5"/>
  <c r="E64" i="5"/>
  <c r="N64" i="5"/>
  <c r="D64" i="6" s="1"/>
  <c r="G64" i="6" s="1"/>
  <c r="B64" i="5"/>
  <c r="AD64" i="5"/>
  <c r="F64" i="5"/>
  <c r="W64" i="5" a="1"/>
  <c r="W64" i="5" s="1"/>
  <c r="H64" i="12" s="1" a="1"/>
  <c r="H64" i="12" s="1"/>
  <c r="B64" i="6"/>
  <c r="J64" i="6" s="1" a="1"/>
  <c r="J64" i="6" s="1"/>
  <c r="L63" i="12" a="1"/>
  <c r="L63" i="12" s="1"/>
  <c r="J63" i="12" a="1"/>
  <c r="J63" i="12" s="1"/>
  <c r="H64" i="5"/>
  <c r="H65" i="5" s="1"/>
  <c r="A64" i="12"/>
  <c r="G64" i="5"/>
  <c r="G65" i="5" s="1"/>
  <c r="C65" i="5"/>
  <c r="AE65" i="5" s="1" a="1"/>
  <c r="AE65" i="5" s="1"/>
  <c r="K62" i="12"/>
  <c r="B42" i="9"/>
  <c r="C41" i="9"/>
  <c r="F41" i="9" s="1"/>
  <c r="G22" i="12" a="1"/>
  <c r="G22" i="12" s="1"/>
  <c r="C66" i="5"/>
  <c r="L75" i="6"/>
  <c r="L76" i="6" s="1"/>
  <c r="L77" i="6" s="1"/>
  <c r="G46" i="12" a="1"/>
  <c r="G46" i="12" s="1"/>
  <c r="G37" i="12" a="1"/>
  <c r="G37" i="12" s="1"/>
  <c r="G58" i="12" a="1"/>
  <c r="G58" i="12" s="1"/>
  <c r="G50" i="12" a="1"/>
  <c r="G50" i="12" s="1"/>
  <c r="G35" i="12" a="1"/>
  <c r="G35" i="12" s="1"/>
  <c r="A64" i="6"/>
  <c r="AD65" i="5"/>
  <c r="B65" i="5"/>
  <c r="J65" i="5"/>
  <c r="A65" i="12"/>
  <c r="J65" i="12" s="1" a="1"/>
  <c r="J65" i="12" s="1"/>
  <c r="B65" i="6"/>
  <c r="D65" i="5"/>
  <c r="B65" i="12" s="1"/>
  <c r="N65" i="5"/>
  <c r="D65" i="6" s="1"/>
  <c r="E65" i="5"/>
  <c r="G20" i="12" a="1"/>
  <c r="G20" i="12" s="1"/>
  <c r="G26" i="12" a="1"/>
  <c r="G26" i="12" s="1"/>
  <c r="G30" i="12" a="1"/>
  <c r="G30" i="12" s="1"/>
  <c r="G34" i="12" a="1"/>
  <c r="G34" i="12" s="1"/>
  <c r="G36" i="12" a="1"/>
  <c r="G36" i="12" s="1"/>
  <c r="G45" i="12" a="1"/>
  <c r="G45" i="12" s="1"/>
  <c r="G52" i="12" a="1"/>
  <c r="G52" i="12" s="1"/>
  <c r="G54" i="12" a="1"/>
  <c r="G54" i="12" s="1"/>
  <c r="G56" i="12" a="1"/>
  <c r="G56" i="12" s="1"/>
  <c r="G23" i="12" a="1"/>
  <c r="G23" i="12" s="1"/>
  <c r="G18" i="12" a="1"/>
  <c r="G18" i="12" s="1"/>
  <c r="G31" i="12" a="1"/>
  <c r="G31" i="12" s="1"/>
  <c r="G33" i="12" a="1"/>
  <c r="G33" i="12" s="1"/>
  <c r="G39" i="12" a="1"/>
  <c r="G39" i="12" s="1"/>
  <c r="G41" i="12" a="1"/>
  <c r="G41" i="12" s="1"/>
  <c r="G49" i="12" a="1"/>
  <c r="G49" i="12" s="1"/>
  <c r="G53" i="12" a="1"/>
  <c r="G53" i="12" s="1"/>
  <c r="G57" i="12" a="1"/>
  <c r="G57" i="12" s="1"/>
  <c r="G61" i="12" a="1"/>
  <c r="G61" i="12" s="1"/>
  <c r="G24" i="12" a="1"/>
  <c r="G24" i="12" s="1"/>
  <c r="G40" i="12" a="1"/>
  <c r="G40" i="12" s="1"/>
  <c r="G47" i="12" a="1"/>
  <c r="G47" i="12" s="1"/>
  <c r="G60" i="12" a="1"/>
  <c r="G60" i="12" s="1"/>
  <c r="G63" i="12" a="1"/>
  <c r="G63" i="12" s="1"/>
  <c r="G19" i="12" a="1"/>
  <c r="G19" i="12" s="1"/>
  <c r="G25" i="12" a="1"/>
  <c r="G25" i="12" s="1"/>
  <c r="G21" i="12" a="1"/>
  <c r="G21" i="12" s="1"/>
  <c r="G29" i="12" a="1"/>
  <c r="G29" i="12" s="1"/>
  <c r="G43" i="12" a="1"/>
  <c r="G43" i="12" s="1"/>
  <c r="G48" i="12" a="1"/>
  <c r="G48" i="12" s="1"/>
  <c r="G55" i="12" a="1"/>
  <c r="G55" i="12" s="1"/>
  <c r="G59" i="12" a="1"/>
  <c r="G59" i="12" s="1"/>
  <c r="M13" i="7"/>
  <c r="L10" i="7"/>
  <c r="F65" i="5" l="1"/>
  <c r="M64" i="6"/>
  <c r="BS64" i="6" s="1"/>
  <c r="N64" i="6"/>
  <c r="K63" i="12"/>
  <c r="K65" i="5"/>
  <c r="H64" i="6" a="1"/>
  <c r="H64" i="6" s="1"/>
  <c r="T64" i="5" s="1"/>
  <c r="G64" i="12" s="1" a="1"/>
  <c r="G64" i="12" s="1"/>
  <c r="BO64" i="6"/>
  <c r="H65" i="6" a="1"/>
  <c r="H65" i="6" s="1"/>
  <c r="T65" i="5" s="1"/>
  <c r="G65" i="12" s="1" a="1"/>
  <c r="G65" i="12" s="1"/>
  <c r="BT64" i="6"/>
  <c r="BM64" i="6"/>
  <c r="CG64" i="6" a="1"/>
  <c r="CG64" i="6" s="1"/>
  <c r="CJ64" i="6" a="1"/>
  <c r="CJ64" i="6" s="1"/>
  <c r="CH64" i="6" a="1"/>
  <c r="CH64" i="6" s="1"/>
  <c r="CI64" i="6" a="1"/>
  <c r="CI64" i="6" s="1"/>
  <c r="CK64" i="6" a="1"/>
  <c r="CK64" i="6" s="1"/>
  <c r="CL64" i="6" a="1"/>
  <c r="CL64" i="6" s="1"/>
  <c r="AX64" i="6"/>
  <c r="CF64" i="6" a="1"/>
  <c r="CF64" i="6" s="1"/>
  <c r="BR64" i="6"/>
  <c r="CM64" i="6" a="1"/>
  <c r="CM64" i="6" s="1"/>
  <c r="C42" i="9"/>
  <c r="F42" i="9" s="1"/>
  <c r="B43" i="9"/>
  <c r="B44" i="9" s="1"/>
  <c r="A66" i="12"/>
  <c r="AE66" i="5" a="1"/>
  <c r="AE66" i="5" s="1"/>
  <c r="H66" i="5"/>
  <c r="N66" i="5"/>
  <c r="E66" i="5"/>
  <c r="D66" i="5"/>
  <c r="B66" i="12" s="1"/>
  <c r="B66" i="5"/>
  <c r="AD66" i="5"/>
  <c r="G66" i="5"/>
  <c r="F66" i="5"/>
  <c r="K66" i="5"/>
  <c r="J66" i="5"/>
  <c r="B66" i="6"/>
  <c r="C67" i="5"/>
  <c r="AO64" i="6"/>
  <c r="L65" i="12" a="1"/>
  <c r="L65" i="12" s="1"/>
  <c r="K65" i="12" s="1"/>
  <c r="AL64" i="6"/>
  <c r="AQ64" i="6"/>
  <c r="AS64" i="6"/>
  <c r="AM64" i="6"/>
  <c r="BX64" i="6" a="1"/>
  <c r="BX64" i="6" s="1"/>
  <c r="BI64" i="6"/>
  <c r="CD64" i="6" a="1"/>
  <c r="CD64" i="6" s="1"/>
  <c r="CC64" i="6" a="1"/>
  <c r="CC64" i="6" s="1"/>
  <c r="BK64" i="6"/>
  <c r="BJ64" i="6"/>
  <c r="BW64" i="6" a="1"/>
  <c r="BW64" i="6" s="1"/>
  <c r="BZ64" i="6" a="1"/>
  <c r="BZ64" i="6" s="1"/>
  <c r="BF64" i="6"/>
  <c r="BG64" i="6"/>
  <c r="BL64" i="6"/>
  <c r="BC64" i="6"/>
  <c r="BY64" i="6" a="1"/>
  <c r="BY64" i="6" s="1"/>
  <c r="CE64" i="6" a="1"/>
  <c r="CE64" i="6" s="1"/>
  <c r="CA64" i="6" a="1"/>
  <c r="CA64" i="6" s="1"/>
  <c r="BH64" i="6"/>
  <c r="AR64" i="6"/>
  <c r="BV64" i="6" a="1"/>
  <c r="BV64" i="6" s="1"/>
  <c r="BD64" i="6"/>
  <c r="CB64" i="6" a="1"/>
  <c r="CB64" i="6" s="1"/>
  <c r="BE64" i="6"/>
  <c r="L78" i="6"/>
  <c r="N13" i="7"/>
  <c r="M10" i="7"/>
  <c r="BP64" i="6" l="1"/>
  <c r="BQ64" i="6"/>
  <c r="AW64" i="6"/>
  <c r="BN64" i="6"/>
  <c r="AY64" i="6"/>
  <c r="AV64" i="6"/>
  <c r="AU64" i="6"/>
  <c r="AJ64" i="6"/>
  <c r="AP64" i="6"/>
  <c r="BA64" i="6"/>
  <c r="AN64" i="6"/>
  <c r="AZ64" i="6"/>
  <c r="AK64" i="6"/>
  <c r="AT64" i="6"/>
  <c r="B45" i="9"/>
  <c r="C44" i="9"/>
  <c r="F44" i="9" s="1"/>
  <c r="C43" i="9"/>
  <c r="F43" i="9" s="1"/>
  <c r="A67" i="12"/>
  <c r="B67" i="6"/>
  <c r="K67" i="5"/>
  <c r="C68" i="5"/>
  <c r="D67" i="5"/>
  <c r="B67" i="12" s="1"/>
  <c r="J67" i="5"/>
  <c r="AD67" i="5"/>
  <c r="AE67" i="5" a="1"/>
  <c r="AE67" i="5" s="1"/>
  <c r="N67" i="5"/>
  <c r="D67" i="6" s="1"/>
  <c r="L66" i="12" a="1"/>
  <c r="L66" i="12" s="1"/>
  <c r="J66" i="12" a="1"/>
  <c r="J66" i="12" s="1"/>
  <c r="E67" i="5"/>
  <c r="H67" i="5"/>
  <c r="D66" i="6"/>
  <c r="B67" i="5"/>
  <c r="F67" i="5"/>
  <c r="G67" i="5"/>
  <c r="L79" i="6"/>
  <c r="L80" i="6" s="1"/>
  <c r="O13" i="7"/>
  <c r="N10" i="7"/>
  <c r="H67" i="6" l="1" a="1"/>
  <c r="H67" i="6" s="1"/>
  <c r="T67" i="5" s="1"/>
  <c r="G67" i="12" s="1" a="1"/>
  <c r="G67" i="12" s="1"/>
  <c r="C45" i="9"/>
  <c r="F45" i="9" s="1"/>
  <c r="K66" i="12"/>
  <c r="F68" i="5"/>
  <c r="AD68" i="5"/>
  <c r="C69" i="5"/>
  <c r="AE68" i="5" a="1"/>
  <c r="AE68" i="5" s="1"/>
  <c r="D68" i="5"/>
  <c r="B68" i="12" s="1"/>
  <c r="H68" i="5"/>
  <c r="A68" i="12"/>
  <c r="K68" i="5"/>
  <c r="E68" i="5"/>
  <c r="G68" i="5"/>
  <c r="B68" i="5"/>
  <c r="J68" i="5"/>
  <c r="B68" i="6"/>
  <c r="N68" i="5"/>
  <c r="D68" i="6" s="1"/>
  <c r="J67" i="12" a="1"/>
  <c r="J67" i="12" s="1"/>
  <c r="L67" i="12" a="1"/>
  <c r="L67" i="12" s="1"/>
  <c r="H66" i="6" a="1"/>
  <c r="H66" i="6" s="1"/>
  <c r="L81" i="6"/>
  <c r="P13" i="7"/>
  <c r="O10" i="7"/>
  <c r="H68" i="6" l="1" a="1"/>
  <c r="H68" i="6" s="1"/>
  <c r="T68" i="5" s="1"/>
  <c r="G68" i="12" s="1" a="1"/>
  <c r="G68" i="12" s="1"/>
  <c r="J68" i="12" a="1"/>
  <c r="J68" i="12" s="1"/>
  <c r="L68" i="12" a="1"/>
  <c r="L68" i="12" s="1"/>
  <c r="T66" i="5"/>
  <c r="D69" i="5"/>
  <c r="B69" i="12" s="1"/>
  <c r="N69" i="5"/>
  <c r="D69" i="6" s="1"/>
  <c r="AD69" i="5"/>
  <c r="J69" i="5"/>
  <c r="E69" i="5"/>
  <c r="G69" i="5"/>
  <c r="B69" i="6"/>
  <c r="C70" i="5"/>
  <c r="A69" i="12"/>
  <c r="AE69" i="5" a="1"/>
  <c r="AE69" i="5" s="1"/>
  <c r="F69" i="5"/>
  <c r="K69" i="5"/>
  <c r="H69" i="5"/>
  <c r="B69" i="5"/>
  <c r="K67" i="12"/>
  <c r="L82" i="6"/>
  <c r="L83" i="6" s="1"/>
  <c r="L84" i="6" s="1"/>
  <c r="L85" i="6" s="1"/>
  <c r="Q13" i="7"/>
  <c r="P10" i="7"/>
  <c r="H69" i="6" l="1" a="1"/>
  <c r="H69" i="6" s="1"/>
  <c r="T69" i="5" s="1"/>
  <c r="G69" i="12" s="1" a="1"/>
  <c r="G69" i="12" s="1"/>
  <c r="K68" i="12"/>
  <c r="L69" i="12" a="1"/>
  <c r="L69" i="12" s="1"/>
  <c r="J69" i="12" a="1"/>
  <c r="J69" i="12" s="1"/>
  <c r="F70" i="5"/>
  <c r="K70" i="5"/>
  <c r="B70" i="5"/>
  <c r="H70" i="5"/>
  <c r="AD70" i="5"/>
  <c r="B70" i="6"/>
  <c r="N70" i="5"/>
  <c r="D70" i="6" s="1"/>
  <c r="J70" i="5"/>
  <c r="AE70" i="5" a="1"/>
  <c r="AE70" i="5" s="1"/>
  <c r="E70" i="5"/>
  <c r="C71" i="5"/>
  <c r="A70" i="12"/>
  <c r="G70" i="5"/>
  <c r="D70" i="5"/>
  <c r="B70" i="12" s="1"/>
  <c r="G66" i="12" a="1"/>
  <c r="G66" i="12" s="1"/>
  <c r="F83" i="6"/>
  <c r="L86" i="6"/>
  <c r="R13" i="7"/>
  <c r="Q10" i="7"/>
  <c r="H70" i="6" l="1" a="1"/>
  <c r="H70" i="6" s="1"/>
  <c r="T70" i="5" s="1"/>
  <c r="G70" i="12" s="1" a="1"/>
  <c r="G70" i="12" s="1"/>
  <c r="K69" i="12"/>
  <c r="L70" i="12" a="1"/>
  <c r="L70" i="12" s="1"/>
  <c r="J70" i="12" a="1"/>
  <c r="J70" i="12" s="1"/>
  <c r="B71" i="5"/>
  <c r="G71" i="5"/>
  <c r="D71" i="5"/>
  <c r="B71" i="12" s="1"/>
  <c r="E71" i="5"/>
  <c r="K71" i="5"/>
  <c r="B71" i="6"/>
  <c r="AE71" i="5" a="1"/>
  <c r="AE71" i="5" s="1"/>
  <c r="F71" i="5"/>
  <c r="N71" i="5"/>
  <c r="D71" i="6" s="1"/>
  <c r="C72" i="5"/>
  <c r="H71" i="5"/>
  <c r="AD71" i="5"/>
  <c r="A71" i="12"/>
  <c r="J71" i="5"/>
  <c r="L87" i="6"/>
  <c r="S13" i="7"/>
  <c r="R10" i="7"/>
  <c r="H71" i="6" l="1" a="1"/>
  <c r="H71" i="6" s="1"/>
  <c r="T71" i="5" s="1"/>
  <c r="G71" i="12" s="1" a="1"/>
  <c r="G71" i="12" s="1"/>
  <c r="K72" i="5"/>
  <c r="J72" i="5"/>
  <c r="G72" i="5"/>
  <c r="F72" i="5"/>
  <c r="AE72" i="5" a="1"/>
  <c r="AE72" i="5" s="1"/>
  <c r="A72" i="12"/>
  <c r="H72" i="5"/>
  <c r="AD72" i="5"/>
  <c r="E72" i="5"/>
  <c r="B72" i="5"/>
  <c r="D72" i="5"/>
  <c r="B72" i="12" s="1"/>
  <c r="N72" i="5"/>
  <c r="D72" i="6" s="1"/>
  <c r="C73" i="5"/>
  <c r="B72" i="6"/>
  <c r="J71" i="12" a="1"/>
  <c r="J71" i="12" s="1"/>
  <c r="L71" i="12" a="1"/>
  <c r="L71" i="12" s="1"/>
  <c r="K70" i="12"/>
  <c r="L88" i="6"/>
  <c r="T13" i="7"/>
  <c r="S10" i="7"/>
  <c r="H72" i="6" l="1" a="1"/>
  <c r="H72" i="6" s="1"/>
  <c r="T72" i="5" s="1"/>
  <c r="G72" i="12" s="1" a="1"/>
  <c r="G72" i="12" s="1"/>
  <c r="K71" i="12"/>
  <c r="L72" i="12" a="1"/>
  <c r="L72" i="12" s="1"/>
  <c r="J72" i="12" a="1"/>
  <c r="J72" i="12" s="1"/>
  <c r="C74" i="5"/>
  <c r="B73" i="6"/>
  <c r="AE73" i="5" a="1"/>
  <c r="AE73" i="5" s="1"/>
  <c r="F73" i="5"/>
  <c r="H73" i="5"/>
  <c r="B73" i="5"/>
  <c r="J73" i="5"/>
  <c r="D73" i="5"/>
  <c r="B73" i="12" s="1"/>
  <c r="G73" i="5"/>
  <c r="K73" i="5"/>
  <c r="E73" i="5"/>
  <c r="N73" i="5"/>
  <c r="D73" i="6" s="1"/>
  <c r="A73" i="12"/>
  <c r="AD73" i="5"/>
  <c r="L89" i="6"/>
  <c r="U13" i="7"/>
  <c r="T10" i="7"/>
  <c r="H73" i="6" l="1" a="1"/>
  <c r="H73" i="6" s="1"/>
  <c r="T73" i="5" s="1"/>
  <c r="G73" i="12" s="1" a="1"/>
  <c r="G73" i="12" s="1"/>
  <c r="G74" i="5"/>
  <c r="E74" i="5"/>
  <c r="F74" i="5"/>
  <c r="K72" i="12"/>
  <c r="H74" i="5"/>
  <c r="J74" i="5"/>
  <c r="AD74" i="5"/>
  <c r="K74" i="5"/>
  <c r="A74" i="12"/>
  <c r="B74" i="6"/>
  <c r="AE74" i="5" a="1"/>
  <c r="AE74" i="5" s="1"/>
  <c r="N74" i="5"/>
  <c r="D74" i="6" s="1"/>
  <c r="D74" i="5"/>
  <c r="B74" i="12" s="1"/>
  <c r="J73" i="12" a="1"/>
  <c r="J73" i="12" s="1"/>
  <c r="L73" i="12" a="1"/>
  <c r="L73" i="12" s="1"/>
  <c r="B74" i="5"/>
  <c r="C75" i="5" s="1"/>
  <c r="L90" i="6"/>
  <c r="V13" i="7"/>
  <c r="U10" i="7"/>
  <c r="K10" i="7"/>
  <c r="K73" i="12" l="1"/>
  <c r="A75" i="12"/>
  <c r="E75" i="5"/>
  <c r="AD75" i="5"/>
  <c r="AF75" i="5" a="1"/>
  <c r="AF75" i="5" s="1"/>
  <c r="AE75" i="5" a="1"/>
  <c r="AE75" i="5" s="1"/>
  <c r="G75" i="5"/>
  <c r="B75" i="6"/>
  <c r="B75" i="5"/>
  <c r="C76" i="5" s="1"/>
  <c r="W75" i="5" a="1"/>
  <c r="W75" i="5" s="1"/>
  <c r="H75" i="12" s="1" a="1"/>
  <c r="H75" i="12" s="1"/>
  <c r="H75" i="5"/>
  <c r="F75" i="5"/>
  <c r="N75" i="5"/>
  <c r="D75" i="6" s="1"/>
  <c r="H74" i="6" a="1"/>
  <c r="H74" i="6" s="1"/>
  <c r="L74" i="12" a="1"/>
  <c r="L74" i="12" s="1"/>
  <c r="J74" i="12" a="1"/>
  <c r="J74" i="12" s="1"/>
  <c r="E75" i="12"/>
  <c r="F75" i="6"/>
  <c r="W13" i="7"/>
  <c r="V10" i="7"/>
  <c r="T14" i="5"/>
  <c r="G14" i="12" s="1" a="1"/>
  <c r="G14" i="12" s="1"/>
  <c r="T74" i="5" l="1"/>
  <c r="G74" i="12" s="1" a="1"/>
  <c r="G74" i="12" s="1"/>
  <c r="M75" i="6"/>
  <c r="CE75" i="6" s="1" a="1"/>
  <c r="CE75" i="6" s="1"/>
  <c r="H75" i="6" a="1"/>
  <c r="H75" i="6" s="1"/>
  <c r="N75" i="6"/>
  <c r="G75" i="6"/>
  <c r="N76" i="5"/>
  <c r="D76" i="6" s="1"/>
  <c r="B76" i="5"/>
  <c r="G76" i="5"/>
  <c r="B76" i="6"/>
  <c r="C77" i="5"/>
  <c r="A76" i="12"/>
  <c r="F76" i="5"/>
  <c r="AE76" i="5" a="1"/>
  <c r="AE76" i="5" s="1"/>
  <c r="H76" i="5"/>
  <c r="AD76" i="5"/>
  <c r="E76" i="5"/>
  <c r="K74" i="12"/>
  <c r="AG75" i="5" a="1"/>
  <c r="AG75" i="5" s="1"/>
  <c r="U75" i="5" s="1"/>
  <c r="AN75" i="5" s="1" a="1"/>
  <c r="AN75" i="5" s="1"/>
  <c r="S75" i="5" a="1"/>
  <c r="S75" i="5" s="1"/>
  <c r="F75" i="12" s="1" a="1"/>
  <c r="F75" i="12" s="1"/>
  <c r="I75" i="5"/>
  <c r="L91" i="6"/>
  <c r="F91" i="6" s="1"/>
  <c r="X13" i="7"/>
  <c r="W10" i="7"/>
  <c r="BA75" i="6" l="1"/>
  <c r="BM75" i="6"/>
  <c r="BP75" i="6"/>
  <c r="BQ75" i="6"/>
  <c r="CK75" i="6" a="1"/>
  <c r="CK75" i="6" s="1"/>
  <c r="CG75" i="6" a="1"/>
  <c r="CG75" i="6" s="1"/>
  <c r="BR75" i="6"/>
  <c r="CM75" i="6" a="1"/>
  <c r="CM75" i="6" s="1"/>
  <c r="CL75" i="6" a="1"/>
  <c r="CL75" i="6" s="1"/>
  <c r="AZ75" i="6"/>
  <c r="CH75" i="6" a="1"/>
  <c r="CH75" i="6" s="1"/>
  <c r="CI75" i="6" a="1"/>
  <c r="CI75" i="6" s="1"/>
  <c r="AT75" i="6"/>
  <c r="CJ75" i="6" a="1"/>
  <c r="CJ75" i="6" s="1"/>
  <c r="AY75" i="6"/>
  <c r="AW75" i="6"/>
  <c r="BN75" i="6"/>
  <c r="AX75" i="6"/>
  <c r="CF75" i="6" a="1"/>
  <c r="CF75" i="6" s="1"/>
  <c r="BO75" i="6"/>
  <c r="H76" i="6" a="1"/>
  <c r="H76" i="6" s="1"/>
  <c r="T76" i="5" s="1"/>
  <c r="G76" i="12" s="1" a="1"/>
  <c r="G76" i="12" s="1"/>
  <c r="AU75" i="6"/>
  <c r="AV75" i="6"/>
  <c r="BS75" i="6"/>
  <c r="BT75" i="6"/>
  <c r="BV75" i="6" a="1"/>
  <c r="BV75" i="6" s="1"/>
  <c r="BG75" i="6"/>
  <c r="BY75" i="6" a="1"/>
  <c r="BY75" i="6" s="1"/>
  <c r="BX75" i="6" a="1"/>
  <c r="BX75" i="6" s="1"/>
  <c r="AP75" i="6"/>
  <c r="BD75" i="6"/>
  <c r="BF75" i="6"/>
  <c r="BZ75" i="6" a="1"/>
  <c r="BZ75" i="6" s="1"/>
  <c r="CD75" i="6" a="1"/>
  <c r="CD75" i="6" s="1"/>
  <c r="BE75" i="6"/>
  <c r="BW75" i="6" a="1"/>
  <c r="BW75" i="6" s="1"/>
  <c r="B77" i="5"/>
  <c r="K77" i="5"/>
  <c r="C78" i="5"/>
  <c r="AD77" i="5"/>
  <c r="N77" i="5"/>
  <c r="D77" i="6" s="1"/>
  <c r="E77" i="5"/>
  <c r="G77" i="5"/>
  <c r="B77" i="6"/>
  <c r="F77" i="5"/>
  <c r="J77" i="5"/>
  <c r="H77" i="5"/>
  <c r="A77" i="12"/>
  <c r="D77" i="5"/>
  <c r="B77" i="12" s="1"/>
  <c r="AE77" i="5" a="1"/>
  <c r="AE77" i="5" s="1"/>
  <c r="BH75" i="6"/>
  <c r="BC75" i="6"/>
  <c r="BJ75" i="6"/>
  <c r="CC75" i="6" a="1"/>
  <c r="CC75" i="6" s="1"/>
  <c r="BK75" i="6"/>
  <c r="AS75" i="6"/>
  <c r="AJ75" i="6"/>
  <c r="AK75" i="6"/>
  <c r="AN75" i="6"/>
  <c r="AM75" i="6"/>
  <c r="T75" i="5"/>
  <c r="G75" i="12" s="1" a="1"/>
  <c r="G75" i="12" s="1"/>
  <c r="AL75" i="6"/>
  <c r="AR75" i="6"/>
  <c r="AQ75" i="6"/>
  <c r="AO75" i="6"/>
  <c r="CB75" i="6" a="1"/>
  <c r="CB75" i="6" s="1"/>
  <c r="BL75" i="6"/>
  <c r="CA75" i="6" a="1"/>
  <c r="CA75" i="6" s="1"/>
  <c r="BI75" i="6"/>
  <c r="L92" i="6"/>
  <c r="Y13" i="7"/>
  <c r="X10" i="7"/>
  <c r="A8" i="9"/>
  <c r="B7" i="9" a="1"/>
  <c r="B7" i="9" s="1"/>
  <c r="H77" i="6" l="1" a="1"/>
  <c r="H77" i="6" s="1"/>
  <c r="T77" i="5" s="1"/>
  <c r="G77" i="12" s="1" a="1"/>
  <c r="G77" i="12" s="1"/>
  <c r="B78" i="6"/>
  <c r="C79" i="5"/>
  <c r="H78" i="5"/>
  <c r="J78" i="5"/>
  <c r="A78" i="12"/>
  <c r="AE78" i="5" a="1"/>
  <c r="AE78" i="5" s="1"/>
  <c r="F78" i="5"/>
  <c r="AD78" i="5"/>
  <c r="N78" i="5"/>
  <c r="D78" i="6" s="1"/>
  <c r="K78" i="5"/>
  <c r="G78" i="5"/>
  <c r="D78" i="5"/>
  <c r="B78" i="12" s="1"/>
  <c r="E78" i="5"/>
  <c r="B78" i="5"/>
  <c r="J77" i="12" a="1"/>
  <c r="J77" i="12" s="1"/>
  <c r="L77" i="12" a="1"/>
  <c r="L77" i="12" s="1"/>
  <c r="Y10" i="7"/>
  <c r="D15" i="7"/>
  <c r="C16" i="7" s="1" a="1"/>
  <c r="C16" i="7" s="1"/>
  <c r="C17" i="7" s="1" a="1"/>
  <c r="C17" i="7" s="1"/>
  <c r="B15" i="10"/>
  <c r="B16" i="10" s="1"/>
  <c r="B17" i="10" s="1"/>
  <c r="C17" i="10" s="1"/>
  <c r="A17" i="10" s="1"/>
  <c r="B17" i="7" l="1"/>
  <c r="H78" i="6" a="1"/>
  <c r="H78" i="6" s="1"/>
  <c r="T78" i="5" s="1"/>
  <c r="G78" i="12" s="1" a="1"/>
  <c r="G78" i="12" s="1"/>
  <c r="K77" i="12"/>
  <c r="L78" i="12" a="1"/>
  <c r="L78" i="12" s="1"/>
  <c r="J78" i="12" a="1"/>
  <c r="J78" i="12" s="1"/>
  <c r="C80" i="5"/>
  <c r="N79" i="5"/>
  <c r="D79" i="6" s="1"/>
  <c r="G79" i="5"/>
  <c r="A79" i="12"/>
  <c r="AE79" i="5" a="1"/>
  <c r="AE79" i="5" s="1"/>
  <c r="F79" i="5"/>
  <c r="K79" i="5"/>
  <c r="J79" i="5"/>
  <c r="D79" i="5"/>
  <c r="B79" i="12" s="1"/>
  <c r="H79" i="5"/>
  <c r="B79" i="5"/>
  <c r="E79" i="5"/>
  <c r="B79" i="6"/>
  <c r="AD79" i="5"/>
  <c r="L93" i="6"/>
  <c r="L94" i="6" s="1"/>
  <c r="L95" i="6" s="1"/>
  <c r="B18" i="10"/>
  <c r="B16" i="7"/>
  <c r="C18" i="7" a="1"/>
  <c r="C18" i="7" s="1"/>
  <c r="A15" i="10"/>
  <c r="B15" i="7"/>
  <c r="C15" i="9"/>
  <c r="F15" i="9" s="1"/>
  <c r="C15" i="10"/>
  <c r="A15" i="7"/>
  <c r="H79" i="6" l="1" a="1"/>
  <c r="H79" i="6" s="1"/>
  <c r="T79" i="5" s="1"/>
  <c r="G79" i="12" s="1" a="1"/>
  <c r="G79" i="12" s="1"/>
  <c r="F80" i="5"/>
  <c r="E80" i="5"/>
  <c r="H80" i="5"/>
  <c r="G80" i="5"/>
  <c r="L79" i="12" a="1"/>
  <c r="L79" i="12" s="1"/>
  <c r="J79" i="12" a="1"/>
  <c r="J79" i="12" s="1"/>
  <c r="K78" i="12"/>
  <c r="J80" i="5"/>
  <c r="K80" i="5"/>
  <c r="B80" i="6"/>
  <c r="D80" i="5"/>
  <c r="B80" i="12" s="1"/>
  <c r="N80" i="5"/>
  <c r="D80" i="6" s="1"/>
  <c r="C81" i="5"/>
  <c r="AD80" i="5"/>
  <c r="A80" i="12"/>
  <c r="AE80" i="5" a="1"/>
  <c r="AE80" i="5" s="1"/>
  <c r="B80" i="5"/>
  <c r="B18" i="7"/>
  <c r="C19" i="7" a="1"/>
  <c r="C19" i="7" s="1"/>
  <c r="L96" i="6"/>
  <c r="B19" i="10"/>
  <c r="D21" i="2"/>
  <c r="H80" i="6" l="1" a="1"/>
  <c r="H80" i="6" s="1"/>
  <c r="T80" i="5" s="1"/>
  <c r="G80" i="12" s="1" a="1"/>
  <c r="G80" i="12" s="1"/>
  <c r="K79" i="12"/>
  <c r="A81" i="12"/>
  <c r="E81" i="5"/>
  <c r="AE81" i="5" a="1"/>
  <c r="AE81" i="5" s="1"/>
  <c r="AD81" i="5"/>
  <c r="G81" i="5"/>
  <c r="H81" i="5"/>
  <c r="F81" i="5"/>
  <c r="D81" i="5"/>
  <c r="B81" i="12" s="1"/>
  <c r="J81" i="5"/>
  <c r="N81" i="5"/>
  <c r="D81" i="6" s="1"/>
  <c r="K81" i="5"/>
  <c r="B81" i="6"/>
  <c r="C82" i="5"/>
  <c r="B81" i="5"/>
  <c r="J80" i="12" a="1"/>
  <c r="J80" i="12" s="1"/>
  <c r="L80" i="12" a="1"/>
  <c r="L80" i="12" s="1"/>
  <c r="L97" i="6"/>
  <c r="B20" i="10"/>
  <c r="B19" i="7"/>
  <c r="C20" i="7" a="1"/>
  <c r="C20" i="7" s="1"/>
  <c r="N14" i="6"/>
  <c r="H81" i="6" l="1" a="1"/>
  <c r="H81" i="6" s="1"/>
  <c r="T81" i="5" s="1"/>
  <c r="G81" i="12" s="1" a="1"/>
  <c r="G81" i="12" s="1"/>
  <c r="K80" i="12"/>
  <c r="AE82" i="5" a="1"/>
  <c r="AE82" i="5" s="1"/>
  <c r="AD82" i="5"/>
  <c r="B82" i="5"/>
  <c r="C83" i="5" s="1"/>
  <c r="J82" i="5"/>
  <c r="H82" i="5"/>
  <c r="N82" i="5"/>
  <c r="D82" i="6" s="1"/>
  <c r="E82" i="5"/>
  <c r="F82" i="5"/>
  <c r="A82" i="12"/>
  <c r="D82" i="5"/>
  <c r="B82" i="12" s="1"/>
  <c r="G82" i="5"/>
  <c r="K82" i="5"/>
  <c r="B82" i="6"/>
  <c r="J81" i="12" a="1"/>
  <c r="J81" i="12" s="1"/>
  <c r="L81" i="12" a="1"/>
  <c r="L81" i="12" s="1"/>
  <c r="B21" i="10"/>
  <c r="L98" i="6"/>
  <c r="B20" i="7"/>
  <c r="C21" i="7" a="1"/>
  <c r="C21" i="7" s="1"/>
  <c r="U1" i="7" a="1"/>
  <c r="U1" i="7" s="1"/>
  <c r="W1" i="7" a="1"/>
  <c r="W1" i="7" s="1"/>
  <c r="Y1" i="7" a="1"/>
  <c r="Y1" i="7" s="1"/>
  <c r="T1" i="7" a="1"/>
  <c r="T1" i="7" s="1"/>
  <c r="V1" i="7" a="1"/>
  <c r="V1" i="7" s="1"/>
  <c r="X1" i="7" a="1"/>
  <c r="X1" i="7" s="1"/>
  <c r="K81" i="12" l="1"/>
  <c r="AE83" i="5" a="1"/>
  <c r="AE83" i="5" s="1"/>
  <c r="B83" i="5"/>
  <c r="A83" i="12"/>
  <c r="N83" i="5"/>
  <c r="AD83" i="5"/>
  <c r="E83" i="5"/>
  <c r="B83" i="6"/>
  <c r="G83" i="5"/>
  <c r="AF83" i="5" a="1"/>
  <c r="AF83" i="5" s="1"/>
  <c r="AG83" i="5" s="1" a="1"/>
  <c r="AG83" i="5" s="1"/>
  <c r="U83" i="5" s="1"/>
  <c r="AN83" i="5" s="1" a="1"/>
  <c r="AN83" i="5" s="1"/>
  <c r="H83" i="5"/>
  <c r="I83" i="5"/>
  <c r="C84" i="5"/>
  <c r="F83" i="5"/>
  <c r="W83" i="5" a="1"/>
  <c r="W83" i="5" s="1"/>
  <c r="H83" i="12" s="1" a="1"/>
  <c r="H83" i="12" s="1"/>
  <c r="H82" i="6" a="1"/>
  <c r="H82" i="6" s="1"/>
  <c r="J82" i="12" a="1"/>
  <c r="J82" i="12" s="1"/>
  <c r="L82" i="12" a="1"/>
  <c r="L82" i="12" s="1"/>
  <c r="B21" i="7"/>
  <c r="C22" i="7" a="1"/>
  <c r="C22" i="7" s="1"/>
  <c r="L99" i="6"/>
  <c r="F98" i="6"/>
  <c r="B22" i="10"/>
  <c r="C23" i="7" l="1" a="1"/>
  <c r="C23" i="7" s="1"/>
  <c r="B23" i="10"/>
  <c r="K82" i="12"/>
  <c r="C85" i="5"/>
  <c r="B84" i="6"/>
  <c r="AD84" i="5"/>
  <c r="E84" i="5"/>
  <c r="F84" i="5"/>
  <c r="D84" i="5"/>
  <c r="B84" i="12" s="1"/>
  <c r="J84" i="5"/>
  <c r="K84" i="5"/>
  <c r="AE84" i="5" a="1"/>
  <c r="AE84" i="5" s="1"/>
  <c r="H84" i="5"/>
  <c r="A84" i="12"/>
  <c r="N84" i="5"/>
  <c r="D84" i="6" s="1"/>
  <c r="G84" i="5"/>
  <c r="B84" i="5"/>
  <c r="T82" i="5"/>
  <c r="G82" i="12" s="1" a="1"/>
  <c r="G82" i="12" s="1"/>
  <c r="J83" i="6" a="1"/>
  <c r="J83" i="6" s="1"/>
  <c r="D83" i="6"/>
  <c r="L100" i="6"/>
  <c r="B22" i="7"/>
  <c r="F15" i="7" a="1"/>
  <c r="F15" i="7" s="1"/>
  <c r="A83" i="6" l="1"/>
  <c r="B24" i="10"/>
  <c r="C23" i="10"/>
  <c r="A23" i="10" s="1"/>
  <c r="B23" i="7"/>
  <c r="C24" i="7" a="1"/>
  <c r="C24" i="7" s="1"/>
  <c r="G85" i="5"/>
  <c r="F85" i="5"/>
  <c r="E85" i="5"/>
  <c r="H85" i="5"/>
  <c r="B85" i="5"/>
  <c r="H84" i="6" a="1"/>
  <c r="H84" i="6" s="1"/>
  <c r="J84" i="12" a="1"/>
  <c r="J84" i="12" s="1"/>
  <c r="L84" i="12" a="1"/>
  <c r="L84" i="12" s="1"/>
  <c r="H83" i="6" a="1"/>
  <c r="H83" i="6" s="1"/>
  <c r="T83" i="5" s="1"/>
  <c r="G83" i="6"/>
  <c r="N83" i="6"/>
  <c r="M83" i="6"/>
  <c r="BQ83" i="6" s="1"/>
  <c r="D85" i="5"/>
  <c r="B85" i="12" s="1"/>
  <c r="C86" i="5"/>
  <c r="K85" i="5"/>
  <c r="J85" i="5"/>
  <c r="N85" i="5"/>
  <c r="D85" i="6" s="1"/>
  <c r="A85" i="12"/>
  <c r="B85" i="6"/>
  <c r="AD85" i="5"/>
  <c r="AE85" i="5" a="1"/>
  <c r="AE85" i="5" s="1"/>
  <c r="L101" i="6"/>
  <c r="I15" i="7"/>
  <c r="J15" i="7"/>
  <c r="Q15" i="7"/>
  <c r="L15" i="7"/>
  <c r="K15" i="7"/>
  <c r="BM83" i="6" l="1"/>
  <c r="AV83" i="6"/>
  <c r="BR83" i="6"/>
  <c r="BT83" i="6"/>
  <c r="CI83" i="6" a="1"/>
  <c r="CI83" i="6" s="1"/>
  <c r="BN83" i="6"/>
  <c r="BS83" i="6"/>
  <c r="AX83" i="6"/>
  <c r="CJ83" i="6" a="1"/>
  <c r="CJ83" i="6" s="1"/>
  <c r="AW83" i="6"/>
  <c r="AU83" i="6"/>
  <c r="CH83" i="6" a="1"/>
  <c r="CH83" i="6" s="1"/>
  <c r="AY83" i="6"/>
  <c r="CF83" i="6" a="1"/>
  <c r="CF83" i="6" s="1"/>
  <c r="AZ83" i="6"/>
  <c r="CM83" i="6" a="1"/>
  <c r="CM83" i="6" s="1"/>
  <c r="BA83" i="6"/>
  <c r="CG83" i="6" a="1"/>
  <c r="CG83" i="6" s="1"/>
  <c r="BO83" i="6"/>
  <c r="CK83" i="6" a="1"/>
  <c r="CK83" i="6" s="1"/>
  <c r="BP83" i="6"/>
  <c r="CL83" i="6" a="1"/>
  <c r="CL83" i="6" s="1"/>
  <c r="AT83" i="6"/>
  <c r="B24" i="7"/>
  <c r="C25" i="7" a="1"/>
  <c r="C25" i="7" s="1"/>
  <c r="B25" i="10"/>
  <c r="C24" i="10"/>
  <c r="A24" i="10" s="1"/>
  <c r="CB83" i="6" a="1"/>
  <c r="CB83" i="6" s="1"/>
  <c r="CD83" i="6" a="1"/>
  <c r="CD83" i="6" s="1"/>
  <c r="BG83" i="6"/>
  <c r="BE83" i="6"/>
  <c r="AL83" i="6"/>
  <c r="AO83" i="6"/>
  <c r="AM83" i="6"/>
  <c r="BZ83" i="6" a="1"/>
  <c r="BZ83" i="6" s="1"/>
  <c r="BD83" i="6"/>
  <c r="CA83" i="6" a="1"/>
  <c r="CA83" i="6" s="1"/>
  <c r="BK83" i="6"/>
  <c r="BW83" i="6" a="1"/>
  <c r="BW83" i="6" s="1"/>
  <c r="BI83" i="6"/>
  <c r="AQ83" i="6"/>
  <c r="K84" i="12"/>
  <c r="AS83" i="6"/>
  <c r="BJ83" i="6"/>
  <c r="BV83" i="6" a="1"/>
  <c r="BV83" i="6" s="1"/>
  <c r="CE83" i="6" a="1"/>
  <c r="CE83" i="6" s="1"/>
  <c r="AN83" i="6"/>
  <c r="BC83" i="6"/>
  <c r="BL83" i="6"/>
  <c r="AP83" i="6"/>
  <c r="BH83" i="6"/>
  <c r="J85" i="12" a="1"/>
  <c r="J85" i="12" s="1"/>
  <c r="L85" i="12" a="1"/>
  <c r="L85" i="12" s="1"/>
  <c r="G83" i="12" a="1"/>
  <c r="G83" i="12" s="1"/>
  <c r="H85" i="6" a="1"/>
  <c r="H85" i="6" s="1"/>
  <c r="AK83" i="6"/>
  <c r="T84" i="5"/>
  <c r="G84" i="12" s="1" a="1"/>
  <c r="G84" i="12" s="1"/>
  <c r="AR83" i="6"/>
  <c r="BF83" i="6"/>
  <c r="BY83" i="6" a="1"/>
  <c r="BY83" i="6" s="1"/>
  <c r="BX83" i="6" a="1"/>
  <c r="BX83" i="6" s="1"/>
  <c r="CC83" i="6" a="1"/>
  <c r="CC83" i="6" s="1"/>
  <c r="J86" i="5"/>
  <c r="E86" i="5"/>
  <c r="H86" i="5"/>
  <c r="A86" i="12"/>
  <c r="D86" i="5"/>
  <c r="B86" i="12" s="1"/>
  <c r="AD86" i="5"/>
  <c r="C87" i="5"/>
  <c r="F86" i="5"/>
  <c r="B86" i="5"/>
  <c r="AE86" i="5" a="1"/>
  <c r="AE86" i="5" s="1"/>
  <c r="N86" i="5"/>
  <c r="D86" i="6" s="1"/>
  <c r="G86" i="5"/>
  <c r="K86" i="5"/>
  <c r="B86" i="6"/>
  <c r="AJ83" i="6"/>
  <c r="L102" i="6"/>
  <c r="P15" i="7"/>
  <c r="S15" i="7"/>
  <c r="N15" i="7"/>
  <c r="X15" i="7"/>
  <c r="R15" i="7"/>
  <c r="O15" i="7"/>
  <c r="T15" i="7"/>
  <c r="Y15" i="7"/>
  <c r="U15" i="7"/>
  <c r="M15" i="7"/>
  <c r="V15" i="7"/>
  <c r="W15" i="7"/>
  <c r="B26" i="10" l="1"/>
  <c r="C25" i="10"/>
  <c r="A25" i="10" s="1"/>
  <c r="C26" i="7" a="1"/>
  <c r="C26" i="7" s="1"/>
  <c r="B25" i="7"/>
  <c r="T85" i="5"/>
  <c r="G85" i="12" s="1" a="1"/>
  <c r="G85" i="12" s="1"/>
  <c r="H86" i="6" a="1"/>
  <c r="H86" i="6" s="1"/>
  <c r="T86" i="5" s="1"/>
  <c r="G86" i="12" s="1" a="1"/>
  <c r="G86" i="12" s="1"/>
  <c r="J86" i="12" a="1"/>
  <c r="J86" i="12" s="1"/>
  <c r="L86" i="12" a="1"/>
  <c r="L86" i="12" s="1"/>
  <c r="K85" i="12"/>
  <c r="AE87" i="5" a="1"/>
  <c r="AE87" i="5" s="1"/>
  <c r="D87" i="5"/>
  <c r="B87" i="12" s="1"/>
  <c r="B87" i="5"/>
  <c r="K87" i="5"/>
  <c r="N87" i="5"/>
  <c r="D87" i="6" s="1"/>
  <c r="B87" i="6"/>
  <c r="C88" i="5"/>
  <c r="A87" i="12"/>
  <c r="H87" i="5"/>
  <c r="J87" i="5"/>
  <c r="F87" i="5"/>
  <c r="AD87" i="5"/>
  <c r="E87" i="5"/>
  <c r="G87" i="5"/>
  <c r="L103" i="6"/>
  <c r="L104" i="6" s="1"/>
  <c r="H15" i="7"/>
  <c r="E15" i="7"/>
  <c r="B26" i="7" l="1"/>
  <c r="C27" i="7" a="1"/>
  <c r="C27" i="7" s="1"/>
  <c r="B27" i="10"/>
  <c r="C26" i="10"/>
  <c r="A26" i="10" s="1"/>
  <c r="K86" i="12"/>
  <c r="H87" i="6" a="1"/>
  <c r="H87" i="6" s="1"/>
  <c r="T87" i="5" s="1"/>
  <c r="G87" i="12" s="1" a="1"/>
  <c r="G87" i="12" s="1"/>
  <c r="J87" i="12" a="1"/>
  <c r="J87" i="12" s="1"/>
  <c r="L87" i="12" a="1"/>
  <c r="L87" i="12" s="1"/>
  <c r="C89" i="5"/>
  <c r="J88" i="5"/>
  <c r="A88" i="12"/>
  <c r="AD88" i="5"/>
  <c r="E88" i="5"/>
  <c r="B88" i="5"/>
  <c r="G88" i="5"/>
  <c r="F88" i="5"/>
  <c r="K88" i="5"/>
  <c r="D88" i="5"/>
  <c r="B88" i="12" s="1"/>
  <c r="H88" i="5"/>
  <c r="B88" i="6"/>
  <c r="AE88" i="5" a="1"/>
  <c r="AE88" i="5" s="1"/>
  <c r="N88" i="5"/>
  <c r="D88" i="6" s="1"/>
  <c r="L105" i="6"/>
  <c r="C27" i="10" l="1"/>
  <c r="A27" i="10" s="1"/>
  <c r="B28" i="10"/>
  <c r="B27" i="7"/>
  <c r="C28" i="7" a="1"/>
  <c r="C28" i="7" s="1"/>
  <c r="K87" i="12"/>
  <c r="H89" i="5"/>
  <c r="N89" i="5"/>
  <c r="D89" i="6" s="1"/>
  <c r="B89" i="6"/>
  <c r="B89" i="5"/>
  <c r="C90" i="5"/>
  <c r="F89" i="5"/>
  <c r="D89" i="5"/>
  <c r="B89" i="12" s="1"/>
  <c r="G89" i="5"/>
  <c r="A89" i="12"/>
  <c r="J89" i="5"/>
  <c r="AD89" i="5"/>
  <c r="AE89" i="5" a="1"/>
  <c r="AE89" i="5" s="1"/>
  <c r="K89" i="5"/>
  <c r="E89" i="5"/>
  <c r="H88" i="6" a="1"/>
  <c r="H88" i="6" s="1"/>
  <c r="T88" i="5" s="1"/>
  <c r="G88" i="12" s="1" a="1"/>
  <c r="G88" i="12" s="1"/>
  <c r="L88" i="12" a="1"/>
  <c r="L88" i="12" s="1"/>
  <c r="J88" i="12" a="1"/>
  <c r="J88" i="12" s="1"/>
  <c r="L106" i="6"/>
  <c r="F105" i="6"/>
  <c r="C28" i="10" l="1"/>
  <c r="A28" i="10" s="1"/>
  <c r="B29" i="10"/>
  <c r="B28" i="7"/>
  <c r="C29" i="7" a="1"/>
  <c r="C29" i="7" s="1"/>
  <c r="D90" i="5"/>
  <c r="B90" i="12" s="1"/>
  <c r="F90" i="5"/>
  <c r="A90" i="12"/>
  <c r="N90" i="5"/>
  <c r="D90" i="6" s="1"/>
  <c r="E90" i="5"/>
  <c r="K90" i="5"/>
  <c r="H90" i="5"/>
  <c r="J90" i="5"/>
  <c r="G90" i="5"/>
  <c r="AE90" i="5" a="1"/>
  <c r="AE90" i="5" s="1"/>
  <c r="B90" i="5"/>
  <c r="C91" i="5" s="1"/>
  <c r="AF91" i="5" s="1" a="1"/>
  <c r="AF91" i="5" s="1"/>
  <c r="AG91" i="5" s="1" a="1"/>
  <c r="AG91" i="5" s="1"/>
  <c r="U91" i="5" s="1"/>
  <c r="AN91" i="5" s="1" a="1"/>
  <c r="AN91" i="5" s="1"/>
  <c r="AD90" i="5"/>
  <c r="B90" i="6"/>
  <c r="L89" i="12" a="1"/>
  <c r="L89" i="12" s="1"/>
  <c r="J89" i="12" a="1"/>
  <c r="J89" i="12" s="1"/>
  <c r="H89" i="6" a="1"/>
  <c r="H89" i="6" s="1"/>
  <c r="T89" i="5" s="1"/>
  <c r="G89" i="12" s="1" a="1"/>
  <c r="G89" i="12" s="1"/>
  <c r="K88" i="12"/>
  <c r="L107" i="6"/>
  <c r="L108" i="6" s="1"/>
  <c r="AO12" i="13"/>
  <c r="AL12" i="13"/>
  <c r="B29" i="7" l="1"/>
  <c r="C30" i="7" a="1"/>
  <c r="C30" i="7" s="1"/>
  <c r="B30" i="10"/>
  <c r="C29" i="10"/>
  <c r="A29" i="10" s="1"/>
  <c r="B91" i="5"/>
  <c r="B91" i="6"/>
  <c r="J91" i="6" s="1" a="1"/>
  <c r="J91" i="6" s="1"/>
  <c r="H91" i="5"/>
  <c r="AD91" i="5"/>
  <c r="A91" i="12"/>
  <c r="E91" i="5"/>
  <c r="I91" i="5"/>
  <c r="F91" i="5"/>
  <c r="N91" i="5"/>
  <c r="D91" i="6" s="1"/>
  <c r="C92" i="5"/>
  <c r="G91" i="5"/>
  <c r="W91" i="5" a="1"/>
  <c r="W91" i="5" s="1"/>
  <c r="H91" i="12" s="1" a="1"/>
  <c r="H91" i="12" s="1"/>
  <c r="AE91" i="5" a="1"/>
  <c r="AE91" i="5" s="1"/>
  <c r="K89" i="12"/>
  <c r="H90" i="6" a="1"/>
  <c r="H90" i="6" s="1"/>
  <c r="T90" i="5" s="1"/>
  <c r="G90" i="12" s="1" a="1"/>
  <c r="G90" i="12" s="1"/>
  <c r="J90" i="12" a="1"/>
  <c r="J90" i="12" s="1"/>
  <c r="L90" i="12" a="1"/>
  <c r="L90" i="12" s="1"/>
  <c r="L109" i="6"/>
  <c r="AN12" i="13" a="1"/>
  <c r="AN12" i="13" s="1"/>
  <c r="AK12" i="13" a="1"/>
  <c r="AK12" i="13" s="1"/>
  <c r="AJ12" i="13" a="1"/>
  <c r="AJ12" i="13" s="1"/>
  <c r="AE92" i="5" l="1" a="1"/>
  <c r="AE92" i="5" s="1"/>
  <c r="H91" i="6" a="1"/>
  <c r="H91" i="6" s="1"/>
  <c r="T91" i="5" s="1"/>
  <c r="B31" i="10"/>
  <c r="C30" i="10"/>
  <c r="A30" i="10" s="1"/>
  <c r="B30" i="7"/>
  <c r="C31" i="7" a="1"/>
  <c r="C31" i="7" s="1"/>
  <c r="A22" i="6"/>
  <c r="B92" i="6"/>
  <c r="AD92" i="5"/>
  <c r="A92" i="12"/>
  <c r="J92" i="12" s="1" a="1"/>
  <c r="J92" i="12" s="1"/>
  <c r="B92" i="5"/>
  <c r="E92" i="5"/>
  <c r="M91" i="6"/>
  <c r="BX91" i="6" s="1" a="1"/>
  <c r="BX91" i="6" s="1"/>
  <c r="K90" i="12"/>
  <c r="F92" i="5"/>
  <c r="A91" i="6"/>
  <c r="N92" i="5"/>
  <c r="D92" i="6" s="1"/>
  <c r="K92" i="5"/>
  <c r="N91" i="6"/>
  <c r="D92" i="5"/>
  <c r="B92" i="12" s="1"/>
  <c r="H92" i="5"/>
  <c r="G92" i="5"/>
  <c r="G91" i="6"/>
  <c r="J92" i="5"/>
  <c r="L110" i="6"/>
  <c r="F109" i="6"/>
  <c r="O15" i="12" a="1"/>
  <c r="O15" i="12" s="1"/>
  <c r="M15" i="12" a="1"/>
  <c r="M15" i="12" s="1"/>
  <c r="J14" i="6" a="1"/>
  <c r="J14" i="6" s="1"/>
  <c r="AV91" i="6" l="1"/>
  <c r="AW91" i="6"/>
  <c r="BM91" i="6"/>
  <c r="BN91" i="6"/>
  <c r="BO91" i="6"/>
  <c r="AX91" i="6"/>
  <c r="CH91" i="6" a="1"/>
  <c r="CH91" i="6" s="1"/>
  <c r="BP91" i="6"/>
  <c r="AY91" i="6"/>
  <c r="CL91" i="6" a="1"/>
  <c r="CL91" i="6" s="1"/>
  <c r="AZ91" i="6"/>
  <c r="CI91" i="6" a="1"/>
  <c r="CI91" i="6" s="1"/>
  <c r="BQ91" i="6"/>
  <c r="CM91" i="6" a="1"/>
  <c r="CM91" i="6" s="1"/>
  <c r="AT91" i="6"/>
  <c r="CF91" i="6" a="1"/>
  <c r="CF91" i="6" s="1"/>
  <c r="AU91" i="6"/>
  <c r="BA91" i="6"/>
  <c r="CG91" i="6" a="1"/>
  <c r="CG91" i="6" s="1"/>
  <c r="CJ91" i="6" a="1"/>
  <c r="CJ91" i="6" s="1"/>
  <c r="H92" i="6" a="1"/>
  <c r="H92" i="6" s="1"/>
  <c r="BR91" i="6"/>
  <c r="BS91" i="6"/>
  <c r="BT91" i="6"/>
  <c r="CK91" i="6" a="1"/>
  <c r="CK91" i="6" s="1"/>
  <c r="B31" i="7"/>
  <c r="C32" i="7" a="1"/>
  <c r="C32" i="7" s="1"/>
  <c r="B32" i="10"/>
  <c r="C31" i="10"/>
  <c r="A31" i="10" s="1"/>
  <c r="A38" i="6"/>
  <c r="L92" i="12" a="1"/>
  <c r="L92" i="12" s="1"/>
  <c r="K92" i="12" s="1"/>
  <c r="AO91" i="6"/>
  <c r="BJ91" i="6"/>
  <c r="BY91" i="6" a="1"/>
  <c r="BY91" i="6" s="1"/>
  <c r="AJ91" i="6"/>
  <c r="AL91" i="6"/>
  <c r="BV91" i="6" a="1"/>
  <c r="BV91" i="6" s="1"/>
  <c r="BE91" i="6"/>
  <c r="BZ91" i="6" a="1"/>
  <c r="BZ91" i="6" s="1"/>
  <c r="BF91" i="6"/>
  <c r="AR91" i="6"/>
  <c r="BL91" i="6"/>
  <c r="BW91" i="6" a="1"/>
  <c r="BW91" i="6" s="1"/>
  <c r="AN91" i="6"/>
  <c r="BH91" i="6"/>
  <c r="BD91" i="6"/>
  <c r="BG91" i="6"/>
  <c r="AS91" i="6"/>
  <c r="AK91" i="6"/>
  <c r="CA91" i="6" a="1"/>
  <c r="CA91" i="6" s="1"/>
  <c r="AQ91" i="6"/>
  <c r="CC91" i="6" a="1"/>
  <c r="CC91" i="6" s="1"/>
  <c r="CE91" i="6" a="1"/>
  <c r="CE91" i="6" s="1"/>
  <c r="BI91" i="6"/>
  <c r="AM91" i="6"/>
  <c r="AP91" i="6"/>
  <c r="CD91" i="6" a="1"/>
  <c r="CD91" i="6" s="1"/>
  <c r="BK91" i="6"/>
  <c r="CB91" i="6" a="1"/>
  <c r="CB91" i="6" s="1"/>
  <c r="BC91" i="6"/>
  <c r="C93" i="5"/>
  <c r="G91" i="12" a="1"/>
  <c r="G91" i="12" s="1"/>
  <c r="L111" i="6"/>
  <c r="I15" i="12" a="1"/>
  <c r="I15" i="12" s="1"/>
  <c r="J15" i="12" a="1"/>
  <c r="J15" i="12" s="1"/>
  <c r="L15" i="12" a="1"/>
  <c r="L15" i="12" s="1"/>
  <c r="T92" i="5" l="1"/>
  <c r="G92" i="12" s="1" a="1"/>
  <c r="G92" i="12" s="1"/>
  <c r="C32" i="10"/>
  <c r="A32" i="10" s="1"/>
  <c r="B33" i="10"/>
  <c r="C33" i="7" a="1"/>
  <c r="C33" i="7" s="1"/>
  <c r="B32" i="7"/>
  <c r="C94" i="5"/>
  <c r="AD93" i="5"/>
  <c r="E93" i="5"/>
  <c r="A93" i="12"/>
  <c r="J93" i="5"/>
  <c r="AE93" i="5" a="1"/>
  <c r="AE93" i="5" s="1"/>
  <c r="N93" i="5"/>
  <c r="D93" i="6" s="1"/>
  <c r="H93" i="5"/>
  <c r="B93" i="5"/>
  <c r="F93" i="5"/>
  <c r="K93" i="5"/>
  <c r="G93" i="5"/>
  <c r="D93" i="5"/>
  <c r="B93" i="12" s="1"/>
  <c r="B93" i="6"/>
  <c r="L112" i="6"/>
  <c r="F111" i="6"/>
  <c r="K15" i="12"/>
  <c r="N15" i="12"/>
  <c r="P10" i="12"/>
  <c r="O10" i="12" s="1"/>
  <c r="H93" i="6" l="1" a="1"/>
  <c r="H93" i="6" s="1"/>
  <c r="T93" i="5" s="1"/>
  <c r="G93" i="12" s="1" a="1"/>
  <c r="G93" i="12" s="1"/>
  <c r="C34" i="7" a="1"/>
  <c r="C34" i="7" s="1"/>
  <c r="B33" i="7"/>
  <c r="B34" i="10"/>
  <c r="C33" i="10"/>
  <c r="A33" i="10" s="1"/>
  <c r="J93" i="12" a="1"/>
  <c r="J93" i="12" s="1"/>
  <c r="L93" i="12" a="1"/>
  <c r="L93" i="12" s="1"/>
  <c r="J94" i="5"/>
  <c r="F94" i="5"/>
  <c r="A94" i="12"/>
  <c r="B94" i="5"/>
  <c r="K94" i="5"/>
  <c r="E94" i="5"/>
  <c r="N94" i="5"/>
  <c r="D94" i="6" s="1"/>
  <c r="AD94" i="5"/>
  <c r="AE94" i="5" a="1"/>
  <c r="AE94" i="5" s="1"/>
  <c r="G94" i="5"/>
  <c r="H94" i="5"/>
  <c r="C95" i="5"/>
  <c r="B94" i="6"/>
  <c r="D94" i="5"/>
  <c r="B94" i="12" s="1"/>
  <c r="L113" i="6"/>
  <c r="M14" i="6"/>
  <c r="BT14" i="6" l="1"/>
  <c r="BM14" i="6"/>
  <c r="CM14" i="6" a="1"/>
  <c r="CM14" i="6" s="1"/>
  <c r="BR14" i="6"/>
  <c r="CL14" i="6" a="1"/>
  <c r="CL14" i="6" s="1"/>
  <c r="CG14" i="6" a="1"/>
  <c r="CG14" i="6" s="1"/>
  <c r="CI14" i="6" a="1"/>
  <c r="CI14" i="6" s="1"/>
  <c r="CH14" i="6" a="1"/>
  <c r="CH14" i="6" s="1"/>
  <c r="BP14" i="6"/>
  <c r="BO14" i="6"/>
  <c r="BQ14" i="6"/>
  <c r="CF14" i="6" a="1"/>
  <c r="CF14" i="6" s="1"/>
  <c r="CJ14" i="6" a="1"/>
  <c r="CJ14" i="6" s="1"/>
  <c r="BN14" i="6"/>
  <c r="BS14" i="6"/>
  <c r="CK14" i="6" a="1"/>
  <c r="CK14" i="6" s="1"/>
  <c r="AT14" i="6"/>
  <c r="AU14" i="6"/>
  <c r="AV14" i="6"/>
  <c r="AW14" i="6"/>
  <c r="AX14" i="6"/>
  <c r="AY14" i="6"/>
  <c r="AZ14" i="6"/>
  <c r="BA14" i="6"/>
  <c r="H94" i="6" a="1"/>
  <c r="H94" i="6" s="1"/>
  <c r="T94" i="5" s="1"/>
  <c r="G94" i="12" s="1" a="1"/>
  <c r="G94" i="12" s="1"/>
  <c r="C35" i="7" a="1"/>
  <c r="C35" i="7" s="1"/>
  <c r="B34" i="7"/>
  <c r="C34" i="10"/>
  <c r="A34" i="10" s="1"/>
  <c r="B35" i="10"/>
  <c r="K93" i="12"/>
  <c r="N95" i="5"/>
  <c r="D95" i="6" s="1"/>
  <c r="D95" i="5"/>
  <c r="B95" i="12" s="1"/>
  <c r="A95" i="12"/>
  <c r="B95" i="5"/>
  <c r="H95" i="5"/>
  <c r="F95" i="5"/>
  <c r="C96" i="5"/>
  <c r="AE95" i="5" a="1"/>
  <c r="AE95" i="5" s="1"/>
  <c r="K95" i="5"/>
  <c r="J95" i="5"/>
  <c r="G95" i="5"/>
  <c r="E95" i="5"/>
  <c r="B95" i="6"/>
  <c r="AD95" i="5"/>
  <c r="L94" i="12" a="1"/>
  <c r="L94" i="12" s="1"/>
  <c r="J94" i="12" a="1"/>
  <c r="J94" i="12" s="1"/>
  <c r="L114" i="6"/>
  <c r="BV14" i="6" a="1"/>
  <c r="BV14" i="6" s="1"/>
  <c r="BJ14" i="6"/>
  <c r="CA14" i="6" a="1"/>
  <c r="CA14" i="6" s="1"/>
  <c r="AJ14" i="6"/>
  <c r="BC14" i="6"/>
  <c r="BD14" i="6"/>
  <c r="AL14" i="6"/>
  <c r="CD14" i="6" a="1"/>
  <c r="CD14" i="6" s="1"/>
  <c r="CE14" i="6" a="1"/>
  <c r="CE14" i="6" s="1"/>
  <c r="BE14" i="6"/>
  <c r="CC14" i="6" a="1"/>
  <c r="CC14" i="6" s="1"/>
  <c r="AM14" i="6"/>
  <c r="BY14" i="6" a="1"/>
  <c r="BY14" i="6" s="1"/>
  <c r="BZ14" i="6" a="1"/>
  <c r="BZ14" i="6" s="1"/>
  <c r="BF14" i="6"/>
  <c r="BG14" i="6"/>
  <c r="AP14" i="6"/>
  <c r="BW14" i="6" a="1"/>
  <c r="BW14" i="6" s="1"/>
  <c r="BH14" i="6"/>
  <c r="BK14" i="6"/>
  <c r="AS14" i="6"/>
  <c r="CB14" i="6" a="1"/>
  <c r="CB14" i="6" s="1"/>
  <c r="AQ14" i="6"/>
  <c r="AO14" i="6"/>
  <c r="BI14" i="6"/>
  <c r="AR14" i="6"/>
  <c r="BL14" i="6"/>
  <c r="AK14" i="6"/>
  <c r="BX14" i="6" a="1"/>
  <c r="BX14" i="6" s="1"/>
  <c r="AN14" i="6"/>
  <c r="H95" i="6" l="1" a="1"/>
  <c r="H95" i="6" s="1"/>
  <c r="T95" i="5" s="1"/>
  <c r="G95" i="12" s="1" a="1"/>
  <c r="G95" i="12" s="1"/>
  <c r="B36" i="10"/>
  <c r="C35" i="10"/>
  <c r="A35" i="10" s="1"/>
  <c r="C36" i="7" a="1"/>
  <c r="C36" i="7" s="1"/>
  <c r="B35" i="7"/>
  <c r="K94" i="12"/>
  <c r="N96" i="5"/>
  <c r="D96" i="6" s="1"/>
  <c r="C97" i="5"/>
  <c r="B96" i="5"/>
  <c r="H96" i="5"/>
  <c r="J96" i="5"/>
  <c r="B96" i="6"/>
  <c r="E96" i="5"/>
  <c r="AD96" i="5"/>
  <c r="AE96" i="5" a="1"/>
  <c r="AE96" i="5" s="1"/>
  <c r="A96" i="12"/>
  <c r="D96" i="5"/>
  <c r="B96" i="12" s="1"/>
  <c r="K96" i="5"/>
  <c r="F96" i="5"/>
  <c r="G96" i="5"/>
  <c r="L95" i="12" a="1"/>
  <c r="L95" i="12" s="1"/>
  <c r="J95" i="12" a="1"/>
  <c r="J95" i="12" s="1"/>
  <c r="F114" i="6"/>
  <c r="L115" i="6"/>
  <c r="X14" i="5" a="1"/>
  <c r="X14" i="5" s="1"/>
  <c r="H96" i="6" l="1" a="1"/>
  <c r="H96" i="6" s="1"/>
  <c r="T96" i="5" s="1"/>
  <c r="G96" i="12" s="1" a="1"/>
  <c r="G96" i="12" s="1"/>
  <c r="C37" i="7" a="1"/>
  <c r="C37" i="7" s="1"/>
  <c r="B36" i="7"/>
  <c r="B37" i="10"/>
  <c r="C36" i="10"/>
  <c r="A36" i="10" s="1"/>
  <c r="L96" i="12" a="1"/>
  <c r="L96" i="12" s="1"/>
  <c r="J96" i="12" a="1"/>
  <c r="J96" i="12" s="1"/>
  <c r="K95" i="12"/>
  <c r="AD97" i="5"/>
  <c r="B97" i="5"/>
  <c r="E97" i="5"/>
  <c r="N97" i="5"/>
  <c r="D97" i="6" s="1"/>
  <c r="F97" i="5"/>
  <c r="K97" i="5"/>
  <c r="B97" i="6"/>
  <c r="G97" i="5"/>
  <c r="J97" i="5"/>
  <c r="AE97" i="5" a="1"/>
  <c r="AE97" i="5" s="1"/>
  <c r="D97" i="5"/>
  <c r="B97" i="12" s="1"/>
  <c r="H97" i="5"/>
  <c r="A97" i="12"/>
  <c r="L116" i="6"/>
  <c r="I14" i="5"/>
  <c r="I14" i="12"/>
  <c r="L14" i="5"/>
  <c r="AM14" i="5"/>
  <c r="Z14" i="5"/>
  <c r="C37" i="10" l="1"/>
  <c r="A37" i="10" s="1"/>
  <c r="B38" i="10"/>
  <c r="C38" i="7" a="1"/>
  <c r="C38" i="7" s="1"/>
  <c r="B37" i="7"/>
  <c r="K96" i="12"/>
  <c r="J97" i="12" a="1"/>
  <c r="J97" i="12" s="1"/>
  <c r="L97" i="12" a="1"/>
  <c r="L97" i="12" s="1"/>
  <c r="H97" i="6" a="1"/>
  <c r="H97" i="6" s="1"/>
  <c r="C98" i="5"/>
  <c r="L117" i="6"/>
  <c r="O14" i="5"/>
  <c r="AA14" i="5" a="1"/>
  <c r="AA14" i="5" s="1"/>
  <c r="AB14" i="5" a="1"/>
  <c r="AB14" i="5" s="1"/>
  <c r="AO14" i="12" a="1"/>
  <c r="AO14" i="12" s="1"/>
  <c r="C14" i="12"/>
  <c r="M14" i="12" a="1"/>
  <c r="M14" i="12" s="1"/>
  <c r="O14" i="12" a="1"/>
  <c r="O14" i="12" s="1"/>
  <c r="C39" i="7" l="1" a="1"/>
  <c r="C39" i="7" s="1"/>
  <c r="B38" i="7"/>
  <c r="B39" i="10"/>
  <c r="C38" i="10"/>
  <c r="A38" i="10" s="1"/>
  <c r="K97" i="12"/>
  <c r="B98" i="6"/>
  <c r="W98" i="5" a="1"/>
  <c r="W98" i="5" s="1"/>
  <c r="H98" i="12" s="1" a="1"/>
  <c r="H98" i="12" s="1"/>
  <c r="A98" i="12"/>
  <c r="I98" i="5"/>
  <c r="H98" i="5"/>
  <c r="E98" i="5"/>
  <c r="C99" i="5"/>
  <c r="N98" i="5"/>
  <c r="D98" i="6" s="1"/>
  <c r="AE98" i="5" a="1"/>
  <c r="AE98" i="5" s="1"/>
  <c r="AD98" i="5"/>
  <c r="AF98" i="5" a="1"/>
  <c r="AF98" i="5" s="1"/>
  <c r="AG98" i="5" s="1" a="1"/>
  <c r="AG98" i="5" s="1"/>
  <c r="U98" i="5" s="1"/>
  <c r="AN98" i="5" s="1" a="1"/>
  <c r="AN98" i="5" s="1"/>
  <c r="B98" i="5"/>
  <c r="F98" i="5"/>
  <c r="G98" i="5"/>
  <c r="T97" i="5"/>
  <c r="G97" i="12" s="1" a="1"/>
  <c r="G97" i="12" s="1"/>
  <c r="L118" i="6"/>
  <c r="N14" i="12"/>
  <c r="Y14" i="12"/>
  <c r="D14" i="12"/>
  <c r="B40" i="10" l="1"/>
  <c r="C39" i="10"/>
  <c r="A39" i="10" s="1"/>
  <c r="B39" i="7"/>
  <c r="C40" i="7" a="1"/>
  <c r="C40" i="7" s="1"/>
  <c r="H98" i="6" a="1"/>
  <c r="H98" i="6" s="1"/>
  <c r="T98" i="5" s="1"/>
  <c r="G98" i="6"/>
  <c r="M98" i="6"/>
  <c r="CH98" i="6" s="1" a="1"/>
  <c r="CH98" i="6" s="1"/>
  <c r="N98" i="6"/>
  <c r="K99" i="5"/>
  <c r="G99" i="5"/>
  <c r="B99" i="5"/>
  <c r="F99" i="5"/>
  <c r="N99" i="5"/>
  <c r="D99" i="6" s="1"/>
  <c r="D99" i="5"/>
  <c r="B99" i="12" s="1"/>
  <c r="A99" i="12"/>
  <c r="B99" i="6"/>
  <c r="AE99" i="5" a="1"/>
  <c r="AE99" i="5" s="1"/>
  <c r="H99" i="5"/>
  <c r="J99" i="5"/>
  <c r="E99" i="5"/>
  <c r="C100" i="5"/>
  <c r="AD99" i="5"/>
  <c r="J98" i="6" a="1"/>
  <c r="J98" i="6" s="1"/>
  <c r="A98" i="6"/>
  <c r="L119" i="6"/>
  <c r="W14" i="12" a="1"/>
  <c r="W14" i="12" s="1"/>
  <c r="X14" i="12" a="1"/>
  <c r="X14" i="12" s="1"/>
  <c r="AT98" i="6" l="1"/>
  <c r="AW98" i="6"/>
  <c r="AX98" i="6"/>
  <c r="BM98" i="6"/>
  <c r="BQ98" i="6"/>
  <c r="BS98" i="6"/>
  <c r="BT98" i="6"/>
  <c r="CJ98" i="6" a="1"/>
  <c r="CJ98" i="6" s="1"/>
  <c r="AV98" i="6"/>
  <c r="BR98" i="6"/>
  <c r="AU98" i="6"/>
  <c r="CF98" i="6" a="1"/>
  <c r="CF98" i="6" s="1"/>
  <c r="AY98" i="6"/>
  <c r="CI98" i="6" a="1"/>
  <c r="CI98" i="6" s="1"/>
  <c r="CG98" i="6" a="1"/>
  <c r="CG98" i="6" s="1"/>
  <c r="BN98" i="6"/>
  <c r="CK98" i="6" a="1"/>
  <c r="CK98" i="6" s="1"/>
  <c r="BA98" i="6"/>
  <c r="CL98" i="6" a="1"/>
  <c r="CL98" i="6" s="1"/>
  <c r="CM98" i="6" a="1"/>
  <c r="CM98" i="6" s="1"/>
  <c r="AZ98" i="6"/>
  <c r="BO98" i="6"/>
  <c r="BP98" i="6"/>
  <c r="C41" i="7" a="1"/>
  <c r="C41" i="7" s="1"/>
  <c r="B40" i="7"/>
  <c r="B41" i="10"/>
  <c r="C40" i="10"/>
  <c r="A40" i="10" s="1"/>
  <c r="BI98" i="6"/>
  <c r="BZ98" i="6" a="1"/>
  <c r="BZ98" i="6" s="1"/>
  <c r="AS98" i="6"/>
  <c r="AN98" i="6"/>
  <c r="BJ98" i="6"/>
  <c r="BY98" i="6" a="1"/>
  <c r="BY98" i="6" s="1"/>
  <c r="BD98" i="6"/>
  <c r="AP98" i="6"/>
  <c r="AJ98" i="6"/>
  <c r="AK98" i="6"/>
  <c r="CC98" i="6" a="1"/>
  <c r="CC98" i="6" s="1"/>
  <c r="CD98" i="6" a="1"/>
  <c r="CD98" i="6" s="1"/>
  <c r="BG98" i="6"/>
  <c r="AR98" i="6"/>
  <c r="BV98" i="6" a="1"/>
  <c r="BV98" i="6" s="1"/>
  <c r="BL98" i="6"/>
  <c r="CE98" i="6" a="1"/>
  <c r="CE98" i="6" s="1"/>
  <c r="BE98" i="6"/>
  <c r="BK98" i="6"/>
  <c r="AQ98" i="6"/>
  <c r="AL98" i="6"/>
  <c r="BX98" i="6" a="1"/>
  <c r="BX98" i="6" s="1"/>
  <c r="CB98" i="6" a="1"/>
  <c r="CB98" i="6" s="1"/>
  <c r="CA98" i="6" a="1"/>
  <c r="CA98" i="6" s="1"/>
  <c r="AO98" i="6"/>
  <c r="AM98" i="6"/>
  <c r="BW98" i="6" a="1"/>
  <c r="BW98" i="6" s="1"/>
  <c r="BF98" i="6"/>
  <c r="BH98" i="6"/>
  <c r="BC98" i="6"/>
  <c r="C101" i="5"/>
  <c r="AD100" i="5"/>
  <c r="E100" i="5"/>
  <c r="N100" i="5"/>
  <c r="D100" i="6" s="1"/>
  <c r="K100" i="5"/>
  <c r="D100" i="5"/>
  <c r="B100" i="12" s="1"/>
  <c r="H100" i="5"/>
  <c r="J100" i="5"/>
  <c r="B100" i="5"/>
  <c r="G100" i="5"/>
  <c r="A100" i="12"/>
  <c r="B100" i="6"/>
  <c r="AE100" i="5" a="1"/>
  <c r="AE100" i="5" s="1"/>
  <c r="F100" i="5"/>
  <c r="L99" i="12" a="1"/>
  <c r="L99" i="12" s="1"/>
  <c r="J99" i="12" a="1"/>
  <c r="J99" i="12" s="1"/>
  <c r="H99" i="6" a="1"/>
  <c r="H99" i="6" s="1"/>
  <c r="G98" i="12" a="1"/>
  <c r="G98" i="12" s="1"/>
  <c r="L120" i="6"/>
  <c r="U14" i="12"/>
  <c r="V14" i="12" a="1"/>
  <c r="V14" i="12" s="1"/>
  <c r="T14" i="12"/>
  <c r="H100" i="6" l="1" a="1"/>
  <c r="H100" i="6" s="1"/>
  <c r="T100" i="5" s="1"/>
  <c r="G100" i="12" s="1" a="1"/>
  <c r="G100" i="12" s="1"/>
  <c r="B42" i="10"/>
  <c r="C41" i="10"/>
  <c r="A41" i="10" s="1"/>
  <c r="C42" i="7" a="1"/>
  <c r="C42" i="7" s="1"/>
  <c r="B41" i="7"/>
  <c r="B101" i="5"/>
  <c r="K99" i="12"/>
  <c r="AE101" i="5" a="1"/>
  <c r="AE101" i="5" s="1"/>
  <c r="K101" i="5"/>
  <c r="B101" i="6"/>
  <c r="C102" i="5"/>
  <c r="E101" i="5"/>
  <c r="H101" i="5"/>
  <c r="N101" i="5"/>
  <c r="D101" i="6" s="1"/>
  <c r="D101" i="5"/>
  <c r="B101" i="12" s="1"/>
  <c r="A101" i="12"/>
  <c r="AD101" i="5"/>
  <c r="G101" i="5"/>
  <c r="J101" i="5"/>
  <c r="F101" i="5"/>
  <c r="T99" i="5"/>
  <c r="G99" i="12" s="1" a="1"/>
  <c r="G99" i="12" s="1"/>
  <c r="L100" i="12" a="1"/>
  <c r="L100" i="12" s="1"/>
  <c r="J100" i="12" a="1"/>
  <c r="J100" i="12" s="1"/>
  <c r="L121" i="6"/>
  <c r="AG14" i="5" a="1"/>
  <c r="AG14" i="5" s="1"/>
  <c r="S14" i="5" a="1"/>
  <c r="S14" i="5" s="1"/>
  <c r="F14" i="12" s="1" a="1"/>
  <c r="F14" i="12" s="1"/>
  <c r="C43" i="7" l="1" a="1"/>
  <c r="C43" i="7" s="1"/>
  <c r="C44" i="7" s="1" a="1"/>
  <c r="C44" i="7" s="1"/>
  <c r="C42" i="10"/>
  <c r="A42" i="10" s="1"/>
  <c r="B43" i="10"/>
  <c r="B44" i="10" s="1"/>
  <c r="B42" i="7"/>
  <c r="K100" i="12"/>
  <c r="B102" i="6"/>
  <c r="AD102" i="5"/>
  <c r="A102" i="12"/>
  <c r="K102" i="5"/>
  <c r="AE102" i="5" a="1"/>
  <c r="AE102" i="5" s="1"/>
  <c r="N102" i="5"/>
  <c r="D102" i="6" s="1"/>
  <c r="C103" i="5"/>
  <c r="E102" i="5"/>
  <c r="F102" i="5"/>
  <c r="G102" i="5"/>
  <c r="H102" i="5"/>
  <c r="J102" i="5"/>
  <c r="B102" i="5"/>
  <c r="D102" i="5"/>
  <c r="B102" i="12" s="1"/>
  <c r="L101" i="12" a="1"/>
  <c r="L101" i="12" s="1"/>
  <c r="J101" i="12" a="1"/>
  <c r="J101" i="12" s="1"/>
  <c r="H101" i="6" a="1"/>
  <c r="H101" i="6" s="1"/>
  <c r="T101" i="5" s="1"/>
  <c r="G101" i="12" s="1" a="1"/>
  <c r="G101" i="12" s="1"/>
  <c r="E14" i="12"/>
  <c r="AC14" i="5" a="1"/>
  <c r="AC14" i="5" s="1"/>
  <c r="C104" i="5" l="1"/>
  <c r="B45" i="10"/>
  <c r="C44" i="10"/>
  <c r="A44" i="10" s="1"/>
  <c r="C45" i="7" a="1"/>
  <c r="C45" i="7" s="1"/>
  <c r="B44" i="7"/>
  <c r="C43" i="10"/>
  <c r="A43" i="10" s="1"/>
  <c r="B43" i="7"/>
  <c r="AE104" i="5" a="1"/>
  <c r="AE104" i="5" s="1"/>
  <c r="N104" i="5"/>
  <c r="K104" i="5"/>
  <c r="K101" i="12"/>
  <c r="G103" i="5"/>
  <c r="AE103" i="5" a="1"/>
  <c r="AE103" i="5" s="1"/>
  <c r="D103" i="5"/>
  <c r="B103" i="12" s="1"/>
  <c r="N103" i="5"/>
  <c r="D103" i="6" s="1"/>
  <c r="A103" i="12"/>
  <c r="E103" i="5"/>
  <c r="B103" i="6"/>
  <c r="AD103" i="5"/>
  <c r="K103" i="5"/>
  <c r="F103" i="5"/>
  <c r="F104" i="5" s="1"/>
  <c r="B103" i="5"/>
  <c r="H103" i="5"/>
  <c r="J103" i="5"/>
  <c r="L102" i="12" a="1"/>
  <c r="L102" i="12" s="1"/>
  <c r="J102" i="12" a="1"/>
  <c r="J102" i="12" s="1"/>
  <c r="H102" i="6" a="1"/>
  <c r="H102" i="6" s="1"/>
  <c r="L122" i="6"/>
  <c r="J104" i="5" l="1"/>
  <c r="H104" i="5"/>
  <c r="E104" i="5"/>
  <c r="A104" i="12"/>
  <c r="L104" i="12" s="1" a="1"/>
  <c r="L104" i="12" s="1"/>
  <c r="D104" i="5"/>
  <c r="B104" i="12" s="1"/>
  <c r="G104" i="5"/>
  <c r="AD104" i="5"/>
  <c r="B104" i="6"/>
  <c r="B45" i="7"/>
  <c r="C45" i="10"/>
  <c r="A45" i="10" s="1"/>
  <c r="B104" i="5"/>
  <c r="C105" i="5" s="1"/>
  <c r="D104" i="6"/>
  <c r="K102" i="12"/>
  <c r="H103" i="6" a="1"/>
  <c r="H103" i="6" s="1"/>
  <c r="T102" i="5"/>
  <c r="G102" i="12" s="1" a="1"/>
  <c r="G102" i="12" s="1"/>
  <c r="J103" i="12" a="1"/>
  <c r="J103" i="12" s="1"/>
  <c r="L103" i="12" a="1"/>
  <c r="L103" i="12" s="1"/>
  <c r="L123" i="6"/>
  <c r="J104" i="12" l="1" a="1"/>
  <c r="J104" i="12" s="1"/>
  <c r="K104" i="12" s="1"/>
  <c r="N105" i="5"/>
  <c r="D105" i="6" s="1"/>
  <c r="AD105" i="5"/>
  <c r="H105" i="5"/>
  <c r="G105" i="5"/>
  <c r="B105" i="6"/>
  <c r="J105" i="6" s="1" a="1"/>
  <c r="J105" i="6" s="1"/>
  <c r="C106" i="5"/>
  <c r="E105" i="5"/>
  <c r="I105" i="5"/>
  <c r="A105" i="12"/>
  <c r="AF105" i="5" a="1"/>
  <c r="AF105" i="5" s="1"/>
  <c r="AG105" i="5" s="1" a="1"/>
  <c r="AG105" i="5" s="1"/>
  <c r="U105" i="5" s="1"/>
  <c r="AN105" i="5" s="1" a="1"/>
  <c r="AN105" i="5" s="1"/>
  <c r="B105" i="5"/>
  <c r="F105" i="5"/>
  <c r="W105" i="5" a="1"/>
  <c r="W105" i="5" s="1"/>
  <c r="H105" i="12" s="1" a="1"/>
  <c r="H105" i="12" s="1"/>
  <c r="AE105" i="5" a="1"/>
  <c r="AE105" i="5" s="1"/>
  <c r="H104" i="6" a="1"/>
  <c r="H104" i="6" s="1"/>
  <c r="K103" i="12"/>
  <c r="T103" i="5"/>
  <c r="G103" i="12" s="1" a="1"/>
  <c r="G103" i="12" s="1"/>
  <c r="L124" i="6"/>
  <c r="H105" i="6" l="1" a="1"/>
  <c r="H105" i="6" s="1"/>
  <c r="T105" i="5" s="1"/>
  <c r="G105" i="12" s="1" a="1"/>
  <c r="G105" i="12" s="1"/>
  <c r="G106" i="5"/>
  <c r="G105" i="6"/>
  <c r="N105" i="6"/>
  <c r="M105" i="6"/>
  <c r="BF105" i="6" s="1"/>
  <c r="A105" i="6"/>
  <c r="D106" i="5"/>
  <c r="B106" i="12" s="1"/>
  <c r="AD106" i="5"/>
  <c r="N106" i="5"/>
  <c r="D106" i="6" s="1"/>
  <c r="E106" i="5"/>
  <c r="B106" i="6"/>
  <c r="H106" i="5"/>
  <c r="F106" i="5"/>
  <c r="A106" i="12"/>
  <c r="L106" i="12" s="1" a="1"/>
  <c r="L106" i="12" s="1"/>
  <c r="T104" i="5"/>
  <c r="B106" i="5"/>
  <c r="J106" i="5"/>
  <c r="K106" i="5"/>
  <c r="C107" i="5"/>
  <c r="AE106" i="5" a="1"/>
  <c r="AE106" i="5" s="1"/>
  <c r="C108" i="5" l="1"/>
  <c r="BQ105" i="6"/>
  <c r="BR105" i="6"/>
  <c r="BA105" i="6"/>
  <c r="AT105" i="6"/>
  <c r="CH105" i="6" a="1"/>
  <c r="CH105" i="6" s="1"/>
  <c r="BN105" i="6"/>
  <c r="BS105" i="6"/>
  <c r="BT105" i="6"/>
  <c r="AW105" i="6"/>
  <c r="CI105" i="6" a="1"/>
  <c r="CI105" i="6" s="1"/>
  <c r="CJ105" i="6" a="1"/>
  <c r="CJ105" i="6" s="1"/>
  <c r="AV105" i="6"/>
  <c r="CK105" i="6" a="1"/>
  <c r="CK105" i="6" s="1"/>
  <c r="AU105" i="6"/>
  <c r="BM105" i="6"/>
  <c r="CG105" i="6" a="1"/>
  <c r="CG105" i="6" s="1"/>
  <c r="CM105" i="6" a="1"/>
  <c r="CM105" i="6" s="1"/>
  <c r="AZ105" i="6"/>
  <c r="CF105" i="6" a="1"/>
  <c r="CF105" i="6" s="1"/>
  <c r="AY105" i="6"/>
  <c r="CL105" i="6" a="1"/>
  <c r="CL105" i="6" s="1"/>
  <c r="H106" i="6" a="1"/>
  <c r="H106" i="6" s="1"/>
  <c r="T106" i="5" s="1"/>
  <c r="G106" i="12" s="1" a="1"/>
  <c r="G106" i="12" s="1"/>
  <c r="AX105" i="6"/>
  <c r="BP105" i="6"/>
  <c r="BO105" i="6"/>
  <c r="BY105" i="6" a="1"/>
  <c r="BY105" i="6" s="1"/>
  <c r="CE105" i="6" a="1"/>
  <c r="CE105" i="6" s="1"/>
  <c r="BH105" i="6"/>
  <c r="AL105" i="6"/>
  <c r="BW105" i="6" a="1"/>
  <c r="BW105" i="6" s="1"/>
  <c r="BI105" i="6"/>
  <c r="BG105" i="6"/>
  <c r="CB105" i="6" a="1"/>
  <c r="CB105" i="6" s="1"/>
  <c r="BJ105" i="6"/>
  <c r="BV105" i="6" a="1"/>
  <c r="BV105" i="6" s="1"/>
  <c r="CA105" i="6" a="1"/>
  <c r="CA105" i="6" s="1"/>
  <c r="BK105" i="6"/>
  <c r="AO105" i="6"/>
  <c r="AS105" i="6"/>
  <c r="BC105" i="6"/>
  <c r="BZ105" i="6" a="1"/>
  <c r="BZ105" i="6" s="1"/>
  <c r="CD105" i="6" a="1"/>
  <c r="CD105" i="6" s="1"/>
  <c r="AN105" i="6"/>
  <c r="AK105" i="6"/>
  <c r="BX105" i="6" a="1"/>
  <c r="BX105" i="6" s="1"/>
  <c r="AM105" i="6"/>
  <c r="AQ105" i="6"/>
  <c r="BL105" i="6"/>
  <c r="BD105" i="6"/>
  <c r="BE105" i="6"/>
  <c r="AP105" i="6"/>
  <c r="AR105" i="6"/>
  <c r="CC105" i="6" a="1"/>
  <c r="CC105" i="6" s="1"/>
  <c r="AJ105" i="6"/>
  <c r="K107" i="5"/>
  <c r="J107" i="5"/>
  <c r="G104" i="12" a="1"/>
  <c r="G104" i="12" s="1"/>
  <c r="B107" i="6"/>
  <c r="N107" i="5"/>
  <c r="D107" i="6" s="1"/>
  <c r="AD107" i="5"/>
  <c r="A107" i="12"/>
  <c r="L107" i="12" s="1" a="1"/>
  <c r="L107" i="12" s="1"/>
  <c r="J106" i="12" a="1"/>
  <c r="J106" i="12" s="1"/>
  <c r="K106" i="12" s="1"/>
  <c r="AE107" i="5" a="1"/>
  <c r="AE107" i="5" s="1"/>
  <c r="F107" i="5"/>
  <c r="E107" i="5"/>
  <c r="B107" i="5"/>
  <c r="G107" i="5"/>
  <c r="D107" i="5"/>
  <c r="B107" i="12" s="1"/>
  <c r="H107" i="5"/>
  <c r="L125" i="6"/>
  <c r="J108" i="5" l="1"/>
  <c r="N108" i="5"/>
  <c r="D108" i="6" s="1"/>
  <c r="H108" i="6" s="1" a="1"/>
  <c r="H108" i="6" s="1"/>
  <c r="K108" i="5"/>
  <c r="B108" i="6"/>
  <c r="AE108" i="5" a="1"/>
  <c r="AE108" i="5" s="1"/>
  <c r="F108" i="5"/>
  <c r="A108" i="12"/>
  <c r="L108" i="12" s="1" a="1"/>
  <c r="L108" i="12" s="1"/>
  <c r="G108" i="5"/>
  <c r="AD108" i="5"/>
  <c r="B108" i="5"/>
  <c r="C109" i="5" s="1"/>
  <c r="B109" i="5" s="1"/>
  <c r="H108" i="5"/>
  <c r="E108" i="5"/>
  <c r="D108" i="5"/>
  <c r="B108" i="12" s="1"/>
  <c r="H107" i="6" a="1"/>
  <c r="H107" i="6" s="1"/>
  <c r="T107" i="5" s="1"/>
  <c r="G107" i="12" s="1" a="1"/>
  <c r="G107" i="12" s="1"/>
  <c r="J107" i="12" a="1"/>
  <c r="J107" i="12" s="1"/>
  <c r="K107" i="12" s="1"/>
  <c r="L126" i="6"/>
  <c r="J10" i="13"/>
  <c r="B109" i="6" l="1"/>
  <c r="J109" i="6" s="1" a="1"/>
  <c r="J109" i="6" s="1"/>
  <c r="F109" i="5"/>
  <c r="AE109" i="5" a="1"/>
  <c r="AE109" i="5" s="1"/>
  <c r="J108" i="12" a="1"/>
  <c r="J108" i="12" s="1"/>
  <c r="K108" i="12" s="1"/>
  <c r="H109" i="5"/>
  <c r="A109" i="12"/>
  <c r="E109" i="5"/>
  <c r="W109" i="5" a="1"/>
  <c r="W109" i="5" s="1"/>
  <c r="H109" i="12" s="1" a="1"/>
  <c r="H109" i="12" s="1"/>
  <c r="AF109" i="5" a="1"/>
  <c r="AF109" i="5" s="1"/>
  <c r="AG109" i="5" s="1" a="1"/>
  <c r="AG109" i="5" s="1"/>
  <c r="U109" i="5" s="1"/>
  <c r="AN109" i="5" s="1" a="1"/>
  <c r="AN109" i="5" s="1"/>
  <c r="AD109" i="5"/>
  <c r="I109" i="5"/>
  <c r="G109" i="5"/>
  <c r="C110" i="5"/>
  <c r="N109" i="5"/>
  <c r="D109" i="6" s="1"/>
  <c r="M109" i="6" s="1"/>
  <c r="BD109" i="6" s="1"/>
  <c r="T108" i="5"/>
  <c r="L127" i="6"/>
  <c r="K110" i="5" l="1"/>
  <c r="G110" i="5"/>
  <c r="H109" i="6" a="1"/>
  <c r="H109" i="6" s="1"/>
  <c r="T109" i="5" s="1"/>
  <c r="G109" i="12" s="1" a="1"/>
  <c r="G109" i="12" s="1"/>
  <c r="D110" i="5"/>
  <c r="B110" i="12" s="1"/>
  <c r="AE110" i="5" a="1"/>
  <c r="AE110" i="5" s="1"/>
  <c r="G109" i="6"/>
  <c r="N109" i="6"/>
  <c r="B110" i="6"/>
  <c r="J110" i="5"/>
  <c r="A110" i="12"/>
  <c r="L110" i="12" s="1" a="1"/>
  <c r="L110" i="12" s="1"/>
  <c r="B110" i="5"/>
  <c r="C111" i="5" s="1"/>
  <c r="A111" i="12" s="1"/>
  <c r="AD110" i="5"/>
  <c r="N110" i="5"/>
  <c r="D110" i="6" s="1"/>
  <c r="H110" i="6" s="1" a="1"/>
  <c r="H110" i="6" s="1"/>
  <c r="T110" i="5" s="1"/>
  <c r="G110" i="12" s="1" a="1"/>
  <c r="G110" i="12" s="1"/>
  <c r="H110" i="5"/>
  <c r="F110" i="5"/>
  <c r="E110" i="5"/>
  <c r="CI109" i="6" a="1"/>
  <c r="CI109" i="6" s="1"/>
  <c r="BR109" i="6"/>
  <c r="CM109" i="6" a="1"/>
  <c r="CM109" i="6" s="1"/>
  <c r="CF109" i="6" a="1"/>
  <c r="CF109" i="6" s="1"/>
  <c r="CG109" i="6" a="1"/>
  <c r="CG109" i="6" s="1"/>
  <c r="AZ109" i="6"/>
  <c r="BA109" i="6"/>
  <c r="CJ109" i="6" a="1"/>
  <c r="CJ109" i="6" s="1"/>
  <c r="BQ109" i="6"/>
  <c r="BN109" i="6"/>
  <c r="BO109" i="6"/>
  <c r="BP109" i="6"/>
  <c r="BS109" i="6"/>
  <c r="BM109" i="6"/>
  <c r="CL109" i="6" a="1"/>
  <c r="CL109" i="6" s="1"/>
  <c r="CH109" i="6" a="1"/>
  <c r="CH109" i="6" s="1"/>
  <c r="BT109" i="6"/>
  <c r="AW109" i="6"/>
  <c r="AX109" i="6"/>
  <c r="CK109" i="6" a="1"/>
  <c r="CK109" i="6" s="1"/>
  <c r="A49" i="6"/>
  <c r="A58" i="6"/>
  <c r="A57" i="6"/>
  <c r="A39" i="6"/>
  <c r="A100" i="6"/>
  <c r="A70" i="6"/>
  <c r="A43" i="6"/>
  <c r="A106" i="6"/>
  <c r="A29" i="6"/>
  <c r="A99" i="6"/>
  <c r="A75" i="6"/>
  <c r="A53" i="6"/>
  <c r="A30" i="6"/>
  <c r="A103" i="6"/>
  <c r="A65" i="6"/>
  <c r="A66" i="6"/>
  <c r="A50" i="6"/>
  <c r="A23" i="6"/>
  <c r="A107" i="6"/>
  <c r="A35" i="6"/>
  <c r="A59" i="6"/>
  <c r="A102" i="6"/>
  <c r="A34" i="6"/>
  <c r="A76" i="6"/>
  <c r="A60" i="6"/>
  <c r="A45" i="6"/>
  <c r="A37" i="6"/>
  <c r="A61" i="6"/>
  <c r="A19" i="6"/>
  <c r="A25" i="6"/>
  <c r="A67" i="6"/>
  <c r="A101" i="6"/>
  <c r="A109" i="6"/>
  <c r="A110" i="6" s="1"/>
  <c r="CB109" i="6" a="1"/>
  <c r="CB109" i="6" s="1"/>
  <c r="AJ109" i="6"/>
  <c r="AO109" i="6"/>
  <c r="AR109" i="6"/>
  <c r="CD109" i="6" a="1"/>
  <c r="CD109" i="6" s="1"/>
  <c r="BK109" i="6"/>
  <c r="AN109" i="6"/>
  <c r="BF109" i="6"/>
  <c r="BW109" i="6" a="1"/>
  <c r="BW109" i="6" s="1"/>
  <c r="AS109" i="6"/>
  <c r="BJ109" i="6"/>
  <c r="BH109" i="6"/>
  <c r="BI109" i="6"/>
  <c r="AP109" i="6"/>
  <c r="AM109" i="6"/>
  <c r="BC109" i="6"/>
  <c r="BX109" i="6" a="1"/>
  <c r="BX109" i="6" s="1"/>
  <c r="BV109" i="6" a="1"/>
  <c r="BV109" i="6" s="1"/>
  <c r="BZ109" i="6" a="1"/>
  <c r="BZ109" i="6" s="1"/>
  <c r="BY109" i="6" a="1"/>
  <c r="BY109" i="6" s="1"/>
  <c r="AQ109" i="6"/>
  <c r="BL109" i="6"/>
  <c r="CA109" i="6" a="1"/>
  <c r="CA109" i="6" s="1"/>
  <c r="BE109" i="6"/>
  <c r="CE109" i="6" a="1"/>
  <c r="CE109" i="6" s="1"/>
  <c r="BG109" i="6"/>
  <c r="CC109" i="6" a="1"/>
  <c r="CC109" i="6" s="1"/>
  <c r="AK109" i="6"/>
  <c r="G108" i="12" a="1"/>
  <c r="G108" i="12" s="1"/>
  <c r="L128" i="6"/>
  <c r="AV109" i="6" l="1"/>
  <c r="AU109" i="6"/>
  <c r="AL109" i="6"/>
  <c r="AD111" i="5"/>
  <c r="AY109" i="6"/>
  <c r="E111" i="5"/>
  <c r="B111" i="6"/>
  <c r="J111" i="6" s="1" a="1"/>
  <c r="J111" i="6" s="1"/>
  <c r="F111" i="5"/>
  <c r="I111" i="5"/>
  <c r="AE111" i="5" a="1"/>
  <c r="AE111" i="5" s="1"/>
  <c r="B111" i="5"/>
  <c r="N111" i="5"/>
  <c r="D111" i="6" s="1"/>
  <c r="H111" i="6" s="1" a="1"/>
  <c r="H111" i="6" s="1"/>
  <c r="T111" i="5" s="1"/>
  <c r="G111" i="12" s="1" a="1"/>
  <c r="G111" i="12" s="1"/>
  <c r="C112" i="5"/>
  <c r="H111" i="5"/>
  <c r="AF111" i="5" a="1"/>
  <c r="AF111" i="5" s="1"/>
  <c r="AG111" i="5" s="1" a="1"/>
  <c r="AG111" i="5" s="1"/>
  <c r="U111" i="5" s="1"/>
  <c r="AN111" i="5" s="1" a="1"/>
  <c r="AN111" i="5" s="1"/>
  <c r="AT109" i="6"/>
  <c r="G111" i="5"/>
  <c r="W111" i="5" a="1"/>
  <c r="W111" i="5" s="1"/>
  <c r="H111" i="12" s="1" a="1"/>
  <c r="H111" i="12" s="1"/>
  <c r="J110" i="12" a="1"/>
  <c r="J110" i="12" s="1"/>
  <c r="K110" i="12" s="1"/>
  <c r="M110" i="6"/>
  <c r="BP110" i="6" s="1"/>
  <c r="A52" i="6"/>
  <c r="N52" i="6" s="1"/>
  <c r="A74" i="6"/>
  <c r="M74" i="6" s="1"/>
  <c r="A62" i="6"/>
  <c r="N62" i="6" s="1"/>
  <c r="A56" i="6"/>
  <c r="M56" i="6" s="1"/>
  <c r="A36" i="6"/>
  <c r="N36" i="6" s="1"/>
  <c r="A73" i="6"/>
  <c r="N73" i="6" s="1"/>
  <c r="A77" i="6"/>
  <c r="N77" i="6" s="1"/>
  <c r="A55" i="6"/>
  <c r="N55" i="6" s="1"/>
  <c r="A47" i="6"/>
  <c r="N47" i="6" s="1"/>
  <c r="A72" i="6"/>
  <c r="M72" i="6" s="1"/>
  <c r="A69" i="6"/>
  <c r="M69" i="6" s="1"/>
  <c r="A71" i="6"/>
  <c r="M71" i="6" s="1"/>
  <c r="A20" i="6"/>
  <c r="M20" i="6" s="1"/>
  <c r="A24" i="6"/>
  <c r="M24" i="6" s="1"/>
  <c r="A40" i="6"/>
  <c r="N40" i="6" s="1"/>
  <c r="A46" i="6"/>
  <c r="M46" i="6" s="1"/>
  <c r="A41" i="6"/>
  <c r="N41" i="6" s="1"/>
  <c r="A18" i="6"/>
  <c r="N18" i="6" s="1"/>
  <c r="A31" i="6"/>
  <c r="M31" i="6" s="1"/>
  <c r="A78" i="6"/>
  <c r="M78" i="6" s="1"/>
  <c r="A48" i="6"/>
  <c r="N48" i="6" s="1"/>
  <c r="A93" i="6"/>
  <c r="N93" i="6" s="1"/>
  <c r="A94" i="6"/>
  <c r="A95" i="6"/>
  <c r="A96" i="6"/>
  <c r="A97" i="6"/>
  <c r="A90" i="6"/>
  <c r="N90" i="6" s="1"/>
  <c r="A92" i="6"/>
  <c r="A88" i="6"/>
  <c r="N88" i="6" s="1"/>
  <c r="A89" i="6"/>
  <c r="A86" i="6"/>
  <c r="N86" i="6" s="1"/>
  <c r="A87" i="6"/>
  <c r="A84" i="6"/>
  <c r="N84" i="6" s="1"/>
  <c r="A85" i="6"/>
  <c r="A82" i="6"/>
  <c r="M82" i="6" s="1"/>
  <c r="A81" i="6"/>
  <c r="A79" i="6"/>
  <c r="N79" i="6" s="1"/>
  <c r="A80" i="6"/>
  <c r="A21" i="6"/>
  <c r="M21" i="6" s="1"/>
  <c r="A63" i="6"/>
  <c r="N60" i="6"/>
  <c r="M60" i="6"/>
  <c r="N25" i="6"/>
  <c r="M25" i="6"/>
  <c r="N57" i="6"/>
  <c r="M57" i="6"/>
  <c r="M29" i="6"/>
  <c r="N29" i="6"/>
  <c r="N76" i="6"/>
  <c r="M76" i="6"/>
  <c r="M58" i="6"/>
  <c r="N58" i="6"/>
  <c r="M53" i="6"/>
  <c r="N53" i="6"/>
  <c r="N37" i="6"/>
  <c r="M37" i="6"/>
  <c r="M102" i="6"/>
  <c r="N102" i="6"/>
  <c r="N65" i="6"/>
  <c r="M65" i="6"/>
  <c r="N106" i="6"/>
  <c r="M106" i="6"/>
  <c r="N67" i="6"/>
  <c r="M67" i="6"/>
  <c r="M19" i="6"/>
  <c r="N19" i="6"/>
  <c r="N61" i="6"/>
  <c r="M61" i="6"/>
  <c r="M100" i="6"/>
  <c r="N100" i="6"/>
  <c r="N99" i="6"/>
  <c r="M99" i="6"/>
  <c r="N49" i="6"/>
  <c r="M49" i="6"/>
  <c r="M23" i="6"/>
  <c r="N23" i="6"/>
  <c r="M34" i="6"/>
  <c r="N34" i="6"/>
  <c r="N45" i="6"/>
  <c r="M45" i="6"/>
  <c r="N59" i="6"/>
  <c r="M59" i="6"/>
  <c r="M103" i="6"/>
  <c r="N103" i="6"/>
  <c r="N43" i="6"/>
  <c r="M43" i="6"/>
  <c r="N107" i="6"/>
  <c r="M107" i="6"/>
  <c r="M39" i="6"/>
  <c r="N39" i="6"/>
  <c r="M50" i="6"/>
  <c r="N50" i="6"/>
  <c r="N66" i="6"/>
  <c r="M66" i="6"/>
  <c r="M101" i="6"/>
  <c r="N101" i="6"/>
  <c r="M35" i="6"/>
  <c r="N35" i="6"/>
  <c r="N30" i="6"/>
  <c r="M30" i="6"/>
  <c r="N70" i="6"/>
  <c r="M70" i="6"/>
  <c r="A108" i="6"/>
  <c r="A33" i="6"/>
  <c r="A104" i="6"/>
  <c r="A26" i="6"/>
  <c r="A68" i="6"/>
  <c r="A28" i="6"/>
  <c r="A54" i="6"/>
  <c r="N110" i="6"/>
  <c r="A111" i="6"/>
  <c r="L129" i="6"/>
  <c r="BE110" i="6" l="1"/>
  <c r="BF110" i="6"/>
  <c r="B112" i="6"/>
  <c r="BC110" i="6"/>
  <c r="BX110" i="6" a="1"/>
  <c r="BX110" i="6" s="1"/>
  <c r="BJ110" i="6"/>
  <c r="CC110" i="6" a="1"/>
  <c r="CC110" i="6" s="1"/>
  <c r="BG110" i="6"/>
  <c r="CE110" i="6" a="1"/>
  <c r="CE110" i="6" s="1"/>
  <c r="CB110" i="6" a="1"/>
  <c r="CB110" i="6" s="1"/>
  <c r="BY110" i="6" a="1"/>
  <c r="BY110" i="6" s="1"/>
  <c r="BH110" i="6"/>
  <c r="BK110" i="6"/>
  <c r="BL110" i="6"/>
  <c r="CA110" i="6" a="1"/>
  <c r="CA110" i="6" s="1"/>
  <c r="BZ110" i="6" a="1"/>
  <c r="BZ110" i="6" s="1"/>
  <c r="BV110" i="6" a="1"/>
  <c r="BV110" i="6" s="1"/>
  <c r="BD110" i="6"/>
  <c r="BW110" i="6" a="1"/>
  <c r="BW110" i="6" s="1"/>
  <c r="BI110" i="6"/>
  <c r="CD110" i="6" a="1"/>
  <c r="CD110" i="6" s="1"/>
  <c r="CJ110" i="6" a="1"/>
  <c r="CJ110" i="6" s="1"/>
  <c r="BA110" i="6"/>
  <c r="AZ110" i="6"/>
  <c r="CM110" i="6" a="1"/>
  <c r="CM110" i="6" s="1"/>
  <c r="BR110" i="6"/>
  <c r="AY110" i="6"/>
  <c r="AW110" i="6"/>
  <c r="CH110" i="6" a="1"/>
  <c r="CH110" i="6" s="1"/>
  <c r="AE112" i="5" a="1"/>
  <c r="AE112" i="5" s="1"/>
  <c r="AV110" i="6"/>
  <c r="B112" i="5"/>
  <c r="M111" i="6"/>
  <c r="BN111" i="6" s="1"/>
  <c r="G111" i="6"/>
  <c r="CK110" i="6" a="1"/>
  <c r="CK110" i="6" s="1"/>
  <c r="AD112" i="5"/>
  <c r="N111" i="6"/>
  <c r="A112" i="12"/>
  <c r="L112" i="12" s="1" a="1"/>
  <c r="L112" i="12" s="1"/>
  <c r="BO110" i="6"/>
  <c r="H112" i="5"/>
  <c r="G112" i="5"/>
  <c r="C113" i="5"/>
  <c r="K112" i="5"/>
  <c r="BQ110" i="6"/>
  <c r="D112" i="5"/>
  <c r="B112" i="12" s="1"/>
  <c r="J112" i="5"/>
  <c r="F112" i="5"/>
  <c r="CI110" i="6" a="1"/>
  <c r="CI110" i="6" s="1"/>
  <c r="N112" i="5"/>
  <c r="D112" i="6" s="1"/>
  <c r="H112" i="6" s="1" a="1"/>
  <c r="H112" i="6" s="1"/>
  <c r="T112" i="5" s="1"/>
  <c r="G112" i="12" s="1" a="1"/>
  <c r="G112" i="12" s="1"/>
  <c r="E112" i="5"/>
  <c r="BM110" i="6"/>
  <c r="CG110" i="6" a="1"/>
  <c r="CG110" i="6" s="1"/>
  <c r="BS110" i="6"/>
  <c r="BN110" i="6"/>
  <c r="CF110" i="6" a="1"/>
  <c r="CF110" i="6" s="1"/>
  <c r="BT110" i="6"/>
  <c r="AX110" i="6"/>
  <c r="CL110" i="6" a="1"/>
  <c r="CL110" i="6" s="1"/>
  <c r="BP107" i="6"/>
  <c r="BO107" i="6"/>
  <c r="CH107" i="6" a="1"/>
  <c r="CH107" i="6" s="1"/>
  <c r="CM107" i="6" a="1"/>
  <c r="CM107" i="6" s="1"/>
  <c r="AZ107" i="6"/>
  <c r="CL107" i="6" a="1"/>
  <c r="CL107" i="6" s="1"/>
  <c r="AV107" i="6"/>
  <c r="CK107" i="6" a="1"/>
  <c r="CK107" i="6" s="1"/>
  <c r="BN107" i="6"/>
  <c r="CG107" i="6" a="1"/>
  <c r="CG107" i="6" s="1"/>
  <c r="BA107" i="6"/>
  <c r="CI107" i="6" a="1"/>
  <c r="CI107" i="6" s="1"/>
  <c r="CF107" i="6" a="1"/>
  <c r="CF107" i="6" s="1"/>
  <c r="BM107" i="6"/>
  <c r="AX107" i="6"/>
  <c r="CJ107" i="6" a="1"/>
  <c r="CJ107" i="6" s="1"/>
  <c r="AY107" i="6"/>
  <c r="BT107" i="6"/>
  <c r="BR107" i="6"/>
  <c r="AW107" i="6"/>
  <c r="BS107" i="6"/>
  <c r="BQ107" i="6"/>
  <c r="BM70" i="6"/>
  <c r="BA70" i="6"/>
  <c r="CK70" i="6" a="1"/>
  <c r="CK70" i="6" s="1"/>
  <c r="BS70" i="6"/>
  <c r="CL70" i="6" a="1"/>
  <c r="CL70" i="6" s="1"/>
  <c r="CJ70" i="6" a="1"/>
  <c r="CJ70" i="6" s="1"/>
  <c r="BR70" i="6"/>
  <c r="BP70" i="6"/>
  <c r="BQ70" i="6"/>
  <c r="CI70" i="6" a="1"/>
  <c r="CI70" i="6" s="1"/>
  <c r="AX70" i="6"/>
  <c r="CF70" i="6" a="1"/>
  <c r="CF70" i="6" s="1"/>
  <c r="AW70" i="6"/>
  <c r="CH70" i="6" a="1"/>
  <c r="CH70" i="6" s="1"/>
  <c r="AV70" i="6"/>
  <c r="BT70" i="6"/>
  <c r="CG70" i="6" a="1"/>
  <c r="CG70" i="6" s="1"/>
  <c r="CM70" i="6" a="1"/>
  <c r="CM70" i="6" s="1"/>
  <c r="BO70" i="6"/>
  <c r="AZ70" i="6"/>
  <c r="BN70" i="6"/>
  <c r="AY70" i="6"/>
  <c r="CF60" i="6" a="1"/>
  <c r="CF60" i="6" s="1"/>
  <c r="CJ60" i="6" a="1"/>
  <c r="CJ60" i="6" s="1"/>
  <c r="CL60" i="6" a="1"/>
  <c r="CL60" i="6" s="1"/>
  <c r="BR60" i="6"/>
  <c r="CH60" i="6" a="1"/>
  <c r="CH60" i="6" s="1"/>
  <c r="CG60" i="6" a="1"/>
  <c r="CG60" i="6" s="1"/>
  <c r="CK60" i="6" a="1"/>
  <c r="CK60" i="6" s="1"/>
  <c r="BQ60" i="6"/>
  <c r="CI60" i="6" a="1"/>
  <c r="CI60" i="6" s="1"/>
  <c r="BM60" i="6"/>
  <c r="CM60" i="6" a="1"/>
  <c r="CM60" i="6" s="1"/>
  <c r="BS60" i="6"/>
  <c r="BT60" i="6"/>
  <c r="BO60" i="6"/>
  <c r="BN60" i="6"/>
  <c r="BP60" i="6"/>
  <c r="BA60" i="6"/>
  <c r="AZ60" i="6"/>
  <c r="AY60" i="6"/>
  <c r="AV60" i="6"/>
  <c r="AW60" i="6"/>
  <c r="AX60" i="6"/>
  <c r="BN39" i="6"/>
  <c r="BT39" i="6"/>
  <c r="CM39" i="6" a="1"/>
  <c r="CM39" i="6" s="1"/>
  <c r="CG39" i="6" a="1"/>
  <c r="CG39" i="6" s="1"/>
  <c r="BR39" i="6"/>
  <c r="CL39" i="6" a="1"/>
  <c r="CL39" i="6" s="1"/>
  <c r="BQ39" i="6"/>
  <c r="CF39" i="6" a="1"/>
  <c r="CF39" i="6" s="1"/>
  <c r="BP39" i="6"/>
  <c r="CK39" i="6" a="1"/>
  <c r="CK39" i="6" s="1"/>
  <c r="CH39" i="6" a="1"/>
  <c r="CH39" i="6" s="1"/>
  <c r="BM39" i="6"/>
  <c r="CI39" i="6" a="1"/>
  <c r="CI39" i="6" s="1"/>
  <c r="CJ39" i="6" a="1"/>
  <c r="CJ39" i="6" s="1"/>
  <c r="BS39" i="6"/>
  <c r="BO39" i="6"/>
  <c r="AV39" i="6"/>
  <c r="AW39" i="6"/>
  <c r="AX39" i="6"/>
  <c r="AY39" i="6"/>
  <c r="AZ39" i="6"/>
  <c r="BA39" i="6"/>
  <c r="CK34" i="6" a="1"/>
  <c r="CK34" i="6" s="1"/>
  <c r="CH34" i="6" a="1"/>
  <c r="CH34" i="6" s="1"/>
  <c r="CJ34" i="6" a="1"/>
  <c r="CJ34" i="6" s="1"/>
  <c r="BR34" i="6"/>
  <c r="CI34" i="6" a="1"/>
  <c r="CI34" i="6" s="1"/>
  <c r="CL34" i="6" a="1"/>
  <c r="CL34" i="6" s="1"/>
  <c r="CF34" i="6" a="1"/>
  <c r="CF34" i="6" s="1"/>
  <c r="CM34" i="6" a="1"/>
  <c r="CM34" i="6" s="1"/>
  <c r="CG34" i="6" a="1"/>
  <c r="CG34" i="6" s="1"/>
  <c r="BP34" i="6"/>
  <c r="BT34" i="6"/>
  <c r="BO34" i="6"/>
  <c r="BQ34" i="6"/>
  <c r="BN34" i="6"/>
  <c r="BM34" i="6"/>
  <c r="BS34" i="6"/>
  <c r="AY34" i="6"/>
  <c r="BA34" i="6"/>
  <c r="AV34" i="6"/>
  <c r="AW34" i="6"/>
  <c r="AZ34" i="6"/>
  <c r="AX34" i="6"/>
  <c r="CH19" i="6" a="1"/>
  <c r="CH19" i="6" s="1"/>
  <c r="CJ19" i="6" a="1"/>
  <c r="CJ19" i="6" s="1"/>
  <c r="BN19" i="6"/>
  <c r="BR19" i="6"/>
  <c r="BS19" i="6"/>
  <c r="BO19" i="6"/>
  <c r="BM19" i="6"/>
  <c r="CF19" i="6" a="1"/>
  <c r="CF19" i="6" s="1"/>
  <c r="BT19" i="6"/>
  <c r="BP19" i="6"/>
  <c r="BQ19" i="6"/>
  <c r="CM19" i="6" a="1"/>
  <c r="CM19" i="6" s="1"/>
  <c r="CL19" i="6" a="1"/>
  <c r="CL19" i="6" s="1"/>
  <c r="CG19" i="6" a="1"/>
  <c r="CG19" i="6" s="1"/>
  <c r="CI19" i="6" a="1"/>
  <c r="CI19" i="6" s="1"/>
  <c r="CK19" i="6" a="1"/>
  <c r="CK19" i="6" s="1"/>
  <c r="BA19" i="6"/>
  <c r="AX19" i="6"/>
  <c r="AV19" i="6"/>
  <c r="AW19" i="6"/>
  <c r="AY19" i="6"/>
  <c r="AZ19" i="6"/>
  <c r="BS53" i="6"/>
  <c r="BR53" i="6"/>
  <c r="BN53" i="6"/>
  <c r="CK53" i="6" a="1"/>
  <c r="CK53" i="6" s="1"/>
  <c r="CF53" i="6" a="1"/>
  <c r="CF53" i="6" s="1"/>
  <c r="CG53" i="6" a="1"/>
  <c r="CG53" i="6" s="1"/>
  <c r="CJ53" i="6" a="1"/>
  <c r="CJ53" i="6" s="1"/>
  <c r="BQ53" i="6"/>
  <c r="CI53" i="6" a="1"/>
  <c r="CI53" i="6" s="1"/>
  <c r="BP53" i="6"/>
  <c r="CH53" i="6" a="1"/>
  <c r="CH53" i="6" s="1"/>
  <c r="BO53" i="6"/>
  <c r="CM53" i="6" a="1"/>
  <c r="CM53" i="6" s="1"/>
  <c r="CL53" i="6" a="1"/>
  <c r="CL53" i="6" s="1"/>
  <c r="BM53" i="6"/>
  <c r="BT53" i="6"/>
  <c r="AW53" i="6"/>
  <c r="AV53" i="6"/>
  <c r="BA53" i="6"/>
  <c r="AZ53" i="6"/>
  <c r="AX53" i="6"/>
  <c r="AY53" i="6"/>
  <c r="CL67" i="6" a="1"/>
  <c r="CL67" i="6" s="1"/>
  <c r="BA67" i="6"/>
  <c r="BO67" i="6"/>
  <c r="CI67" i="6" a="1"/>
  <c r="CI67" i="6" s="1"/>
  <c r="BS67" i="6"/>
  <c r="CH67" i="6" a="1"/>
  <c r="CH67" i="6" s="1"/>
  <c r="BR67" i="6"/>
  <c r="CM67" i="6" a="1"/>
  <c r="CM67" i="6" s="1"/>
  <c r="AX67" i="6"/>
  <c r="BP67" i="6"/>
  <c r="CG67" i="6" a="1"/>
  <c r="CG67" i="6" s="1"/>
  <c r="BT67" i="6"/>
  <c r="CF67" i="6" a="1"/>
  <c r="CF67" i="6" s="1"/>
  <c r="AW67" i="6"/>
  <c r="CK67" i="6" a="1"/>
  <c r="CK67" i="6" s="1"/>
  <c r="BQ67" i="6"/>
  <c r="CJ67" i="6" a="1"/>
  <c r="CJ67" i="6" s="1"/>
  <c r="AV67" i="6"/>
  <c r="BN67" i="6"/>
  <c r="AZ67" i="6"/>
  <c r="BM67" i="6"/>
  <c r="AY67" i="6"/>
  <c r="CI56" i="6" a="1"/>
  <c r="CI56" i="6" s="1"/>
  <c r="BO56" i="6"/>
  <c r="CH56" i="6" a="1"/>
  <c r="CH56" i="6" s="1"/>
  <c r="CF56" i="6" a="1"/>
  <c r="CF56" i="6" s="1"/>
  <c r="BN56" i="6"/>
  <c r="BR56" i="6"/>
  <c r="BS56" i="6"/>
  <c r="CM56" i="6" a="1"/>
  <c r="CM56" i="6" s="1"/>
  <c r="CG56" i="6" a="1"/>
  <c r="CG56" i="6" s="1"/>
  <c r="CJ56" i="6" a="1"/>
  <c r="CJ56" i="6" s="1"/>
  <c r="BQ56" i="6"/>
  <c r="CL56" i="6" a="1"/>
  <c r="CL56" i="6" s="1"/>
  <c r="BM56" i="6"/>
  <c r="CK56" i="6" a="1"/>
  <c r="CK56" i="6" s="1"/>
  <c r="BT56" i="6"/>
  <c r="BP56" i="6"/>
  <c r="BA56" i="6"/>
  <c r="AW56" i="6"/>
  <c r="AV56" i="6"/>
  <c r="AZ56" i="6"/>
  <c r="AY56" i="6"/>
  <c r="AX56" i="6"/>
  <c r="BM106" i="6"/>
  <c r="AZ106" i="6"/>
  <c r="CJ106" i="6" a="1"/>
  <c r="CJ106" i="6" s="1"/>
  <c r="AV106" i="6"/>
  <c r="CM106" i="6" a="1"/>
  <c r="CM106" i="6" s="1"/>
  <c r="BS106" i="6"/>
  <c r="CL106" i="6" a="1"/>
  <c r="CL106" i="6" s="1"/>
  <c r="BR106" i="6"/>
  <c r="CK106" i="6" a="1"/>
  <c r="CK106" i="6" s="1"/>
  <c r="AY106" i="6"/>
  <c r="CI106" i="6" a="1"/>
  <c r="CI106" i="6" s="1"/>
  <c r="BP106" i="6"/>
  <c r="CF106" i="6" a="1"/>
  <c r="CF106" i="6" s="1"/>
  <c r="AX106" i="6"/>
  <c r="CH106" i="6" a="1"/>
  <c r="CH106" i="6" s="1"/>
  <c r="AW106" i="6"/>
  <c r="CG106" i="6" a="1"/>
  <c r="CG106" i="6" s="1"/>
  <c r="BT106" i="6"/>
  <c r="BO106" i="6"/>
  <c r="BQ106" i="6"/>
  <c r="BN106" i="6"/>
  <c r="BA106" i="6"/>
  <c r="CL74" i="6" a="1"/>
  <c r="CL74" i="6" s="1"/>
  <c r="BP74" i="6"/>
  <c r="CG74" i="6" a="1"/>
  <c r="CG74" i="6" s="1"/>
  <c r="BT74" i="6"/>
  <c r="CK74" i="6" a="1"/>
  <c r="CK74" i="6" s="1"/>
  <c r="BO74" i="6"/>
  <c r="AW74" i="6"/>
  <c r="CM74" i="6" a="1"/>
  <c r="CM74" i="6" s="1"/>
  <c r="CJ74" i="6" a="1"/>
  <c r="CJ74" i="6" s="1"/>
  <c r="CI74" i="6" a="1"/>
  <c r="CI74" i="6" s="1"/>
  <c r="BM74" i="6"/>
  <c r="CH74" i="6" a="1"/>
  <c r="CH74" i="6" s="1"/>
  <c r="CF74" i="6" a="1"/>
  <c r="CF74" i="6" s="1"/>
  <c r="BN74" i="6"/>
  <c r="BQ74" i="6"/>
  <c r="BS74" i="6"/>
  <c r="AV74" i="6"/>
  <c r="BR74" i="6"/>
  <c r="BA74" i="6"/>
  <c r="AX74" i="6"/>
  <c r="AY74" i="6"/>
  <c r="AZ74" i="6"/>
  <c r="CI35" i="6" a="1"/>
  <c r="CI35" i="6" s="1"/>
  <c r="BO35" i="6"/>
  <c r="CH35" i="6" a="1"/>
  <c r="CH35" i="6" s="1"/>
  <c r="CM35" i="6" a="1"/>
  <c r="CM35" i="6" s="1"/>
  <c r="CF35" i="6" a="1"/>
  <c r="CF35" i="6" s="1"/>
  <c r="CL35" i="6" a="1"/>
  <c r="CL35" i="6" s="1"/>
  <c r="BM35" i="6"/>
  <c r="CG35" i="6" a="1"/>
  <c r="CG35" i="6" s="1"/>
  <c r="BR35" i="6"/>
  <c r="CJ35" i="6" a="1"/>
  <c r="CJ35" i="6" s="1"/>
  <c r="BN35" i="6"/>
  <c r="CK35" i="6" a="1"/>
  <c r="CK35" i="6" s="1"/>
  <c r="BT35" i="6"/>
  <c r="BS35" i="6"/>
  <c r="BQ35" i="6"/>
  <c r="BP35" i="6"/>
  <c r="AV35" i="6"/>
  <c r="AW35" i="6"/>
  <c r="AX35" i="6"/>
  <c r="AY35" i="6"/>
  <c r="BA35" i="6"/>
  <c r="AZ35" i="6"/>
  <c r="CF20" i="6" a="1"/>
  <c r="CF20" i="6" s="1"/>
  <c r="BP20" i="6"/>
  <c r="BN20" i="6"/>
  <c r="BT20" i="6"/>
  <c r="BM20" i="6"/>
  <c r="BO20" i="6"/>
  <c r="BR20" i="6"/>
  <c r="CK20" i="6" a="1"/>
  <c r="CK20" i="6" s="1"/>
  <c r="BS20" i="6"/>
  <c r="CI20" i="6" a="1"/>
  <c r="CI20" i="6" s="1"/>
  <c r="CM20" i="6" a="1"/>
  <c r="CM20" i="6" s="1"/>
  <c r="CL20" i="6" a="1"/>
  <c r="CL20" i="6" s="1"/>
  <c r="BQ20" i="6"/>
  <c r="CH20" i="6" a="1"/>
  <c r="CH20" i="6" s="1"/>
  <c r="CJ20" i="6" a="1"/>
  <c r="CJ20" i="6" s="1"/>
  <c r="CG20" i="6" a="1"/>
  <c r="CG20" i="6" s="1"/>
  <c r="AV20" i="6"/>
  <c r="AW20" i="6"/>
  <c r="AX20" i="6"/>
  <c r="AY20" i="6"/>
  <c r="AZ20" i="6"/>
  <c r="BA20" i="6"/>
  <c r="BN99" i="6"/>
  <c r="BQ99" i="6"/>
  <c r="BP99" i="6"/>
  <c r="CI99" i="6" a="1"/>
  <c r="CI99" i="6" s="1"/>
  <c r="CJ99" i="6" a="1"/>
  <c r="CJ99" i="6" s="1"/>
  <c r="CL99" i="6" a="1"/>
  <c r="CL99" i="6" s="1"/>
  <c r="CF99" i="6" a="1"/>
  <c r="CF99" i="6" s="1"/>
  <c r="AZ99" i="6"/>
  <c r="AY99" i="6"/>
  <c r="AV99" i="6"/>
  <c r="CG99" i="6" a="1"/>
  <c r="CG99" i="6" s="1"/>
  <c r="BM99" i="6"/>
  <c r="CK99" i="6" a="1"/>
  <c r="CK99" i="6" s="1"/>
  <c r="BT99" i="6"/>
  <c r="CM99" i="6" a="1"/>
  <c r="CM99" i="6" s="1"/>
  <c r="CH99" i="6" a="1"/>
  <c r="CH99" i="6" s="1"/>
  <c r="BS99" i="6"/>
  <c r="BR99" i="6"/>
  <c r="BO99" i="6"/>
  <c r="AX99" i="6"/>
  <c r="BA99" i="6"/>
  <c r="AW99" i="6"/>
  <c r="BQ65" i="6"/>
  <c r="BT65" i="6"/>
  <c r="CL65" i="6" a="1"/>
  <c r="CL65" i="6" s="1"/>
  <c r="BP65" i="6"/>
  <c r="CK65" i="6" a="1"/>
  <c r="CK65" i="6" s="1"/>
  <c r="BO65" i="6"/>
  <c r="AW65" i="6"/>
  <c r="CG65" i="6" a="1"/>
  <c r="CG65" i="6" s="1"/>
  <c r="BA65" i="6"/>
  <c r="CM65" i="6" a="1"/>
  <c r="CM65" i="6" s="1"/>
  <c r="AZ65" i="6"/>
  <c r="CJ65" i="6" a="1"/>
  <c r="CJ65" i="6" s="1"/>
  <c r="BM65" i="6"/>
  <c r="CI65" i="6" a="1"/>
  <c r="CI65" i="6" s="1"/>
  <c r="AY65" i="6"/>
  <c r="CH65" i="6" a="1"/>
  <c r="CH65" i="6" s="1"/>
  <c r="BN65" i="6"/>
  <c r="CF65" i="6" a="1"/>
  <c r="CF65" i="6" s="1"/>
  <c r="AX65" i="6"/>
  <c r="BS65" i="6"/>
  <c r="AV65" i="6"/>
  <c r="BR65" i="6"/>
  <c r="BQ71" i="6"/>
  <c r="BM71" i="6"/>
  <c r="AX71" i="6"/>
  <c r="CI71" i="6" a="1"/>
  <c r="CI71" i="6" s="1"/>
  <c r="BP71" i="6"/>
  <c r="CK71" i="6" a="1"/>
  <c r="CK71" i="6" s="1"/>
  <c r="BO71" i="6"/>
  <c r="CL71" i="6" a="1"/>
  <c r="CL71" i="6" s="1"/>
  <c r="CJ71" i="6" a="1"/>
  <c r="CJ71" i="6" s="1"/>
  <c r="BA71" i="6"/>
  <c r="BT71" i="6"/>
  <c r="CH71" i="6" a="1"/>
  <c r="CH71" i="6" s="1"/>
  <c r="AZ71" i="6"/>
  <c r="AW71" i="6"/>
  <c r="CG71" i="6" a="1"/>
  <c r="CG71" i="6" s="1"/>
  <c r="BN71" i="6"/>
  <c r="CF71" i="6" a="1"/>
  <c r="CF71" i="6" s="1"/>
  <c r="AY71" i="6"/>
  <c r="BS71" i="6"/>
  <c r="CM71" i="6" a="1"/>
  <c r="CM71" i="6" s="1"/>
  <c r="BR71" i="6"/>
  <c r="AV71" i="6"/>
  <c r="CJ21" i="6" a="1"/>
  <c r="CJ21" i="6" s="1"/>
  <c r="BP21" i="6"/>
  <c r="BR21" i="6"/>
  <c r="BO21" i="6"/>
  <c r="BT21" i="6"/>
  <c r="CG21" i="6" a="1"/>
  <c r="CG21" i="6" s="1"/>
  <c r="CM21" i="6" a="1"/>
  <c r="CM21" i="6" s="1"/>
  <c r="CF21" i="6" a="1"/>
  <c r="CF21" i="6" s="1"/>
  <c r="CK21" i="6" a="1"/>
  <c r="CK21" i="6" s="1"/>
  <c r="BS21" i="6"/>
  <c r="BN21" i="6"/>
  <c r="CI21" i="6" a="1"/>
  <c r="CI21" i="6" s="1"/>
  <c r="BM21" i="6"/>
  <c r="BQ21" i="6"/>
  <c r="CL21" i="6" a="1"/>
  <c r="CL21" i="6" s="1"/>
  <c r="CH21" i="6" a="1"/>
  <c r="CH21" i="6" s="1"/>
  <c r="BA21" i="6"/>
  <c r="AV21" i="6"/>
  <c r="AY21" i="6"/>
  <c r="AW21" i="6"/>
  <c r="AX21" i="6"/>
  <c r="AZ21" i="6"/>
  <c r="CH101" i="6" a="1"/>
  <c r="CH101" i="6" s="1"/>
  <c r="BP101" i="6"/>
  <c r="CI101" i="6" a="1"/>
  <c r="CI101" i="6" s="1"/>
  <c r="BO101" i="6"/>
  <c r="CG101" i="6" a="1"/>
  <c r="CG101" i="6" s="1"/>
  <c r="CF101" i="6" a="1"/>
  <c r="CF101" i="6" s="1"/>
  <c r="CL101" i="6" a="1"/>
  <c r="CL101" i="6" s="1"/>
  <c r="BS101" i="6"/>
  <c r="BN101" i="6"/>
  <c r="CJ101" i="6" a="1"/>
  <c r="CJ101" i="6" s="1"/>
  <c r="CK101" i="6" a="1"/>
  <c r="CK101" i="6" s="1"/>
  <c r="CM101" i="6" a="1"/>
  <c r="CM101" i="6" s="1"/>
  <c r="BT101" i="6"/>
  <c r="BR101" i="6"/>
  <c r="BM101" i="6"/>
  <c r="BQ101" i="6"/>
  <c r="AV101" i="6"/>
  <c r="AW101" i="6"/>
  <c r="AX101" i="6"/>
  <c r="AY101" i="6"/>
  <c r="AZ101" i="6"/>
  <c r="BA101" i="6"/>
  <c r="CL103" i="6" a="1"/>
  <c r="CL103" i="6" s="1"/>
  <c r="BQ103" i="6"/>
  <c r="CF103" i="6" a="1"/>
  <c r="CF103" i="6" s="1"/>
  <c r="BT103" i="6"/>
  <c r="CM103" i="6" a="1"/>
  <c r="CM103" i="6" s="1"/>
  <c r="BR103" i="6"/>
  <c r="CH103" i="6" a="1"/>
  <c r="CH103" i="6" s="1"/>
  <c r="BP103" i="6"/>
  <c r="BO103" i="6"/>
  <c r="CJ103" i="6" a="1"/>
  <c r="CJ103" i="6" s="1"/>
  <c r="BN103" i="6"/>
  <c r="BM103" i="6"/>
  <c r="BS103" i="6"/>
  <c r="CK103" i="6" a="1"/>
  <c r="CK103" i="6" s="1"/>
  <c r="CI103" i="6" a="1"/>
  <c r="CI103" i="6" s="1"/>
  <c r="CG103" i="6" a="1"/>
  <c r="CG103" i="6" s="1"/>
  <c r="AV103" i="6"/>
  <c r="BA103" i="6"/>
  <c r="AY103" i="6"/>
  <c r="AX103" i="6"/>
  <c r="AZ103" i="6"/>
  <c r="AW103" i="6"/>
  <c r="CI29" i="6" a="1"/>
  <c r="CI29" i="6" s="1"/>
  <c r="BO29" i="6"/>
  <c r="CF29" i="6" a="1"/>
  <c r="CF29" i="6" s="1"/>
  <c r="CM29" i="6" a="1"/>
  <c r="CM29" i="6" s="1"/>
  <c r="CG29" i="6" a="1"/>
  <c r="CG29" i="6" s="1"/>
  <c r="BN29" i="6"/>
  <c r="CJ29" i="6" a="1"/>
  <c r="CJ29" i="6" s="1"/>
  <c r="BT29" i="6"/>
  <c r="BQ29" i="6"/>
  <c r="BP29" i="6"/>
  <c r="CH29" i="6" a="1"/>
  <c r="CH29" i="6" s="1"/>
  <c r="BM29" i="6"/>
  <c r="CK29" i="6" a="1"/>
  <c r="CK29" i="6" s="1"/>
  <c r="BS29" i="6"/>
  <c r="CL29" i="6" a="1"/>
  <c r="CL29" i="6" s="1"/>
  <c r="BR29" i="6"/>
  <c r="AX29" i="6"/>
  <c r="AY29" i="6"/>
  <c r="BA29" i="6"/>
  <c r="AZ29" i="6"/>
  <c r="AV29" i="6"/>
  <c r="AW29" i="6"/>
  <c r="CM82" i="6" a="1"/>
  <c r="CM82" i="6" s="1"/>
  <c r="BS82" i="6"/>
  <c r="CF82" i="6" a="1"/>
  <c r="CF82" i="6" s="1"/>
  <c r="BP82" i="6"/>
  <c r="BR82" i="6"/>
  <c r="CG82" i="6" a="1"/>
  <c r="CG82" i="6" s="1"/>
  <c r="CL82" i="6" a="1"/>
  <c r="CL82" i="6" s="1"/>
  <c r="CK82" i="6" a="1"/>
  <c r="CK82" i="6" s="1"/>
  <c r="CH82" i="6" a="1"/>
  <c r="CH82" i="6" s="1"/>
  <c r="BQ82" i="6"/>
  <c r="CJ82" i="6" a="1"/>
  <c r="CJ82" i="6" s="1"/>
  <c r="CI82" i="6" a="1"/>
  <c r="CI82" i="6" s="1"/>
  <c r="BO82" i="6"/>
  <c r="BN82" i="6"/>
  <c r="BM82" i="6"/>
  <c r="BT82" i="6"/>
  <c r="AZ82" i="6"/>
  <c r="BA82" i="6"/>
  <c r="AW82" i="6"/>
  <c r="AV82" i="6"/>
  <c r="AX82" i="6"/>
  <c r="AY82" i="6"/>
  <c r="BN69" i="6"/>
  <c r="BP69" i="6"/>
  <c r="CF69" i="6" a="1"/>
  <c r="CF69" i="6" s="1"/>
  <c r="CL69" i="6" a="1"/>
  <c r="CL69" i="6" s="1"/>
  <c r="AY69" i="6"/>
  <c r="CM69" i="6" a="1"/>
  <c r="CM69" i="6" s="1"/>
  <c r="BA69" i="6"/>
  <c r="CK69" i="6" a="1"/>
  <c r="CK69" i="6" s="1"/>
  <c r="AZ69" i="6"/>
  <c r="CJ69" i="6" a="1"/>
  <c r="CJ69" i="6" s="1"/>
  <c r="BR69" i="6"/>
  <c r="CH69" i="6" a="1"/>
  <c r="CH69" i="6" s="1"/>
  <c r="AV69" i="6"/>
  <c r="CI69" i="6" a="1"/>
  <c r="CI69" i="6" s="1"/>
  <c r="BQ69" i="6"/>
  <c r="BM69" i="6"/>
  <c r="CG69" i="6" a="1"/>
  <c r="CG69" i="6" s="1"/>
  <c r="BT69" i="6"/>
  <c r="BS69" i="6"/>
  <c r="AX69" i="6"/>
  <c r="BO69" i="6"/>
  <c r="AW69" i="6"/>
  <c r="CK24" i="6" a="1"/>
  <c r="CK24" i="6" s="1"/>
  <c r="CI24" i="6" a="1"/>
  <c r="CI24" i="6" s="1"/>
  <c r="BR24" i="6"/>
  <c r="BM24" i="6"/>
  <c r="BO24" i="6"/>
  <c r="CG24" i="6" a="1"/>
  <c r="CG24" i="6" s="1"/>
  <c r="CH24" i="6" a="1"/>
  <c r="CH24" i="6" s="1"/>
  <c r="BP24" i="6"/>
  <c r="BN24" i="6"/>
  <c r="BT24" i="6"/>
  <c r="CM24" i="6" a="1"/>
  <c r="CM24" i="6" s="1"/>
  <c r="BS24" i="6"/>
  <c r="CF24" i="6" a="1"/>
  <c r="CF24" i="6" s="1"/>
  <c r="CL24" i="6" a="1"/>
  <c r="CL24" i="6" s="1"/>
  <c r="BQ24" i="6"/>
  <c r="CJ24" i="6" a="1"/>
  <c r="CJ24" i="6" s="1"/>
  <c r="AW24" i="6"/>
  <c r="AX24" i="6"/>
  <c r="AY24" i="6"/>
  <c r="BA24" i="6"/>
  <c r="AZ24" i="6"/>
  <c r="AV24" i="6"/>
  <c r="CG59" i="6" a="1"/>
  <c r="CG59" i="6" s="1"/>
  <c r="BP59" i="6"/>
  <c r="CM59" i="6" a="1"/>
  <c r="CM59" i="6" s="1"/>
  <c r="BO59" i="6"/>
  <c r="CL59" i="6" a="1"/>
  <c r="CL59" i="6" s="1"/>
  <c r="BM59" i="6"/>
  <c r="CI59" i="6" a="1"/>
  <c r="CI59" i="6" s="1"/>
  <c r="BT59" i="6"/>
  <c r="CK59" i="6" a="1"/>
  <c r="CK59" i="6" s="1"/>
  <c r="CH59" i="6" a="1"/>
  <c r="CH59" i="6" s="1"/>
  <c r="BS59" i="6"/>
  <c r="CF59" i="6" a="1"/>
  <c r="CF59" i="6" s="1"/>
  <c r="CJ59" i="6" a="1"/>
  <c r="CJ59" i="6" s="1"/>
  <c r="BR59" i="6"/>
  <c r="BN59" i="6"/>
  <c r="BQ59" i="6"/>
  <c r="BA59" i="6"/>
  <c r="AZ59" i="6"/>
  <c r="AY59" i="6"/>
  <c r="AX59" i="6"/>
  <c r="AV59" i="6"/>
  <c r="AW59" i="6"/>
  <c r="CG57" i="6" a="1"/>
  <c r="CG57" i="6" s="1"/>
  <c r="BR57" i="6"/>
  <c r="CM57" i="6" a="1"/>
  <c r="CM57" i="6" s="1"/>
  <c r="BQ57" i="6"/>
  <c r="BS57" i="6"/>
  <c r="CF57" i="6" a="1"/>
  <c r="CF57" i="6" s="1"/>
  <c r="BP57" i="6"/>
  <c r="CL57" i="6" a="1"/>
  <c r="CL57" i="6" s="1"/>
  <c r="CH57" i="6" a="1"/>
  <c r="CH57" i="6" s="1"/>
  <c r="BM57" i="6"/>
  <c r="CI57" i="6" a="1"/>
  <c r="CI57" i="6" s="1"/>
  <c r="BO57" i="6"/>
  <c r="CJ57" i="6" a="1"/>
  <c r="CJ57" i="6" s="1"/>
  <c r="BT57" i="6"/>
  <c r="BN57" i="6"/>
  <c r="CK57" i="6" a="1"/>
  <c r="CK57" i="6" s="1"/>
  <c r="AV57" i="6"/>
  <c r="BA57" i="6"/>
  <c r="AZ57" i="6"/>
  <c r="AW57" i="6"/>
  <c r="AY57" i="6"/>
  <c r="AX57" i="6"/>
  <c r="BN72" i="6"/>
  <c r="AW72" i="6"/>
  <c r="CH72" i="6" a="1"/>
  <c r="CH72" i="6" s="1"/>
  <c r="BQ72" i="6"/>
  <c r="CK72" i="6" a="1"/>
  <c r="CK72" i="6" s="1"/>
  <c r="CG72" i="6" a="1"/>
  <c r="CG72" i="6" s="1"/>
  <c r="BR72" i="6"/>
  <c r="CF72" i="6" a="1"/>
  <c r="CF72" i="6" s="1"/>
  <c r="BP72" i="6"/>
  <c r="BT72" i="6"/>
  <c r="CJ72" i="6" a="1"/>
  <c r="CJ72" i="6" s="1"/>
  <c r="BM72" i="6"/>
  <c r="AX72" i="6"/>
  <c r="CI72" i="6" a="1"/>
  <c r="CI72" i="6" s="1"/>
  <c r="BA72" i="6"/>
  <c r="AY72" i="6"/>
  <c r="CM72" i="6" a="1"/>
  <c r="CM72" i="6" s="1"/>
  <c r="AZ72" i="6"/>
  <c r="AV72" i="6"/>
  <c r="CL72" i="6" a="1"/>
  <c r="CL72" i="6" s="1"/>
  <c r="BS72" i="6"/>
  <c r="BO72" i="6"/>
  <c r="BN46" i="6"/>
  <c r="BT46" i="6"/>
  <c r="BM46" i="6"/>
  <c r="BS46" i="6"/>
  <c r="CG46" i="6" a="1"/>
  <c r="CG46" i="6" s="1"/>
  <c r="CK46" i="6" a="1"/>
  <c r="CK46" i="6" s="1"/>
  <c r="CJ46" i="6" a="1"/>
  <c r="CJ46" i="6" s="1"/>
  <c r="BR46" i="6"/>
  <c r="CI46" i="6" a="1"/>
  <c r="CI46" i="6" s="1"/>
  <c r="CL46" i="6" a="1"/>
  <c r="CL46" i="6" s="1"/>
  <c r="CM46" i="6" a="1"/>
  <c r="CM46" i="6" s="1"/>
  <c r="CF46" i="6" a="1"/>
  <c r="CF46" i="6" s="1"/>
  <c r="CH46" i="6" a="1"/>
  <c r="CH46" i="6" s="1"/>
  <c r="BQ46" i="6"/>
  <c r="BP46" i="6"/>
  <c r="BO46" i="6"/>
  <c r="BA46" i="6"/>
  <c r="AZ46" i="6"/>
  <c r="AW46" i="6"/>
  <c r="AV46" i="6"/>
  <c r="AX46" i="6"/>
  <c r="AY46" i="6"/>
  <c r="CM76" i="6" a="1"/>
  <c r="CM76" i="6" s="1"/>
  <c r="BT76" i="6"/>
  <c r="CJ76" i="6" a="1"/>
  <c r="CJ76" i="6" s="1"/>
  <c r="CG76" i="6" a="1"/>
  <c r="CG76" i="6" s="1"/>
  <c r="CF76" i="6" a="1"/>
  <c r="CF76" i="6" s="1"/>
  <c r="BQ76" i="6"/>
  <c r="CL76" i="6" a="1"/>
  <c r="CL76" i="6" s="1"/>
  <c r="CK76" i="6" a="1"/>
  <c r="CK76" i="6" s="1"/>
  <c r="BP76" i="6"/>
  <c r="BO76" i="6"/>
  <c r="BM76" i="6"/>
  <c r="BN76" i="6"/>
  <c r="CI76" i="6" a="1"/>
  <c r="CI76" i="6" s="1"/>
  <c r="BS76" i="6"/>
  <c r="CH76" i="6" a="1"/>
  <c r="CH76" i="6" s="1"/>
  <c r="BR76" i="6"/>
  <c r="BA76" i="6"/>
  <c r="AY76" i="6"/>
  <c r="AZ76" i="6"/>
  <c r="AX76" i="6"/>
  <c r="AV76" i="6"/>
  <c r="AW76" i="6"/>
  <c r="CM30" i="6" a="1"/>
  <c r="CM30" i="6" s="1"/>
  <c r="BR30" i="6"/>
  <c r="BQ30" i="6"/>
  <c r="CK30" i="6" a="1"/>
  <c r="CK30" i="6" s="1"/>
  <c r="BP30" i="6"/>
  <c r="CG30" i="6" a="1"/>
  <c r="CG30" i="6" s="1"/>
  <c r="BS30" i="6"/>
  <c r="CL30" i="6" a="1"/>
  <c r="CL30" i="6" s="1"/>
  <c r="CF30" i="6" a="1"/>
  <c r="CF30" i="6" s="1"/>
  <c r="CJ30" i="6" a="1"/>
  <c r="CJ30" i="6" s="1"/>
  <c r="CH30" i="6" a="1"/>
  <c r="CH30" i="6" s="1"/>
  <c r="BT30" i="6"/>
  <c r="CI30" i="6" a="1"/>
  <c r="CI30" i="6" s="1"/>
  <c r="BM30" i="6"/>
  <c r="BO30" i="6"/>
  <c r="BN30" i="6"/>
  <c r="AY30" i="6"/>
  <c r="AZ30" i="6"/>
  <c r="BA30" i="6"/>
  <c r="AV30" i="6"/>
  <c r="AW30" i="6"/>
  <c r="AX30" i="6"/>
  <c r="CM58" i="6" a="1"/>
  <c r="CM58" i="6" s="1"/>
  <c r="BS58" i="6"/>
  <c r="CL58" i="6" a="1"/>
  <c r="CL58" i="6" s="1"/>
  <c r="BR58" i="6"/>
  <c r="CK58" i="6" a="1"/>
  <c r="CK58" i="6" s="1"/>
  <c r="BT58" i="6"/>
  <c r="BO58" i="6"/>
  <c r="BN58" i="6"/>
  <c r="CG58" i="6" a="1"/>
  <c r="CG58" i="6" s="1"/>
  <c r="CJ58" i="6" a="1"/>
  <c r="CJ58" i="6" s="1"/>
  <c r="BP58" i="6"/>
  <c r="BM58" i="6"/>
  <c r="CI58" i="6" a="1"/>
  <c r="CI58" i="6" s="1"/>
  <c r="BQ58" i="6"/>
  <c r="CH58" i="6" a="1"/>
  <c r="CH58" i="6" s="1"/>
  <c r="CF58" i="6" a="1"/>
  <c r="CF58" i="6" s="1"/>
  <c r="AX58" i="6"/>
  <c r="AW58" i="6"/>
  <c r="AZ58" i="6"/>
  <c r="AV58" i="6"/>
  <c r="AY58" i="6"/>
  <c r="BA58" i="6"/>
  <c r="CJ49" i="6" a="1"/>
  <c r="CJ49" i="6" s="1"/>
  <c r="BR49" i="6"/>
  <c r="CI49" i="6" a="1"/>
  <c r="CI49" i="6" s="1"/>
  <c r="CL49" i="6" a="1"/>
  <c r="CL49" i="6" s="1"/>
  <c r="BT49" i="6"/>
  <c r="CG49" i="6" a="1"/>
  <c r="CG49" i="6" s="1"/>
  <c r="BO49" i="6"/>
  <c r="BN49" i="6"/>
  <c r="CF49" i="6" a="1"/>
  <c r="CF49" i="6" s="1"/>
  <c r="CM49" i="6" a="1"/>
  <c r="CM49" i="6" s="1"/>
  <c r="BQ49" i="6"/>
  <c r="BP49" i="6"/>
  <c r="CH49" i="6" a="1"/>
  <c r="CH49" i="6" s="1"/>
  <c r="BM49" i="6"/>
  <c r="CK49" i="6" a="1"/>
  <c r="CK49" i="6" s="1"/>
  <c r="BS49" i="6"/>
  <c r="BA49" i="6"/>
  <c r="AZ49" i="6"/>
  <c r="AW49" i="6"/>
  <c r="AV49" i="6"/>
  <c r="AX49" i="6"/>
  <c r="AY49" i="6"/>
  <c r="BP100" i="6"/>
  <c r="CM100" i="6" a="1"/>
  <c r="CM100" i="6" s="1"/>
  <c r="CI100" i="6" a="1"/>
  <c r="CI100" i="6" s="1"/>
  <c r="AV100" i="6"/>
  <c r="BO100" i="6"/>
  <c r="BM100" i="6"/>
  <c r="BN100" i="6"/>
  <c r="BT100" i="6"/>
  <c r="CF100" i="6" a="1"/>
  <c r="CF100" i="6" s="1"/>
  <c r="AW100" i="6"/>
  <c r="CJ100" i="6" a="1"/>
  <c r="CJ100" i="6" s="1"/>
  <c r="BS100" i="6"/>
  <c r="CG100" i="6" a="1"/>
  <c r="CG100" i="6" s="1"/>
  <c r="BR100" i="6"/>
  <c r="CL100" i="6" a="1"/>
  <c r="CL100" i="6" s="1"/>
  <c r="CK100" i="6" a="1"/>
  <c r="CK100" i="6" s="1"/>
  <c r="CH100" i="6" a="1"/>
  <c r="CH100" i="6" s="1"/>
  <c r="BQ100" i="6"/>
  <c r="AY100" i="6"/>
  <c r="AX100" i="6"/>
  <c r="BA100" i="6"/>
  <c r="AZ100" i="6"/>
  <c r="CH23" i="6" a="1"/>
  <c r="CH23" i="6" s="1"/>
  <c r="CK23" i="6" a="1"/>
  <c r="CK23" i="6" s="1"/>
  <c r="BT23" i="6"/>
  <c r="BS23" i="6"/>
  <c r="BP23" i="6"/>
  <c r="BO23" i="6"/>
  <c r="BQ23" i="6"/>
  <c r="CF23" i="6" a="1"/>
  <c r="CF23" i="6" s="1"/>
  <c r="CI23" i="6" a="1"/>
  <c r="CI23" i="6" s="1"/>
  <c r="CJ23" i="6" a="1"/>
  <c r="CJ23" i="6" s="1"/>
  <c r="BR23" i="6"/>
  <c r="CL23" i="6" a="1"/>
  <c r="CL23" i="6" s="1"/>
  <c r="CG23" i="6" a="1"/>
  <c r="CG23" i="6" s="1"/>
  <c r="CM23" i="6" a="1"/>
  <c r="CM23" i="6" s="1"/>
  <c r="BN23" i="6"/>
  <c r="BM23" i="6"/>
  <c r="AV23" i="6"/>
  <c r="AW23" i="6"/>
  <c r="AX23" i="6"/>
  <c r="AY23" i="6"/>
  <c r="AZ23" i="6"/>
  <c r="BA23" i="6"/>
  <c r="BO43" i="6"/>
  <c r="BQ43" i="6"/>
  <c r="CH43" i="6" a="1"/>
  <c r="CH43" i="6" s="1"/>
  <c r="BN43" i="6"/>
  <c r="BM43" i="6"/>
  <c r="CF43" i="6" a="1"/>
  <c r="CF43" i="6" s="1"/>
  <c r="CK43" i="6" a="1"/>
  <c r="CK43" i="6" s="1"/>
  <c r="BS43" i="6"/>
  <c r="CL43" i="6" a="1"/>
  <c r="CL43" i="6" s="1"/>
  <c r="CJ43" i="6" a="1"/>
  <c r="CJ43" i="6" s="1"/>
  <c r="BR43" i="6"/>
  <c r="CM43" i="6" a="1"/>
  <c r="CM43" i="6" s="1"/>
  <c r="CI43" i="6" a="1"/>
  <c r="CI43" i="6" s="1"/>
  <c r="CG43" i="6" a="1"/>
  <c r="CG43" i="6" s="1"/>
  <c r="BP43" i="6"/>
  <c r="BT43" i="6"/>
  <c r="AV43" i="6"/>
  <c r="AW43" i="6"/>
  <c r="AZ43" i="6"/>
  <c r="AX43" i="6"/>
  <c r="BA43" i="6"/>
  <c r="AY43" i="6"/>
  <c r="BN66" i="6"/>
  <c r="BT66" i="6"/>
  <c r="CJ66" i="6" a="1"/>
  <c r="CJ66" i="6" s="1"/>
  <c r="CK66" i="6" a="1"/>
  <c r="CK66" i="6" s="1"/>
  <c r="CI66" i="6" a="1"/>
  <c r="CI66" i="6" s="1"/>
  <c r="CH66" i="6" a="1"/>
  <c r="CH66" i="6" s="1"/>
  <c r="BR66" i="6"/>
  <c r="CL66" i="6" a="1"/>
  <c r="CL66" i="6" s="1"/>
  <c r="BQ66" i="6"/>
  <c r="CM66" i="6" a="1"/>
  <c r="CM66" i="6" s="1"/>
  <c r="BP66" i="6"/>
  <c r="CG66" i="6" a="1"/>
  <c r="CG66" i="6" s="1"/>
  <c r="AV66" i="6"/>
  <c r="CF66" i="6" a="1"/>
  <c r="CF66" i="6" s="1"/>
  <c r="BM66" i="6"/>
  <c r="BS66" i="6"/>
  <c r="BO66" i="6"/>
  <c r="AW66" i="6"/>
  <c r="AX66" i="6"/>
  <c r="AY66" i="6"/>
  <c r="BA66" i="6"/>
  <c r="AZ66" i="6"/>
  <c r="CK102" i="6" a="1"/>
  <c r="CK102" i="6" s="1"/>
  <c r="BM102" i="6"/>
  <c r="CM102" i="6" a="1"/>
  <c r="CM102" i="6" s="1"/>
  <c r="CJ102" i="6" a="1"/>
  <c r="CJ102" i="6" s="1"/>
  <c r="CI102" i="6" a="1"/>
  <c r="CI102" i="6" s="1"/>
  <c r="BP102" i="6"/>
  <c r="BT102" i="6"/>
  <c r="BS102" i="6"/>
  <c r="BO102" i="6"/>
  <c r="BN102" i="6"/>
  <c r="BR102" i="6"/>
  <c r="BQ102" i="6"/>
  <c r="CL102" i="6" a="1"/>
  <c r="CL102" i="6" s="1"/>
  <c r="CF102" i="6" a="1"/>
  <c r="CF102" i="6" s="1"/>
  <c r="CH102" i="6" a="1"/>
  <c r="CH102" i="6" s="1"/>
  <c r="CG102" i="6" a="1"/>
  <c r="CG102" i="6" s="1"/>
  <c r="AZ102" i="6"/>
  <c r="BA102" i="6"/>
  <c r="AX102" i="6"/>
  <c r="AW102" i="6"/>
  <c r="AV102" i="6"/>
  <c r="AY102" i="6"/>
  <c r="CM45" i="6" a="1"/>
  <c r="CM45" i="6" s="1"/>
  <c r="BQ45" i="6"/>
  <c r="CG45" i="6" a="1"/>
  <c r="CG45" i="6" s="1"/>
  <c r="CJ45" i="6" a="1"/>
  <c r="CJ45" i="6" s="1"/>
  <c r="BR45" i="6"/>
  <c r="CL45" i="6" a="1"/>
  <c r="CL45" i="6" s="1"/>
  <c r="BP45" i="6"/>
  <c r="BT45" i="6"/>
  <c r="CI45" i="6" a="1"/>
  <c r="CI45" i="6" s="1"/>
  <c r="CF45" i="6" a="1"/>
  <c r="CF45" i="6" s="1"/>
  <c r="CK45" i="6" a="1"/>
  <c r="CK45" i="6" s="1"/>
  <c r="BM45" i="6"/>
  <c r="CH45" i="6" a="1"/>
  <c r="CH45" i="6" s="1"/>
  <c r="BS45" i="6"/>
  <c r="BO45" i="6"/>
  <c r="BN45" i="6"/>
  <c r="BA45" i="6"/>
  <c r="AZ45" i="6"/>
  <c r="AV45" i="6"/>
  <c r="AW45" i="6"/>
  <c r="AY45" i="6"/>
  <c r="AX45" i="6"/>
  <c r="CK61" i="6" a="1"/>
  <c r="CK61" i="6" s="1"/>
  <c r="BS61" i="6"/>
  <c r="CJ61" i="6" a="1"/>
  <c r="CJ61" i="6" s="1"/>
  <c r="BR61" i="6"/>
  <c r="BT61" i="6"/>
  <c r="BP61" i="6"/>
  <c r="CG61" i="6" a="1"/>
  <c r="CG61" i="6" s="1"/>
  <c r="CI61" i="6" a="1"/>
  <c r="CI61" i="6" s="1"/>
  <c r="CF61" i="6" a="1"/>
  <c r="CF61" i="6" s="1"/>
  <c r="CH61" i="6" a="1"/>
  <c r="CH61" i="6" s="1"/>
  <c r="CM61" i="6" a="1"/>
  <c r="CM61" i="6" s="1"/>
  <c r="CL61" i="6" a="1"/>
  <c r="CL61" i="6" s="1"/>
  <c r="BQ61" i="6"/>
  <c r="BO61" i="6"/>
  <c r="BN61" i="6"/>
  <c r="BM61" i="6"/>
  <c r="BA61" i="6"/>
  <c r="AY61" i="6"/>
  <c r="AV61" i="6"/>
  <c r="AX61" i="6"/>
  <c r="AZ61" i="6"/>
  <c r="AW61" i="6"/>
  <c r="CK37" i="6" a="1"/>
  <c r="CK37" i="6" s="1"/>
  <c r="BS37" i="6"/>
  <c r="CJ37" i="6" a="1"/>
  <c r="CJ37" i="6" s="1"/>
  <c r="BR37" i="6"/>
  <c r="CI37" i="6" a="1"/>
  <c r="CI37" i="6" s="1"/>
  <c r="CL37" i="6" a="1"/>
  <c r="CL37" i="6" s="1"/>
  <c r="CF37" i="6" a="1"/>
  <c r="CF37" i="6" s="1"/>
  <c r="BO37" i="6"/>
  <c r="CH37" i="6" a="1"/>
  <c r="CH37" i="6" s="1"/>
  <c r="CG37" i="6" a="1"/>
  <c r="CG37" i="6" s="1"/>
  <c r="BP37" i="6"/>
  <c r="CM37" i="6" a="1"/>
  <c r="CM37" i="6" s="1"/>
  <c r="BQ37" i="6"/>
  <c r="BN37" i="6"/>
  <c r="BM37" i="6"/>
  <c r="BT37" i="6"/>
  <c r="AV37" i="6"/>
  <c r="AZ37" i="6"/>
  <c r="AW37" i="6"/>
  <c r="AX37" i="6"/>
  <c r="BA37" i="6"/>
  <c r="AY37" i="6"/>
  <c r="CM25" i="6" a="1"/>
  <c r="CM25" i="6" s="1"/>
  <c r="CK25" i="6" a="1"/>
  <c r="CK25" i="6" s="1"/>
  <c r="CG25" i="6" a="1"/>
  <c r="CG25" i="6" s="1"/>
  <c r="BP25" i="6"/>
  <c r="BT25" i="6"/>
  <c r="BO25" i="6"/>
  <c r="BQ25" i="6"/>
  <c r="BN25" i="6"/>
  <c r="CL25" i="6" a="1"/>
  <c r="CL25" i="6" s="1"/>
  <c r="BS25" i="6"/>
  <c r="CJ25" i="6" a="1"/>
  <c r="CJ25" i="6" s="1"/>
  <c r="BR25" i="6"/>
  <c r="CH25" i="6" a="1"/>
  <c r="CH25" i="6" s="1"/>
  <c r="BM25" i="6"/>
  <c r="CI25" i="6" a="1"/>
  <c r="CI25" i="6" s="1"/>
  <c r="CF25" i="6" a="1"/>
  <c r="CF25" i="6" s="1"/>
  <c r="AZ25" i="6"/>
  <c r="AW25" i="6"/>
  <c r="AX25" i="6"/>
  <c r="AV25" i="6"/>
  <c r="AY25" i="6"/>
  <c r="BA25" i="6"/>
  <c r="AX78" i="6"/>
  <c r="CF78" i="6" a="1"/>
  <c r="CF78" i="6" s="1"/>
  <c r="CJ78" i="6" a="1"/>
  <c r="CJ78" i="6" s="1"/>
  <c r="BQ78" i="6"/>
  <c r="CL78" i="6" a="1"/>
  <c r="CL78" i="6" s="1"/>
  <c r="BR78" i="6"/>
  <c r="CK78" i="6" a="1"/>
  <c r="CK78" i="6" s="1"/>
  <c r="CG78" i="6" a="1"/>
  <c r="CG78" i="6" s="1"/>
  <c r="AY78" i="6"/>
  <c r="BS78" i="6"/>
  <c r="CI78" i="6" a="1"/>
  <c r="CI78" i="6" s="1"/>
  <c r="BA78" i="6"/>
  <c r="AV78" i="6"/>
  <c r="CH78" i="6" a="1"/>
  <c r="CH78" i="6" s="1"/>
  <c r="CM78" i="6" a="1"/>
  <c r="CM78" i="6" s="1"/>
  <c r="AZ78" i="6"/>
  <c r="BT78" i="6"/>
  <c r="BM78" i="6"/>
  <c r="BO78" i="6"/>
  <c r="AW78" i="6"/>
  <c r="BN78" i="6"/>
  <c r="BP78" i="6"/>
  <c r="CM50" i="6" a="1"/>
  <c r="CM50" i="6" s="1"/>
  <c r="CG50" i="6" a="1"/>
  <c r="CG50" i="6" s="1"/>
  <c r="CF50" i="6" a="1"/>
  <c r="CF50" i="6" s="1"/>
  <c r="BQ50" i="6"/>
  <c r="CJ50" i="6" a="1"/>
  <c r="CJ50" i="6" s="1"/>
  <c r="CL50" i="6" a="1"/>
  <c r="CL50" i="6" s="1"/>
  <c r="BT50" i="6"/>
  <c r="BP50" i="6"/>
  <c r="BS50" i="6"/>
  <c r="BR50" i="6"/>
  <c r="BN50" i="6"/>
  <c r="BO50" i="6"/>
  <c r="CI50" i="6" a="1"/>
  <c r="CI50" i="6" s="1"/>
  <c r="CK50" i="6" a="1"/>
  <c r="CK50" i="6" s="1"/>
  <c r="CH50" i="6" a="1"/>
  <c r="CH50" i="6" s="1"/>
  <c r="BM50" i="6"/>
  <c r="AW50" i="6"/>
  <c r="AV50" i="6"/>
  <c r="AX50" i="6"/>
  <c r="AY50" i="6"/>
  <c r="BA50" i="6"/>
  <c r="AZ50" i="6"/>
  <c r="CK31" i="6" a="1"/>
  <c r="CK31" i="6" s="1"/>
  <c r="BS31" i="6"/>
  <c r="BR31" i="6"/>
  <c r="CL31" i="6" a="1"/>
  <c r="CL31" i="6" s="1"/>
  <c r="BT31" i="6"/>
  <c r="CJ31" i="6" a="1"/>
  <c r="CJ31" i="6" s="1"/>
  <c r="BQ31" i="6"/>
  <c r="BP31" i="6"/>
  <c r="BN31" i="6"/>
  <c r="CI31" i="6" a="1"/>
  <c r="CI31" i="6" s="1"/>
  <c r="CG31" i="6" a="1"/>
  <c r="CG31" i="6" s="1"/>
  <c r="CF31" i="6" a="1"/>
  <c r="CF31" i="6" s="1"/>
  <c r="BO31" i="6"/>
  <c r="CM31" i="6" a="1"/>
  <c r="CM31" i="6" s="1"/>
  <c r="CH31" i="6" a="1"/>
  <c r="CH31" i="6" s="1"/>
  <c r="BM31" i="6"/>
  <c r="AV31" i="6"/>
  <c r="AW31" i="6"/>
  <c r="AX31" i="6"/>
  <c r="AY31" i="6"/>
  <c r="AZ31" i="6"/>
  <c r="BA31" i="6"/>
  <c r="N74" i="6"/>
  <c r="N20" i="6"/>
  <c r="M62" i="6"/>
  <c r="N24" i="6"/>
  <c r="N71" i="6"/>
  <c r="N56" i="6"/>
  <c r="M77" i="6"/>
  <c r="N46" i="6"/>
  <c r="M41" i="6"/>
  <c r="M55" i="6"/>
  <c r="M47" i="6"/>
  <c r="M73" i="6"/>
  <c r="M40" i="6"/>
  <c r="M36" i="6"/>
  <c r="M48" i="6"/>
  <c r="N78" i="6"/>
  <c r="N69" i="6"/>
  <c r="N31" i="6"/>
  <c r="N72" i="6"/>
  <c r="M52" i="6"/>
  <c r="M18" i="6"/>
  <c r="M93" i="6"/>
  <c r="N97" i="6"/>
  <c r="M97" i="6"/>
  <c r="N96" i="6"/>
  <c r="M96" i="6"/>
  <c r="N95" i="6"/>
  <c r="M95" i="6"/>
  <c r="N94" i="6"/>
  <c r="M94" i="6"/>
  <c r="M90" i="6"/>
  <c r="N92" i="6"/>
  <c r="M92" i="6"/>
  <c r="M88" i="6"/>
  <c r="N89" i="6"/>
  <c r="M89" i="6"/>
  <c r="M86" i="6"/>
  <c r="M84" i="6"/>
  <c r="N87" i="6"/>
  <c r="M87" i="6"/>
  <c r="M85" i="6"/>
  <c r="N85" i="6"/>
  <c r="N82" i="6"/>
  <c r="N81" i="6"/>
  <c r="M81" i="6"/>
  <c r="BX82" i="6" a="1"/>
  <c r="BX82" i="6" s="1"/>
  <c r="CD82" i="6" a="1"/>
  <c r="CD82" i="6" s="1"/>
  <c r="BD82" i="6"/>
  <c r="BI82" i="6"/>
  <c r="BG82" i="6"/>
  <c r="BE82" i="6"/>
  <c r="CE82" i="6" a="1"/>
  <c r="CE82" i="6" s="1"/>
  <c r="BJ82" i="6"/>
  <c r="BH82" i="6"/>
  <c r="CA82" i="6" a="1"/>
  <c r="CA82" i="6" s="1"/>
  <c r="BZ82" i="6" a="1"/>
  <c r="BZ82" i="6" s="1"/>
  <c r="BF82" i="6"/>
  <c r="BL82" i="6"/>
  <c r="BY82" i="6" a="1"/>
  <c r="BY82" i="6" s="1"/>
  <c r="BC82" i="6"/>
  <c r="CC82" i="6" a="1"/>
  <c r="CC82" i="6" s="1"/>
  <c r="CB82" i="6" a="1"/>
  <c r="CB82" i="6" s="1"/>
  <c r="BK82" i="6"/>
  <c r="BW82" i="6" a="1"/>
  <c r="BW82" i="6" s="1"/>
  <c r="BV82" i="6" a="1"/>
  <c r="BV82" i="6" s="1"/>
  <c r="M79" i="6"/>
  <c r="N80" i="6"/>
  <c r="M80" i="6"/>
  <c r="N21" i="6"/>
  <c r="M63" i="6"/>
  <c r="N63" i="6"/>
  <c r="BF46" i="6"/>
  <c r="CD46" i="6" a="1"/>
  <c r="CD46" i="6" s="1"/>
  <c r="BD46" i="6"/>
  <c r="BX46" i="6" a="1"/>
  <c r="BX46" i="6" s="1"/>
  <c r="CA46" i="6" a="1"/>
  <c r="CA46" i="6" s="1"/>
  <c r="BZ46" i="6" a="1"/>
  <c r="BZ46" i="6" s="1"/>
  <c r="BJ46" i="6"/>
  <c r="CE46" i="6" a="1"/>
  <c r="CE46" i="6" s="1"/>
  <c r="BV46" i="6" a="1"/>
  <c r="BV46" i="6" s="1"/>
  <c r="BG46" i="6"/>
  <c r="BI46" i="6"/>
  <c r="BW46" i="6" a="1"/>
  <c r="BW46" i="6" s="1"/>
  <c r="BE46" i="6"/>
  <c r="BK46" i="6"/>
  <c r="CB46" i="6" a="1"/>
  <c r="CB46" i="6" s="1"/>
  <c r="BY46" i="6" a="1"/>
  <c r="BY46" i="6" s="1"/>
  <c r="BH46" i="6"/>
  <c r="BL46" i="6"/>
  <c r="BC46" i="6"/>
  <c r="CC46" i="6" a="1"/>
  <c r="CC46" i="6" s="1"/>
  <c r="CB70" i="6" a="1"/>
  <c r="CB70" i="6" s="1"/>
  <c r="CC70" i="6" a="1"/>
  <c r="CC70" i="6" s="1"/>
  <c r="BI70" i="6"/>
  <c r="BJ70" i="6"/>
  <c r="BE70" i="6"/>
  <c r="CA70" i="6" a="1"/>
  <c r="CA70" i="6" s="1"/>
  <c r="BV70" i="6" a="1"/>
  <c r="BV70" i="6" s="1"/>
  <c r="BC70" i="6"/>
  <c r="BL70" i="6"/>
  <c r="BG70" i="6"/>
  <c r="BH70" i="6"/>
  <c r="BZ70" i="6" a="1"/>
  <c r="BZ70" i="6" s="1"/>
  <c r="BX70" i="6" a="1"/>
  <c r="BX70" i="6" s="1"/>
  <c r="BK70" i="6"/>
  <c r="BD70" i="6"/>
  <c r="BW70" i="6" a="1"/>
  <c r="BW70" i="6" s="1"/>
  <c r="BY70" i="6" a="1"/>
  <c r="BY70" i="6" s="1"/>
  <c r="BF70" i="6"/>
  <c r="CD70" i="6" a="1"/>
  <c r="CD70" i="6" s="1"/>
  <c r="CE70" i="6" a="1"/>
  <c r="CE70" i="6" s="1"/>
  <c r="CC24" i="6" a="1"/>
  <c r="CC24" i="6" s="1"/>
  <c r="BZ24" i="6" a="1"/>
  <c r="BZ24" i="6" s="1"/>
  <c r="BC24" i="6"/>
  <c r="BL24" i="6"/>
  <c r="BK24" i="6"/>
  <c r="BD24" i="6"/>
  <c r="CE24" i="6" a="1"/>
  <c r="CE24" i="6" s="1"/>
  <c r="BI24" i="6"/>
  <c r="CA24" i="6" a="1"/>
  <c r="CA24" i="6" s="1"/>
  <c r="BV24" i="6" a="1"/>
  <c r="BV24" i="6" s="1"/>
  <c r="BY24" i="6" a="1"/>
  <c r="BY24" i="6" s="1"/>
  <c r="BW24" i="6" a="1"/>
  <c r="BW24" i="6" s="1"/>
  <c r="BE24" i="6"/>
  <c r="BG24" i="6"/>
  <c r="BX24" i="6" a="1"/>
  <c r="BX24" i="6" s="1"/>
  <c r="CD24" i="6" a="1"/>
  <c r="CD24" i="6" s="1"/>
  <c r="BH24" i="6"/>
  <c r="BF24" i="6"/>
  <c r="BJ24" i="6"/>
  <c r="CB24" i="6" a="1"/>
  <c r="CB24" i="6" s="1"/>
  <c r="BZ21" i="6" a="1"/>
  <c r="BZ21" i="6" s="1"/>
  <c r="BW21" i="6" a="1"/>
  <c r="BW21" i="6" s="1"/>
  <c r="BL21" i="6"/>
  <c r="BE21" i="6"/>
  <c r="BF21" i="6"/>
  <c r="BX21" i="6" a="1"/>
  <c r="BX21" i="6" s="1"/>
  <c r="BD21" i="6"/>
  <c r="BY21" i="6" a="1"/>
  <c r="BY21" i="6" s="1"/>
  <c r="BC21" i="6"/>
  <c r="BK21" i="6"/>
  <c r="BJ21" i="6"/>
  <c r="CC21" i="6" a="1"/>
  <c r="CC21" i="6" s="1"/>
  <c r="CA21" i="6" a="1"/>
  <c r="CA21" i="6" s="1"/>
  <c r="BH21" i="6"/>
  <c r="BG21" i="6"/>
  <c r="CB21" i="6" a="1"/>
  <c r="CB21" i="6" s="1"/>
  <c r="CE21" i="6" a="1"/>
  <c r="CE21" i="6" s="1"/>
  <c r="CD21" i="6" a="1"/>
  <c r="CD21" i="6" s="1"/>
  <c r="BI21" i="6"/>
  <c r="BV21" i="6" a="1"/>
  <c r="BV21" i="6" s="1"/>
  <c r="BG66" i="6"/>
  <c r="CA66" i="6" a="1"/>
  <c r="CA66" i="6" s="1"/>
  <c r="CD66" i="6" a="1"/>
  <c r="CD66" i="6" s="1"/>
  <c r="BE66" i="6"/>
  <c r="BK66" i="6"/>
  <c r="BH66" i="6"/>
  <c r="BL66" i="6"/>
  <c r="BX66" i="6" a="1"/>
  <c r="BX66" i="6" s="1"/>
  <c r="BW66" i="6" a="1"/>
  <c r="BW66" i="6" s="1"/>
  <c r="BI66" i="6"/>
  <c r="BY66" i="6" a="1"/>
  <c r="BY66" i="6" s="1"/>
  <c r="CE66" i="6" a="1"/>
  <c r="CE66" i="6" s="1"/>
  <c r="BV66" i="6" a="1"/>
  <c r="BV66" i="6" s="1"/>
  <c r="CB66" i="6" a="1"/>
  <c r="CB66" i="6" s="1"/>
  <c r="BD66" i="6"/>
  <c r="BJ66" i="6"/>
  <c r="CC66" i="6" a="1"/>
  <c r="CC66" i="6" s="1"/>
  <c r="BC66" i="6"/>
  <c r="BF66" i="6"/>
  <c r="BZ66" i="6" a="1"/>
  <c r="BZ66" i="6" s="1"/>
  <c r="BV49" i="6" a="1"/>
  <c r="BV49" i="6" s="1"/>
  <c r="BI49" i="6"/>
  <c r="BJ49" i="6"/>
  <c r="BG49" i="6"/>
  <c r="CD49" i="6" a="1"/>
  <c r="CD49" i="6" s="1"/>
  <c r="BY49" i="6" a="1"/>
  <c r="BY49" i="6" s="1"/>
  <c r="CA49" i="6" a="1"/>
  <c r="CA49" i="6" s="1"/>
  <c r="BX49" i="6" a="1"/>
  <c r="BX49" i="6" s="1"/>
  <c r="BD49" i="6"/>
  <c r="BF49" i="6"/>
  <c r="BZ49" i="6" a="1"/>
  <c r="BZ49" i="6" s="1"/>
  <c r="BW49" i="6" a="1"/>
  <c r="BW49" i="6" s="1"/>
  <c r="BK49" i="6"/>
  <c r="BL49" i="6"/>
  <c r="CC49" i="6" a="1"/>
  <c r="CC49" i="6" s="1"/>
  <c r="BH49" i="6"/>
  <c r="CE49" i="6" a="1"/>
  <c r="CE49" i="6" s="1"/>
  <c r="CB49" i="6" a="1"/>
  <c r="CB49" i="6" s="1"/>
  <c r="BC49" i="6"/>
  <c r="BE49" i="6"/>
  <c r="BX20" i="6" a="1"/>
  <c r="BX20" i="6" s="1"/>
  <c r="BL20" i="6"/>
  <c r="CA20" i="6" a="1"/>
  <c r="CA20" i="6" s="1"/>
  <c r="CB20" i="6" a="1"/>
  <c r="CB20" i="6" s="1"/>
  <c r="BW20" i="6" a="1"/>
  <c r="BW20" i="6" s="1"/>
  <c r="BV20" i="6" a="1"/>
  <c r="BV20" i="6" s="1"/>
  <c r="CC20" i="6" a="1"/>
  <c r="CC20" i="6" s="1"/>
  <c r="CD20" i="6" a="1"/>
  <c r="CD20" i="6" s="1"/>
  <c r="BH20" i="6"/>
  <c r="BZ20" i="6" a="1"/>
  <c r="BZ20" i="6" s="1"/>
  <c r="CE20" i="6" a="1"/>
  <c r="CE20" i="6" s="1"/>
  <c r="BD20" i="6"/>
  <c r="BF20" i="6"/>
  <c r="BI20" i="6"/>
  <c r="BC20" i="6"/>
  <c r="BJ20" i="6"/>
  <c r="BE20" i="6"/>
  <c r="BY20" i="6" a="1"/>
  <c r="BY20" i="6" s="1"/>
  <c r="BG20" i="6"/>
  <c r="BK20" i="6"/>
  <c r="N54" i="6"/>
  <c r="M54" i="6"/>
  <c r="CA29" i="6" a="1"/>
  <c r="CA29" i="6" s="1"/>
  <c r="BD29" i="6"/>
  <c r="BJ29" i="6"/>
  <c r="CD29" i="6" a="1"/>
  <c r="CD29" i="6" s="1"/>
  <c r="BI29" i="6"/>
  <c r="CB29" i="6" a="1"/>
  <c r="CB29" i="6" s="1"/>
  <c r="BH29" i="6"/>
  <c r="BZ29" i="6" a="1"/>
  <c r="BZ29" i="6" s="1"/>
  <c r="BY29" i="6" a="1"/>
  <c r="BY29" i="6" s="1"/>
  <c r="BV29" i="6" a="1"/>
  <c r="BV29" i="6" s="1"/>
  <c r="CE29" i="6" a="1"/>
  <c r="CE29" i="6" s="1"/>
  <c r="BL29" i="6"/>
  <c r="CC29" i="6" a="1"/>
  <c r="CC29" i="6" s="1"/>
  <c r="BG29" i="6"/>
  <c r="BW29" i="6" a="1"/>
  <c r="BW29" i="6" s="1"/>
  <c r="BC29" i="6"/>
  <c r="BE29" i="6"/>
  <c r="BX29" i="6" a="1"/>
  <c r="BX29" i="6" s="1"/>
  <c r="BF29" i="6"/>
  <c r="BK29" i="6"/>
  <c r="M108" i="6"/>
  <c r="N108" i="6"/>
  <c r="BW101" i="6" a="1"/>
  <c r="BW101" i="6" s="1"/>
  <c r="BZ101" i="6" a="1"/>
  <c r="BZ101" i="6" s="1"/>
  <c r="CB101" i="6" a="1"/>
  <c r="CB101" i="6" s="1"/>
  <c r="BI101" i="6"/>
  <c r="BF101" i="6"/>
  <c r="BK101" i="6"/>
  <c r="BJ101" i="6"/>
  <c r="BD101" i="6"/>
  <c r="BY101" i="6" a="1"/>
  <c r="BY101" i="6" s="1"/>
  <c r="BC101" i="6"/>
  <c r="BE101" i="6"/>
  <c r="BH101" i="6"/>
  <c r="CC101" i="6" a="1"/>
  <c r="CC101" i="6" s="1"/>
  <c r="BV101" i="6" a="1"/>
  <c r="BV101" i="6" s="1"/>
  <c r="BL101" i="6"/>
  <c r="CD101" i="6" a="1"/>
  <c r="CD101" i="6" s="1"/>
  <c r="CA101" i="6" a="1"/>
  <c r="CA101" i="6" s="1"/>
  <c r="CE101" i="6" a="1"/>
  <c r="CE101" i="6" s="1"/>
  <c r="BX101" i="6" a="1"/>
  <c r="BX101" i="6" s="1"/>
  <c r="BG101" i="6"/>
  <c r="BG45" i="6"/>
  <c r="CB45" i="6" a="1"/>
  <c r="CB45" i="6" s="1"/>
  <c r="BX45" i="6" a="1"/>
  <c r="BX45" i="6" s="1"/>
  <c r="BF45" i="6"/>
  <c r="BW45" i="6" a="1"/>
  <c r="BW45" i="6" s="1"/>
  <c r="CE45" i="6" a="1"/>
  <c r="CE45" i="6" s="1"/>
  <c r="CD45" i="6" a="1"/>
  <c r="CD45" i="6" s="1"/>
  <c r="BJ45" i="6"/>
  <c r="BZ45" i="6" a="1"/>
  <c r="BZ45" i="6" s="1"/>
  <c r="BD45" i="6"/>
  <c r="BL45" i="6"/>
  <c r="BK45" i="6"/>
  <c r="BH45" i="6"/>
  <c r="BE45" i="6"/>
  <c r="BI45" i="6"/>
  <c r="BY45" i="6" a="1"/>
  <c r="BY45" i="6" s="1"/>
  <c r="BC45" i="6"/>
  <c r="BV45" i="6" a="1"/>
  <c r="BV45" i="6" s="1"/>
  <c r="CA45" i="6" a="1"/>
  <c r="CA45" i="6" s="1"/>
  <c r="CC45" i="6" a="1"/>
  <c r="CC45" i="6" s="1"/>
  <c r="BC56" i="6"/>
  <c r="BI56" i="6"/>
  <c r="BV56" i="6" a="1"/>
  <c r="BV56" i="6" s="1"/>
  <c r="BW56" i="6" a="1"/>
  <c r="BW56" i="6" s="1"/>
  <c r="CC56" i="6" a="1"/>
  <c r="CC56" i="6" s="1"/>
  <c r="CE56" i="6" a="1"/>
  <c r="CE56" i="6" s="1"/>
  <c r="BE56" i="6"/>
  <c r="BH56" i="6"/>
  <c r="CD56" i="6" a="1"/>
  <c r="CD56" i="6" s="1"/>
  <c r="BF56" i="6"/>
  <c r="CA56" i="6" a="1"/>
  <c r="CA56" i="6" s="1"/>
  <c r="BG56" i="6"/>
  <c r="CB56" i="6" a="1"/>
  <c r="CB56" i="6" s="1"/>
  <c r="BX56" i="6" a="1"/>
  <c r="BX56" i="6" s="1"/>
  <c r="BD56" i="6"/>
  <c r="BZ56" i="6" a="1"/>
  <c r="BZ56" i="6" s="1"/>
  <c r="BJ56" i="6"/>
  <c r="BY56" i="6" a="1"/>
  <c r="BY56" i="6" s="1"/>
  <c r="BL56" i="6"/>
  <c r="BK56" i="6"/>
  <c r="BK65" i="6"/>
  <c r="CB65" i="6" a="1"/>
  <c r="CB65" i="6" s="1"/>
  <c r="BY65" i="6" a="1"/>
  <c r="BY65" i="6" s="1"/>
  <c r="BI65" i="6"/>
  <c r="CD65" i="6" a="1"/>
  <c r="CD65" i="6" s="1"/>
  <c r="BG65" i="6"/>
  <c r="BF65" i="6"/>
  <c r="BW65" i="6" a="1"/>
  <c r="BW65" i="6" s="1"/>
  <c r="CE65" i="6" a="1"/>
  <c r="CE65" i="6" s="1"/>
  <c r="CC65" i="6" a="1"/>
  <c r="CC65" i="6" s="1"/>
  <c r="BX65" i="6" a="1"/>
  <c r="BX65" i="6" s="1"/>
  <c r="BH65" i="6"/>
  <c r="BJ65" i="6"/>
  <c r="BE65" i="6"/>
  <c r="BZ65" i="6" a="1"/>
  <c r="BZ65" i="6" s="1"/>
  <c r="BD65" i="6"/>
  <c r="BC65" i="6"/>
  <c r="BV65" i="6" a="1"/>
  <c r="BV65" i="6" s="1"/>
  <c r="CA65" i="6" a="1"/>
  <c r="CA65" i="6" s="1"/>
  <c r="BL65" i="6"/>
  <c r="BK57" i="6"/>
  <c r="BL57" i="6"/>
  <c r="BH57" i="6"/>
  <c r="CE57" i="6" a="1"/>
  <c r="CE57" i="6" s="1"/>
  <c r="BY57" i="6" a="1"/>
  <c r="BY57" i="6" s="1"/>
  <c r="BE57" i="6"/>
  <c r="CC57" i="6" a="1"/>
  <c r="CC57" i="6" s="1"/>
  <c r="BX57" i="6" a="1"/>
  <c r="BX57" i="6" s="1"/>
  <c r="CB57" i="6" a="1"/>
  <c r="CB57" i="6" s="1"/>
  <c r="BI57" i="6"/>
  <c r="BC57" i="6"/>
  <c r="BW57" i="6" a="1"/>
  <c r="BW57" i="6" s="1"/>
  <c r="CD57" i="6" a="1"/>
  <c r="CD57" i="6" s="1"/>
  <c r="BJ57" i="6"/>
  <c r="BG57" i="6"/>
  <c r="CA57" i="6" a="1"/>
  <c r="CA57" i="6" s="1"/>
  <c r="BF57" i="6"/>
  <c r="BV57" i="6" a="1"/>
  <c r="BV57" i="6" s="1"/>
  <c r="BZ57" i="6" a="1"/>
  <c r="BZ57" i="6" s="1"/>
  <c r="BD57" i="6"/>
  <c r="BF106" i="6"/>
  <c r="BH106" i="6"/>
  <c r="BK106" i="6"/>
  <c r="BW106" i="6" a="1"/>
  <c r="BW106" i="6" s="1"/>
  <c r="CE106" i="6" a="1"/>
  <c r="CE106" i="6" s="1"/>
  <c r="CA106" i="6" a="1"/>
  <c r="CA106" i="6" s="1"/>
  <c r="BY106" i="6" a="1"/>
  <c r="BY106" i="6" s="1"/>
  <c r="CD106" i="6" a="1"/>
  <c r="CD106" i="6" s="1"/>
  <c r="CB106" i="6" a="1"/>
  <c r="CB106" i="6" s="1"/>
  <c r="BL106" i="6"/>
  <c r="BJ106" i="6"/>
  <c r="BV106" i="6" a="1"/>
  <c r="BV106" i="6" s="1"/>
  <c r="BD106" i="6"/>
  <c r="BI106" i="6"/>
  <c r="BE106" i="6"/>
  <c r="BX106" i="6" a="1"/>
  <c r="BX106" i="6" s="1"/>
  <c r="BC106" i="6"/>
  <c r="BZ106" i="6" a="1"/>
  <c r="BZ106" i="6" s="1"/>
  <c r="CC106" i="6" a="1"/>
  <c r="CC106" i="6" s="1"/>
  <c r="BG106" i="6"/>
  <c r="M28" i="6"/>
  <c r="N28" i="6"/>
  <c r="BF35" i="6"/>
  <c r="CE35" i="6" a="1"/>
  <c r="CE35" i="6" s="1"/>
  <c r="BK35" i="6"/>
  <c r="BI35" i="6"/>
  <c r="CB35" i="6" a="1"/>
  <c r="CB35" i="6" s="1"/>
  <c r="BY35" i="6" a="1"/>
  <c r="BY35" i="6" s="1"/>
  <c r="BG35" i="6"/>
  <c r="BZ35" i="6" a="1"/>
  <c r="BZ35" i="6" s="1"/>
  <c r="BX35" i="6" a="1"/>
  <c r="BX35" i="6" s="1"/>
  <c r="CC35" i="6" a="1"/>
  <c r="CC35" i="6" s="1"/>
  <c r="BH35" i="6"/>
  <c r="BV35" i="6" a="1"/>
  <c r="BV35" i="6" s="1"/>
  <c r="BW35" i="6" a="1"/>
  <c r="BW35" i="6" s="1"/>
  <c r="BC35" i="6"/>
  <c r="BJ35" i="6"/>
  <c r="CD35" i="6" a="1"/>
  <c r="CD35" i="6" s="1"/>
  <c r="BL35" i="6"/>
  <c r="BD35" i="6"/>
  <c r="CA35" i="6" a="1"/>
  <c r="CA35" i="6" s="1"/>
  <c r="BE35" i="6"/>
  <c r="BJ50" i="6"/>
  <c r="CA50" i="6" a="1"/>
  <c r="CA50" i="6" s="1"/>
  <c r="BL50" i="6"/>
  <c r="CB50" i="6" a="1"/>
  <c r="CB50" i="6" s="1"/>
  <c r="BY50" i="6" a="1"/>
  <c r="BY50" i="6" s="1"/>
  <c r="BG50" i="6"/>
  <c r="BC50" i="6"/>
  <c r="BV50" i="6" a="1"/>
  <c r="BV50" i="6" s="1"/>
  <c r="BI50" i="6"/>
  <c r="BX50" i="6" a="1"/>
  <c r="BX50" i="6" s="1"/>
  <c r="BE50" i="6"/>
  <c r="BK50" i="6"/>
  <c r="CC50" i="6" a="1"/>
  <c r="CC50" i="6" s="1"/>
  <c r="BZ50" i="6" a="1"/>
  <c r="BZ50" i="6" s="1"/>
  <c r="BW50" i="6" a="1"/>
  <c r="BW50" i="6" s="1"/>
  <c r="BH50" i="6"/>
  <c r="CD50" i="6" a="1"/>
  <c r="CD50" i="6" s="1"/>
  <c r="BF50" i="6"/>
  <c r="BD50" i="6"/>
  <c r="CE50" i="6" a="1"/>
  <c r="CE50" i="6" s="1"/>
  <c r="BZ100" i="6" a="1"/>
  <c r="BZ100" i="6" s="1"/>
  <c r="BE100" i="6"/>
  <c r="CA100" i="6" a="1"/>
  <c r="CA100" i="6" s="1"/>
  <c r="BC100" i="6"/>
  <c r="CE100" i="6" a="1"/>
  <c r="CE100" i="6" s="1"/>
  <c r="CC100" i="6" a="1"/>
  <c r="CC100" i="6" s="1"/>
  <c r="BK100" i="6"/>
  <c r="BF100" i="6"/>
  <c r="BI100" i="6"/>
  <c r="BG100" i="6"/>
  <c r="CD100" i="6" a="1"/>
  <c r="CD100" i="6" s="1"/>
  <c r="BX100" i="6" a="1"/>
  <c r="BX100" i="6" s="1"/>
  <c r="BL100" i="6"/>
  <c r="BW100" i="6" a="1"/>
  <c r="BW100" i="6" s="1"/>
  <c r="BJ100" i="6"/>
  <c r="CB100" i="6" a="1"/>
  <c r="CB100" i="6" s="1"/>
  <c r="BD100" i="6"/>
  <c r="BH100" i="6"/>
  <c r="BV100" i="6" a="1"/>
  <c r="BV100" i="6" s="1"/>
  <c r="BY100" i="6" a="1"/>
  <c r="BY100" i="6" s="1"/>
  <c r="BF71" i="6"/>
  <c r="BE71" i="6"/>
  <c r="BI71" i="6"/>
  <c r="BZ71" i="6" a="1"/>
  <c r="BZ71" i="6" s="1"/>
  <c r="BK71" i="6"/>
  <c r="CE71" i="6" a="1"/>
  <c r="CE71" i="6" s="1"/>
  <c r="BD71" i="6"/>
  <c r="BW71" i="6" a="1"/>
  <c r="BW71" i="6" s="1"/>
  <c r="BH71" i="6"/>
  <c r="BL71" i="6"/>
  <c r="BJ71" i="6"/>
  <c r="BY71" i="6" a="1"/>
  <c r="BY71" i="6" s="1"/>
  <c r="CC71" i="6" a="1"/>
  <c r="CC71" i="6" s="1"/>
  <c r="BC71" i="6"/>
  <c r="CB71" i="6" a="1"/>
  <c r="CB71" i="6" s="1"/>
  <c r="BV71" i="6" a="1"/>
  <c r="BV71" i="6" s="1"/>
  <c r="BX71" i="6" a="1"/>
  <c r="BX71" i="6" s="1"/>
  <c r="CD71" i="6" a="1"/>
  <c r="CD71" i="6" s="1"/>
  <c r="CA71" i="6" a="1"/>
  <c r="CA71" i="6" s="1"/>
  <c r="BG71" i="6"/>
  <c r="N68" i="6"/>
  <c r="M68" i="6"/>
  <c r="CA61" i="6" a="1"/>
  <c r="CA61" i="6" s="1"/>
  <c r="BK61" i="6"/>
  <c r="BD61" i="6"/>
  <c r="BW61" i="6" a="1"/>
  <c r="BW61" i="6" s="1"/>
  <c r="BL61" i="6"/>
  <c r="BH61" i="6"/>
  <c r="BE61" i="6"/>
  <c r="BJ61" i="6"/>
  <c r="BG61" i="6"/>
  <c r="BI61" i="6"/>
  <c r="CD61" i="6" a="1"/>
  <c r="CD61" i="6" s="1"/>
  <c r="BC61" i="6"/>
  <c r="CC61" i="6" a="1"/>
  <c r="CC61" i="6" s="1"/>
  <c r="BX61" i="6" a="1"/>
  <c r="BX61" i="6" s="1"/>
  <c r="BZ61" i="6" a="1"/>
  <c r="BZ61" i="6" s="1"/>
  <c r="BF61" i="6"/>
  <c r="BV61" i="6" a="1"/>
  <c r="BV61" i="6" s="1"/>
  <c r="CB61" i="6" a="1"/>
  <c r="CB61" i="6" s="1"/>
  <c r="BY61" i="6" a="1"/>
  <c r="BY61" i="6" s="1"/>
  <c r="CE61" i="6" a="1"/>
  <c r="CE61" i="6" s="1"/>
  <c r="CE69" i="6" a="1"/>
  <c r="CE69" i="6" s="1"/>
  <c r="BW69" i="6" a="1"/>
  <c r="BW69" i="6" s="1"/>
  <c r="CC69" i="6" a="1"/>
  <c r="CC69" i="6" s="1"/>
  <c r="BZ69" i="6" a="1"/>
  <c r="BZ69" i="6" s="1"/>
  <c r="BX69" i="6" a="1"/>
  <c r="BX69" i="6" s="1"/>
  <c r="BJ69" i="6"/>
  <c r="BI69" i="6"/>
  <c r="BY69" i="6" a="1"/>
  <c r="BY69" i="6" s="1"/>
  <c r="BL69" i="6"/>
  <c r="BV69" i="6" a="1"/>
  <c r="BV69" i="6" s="1"/>
  <c r="BC69" i="6"/>
  <c r="CB69" i="6" a="1"/>
  <c r="CB69" i="6" s="1"/>
  <c r="BD69" i="6"/>
  <c r="CD69" i="6" a="1"/>
  <c r="CD69" i="6" s="1"/>
  <c r="BE69" i="6"/>
  <c r="BG69" i="6"/>
  <c r="BF69" i="6"/>
  <c r="BK69" i="6"/>
  <c r="CA69" i="6" a="1"/>
  <c r="CA69" i="6" s="1"/>
  <c r="BH69" i="6"/>
  <c r="CE25" i="6" a="1"/>
  <c r="CE25" i="6" s="1"/>
  <c r="BG25" i="6"/>
  <c r="BW25" i="6" a="1"/>
  <c r="BW25" i="6" s="1"/>
  <c r="BI25" i="6"/>
  <c r="BZ25" i="6" a="1"/>
  <c r="BZ25" i="6" s="1"/>
  <c r="BL25" i="6"/>
  <c r="CD25" i="6" a="1"/>
  <c r="CD25" i="6" s="1"/>
  <c r="BF25" i="6"/>
  <c r="BK25" i="6"/>
  <c r="BY25" i="6" a="1"/>
  <c r="BY25" i="6" s="1"/>
  <c r="BV25" i="6" a="1"/>
  <c r="BV25" i="6" s="1"/>
  <c r="CC25" i="6" a="1"/>
  <c r="CC25" i="6" s="1"/>
  <c r="BX25" i="6" a="1"/>
  <c r="BX25" i="6" s="1"/>
  <c r="BC25" i="6"/>
  <c r="BE25" i="6"/>
  <c r="BJ25" i="6"/>
  <c r="BD25" i="6"/>
  <c r="CB25" i="6" a="1"/>
  <c r="CB25" i="6" s="1"/>
  <c r="BH25" i="6"/>
  <c r="CA25" i="6" a="1"/>
  <c r="CA25" i="6" s="1"/>
  <c r="CA53" i="6" a="1"/>
  <c r="CA53" i="6" s="1"/>
  <c r="BV53" i="6" a="1"/>
  <c r="BV53" i="6" s="1"/>
  <c r="BI53" i="6"/>
  <c r="BG53" i="6"/>
  <c r="BC53" i="6"/>
  <c r="BJ53" i="6"/>
  <c r="BY53" i="6" a="1"/>
  <c r="BY53" i="6" s="1"/>
  <c r="BL53" i="6"/>
  <c r="CB53" i="6" a="1"/>
  <c r="CB53" i="6" s="1"/>
  <c r="CE53" i="6" a="1"/>
  <c r="CE53" i="6" s="1"/>
  <c r="BF53" i="6"/>
  <c r="CC53" i="6" a="1"/>
  <c r="CC53" i="6" s="1"/>
  <c r="BE53" i="6"/>
  <c r="BZ53" i="6" a="1"/>
  <c r="BZ53" i="6" s="1"/>
  <c r="BH53" i="6"/>
  <c r="BD53" i="6"/>
  <c r="CD53" i="6" a="1"/>
  <c r="CD53" i="6" s="1"/>
  <c r="BK53" i="6"/>
  <c r="BX53" i="6" a="1"/>
  <c r="BX53" i="6" s="1"/>
  <c r="BW53" i="6" a="1"/>
  <c r="BW53" i="6" s="1"/>
  <c r="BJ58" i="6"/>
  <c r="BH58" i="6"/>
  <c r="CD58" i="6" a="1"/>
  <c r="CD58" i="6" s="1"/>
  <c r="BV58" i="6" a="1"/>
  <c r="BV58" i="6" s="1"/>
  <c r="BW58" i="6" a="1"/>
  <c r="BW58" i="6" s="1"/>
  <c r="BE58" i="6"/>
  <c r="CA58" i="6" a="1"/>
  <c r="CA58" i="6" s="1"/>
  <c r="BC58" i="6"/>
  <c r="BF58" i="6"/>
  <c r="BY58" i="6" a="1"/>
  <c r="BY58" i="6" s="1"/>
  <c r="BG58" i="6"/>
  <c r="BI58" i="6"/>
  <c r="CB58" i="6" a="1"/>
  <c r="CB58" i="6" s="1"/>
  <c r="BL58" i="6"/>
  <c r="BX58" i="6" a="1"/>
  <c r="BX58" i="6" s="1"/>
  <c r="BD58" i="6"/>
  <c r="CC58" i="6" a="1"/>
  <c r="CC58" i="6" s="1"/>
  <c r="BZ58" i="6" a="1"/>
  <c r="BZ58" i="6" s="1"/>
  <c r="CE58" i="6" a="1"/>
  <c r="CE58" i="6" s="1"/>
  <c r="BK58" i="6"/>
  <c r="BD76" i="6"/>
  <c r="BH76" i="6"/>
  <c r="BL76" i="6"/>
  <c r="CD76" i="6" a="1"/>
  <c r="CD76" i="6" s="1"/>
  <c r="BZ76" i="6" a="1"/>
  <c r="BZ76" i="6" s="1"/>
  <c r="BG76" i="6"/>
  <c r="CC76" i="6" a="1"/>
  <c r="CC76" i="6" s="1"/>
  <c r="BE76" i="6"/>
  <c r="BJ76" i="6"/>
  <c r="BF76" i="6"/>
  <c r="CA76" i="6" a="1"/>
  <c r="CA76" i="6" s="1"/>
  <c r="CB76" i="6" a="1"/>
  <c r="CB76" i="6" s="1"/>
  <c r="BV76" i="6" a="1"/>
  <c r="BV76" i="6" s="1"/>
  <c r="BY76" i="6" a="1"/>
  <c r="BY76" i="6" s="1"/>
  <c r="BI76" i="6"/>
  <c r="BK76" i="6"/>
  <c r="BC76" i="6"/>
  <c r="BX76" i="6" a="1"/>
  <c r="BX76" i="6" s="1"/>
  <c r="CE76" i="6" a="1"/>
  <c r="CE76" i="6" s="1"/>
  <c r="BW76" i="6" a="1"/>
  <c r="BW76" i="6" s="1"/>
  <c r="BW99" i="6" a="1"/>
  <c r="BW99" i="6" s="1"/>
  <c r="BV99" i="6" a="1"/>
  <c r="BV99" i="6" s="1"/>
  <c r="BG99" i="6"/>
  <c r="BH99" i="6"/>
  <c r="CE99" i="6" a="1"/>
  <c r="CE99" i="6" s="1"/>
  <c r="BF99" i="6"/>
  <c r="BD99" i="6"/>
  <c r="BY99" i="6" a="1"/>
  <c r="BY99" i="6" s="1"/>
  <c r="BE99" i="6"/>
  <c r="BX99" i="6" a="1"/>
  <c r="BX99" i="6" s="1"/>
  <c r="CA99" i="6" a="1"/>
  <c r="CA99" i="6" s="1"/>
  <c r="BZ99" i="6" a="1"/>
  <c r="BZ99" i="6" s="1"/>
  <c r="CD99" i="6" a="1"/>
  <c r="CD99" i="6" s="1"/>
  <c r="BJ99" i="6"/>
  <c r="BL99" i="6"/>
  <c r="BK99" i="6"/>
  <c r="BI99" i="6"/>
  <c r="BC99" i="6"/>
  <c r="CB99" i="6" a="1"/>
  <c r="CB99" i="6" s="1"/>
  <c r="CC99" i="6" a="1"/>
  <c r="CC99" i="6" s="1"/>
  <c r="N26" i="6"/>
  <c r="M26" i="6"/>
  <c r="BZ39" i="6" a="1"/>
  <c r="BZ39" i="6" s="1"/>
  <c r="CC39" i="6" a="1"/>
  <c r="CC39" i="6" s="1"/>
  <c r="CA39" i="6" a="1"/>
  <c r="CA39" i="6" s="1"/>
  <c r="BW39" i="6" a="1"/>
  <c r="BW39" i="6" s="1"/>
  <c r="BE39" i="6"/>
  <c r="BJ39" i="6"/>
  <c r="BF39" i="6"/>
  <c r="BX39" i="6" a="1"/>
  <c r="BX39" i="6" s="1"/>
  <c r="BY39" i="6" a="1"/>
  <c r="BY39" i="6" s="1"/>
  <c r="BL39" i="6"/>
  <c r="BC39" i="6"/>
  <c r="BI39" i="6"/>
  <c r="BD39" i="6"/>
  <c r="CB39" i="6" a="1"/>
  <c r="CB39" i="6" s="1"/>
  <c r="BH39" i="6"/>
  <c r="BV39" i="6" a="1"/>
  <c r="BV39" i="6" s="1"/>
  <c r="BG39" i="6"/>
  <c r="CD39" i="6" a="1"/>
  <c r="CD39" i="6" s="1"/>
  <c r="BK39" i="6"/>
  <c r="CE39" i="6" a="1"/>
  <c r="CE39" i="6" s="1"/>
  <c r="BD78" i="6"/>
  <c r="BH78" i="6"/>
  <c r="BZ78" i="6" a="1"/>
  <c r="BZ78" i="6" s="1"/>
  <c r="BX78" i="6" a="1"/>
  <c r="BX78" i="6" s="1"/>
  <c r="BC78" i="6"/>
  <c r="CA78" i="6" a="1"/>
  <c r="CA78" i="6" s="1"/>
  <c r="BW78" i="6" a="1"/>
  <c r="BW78" i="6" s="1"/>
  <c r="BF78" i="6"/>
  <c r="BK78" i="6"/>
  <c r="CD78" i="6" a="1"/>
  <c r="CD78" i="6" s="1"/>
  <c r="BJ78" i="6"/>
  <c r="BY78" i="6" a="1"/>
  <c r="BY78" i="6" s="1"/>
  <c r="BE78" i="6"/>
  <c r="CC78" i="6" a="1"/>
  <c r="CC78" i="6" s="1"/>
  <c r="BV78" i="6" a="1"/>
  <c r="BV78" i="6" s="1"/>
  <c r="BL78" i="6"/>
  <c r="BI78" i="6"/>
  <c r="BG78" i="6"/>
  <c r="CB78" i="6" a="1"/>
  <c r="CB78" i="6" s="1"/>
  <c r="CE78" i="6" a="1"/>
  <c r="CE78" i="6" s="1"/>
  <c r="CA102" i="6" a="1"/>
  <c r="CA102" i="6" s="1"/>
  <c r="CE102" i="6" a="1"/>
  <c r="CE102" i="6" s="1"/>
  <c r="BJ102" i="6"/>
  <c r="BY102" i="6" a="1"/>
  <c r="BY102" i="6" s="1"/>
  <c r="BC102" i="6"/>
  <c r="BL102" i="6"/>
  <c r="BH102" i="6"/>
  <c r="BG102" i="6"/>
  <c r="BE102" i="6"/>
  <c r="BW102" i="6" a="1"/>
  <c r="BW102" i="6" s="1"/>
  <c r="BZ102" i="6" a="1"/>
  <c r="BZ102" i="6" s="1"/>
  <c r="BK102" i="6"/>
  <c r="CB102" i="6" a="1"/>
  <c r="CB102" i="6" s="1"/>
  <c r="CC102" i="6" a="1"/>
  <c r="CC102" i="6" s="1"/>
  <c r="BI102" i="6"/>
  <c r="BX102" i="6" a="1"/>
  <c r="BX102" i="6" s="1"/>
  <c r="BF102" i="6"/>
  <c r="BV102" i="6" a="1"/>
  <c r="BV102" i="6" s="1"/>
  <c r="CD102" i="6" a="1"/>
  <c r="CD102" i="6" s="1"/>
  <c r="BD102" i="6"/>
  <c r="BK23" i="6"/>
  <c r="BI23" i="6"/>
  <c r="BW23" i="6" a="1"/>
  <c r="BW23" i="6" s="1"/>
  <c r="BD23" i="6"/>
  <c r="CB23" i="6" a="1"/>
  <c r="CB23" i="6" s="1"/>
  <c r="BC23" i="6"/>
  <c r="BX23" i="6" a="1"/>
  <c r="BX23" i="6" s="1"/>
  <c r="BH23" i="6"/>
  <c r="BJ23" i="6"/>
  <c r="BZ23" i="6" a="1"/>
  <c r="BZ23" i="6" s="1"/>
  <c r="BE23" i="6"/>
  <c r="CD23" i="6" a="1"/>
  <c r="CD23" i="6" s="1"/>
  <c r="BG23" i="6"/>
  <c r="BF23" i="6"/>
  <c r="CC23" i="6" a="1"/>
  <c r="CC23" i="6" s="1"/>
  <c r="BL23" i="6"/>
  <c r="CA23" i="6" a="1"/>
  <c r="CA23" i="6" s="1"/>
  <c r="BV23" i="6" a="1"/>
  <c r="BV23" i="6" s="1"/>
  <c r="BY23" i="6" a="1"/>
  <c r="BY23" i="6" s="1"/>
  <c r="CE23" i="6" a="1"/>
  <c r="CE23" i="6" s="1"/>
  <c r="BF74" i="6"/>
  <c r="CB74" i="6" a="1"/>
  <c r="CB74" i="6" s="1"/>
  <c r="BJ74" i="6"/>
  <c r="BX74" i="6" a="1"/>
  <c r="BX74" i="6" s="1"/>
  <c r="CC74" i="6" a="1"/>
  <c r="CC74" i="6" s="1"/>
  <c r="BI74" i="6"/>
  <c r="BK74" i="6"/>
  <c r="BH74" i="6"/>
  <c r="BD74" i="6"/>
  <c r="CA74" i="6" a="1"/>
  <c r="CA74" i="6" s="1"/>
  <c r="BC74" i="6"/>
  <c r="BE74" i="6"/>
  <c r="BY74" i="6" a="1"/>
  <c r="BY74" i="6" s="1"/>
  <c r="BG74" i="6"/>
  <c r="BV74" i="6" a="1"/>
  <c r="BV74" i="6" s="1"/>
  <c r="CE74" i="6" a="1"/>
  <c r="CE74" i="6" s="1"/>
  <c r="BZ74" i="6" a="1"/>
  <c r="BZ74" i="6" s="1"/>
  <c r="BL74" i="6"/>
  <c r="BW74" i="6" a="1"/>
  <c r="BW74" i="6" s="1"/>
  <c r="CD74" i="6" a="1"/>
  <c r="CD74" i="6" s="1"/>
  <c r="BW30" i="6" a="1"/>
  <c r="BW30" i="6" s="1"/>
  <c r="BZ30" i="6" a="1"/>
  <c r="BZ30" i="6" s="1"/>
  <c r="CD30" i="6" a="1"/>
  <c r="CD30" i="6" s="1"/>
  <c r="BI30" i="6"/>
  <c r="BF30" i="6"/>
  <c r="BK30" i="6"/>
  <c r="CE30" i="6" a="1"/>
  <c r="CE30" i="6" s="1"/>
  <c r="BG30" i="6"/>
  <c r="BH30" i="6"/>
  <c r="BE30" i="6"/>
  <c r="BJ30" i="6"/>
  <c r="BD30" i="6"/>
  <c r="BX30" i="6" a="1"/>
  <c r="BX30" i="6" s="1"/>
  <c r="CB30" i="6" a="1"/>
  <c r="CB30" i="6" s="1"/>
  <c r="BV30" i="6" a="1"/>
  <c r="BV30" i="6" s="1"/>
  <c r="CC30" i="6" a="1"/>
  <c r="CC30" i="6" s="1"/>
  <c r="BY30" i="6" a="1"/>
  <c r="BY30" i="6" s="1"/>
  <c r="BL30" i="6"/>
  <c r="CA30" i="6" a="1"/>
  <c r="CA30" i="6" s="1"/>
  <c r="BC30" i="6"/>
  <c r="BF107" i="6"/>
  <c r="BZ107" i="6" a="1"/>
  <c r="BZ107" i="6" s="1"/>
  <c r="BV107" i="6" a="1"/>
  <c r="BV107" i="6" s="1"/>
  <c r="CA107" i="6" a="1"/>
  <c r="CA107" i="6" s="1"/>
  <c r="CE107" i="6" a="1"/>
  <c r="CE107" i="6" s="1"/>
  <c r="BC107" i="6"/>
  <c r="BG107" i="6"/>
  <c r="BE107" i="6"/>
  <c r="BW107" i="6" a="1"/>
  <c r="BW107" i="6" s="1"/>
  <c r="BH107" i="6"/>
  <c r="BD107" i="6"/>
  <c r="CB107" i="6" a="1"/>
  <c r="CB107" i="6" s="1"/>
  <c r="BI107" i="6"/>
  <c r="BX107" i="6" a="1"/>
  <c r="BX107" i="6" s="1"/>
  <c r="BL107" i="6"/>
  <c r="CD107" i="6" a="1"/>
  <c r="CD107" i="6" s="1"/>
  <c r="BY107" i="6" a="1"/>
  <c r="BY107" i="6" s="1"/>
  <c r="BJ107" i="6"/>
  <c r="BK107" i="6"/>
  <c r="CC107" i="6" a="1"/>
  <c r="CC107" i="6" s="1"/>
  <c r="BW37" i="6" a="1"/>
  <c r="BW37" i="6" s="1"/>
  <c r="BJ37" i="6"/>
  <c r="BH37" i="6"/>
  <c r="BL37" i="6"/>
  <c r="CB37" i="6" a="1"/>
  <c r="CB37" i="6" s="1"/>
  <c r="BK37" i="6"/>
  <c r="BD37" i="6"/>
  <c r="BV37" i="6" a="1"/>
  <c r="BV37" i="6" s="1"/>
  <c r="CA37" i="6" a="1"/>
  <c r="CA37" i="6" s="1"/>
  <c r="BX37" i="6" a="1"/>
  <c r="BX37" i="6" s="1"/>
  <c r="CC37" i="6" a="1"/>
  <c r="CC37" i="6" s="1"/>
  <c r="BC37" i="6"/>
  <c r="CD37" i="6" a="1"/>
  <c r="CD37" i="6" s="1"/>
  <c r="BZ37" i="6" a="1"/>
  <c r="BZ37" i="6" s="1"/>
  <c r="CE37" i="6" a="1"/>
  <c r="CE37" i="6" s="1"/>
  <c r="BF37" i="6"/>
  <c r="BE37" i="6"/>
  <c r="BY37" i="6" a="1"/>
  <c r="BY37" i="6" s="1"/>
  <c r="BI37" i="6"/>
  <c r="BG37" i="6"/>
  <c r="BW60" i="6" a="1"/>
  <c r="BW60" i="6" s="1"/>
  <c r="CD60" i="6" a="1"/>
  <c r="CD60" i="6" s="1"/>
  <c r="BK60" i="6"/>
  <c r="BG60" i="6"/>
  <c r="BZ60" i="6" a="1"/>
  <c r="BZ60" i="6" s="1"/>
  <c r="BL60" i="6"/>
  <c r="BV60" i="6" a="1"/>
  <c r="BV60" i="6" s="1"/>
  <c r="CE60" i="6" a="1"/>
  <c r="CE60" i="6" s="1"/>
  <c r="CC60" i="6" a="1"/>
  <c r="CC60" i="6" s="1"/>
  <c r="BX60" i="6" a="1"/>
  <c r="BX60" i="6" s="1"/>
  <c r="BC60" i="6"/>
  <c r="CB60" i="6" a="1"/>
  <c r="CB60" i="6" s="1"/>
  <c r="BH60" i="6"/>
  <c r="BI60" i="6"/>
  <c r="BE60" i="6"/>
  <c r="BD60" i="6"/>
  <c r="CA60" i="6" a="1"/>
  <c r="CA60" i="6" s="1"/>
  <c r="BF60" i="6"/>
  <c r="BJ60" i="6"/>
  <c r="BY60" i="6" a="1"/>
  <c r="BY60" i="6" s="1"/>
  <c r="BJ43" i="6"/>
  <c r="BG43" i="6"/>
  <c r="CA43" i="6" a="1"/>
  <c r="CA43" i="6" s="1"/>
  <c r="BC43" i="6"/>
  <c r="BV43" i="6" a="1"/>
  <c r="BV43" i="6" s="1"/>
  <c r="CD43" i="6" a="1"/>
  <c r="CD43" i="6" s="1"/>
  <c r="BE43" i="6"/>
  <c r="BL43" i="6"/>
  <c r="BF43" i="6"/>
  <c r="BX43" i="6" a="1"/>
  <c r="BX43" i="6" s="1"/>
  <c r="BK43" i="6"/>
  <c r="BD43" i="6"/>
  <c r="CE43" i="6" a="1"/>
  <c r="CE43" i="6" s="1"/>
  <c r="CC43" i="6" a="1"/>
  <c r="CC43" i="6" s="1"/>
  <c r="BY43" i="6" a="1"/>
  <c r="BY43" i="6" s="1"/>
  <c r="BW43" i="6" a="1"/>
  <c r="BW43" i="6" s="1"/>
  <c r="BI43" i="6"/>
  <c r="BH43" i="6"/>
  <c r="CB43" i="6" a="1"/>
  <c r="CB43" i="6" s="1"/>
  <c r="BZ43" i="6" a="1"/>
  <c r="BZ43" i="6" s="1"/>
  <c r="BL67" i="6"/>
  <c r="CB67" i="6" a="1"/>
  <c r="CB67" i="6" s="1"/>
  <c r="BX67" i="6" a="1"/>
  <c r="BX67" i="6" s="1"/>
  <c r="BY67" i="6" a="1"/>
  <c r="BY67" i="6" s="1"/>
  <c r="BH67" i="6"/>
  <c r="BF67" i="6"/>
  <c r="CC67" i="6" a="1"/>
  <c r="CC67" i="6" s="1"/>
  <c r="BD67" i="6"/>
  <c r="BW67" i="6" a="1"/>
  <c r="BW67" i="6" s="1"/>
  <c r="BE67" i="6"/>
  <c r="BK67" i="6"/>
  <c r="BZ67" i="6" a="1"/>
  <c r="BZ67" i="6" s="1"/>
  <c r="BC67" i="6"/>
  <c r="BJ67" i="6"/>
  <c r="BG67" i="6"/>
  <c r="CE67" i="6" a="1"/>
  <c r="CE67" i="6" s="1"/>
  <c r="BI67" i="6"/>
  <c r="CD67" i="6" a="1"/>
  <c r="CD67" i="6" s="1"/>
  <c r="CA67" i="6" a="1"/>
  <c r="CA67" i="6" s="1"/>
  <c r="BV67" i="6" a="1"/>
  <c r="BV67" i="6" s="1"/>
  <c r="BY103" i="6" a="1"/>
  <c r="BY103" i="6" s="1"/>
  <c r="BJ103" i="6"/>
  <c r="CD103" i="6" a="1"/>
  <c r="CD103" i="6" s="1"/>
  <c r="BE103" i="6"/>
  <c r="BX103" i="6" a="1"/>
  <c r="BX103" i="6" s="1"/>
  <c r="BL103" i="6"/>
  <c r="BI103" i="6"/>
  <c r="BG103" i="6"/>
  <c r="CC103" i="6" a="1"/>
  <c r="CC103" i="6" s="1"/>
  <c r="BF103" i="6"/>
  <c r="BW103" i="6" a="1"/>
  <c r="BW103" i="6" s="1"/>
  <c r="CE103" i="6" a="1"/>
  <c r="CE103" i="6" s="1"/>
  <c r="BH103" i="6"/>
  <c r="CB103" i="6" a="1"/>
  <c r="CB103" i="6" s="1"/>
  <c r="BZ103" i="6" a="1"/>
  <c r="BZ103" i="6" s="1"/>
  <c r="BV103" i="6" a="1"/>
  <c r="BV103" i="6" s="1"/>
  <c r="BC103" i="6"/>
  <c r="BD103" i="6"/>
  <c r="CA103" i="6" a="1"/>
  <c r="CA103" i="6" s="1"/>
  <c r="BK103" i="6"/>
  <c r="CE59" i="6" a="1"/>
  <c r="CE59" i="6" s="1"/>
  <c r="BV59" i="6" a="1"/>
  <c r="BV59" i="6" s="1"/>
  <c r="BF59" i="6"/>
  <c r="BD59" i="6"/>
  <c r="CB59" i="6" a="1"/>
  <c r="CB59" i="6" s="1"/>
  <c r="BY59" i="6" a="1"/>
  <c r="BY59" i="6" s="1"/>
  <c r="BE59" i="6"/>
  <c r="BW59" i="6" a="1"/>
  <c r="BW59" i="6" s="1"/>
  <c r="BI59" i="6"/>
  <c r="BG59" i="6"/>
  <c r="BZ59" i="6" a="1"/>
  <c r="BZ59" i="6" s="1"/>
  <c r="CD59" i="6" a="1"/>
  <c r="CD59" i="6" s="1"/>
  <c r="BK59" i="6"/>
  <c r="CA59" i="6" a="1"/>
  <c r="CA59" i="6" s="1"/>
  <c r="BJ59" i="6"/>
  <c r="BX59" i="6" a="1"/>
  <c r="BX59" i="6" s="1"/>
  <c r="BH59" i="6"/>
  <c r="BL59" i="6"/>
  <c r="CC59" i="6" a="1"/>
  <c r="CC59" i="6" s="1"/>
  <c r="BC59" i="6"/>
  <c r="M104" i="6"/>
  <c r="N104" i="6"/>
  <c r="M33" i="6"/>
  <c r="N33" i="6"/>
  <c r="BL34" i="6"/>
  <c r="BH34" i="6"/>
  <c r="BY34" i="6" a="1"/>
  <c r="BY34" i="6" s="1"/>
  <c r="BI34" i="6"/>
  <c r="BK34" i="6"/>
  <c r="BD34" i="6"/>
  <c r="CA34" i="6" a="1"/>
  <c r="CA34" i="6" s="1"/>
  <c r="BZ34" i="6" a="1"/>
  <c r="BZ34" i="6" s="1"/>
  <c r="CC34" i="6" a="1"/>
  <c r="CC34" i="6" s="1"/>
  <c r="CD34" i="6" a="1"/>
  <c r="CD34" i="6" s="1"/>
  <c r="BX34" i="6" a="1"/>
  <c r="BX34" i="6" s="1"/>
  <c r="BG34" i="6"/>
  <c r="BW34" i="6" a="1"/>
  <c r="BW34" i="6" s="1"/>
  <c r="CB34" i="6" a="1"/>
  <c r="CB34" i="6" s="1"/>
  <c r="BE34" i="6"/>
  <c r="BV34" i="6" a="1"/>
  <c r="BV34" i="6" s="1"/>
  <c r="BF34" i="6"/>
  <c r="CE34" i="6" a="1"/>
  <c r="CE34" i="6" s="1"/>
  <c r="BJ34" i="6"/>
  <c r="BC34" i="6"/>
  <c r="CD31" i="6" a="1"/>
  <c r="CD31" i="6" s="1"/>
  <c r="BV31" i="6" a="1"/>
  <c r="BV31" i="6" s="1"/>
  <c r="BC31" i="6"/>
  <c r="BG31" i="6"/>
  <c r="BW31" i="6" a="1"/>
  <c r="BW31" i="6" s="1"/>
  <c r="BJ31" i="6"/>
  <c r="BH31" i="6"/>
  <c r="BE31" i="6"/>
  <c r="BI31" i="6"/>
  <c r="CB31" i="6" a="1"/>
  <c r="CB31" i="6" s="1"/>
  <c r="CC31" i="6" a="1"/>
  <c r="CC31" i="6" s="1"/>
  <c r="BD31" i="6"/>
  <c r="BL31" i="6"/>
  <c r="BY31" i="6" a="1"/>
  <c r="BY31" i="6" s="1"/>
  <c r="BK31" i="6"/>
  <c r="CE31" i="6" a="1"/>
  <c r="CE31" i="6" s="1"/>
  <c r="CA31" i="6" a="1"/>
  <c r="CA31" i="6" s="1"/>
  <c r="BF31" i="6"/>
  <c r="BZ31" i="6" a="1"/>
  <c r="BZ31" i="6" s="1"/>
  <c r="BX31" i="6" a="1"/>
  <c r="BX31" i="6" s="1"/>
  <c r="BH19" i="6"/>
  <c r="BY19" i="6" a="1"/>
  <c r="BY19" i="6" s="1"/>
  <c r="BK19" i="6"/>
  <c r="CC19" i="6" a="1"/>
  <c r="CC19" i="6" s="1"/>
  <c r="BF19" i="6"/>
  <c r="BL19" i="6"/>
  <c r="BJ19" i="6"/>
  <c r="BV19" i="6" a="1"/>
  <c r="BV19" i="6" s="1"/>
  <c r="BZ19" i="6" a="1"/>
  <c r="BZ19" i="6" s="1"/>
  <c r="CB19" i="6" a="1"/>
  <c r="CB19" i="6" s="1"/>
  <c r="BC19" i="6"/>
  <c r="BW19" i="6" a="1"/>
  <c r="BW19" i="6" s="1"/>
  <c r="CD19" i="6" a="1"/>
  <c r="CD19" i="6" s="1"/>
  <c r="BE19" i="6"/>
  <c r="CE19" i="6" a="1"/>
  <c r="CE19" i="6" s="1"/>
  <c r="BX19" i="6" a="1"/>
  <c r="BX19" i="6" s="1"/>
  <c r="BG19" i="6"/>
  <c r="CA19" i="6" a="1"/>
  <c r="CA19" i="6" s="1"/>
  <c r="BI19" i="6"/>
  <c r="BD19" i="6"/>
  <c r="BK72" i="6"/>
  <c r="CE72" i="6" a="1"/>
  <c r="CE72" i="6" s="1"/>
  <c r="BX72" i="6" a="1"/>
  <c r="BX72" i="6" s="1"/>
  <c r="BF72" i="6"/>
  <c r="BL72" i="6"/>
  <c r="BV72" i="6" a="1"/>
  <c r="BV72" i="6" s="1"/>
  <c r="BH72" i="6"/>
  <c r="CA72" i="6" a="1"/>
  <c r="CA72" i="6" s="1"/>
  <c r="BW72" i="6" a="1"/>
  <c r="BW72" i="6" s="1"/>
  <c r="BI72" i="6"/>
  <c r="BZ72" i="6" a="1"/>
  <c r="BZ72" i="6" s="1"/>
  <c r="BE72" i="6"/>
  <c r="BY72" i="6" a="1"/>
  <c r="BY72" i="6" s="1"/>
  <c r="CB72" i="6" a="1"/>
  <c r="CB72" i="6" s="1"/>
  <c r="BG72" i="6"/>
  <c r="BC72" i="6"/>
  <c r="BJ72" i="6"/>
  <c r="CC72" i="6" a="1"/>
  <c r="CC72" i="6" s="1"/>
  <c r="BD72" i="6"/>
  <c r="CD72" i="6" a="1"/>
  <c r="CD72" i="6" s="1"/>
  <c r="A112" i="6"/>
  <c r="L130" i="6"/>
  <c r="D113" i="5" l="1"/>
  <c r="B113" i="12" s="1"/>
  <c r="A113" i="12"/>
  <c r="J113" i="12" s="1" a="1"/>
  <c r="J113" i="12" s="1"/>
  <c r="H113" i="5"/>
  <c r="K113" i="5"/>
  <c r="AD113" i="5"/>
  <c r="B113" i="6"/>
  <c r="AE113" i="5" a="1"/>
  <c r="AE113" i="5" s="1"/>
  <c r="B113" i="5"/>
  <c r="C114" i="5" s="1"/>
  <c r="C115" i="5" s="1"/>
  <c r="N113" i="5"/>
  <c r="D113" i="6" s="1"/>
  <c r="H113" i="6" s="1" a="1"/>
  <c r="H113" i="6" s="1"/>
  <c r="AM111" i="6"/>
  <c r="AN111" i="6"/>
  <c r="CB111" i="6" a="1"/>
  <c r="CB111" i="6" s="1"/>
  <c r="J113" i="5"/>
  <c r="F113" i="5"/>
  <c r="CC111" i="6" a="1"/>
  <c r="CC111" i="6" s="1"/>
  <c r="E113" i="5"/>
  <c r="CF111" i="6" a="1"/>
  <c r="CF111" i="6" s="1"/>
  <c r="BE111" i="6"/>
  <c r="BK111" i="6"/>
  <c r="CI111" i="6" a="1"/>
  <c r="CI111" i="6" s="1"/>
  <c r="BP111" i="6"/>
  <c r="BC111" i="6"/>
  <c r="BD111" i="6"/>
  <c r="AV111" i="6"/>
  <c r="AJ111" i="6"/>
  <c r="AY111" i="6"/>
  <c r="BF111" i="6"/>
  <c r="AP111" i="6"/>
  <c r="BO111" i="6"/>
  <c r="BJ111" i="6"/>
  <c r="AS111" i="6"/>
  <c r="BX111" i="6" a="1"/>
  <c r="BX111" i="6" s="1"/>
  <c r="BW111" i="6" a="1"/>
  <c r="BW111" i="6" s="1"/>
  <c r="BV111" i="6" a="1"/>
  <c r="BV111" i="6" s="1"/>
  <c r="CD111" i="6" a="1"/>
  <c r="CD111" i="6" s="1"/>
  <c r="BY111" i="6" a="1"/>
  <c r="BY111" i="6" s="1"/>
  <c r="AR111" i="6"/>
  <c r="AL111" i="6"/>
  <c r="AK111" i="6"/>
  <c r="BH111" i="6"/>
  <c r="BL111" i="6"/>
  <c r="BZ111" i="6" a="1"/>
  <c r="BZ111" i="6" s="1"/>
  <c r="CE111" i="6" a="1"/>
  <c r="CE111" i="6" s="1"/>
  <c r="CA111" i="6" a="1"/>
  <c r="CA111" i="6" s="1"/>
  <c r="AQ111" i="6"/>
  <c r="AX111" i="6"/>
  <c r="AU111" i="6"/>
  <c r="BT111" i="6"/>
  <c r="BM111" i="6"/>
  <c r="AW111" i="6"/>
  <c r="AO111" i="6"/>
  <c r="CK111" i="6" a="1"/>
  <c r="CK111" i="6" s="1"/>
  <c r="BA111" i="6"/>
  <c r="BQ111" i="6"/>
  <c r="CH111" i="6" a="1"/>
  <c r="CH111" i="6" s="1"/>
  <c r="BS111" i="6"/>
  <c r="BR111" i="6"/>
  <c r="AZ111" i="6"/>
  <c r="BG111" i="6"/>
  <c r="BI111" i="6"/>
  <c r="CL111" i="6" a="1"/>
  <c r="CL111" i="6" s="1"/>
  <c r="CG111" i="6" a="1"/>
  <c r="CG111" i="6" s="1"/>
  <c r="CJ111" i="6" a="1"/>
  <c r="CJ111" i="6" s="1"/>
  <c r="CM111" i="6" a="1"/>
  <c r="CM111" i="6" s="1"/>
  <c r="AT111" i="6"/>
  <c r="G113" i="5"/>
  <c r="J112" i="12" a="1"/>
  <c r="J112" i="12" s="1"/>
  <c r="K112" i="12" s="1"/>
  <c r="N112" i="6"/>
  <c r="BG41" i="6"/>
  <c r="CI41" i="6" a="1"/>
  <c r="CI41" i="6" s="1"/>
  <c r="BO41" i="6"/>
  <c r="BM41" i="6"/>
  <c r="CF41" i="6" a="1"/>
  <c r="CF41" i="6" s="1"/>
  <c r="BT41" i="6"/>
  <c r="BR41" i="6"/>
  <c r="CL41" i="6" a="1"/>
  <c r="CL41" i="6" s="1"/>
  <c r="CH41" i="6" a="1"/>
  <c r="CH41" i="6" s="1"/>
  <c r="CM41" i="6" a="1"/>
  <c r="CM41" i="6" s="1"/>
  <c r="BS41" i="6"/>
  <c r="BN41" i="6"/>
  <c r="CK41" i="6" a="1"/>
  <c r="CK41" i="6" s="1"/>
  <c r="CG41" i="6" a="1"/>
  <c r="CG41" i="6" s="1"/>
  <c r="BQ41" i="6"/>
  <c r="CJ41" i="6" a="1"/>
  <c r="CJ41" i="6" s="1"/>
  <c r="BP41" i="6"/>
  <c r="AW41" i="6"/>
  <c r="AX41" i="6"/>
  <c r="AY41" i="6"/>
  <c r="AZ41" i="6"/>
  <c r="BA41" i="6"/>
  <c r="AV41" i="6"/>
  <c r="BS68" i="6"/>
  <c r="CK68" i="6" a="1"/>
  <c r="CK68" i="6" s="1"/>
  <c r="BN68" i="6"/>
  <c r="BM68" i="6"/>
  <c r="BR68" i="6"/>
  <c r="BQ68" i="6"/>
  <c r="BP68" i="6"/>
  <c r="AY68" i="6"/>
  <c r="CJ68" i="6" a="1"/>
  <c r="CJ68" i="6" s="1"/>
  <c r="CG68" i="6" a="1"/>
  <c r="CG68" i="6" s="1"/>
  <c r="CM68" i="6" a="1"/>
  <c r="CM68" i="6" s="1"/>
  <c r="BO68" i="6"/>
  <c r="CH68" i="6" a="1"/>
  <c r="CH68" i="6" s="1"/>
  <c r="CL68" i="6" a="1"/>
  <c r="CL68" i="6" s="1"/>
  <c r="CI68" i="6" a="1"/>
  <c r="CI68" i="6" s="1"/>
  <c r="AX68" i="6"/>
  <c r="CF68" i="6" a="1"/>
  <c r="CF68" i="6" s="1"/>
  <c r="BT68" i="6"/>
  <c r="BA68" i="6"/>
  <c r="AV68" i="6"/>
  <c r="AZ68" i="6"/>
  <c r="AW68" i="6"/>
  <c r="BH47" i="6"/>
  <c r="BQ47" i="6"/>
  <c r="BP47" i="6"/>
  <c r="CF47" i="6" a="1"/>
  <c r="CF47" i="6" s="1"/>
  <c r="CI47" i="6" a="1"/>
  <c r="CI47" i="6" s="1"/>
  <c r="BT47" i="6"/>
  <c r="CH47" i="6" a="1"/>
  <c r="CH47" i="6" s="1"/>
  <c r="BO47" i="6"/>
  <c r="CM47" i="6" a="1"/>
  <c r="CM47" i="6" s="1"/>
  <c r="BN47" i="6"/>
  <c r="CG47" i="6" a="1"/>
  <c r="CG47" i="6" s="1"/>
  <c r="CJ47" i="6" a="1"/>
  <c r="CJ47" i="6" s="1"/>
  <c r="BM47" i="6"/>
  <c r="CL47" i="6" a="1"/>
  <c r="CL47" i="6" s="1"/>
  <c r="CK47" i="6" a="1"/>
  <c r="CK47" i="6" s="1"/>
  <c r="BS47" i="6"/>
  <c r="BR47" i="6"/>
  <c r="AV47" i="6"/>
  <c r="AW47" i="6"/>
  <c r="AX47" i="6"/>
  <c r="AY47" i="6"/>
  <c r="AZ47" i="6"/>
  <c r="BA47" i="6"/>
  <c r="CH63" i="6" a="1"/>
  <c r="CH63" i="6" s="1"/>
  <c r="BQ63" i="6"/>
  <c r="CG63" i="6" a="1"/>
  <c r="CG63" i="6" s="1"/>
  <c r="BS63" i="6"/>
  <c r="CF63" i="6" a="1"/>
  <c r="CF63" i="6" s="1"/>
  <c r="BP63" i="6"/>
  <c r="CL63" i="6" a="1"/>
  <c r="CL63" i="6" s="1"/>
  <c r="CJ63" i="6" a="1"/>
  <c r="CJ63" i="6" s="1"/>
  <c r="BM63" i="6"/>
  <c r="CM63" i="6" a="1"/>
  <c r="CM63" i="6" s="1"/>
  <c r="CI63" i="6" a="1"/>
  <c r="CI63" i="6" s="1"/>
  <c r="CK63" i="6" a="1"/>
  <c r="CK63" i="6" s="1"/>
  <c r="BT63" i="6"/>
  <c r="BR63" i="6"/>
  <c r="BO63" i="6"/>
  <c r="BN63" i="6"/>
  <c r="AV63" i="6"/>
  <c r="BA63" i="6"/>
  <c r="AY63" i="6"/>
  <c r="AZ63" i="6"/>
  <c r="AX63" i="6"/>
  <c r="AW63" i="6"/>
  <c r="CA88" i="6" a="1"/>
  <c r="CA88" i="6" s="1"/>
  <c r="BM88" i="6"/>
  <c r="CK88" i="6" a="1"/>
  <c r="CK88" i="6" s="1"/>
  <c r="BS88" i="6"/>
  <c r="CG88" i="6" a="1"/>
  <c r="CG88" i="6" s="1"/>
  <c r="CJ88" i="6" a="1"/>
  <c r="CJ88" i="6" s="1"/>
  <c r="BR88" i="6"/>
  <c r="CM88" i="6" a="1"/>
  <c r="CM88" i="6" s="1"/>
  <c r="CI88" i="6" a="1"/>
  <c r="CI88" i="6" s="1"/>
  <c r="AX88" i="6"/>
  <c r="CF88" i="6" a="1"/>
  <c r="CF88" i="6" s="1"/>
  <c r="AW88" i="6"/>
  <c r="BT88" i="6"/>
  <c r="BQ88" i="6"/>
  <c r="CL88" i="6" a="1"/>
  <c r="CL88" i="6" s="1"/>
  <c r="AV88" i="6"/>
  <c r="CH88" i="6" a="1"/>
  <c r="CH88" i="6" s="1"/>
  <c r="BO88" i="6"/>
  <c r="AZ88" i="6"/>
  <c r="BN88" i="6"/>
  <c r="AY88" i="6"/>
  <c r="BP88" i="6"/>
  <c r="BA88" i="6"/>
  <c r="BL93" i="6"/>
  <c r="BN93" i="6"/>
  <c r="AW93" i="6"/>
  <c r="CL93" i="6" a="1"/>
  <c r="CL93" i="6" s="1"/>
  <c r="CF93" i="6" a="1"/>
  <c r="CF93" i="6" s="1"/>
  <c r="AY93" i="6"/>
  <c r="CI93" i="6" a="1"/>
  <c r="CI93" i="6" s="1"/>
  <c r="BR93" i="6"/>
  <c r="CH93" i="6" a="1"/>
  <c r="CH93" i="6" s="1"/>
  <c r="BQ93" i="6"/>
  <c r="CG93" i="6" a="1"/>
  <c r="CG93" i="6" s="1"/>
  <c r="BP93" i="6"/>
  <c r="CK93" i="6" a="1"/>
  <c r="CK93" i="6" s="1"/>
  <c r="BA93" i="6"/>
  <c r="CJ93" i="6" a="1"/>
  <c r="CJ93" i="6" s="1"/>
  <c r="BM93" i="6"/>
  <c r="CM93" i="6" a="1"/>
  <c r="CM93" i="6" s="1"/>
  <c r="AZ93" i="6"/>
  <c r="BT93" i="6"/>
  <c r="BS93" i="6"/>
  <c r="BO93" i="6"/>
  <c r="AX93" i="6"/>
  <c r="AV93" i="6"/>
  <c r="BE55" i="6"/>
  <c r="CK55" i="6" a="1"/>
  <c r="CK55" i="6" s="1"/>
  <c r="BS55" i="6"/>
  <c r="BR55" i="6"/>
  <c r="CM55" i="6" a="1"/>
  <c r="CM55" i="6" s="1"/>
  <c r="BQ55" i="6"/>
  <c r="BP55" i="6"/>
  <c r="CJ55" i="6" a="1"/>
  <c r="CJ55" i="6" s="1"/>
  <c r="CI55" i="6" a="1"/>
  <c r="CI55" i="6" s="1"/>
  <c r="CL55" i="6" a="1"/>
  <c r="CL55" i="6" s="1"/>
  <c r="CF55" i="6" a="1"/>
  <c r="CF55" i="6" s="1"/>
  <c r="BO55" i="6"/>
  <c r="CH55" i="6" a="1"/>
  <c r="CH55" i="6" s="1"/>
  <c r="CG55" i="6" a="1"/>
  <c r="CG55" i="6" s="1"/>
  <c r="BN55" i="6"/>
  <c r="BM55" i="6"/>
  <c r="BT55" i="6"/>
  <c r="AY55" i="6"/>
  <c r="BA55" i="6"/>
  <c r="AX55" i="6"/>
  <c r="AW55" i="6"/>
  <c r="AZ55" i="6"/>
  <c r="AV55" i="6"/>
  <c r="BD18" i="6"/>
  <c r="CI18" i="6" a="1"/>
  <c r="CI18" i="6" s="1"/>
  <c r="CF18" i="6" a="1"/>
  <c r="CF18" i="6" s="1"/>
  <c r="CH18" i="6" a="1"/>
  <c r="CH18" i="6" s="1"/>
  <c r="BP18" i="6"/>
  <c r="BM18" i="6"/>
  <c r="CK18" i="6" a="1"/>
  <c r="CK18" i="6" s="1"/>
  <c r="CG18" i="6" a="1"/>
  <c r="CG18" i="6" s="1"/>
  <c r="CM18" i="6" a="1"/>
  <c r="CM18" i="6" s="1"/>
  <c r="BO18" i="6"/>
  <c r="BR18" i="6"/>
  <c r="BT18" i="6"/>
  <c r="BQ18" i="6"/>
  <c r="BS18" i="6"/>
  <c r="CJ18" i="6" a="1"/>
  <c r="CJ18" i="6" s="1"/>
  <c r="BN18" i="6"/>
  <c r="CL18" i="6" a="1"/>
  <c r="CL18" i="6" s="1"/>
  <c r="AZ18" i="6"/>
  <c r="AW18" i="6"/>
  <c r="AX18" i="6"/>
  <c r="AV18" i="6"/>
  <c r="AY18" i="6"/>
  <c r="BA18" i="6"/>
  <c r="BN108" i="6"/>
  <c r="CL108" i="6" a="1"/>
  <c r="CL108" i="6" s="1"/>
  <c r="BQ108" i="6"/>
  <c r="CF108" i="6" a="1"/>
  <c r="CF108" i="6" s="1"/>
  <c r="BM108" i="6"/>
  <c r="CI108" i="6" a="1"/>
  <c r="CI108" i="6" s="1"/>
  <c r="CG108" i="6" a="1"/>
  <c r="CG108" i="6" s="1"/>
  <c r="BP108" i="6"/>
  <c r="CM108" i="6" a="1"/>
  <c r="CM108" i="6" s="1"/>
  <c r="CH108" i="6" a="1"/>
  <c r="CH108" i="6" s="1"/>
  <c r="CK108" i="6" a="1"/>
  <c r="CK108" i="6" s="1"/>
  <c r="BT108" i="6"/>
  <c r="CJ108" i="6" a="1"/>
  <c r="CJ108" i="6" s="1"/>
  <c r="BR108" i="6"/>
  <c r="BS108" i="6"/>
  <c r="BO108" i="6"/>
  <c r="AY108" i="6"/>
  <c r="AZ108" i="6"/>
  <c r="AV108" i="6"/>
  <c r="AX108" i="6"/>
  <c r="AW108" i="6"/>
  <c r="BA108" i="6"/>
  <c r="CB79" i="6" a="1"/>
  <c r="CB79" i="6" s="1"/>
  <c r="BM79" i="6"/>
  <c r="BA79" i="6"/>
  <c r="CH79" i="6" a="1"/>
  <c r="CH79" i="6" s="1"/>
  <c r="CK79" i="6" a="1"/>
  <c r="CK79" i="6" s="1"/>
  <c r="BS79" i="6"/>
  <c r="CJ79" i="6" a="1"/>
  <c r="CJ79" i="6" s="1"/>
  <c r="BR79" i="6"/>
  <c r="CG79" i="6" a="1"/>
  <c r="CG79" i="6" s="1"/>
  <c r="CM79" i="6" a="1"/>
  <c r="CM79" i="6" s="1"/>
  <c r="BQ79" i="6"/>
  <c r="CI79" i="6" a="1"/>
  <c r="CI79" i="6" s="1"/>
  <c r="AX79" i="6"/>
  <c r="CF79" i="6" a="1"/>
  <c r="CF79" i="6" s="1"/>
  <c r="AW79" i="6"/>
  <c r="CL79" i="6" a="1"/>
  <c r="CL79" i="6" s="1"/>
  <c r="AV79" i="6"/>
  <c r="BT79" i="6"/>
  <c r="BP79" i="6"/>
  <c r="BO79" i="6"/>
  <c r="AZ79" i="6"/>
  <c r="BN79" i="6"/>
  <c r="AY79" i="6"/>
  <c r="BM94" i="6"/>
  <c r="BA94" i="6"/>
  <c r="CJ94" i="6" a="1"/>
  <c r="CJ94" i="6" s="1"/>
  <c r="BS94" i="6"/>
  <c r="CK94" i="6" a="1"/>
  <c r="CK94" i="6" s="1"/>
  <c r="BR94" i="6"/>
  <c r="CI94" i="6" a="1"/>
  <c r="CI94" i="6" s="1"/>
  <c r="AX94" i="6"/>
  <c r="CH94" i="6" a="1"/>
  <c r="CH94" i="6" s="1"/>
  <c r="BT94" i="6"/>
  <c r="CG94" i="6" a="1"/>
  <c r="CG94" i="6" s="1"/>
  <c r="AW94" i="6"/>
  <c r="CL94" i="6" a="1"/>
  <c r="CL94" i="6" s="1"/>
  <c r="BQ94" i="6"/>
  <c r="CM94" i="6" a="1"/>
  <c r="CM94" i="6" s="1"/>
  <c r="AV94" i="6"/>
  <c r="CF94" i="6" a="1"/>
  <c r="CF94" i="6" s="1"/>
  <c r="BP94" i="6"/>
  <c r="BO94" i="6"/>
  <c r="AZ94" i="6"/>
  <c r="BN94" i="6"/>
  <c r="AY94" i="6"/>
  <c r="CM54" i="6" a="1"/>
  <c r="CM54" i="6" s="1"/>
  <c r="BQ54" i="6"/>
  <c r="CK54" i="6" a="1"/>
  <c r="CK54" i="6" s="1"/>
  <c r="BT54" i="6"/>
  <c r="CG54" i="6" a="1"/>
  <c r="CG54" i="6" s="1"/>
  <c r="CL54" i="6" a="1"/>
  <c r="CL54" i="6" s="1"/>
  <c r="BP54" i="6"/>
  <c r="CJ54" i="6" a="1"/>
  <c r="CJ54" i="6" s="1"/>
  <c r="CF54" i="6" a="1"/>
  <c r="CF54" i="6" s="1"/>
  <c r="BM54" i="6"/>
  <c r="BR54" i="6"/>
  <c r="CH54" i="6" a="1"/>
  <c r="CH54" i="6" s="1"/>
  <c r="BS54" i="6"/>
  <c r="CI54" i="6" a="1"/>
  <c r="CI54" i="6" s="1"/>
  <c r="BO54" i="6"/>
  <c r="BN54" i="6"/>
  <c r="BA54" i="6"/>
  <c r="AY54" i="6"/>
  <c r="AZ54" i="6"/>
  <c r="AV54" i="6"/>
  <c r="AW54" i="6"/>
  <c r="AX54" i="6"/>
  <c r="BN81" i="6"/>
  <c r="AW81" i="6"/>
  <c r="CH81" i="6" a="1"/>
  <c r="CH81" i="6" s="1"/>
  <c r="BQ81" i="6"/>
  <c r="CG81" i="6" a="1"/>
  <c r="CG81" i="6" s="1"/>
  <c r="CF81" i="6" a="1"/>
  <c r="CF81" i="6" s="1"/>
  <c r="BP81" i="6"/>
  <c r="CJ81" i="6" a="1"/>
  <c r="CJ81" i="6" s="1"/>
  <c r="BM81" i="6"/>
  <c r="CI81" i="6" a="1"/>
  <c r="CI81" i="6" s="1"/>
  <c r="BA81" i="6"/>
  <c r="CK81" i="6" a="1"/>
  <c r="CK81" i="6" s="1"/>
  <c r="AZ81" i="6"/>
  <c r="BR81" i="6"/>
  <c r="CM81" i="6" a="1"/>
  <c r="CM81" i="6" s="1"/>
  <c r="AY81" i="6"/>
  <c r="CL81" i="6" a="1"/>
  <c r="CL81" i="6" s="1"/>
  <c r="AV81" i="6"/>
  <c r="BT81" i="6"/>
  <c r="BS81" i="6"/>
  <c r="BO81" i="6"/>
  <c r="AX81" i="6"/>
  <c r="BS26" i="6"/>
  <c r="BR26" i="6"/>
  <c r="BN26" i="6"/>
  <c r="BQ26" i="6"/>
  <c r="CK26" i="6" a="1"/>
  <c r="CK26" i="6" s="1"/>
  <c r="CG26" i="6" a="1"/>
  <c r="CG26" i="6" s="1"/>
  <c r="CI26" i="6" a="1"/>
  <c r="CI26" i="6" s="1"/>
  <c r="BP26" i="6"/>
  <c r="BO26" i="6"/>
  <c r="CH26" i="6" a="1"/>
  <c r="CH26" i="6" s="1"/>
  <c r="CM26" i="6" a="1"/>
  <c r="CM26" i="6" s="1"/>
  <c r="CJ26" i="6" a="1"/>
  <c r="CJ26" i="6" s="1"/>
  <c r="CL26" i="6" a="1"/>
  <c r="CL26" i="6" s="1"/>
  <c r="BM26" i="6"/>
  <c r="CF26" i="6" a="1"/>
  <c r="CF26" i="6" s="1"/>
  <c r="BT26" i="6"/>
  <c r="AW26" i="6"/>
  <c r="AX26" i="6"/>
  <c r="AY26" i="6"/>
  <c r="BA26" i="6"/>
  <c r="AZ26" i="6"/>
  <c r="AV26" i="6"/>
  <c r="CL85" i="6" a="1"/>
  <c r="CL85" i="6" s="1"/>
  <c r="BQ85" i="6"/>
  <c r="CF85" i="6" a="1"/>
  <c r="CF85" i="6" s="1"/>
  <c r="CG85" i="6" a="1"/>
  <c r="CG85" i="6" s="1"/>
  <c r="CH85" i="6" a="1"/>
  <c r="CH85" i="6" s="1"/>
  <c r="CK85" i="6" a="1"/>
  <c r="CK85" i="6" s="1"/>
  <c r="BP85" i="6"/>
  <c r="BO85" i="6"/>
  <c r="BN85" i="6"/>
  <c r="BM85" i="6"/>
  <c r="BA85" i="6"/>
  <c r="CI85" i="6" a="1"/>
  <c r="CI85" i="6" s="1"/>
  <c r="BS85" i="6"/>
  <c r="BR85" i="6"/>
  <c r="CM85" i="6" a="1"/>
  <c r="CM85" i="6" s="1"/>
  <c r="AX85" i="6"/>
  <c r="CJ85" i="6" a="1"/>
  <c r="CJ85" i="6" s="1"/>
  <c r="BT85" i="6"/>
  <c r="AW85" i="6"/>
  <c r="AY85" i="6"/>
  <c r="AZ85" i="6"/>
  <c r="AV85" i="6"/>
  <c r="CE90" i="6" a="1"/>
  <c r="CE90" i="6" s="1"/>
  <c r="CI90" i="6" a="1"/>
  <c r="CI90" i="6" s="1"/>
  <c r="CK90" i="6" a="1"/>
  <c r="CK90" i="6" s="1"/>
  <c r="CM90" i="6" a="1"/>
  <c r="CM90" i="6" s="1"/>
  <c r="BS90" i="6"/>
  <c r="BT90" i="6"/>
  <c r="BR90" i="6"/>
  <c r="BM90" i="6"/>
  <c r="BO90" i="6"/>
  <c r="AW90" i="6"/>
  <c r="BN90" i="6"/>
  <c r="CG90" i="6" a="1"/>
  <c r="CG90" i="6" s="1"/>
  <c r="CL90" i="6" a="1"/>
  <c r="CL90" i="6" s="1"/>
  <c r="BQ90" i="6"/>
  <c r="BP90" i="6"/>
  <c r="CH90" i="6" a="1"/>
  <c r="CH90" i="6" s="1"/>
  <c r="CF90" i="6" a="1"/>
  <c r="CF90" i="6" s="1"/>
  <c r="BA90" i="6"/>
  <c r="CJ90" i="6" a="1"/>
  <c r="CJ90" i="6" s="1"/>
  <c r="AZ90" i="6"/>
  <c r="AX90" i="6"/>
  <c r="AV90" i="6"/>
  <c r="AY90" i="6"/>
  <c r="CI87" i="6" a="1"/>
  <c r="CI87" i="6" s="1"/>
  <c r="CH87" i="6" a="1"/>
  <c r="CH87" i="6" s="1"/>
  <c r="BS87" i="6"/>
  <c r="BT87" i="6"/>
  <c r="BO87" i="6"/>
  <c r="BN87" i="6"/>
  <c r="BP87" i="6"/>
  <c r="BQ87" i="6"/>
  <c r="CG87" i="6" a="1"/>
  <c r="CG87" i="6" s="1"/>
  <c r="CF87" i="6" a="1"/>
  <c r="CF87" i="6" s="1"/>
  <c r="CL87" i="6" a="1"/>
  <c r="CL87" i="6" s="1"/>
  <c r="AZ87" i="6"/>
  <c r="CK87" i="6" a="1"/>
  <c r="CK87" i="6" s="1"/>
  <c r="BR87" i="6"/>
  <c r="CM87" i="6" a="1"/>
  <c r="CM87" i="6" s="1"/>
  <c r="BM87" i="6"/>
  <c r="CJ87" i="6" a="1"/>
  <c r="CJ87" i="6" s="1"/>
  <c r="AV87" i="6"/>
  <c r="BA87" i="6"/>
  <c r="AW87" i="6"/>
  <c r="AX87" i="6"/>
  <c r="AY87" i="6"/>
  <c r="BQ95" i="6"/>
  <c r="CH95" i="6" a="1"/>
  <c r="CH95" i="6" s="1"/>
  <c r="BP95" i="6"/>
  <c r="AY95" i="6"/>
  <c r="CK95" i="6" a="1"/>
  <c r="CK95" i="6" s="1"/>
  <c r="BO95" i="6"/>
  <c r="CJ95" i="6" a="1"/>
  <c r="CJ95" i="6" s="1"/>
  <c r="BM95" i="6"/>
  <c r="CI95" i="6" a="1"/>
  <c r="CI95" i="6" s="1"/>
  <c r="BA95" i="6"/>
  <c r="CM95" i="6" a="1"/>
  <c r="CM95" i="6" s="1"/>
  <c r="CG95" i="6" a="1"/>
  <c r="CG95" i="6" s="1"/>
  <c r="AZ95" i="6"/>
  <c r="BT95" i="6"/>
  <c r="CL95" i="6" a="1"/>
  <c r="CL95" i="6" s="1"/>
  <c r="CF95" i="6" a="1"/>
  <c r="CF95" i="6" s="1"/>
  <c r="BS95" i="6"/>
  <c r="AV95" i="6"/>
  <c r="BR95" i="6"/>
  <c r="BN95" i="6"/>
  <c r="AX95" i="6"/>
  <c r="AW95" i="6"/>
  <c r="BM28" i="6"/>
  <c r="BT28" i="6"/>
  <c r="BS28" i="6"/>
  <c r="BR28" i="6"/>
  <c r="CI28" i="6" a="1"/>
  <c r="CI28" i="6" s="1"/>
  <c r="BP28" i="6"/>
  <c r="CK28" i="6" a="1"/>
  <c r="CK28" i="6" s="1"/>
  <c r="CF28" i="6" a="1"/>
  <c r="CF28" i="6" s="1"/>
  <c r="CJ28" i="6" a="1"/>
  <c r="CJ28" i="6" s="1"/>
  <c r="CL28" i="6" a="1"/>
  <c r="CL28" i="6" s="1"/>
  <c r="BQ28" i="6"/>
  <c r="CH28" i="6" a="1"/>
  <c r="CH28" i="6" s="1"/>
  <c r="CG28" i="6" a="1"/>
  <c r="CG28" i="6" s="1"/>
  <c r="CM28" i="6" a="1"/>
  <c r="CM28" i="6" s="1"/>
  <c r="BO28" i="6"/>
  <c r="BN28" i="6"/>
  <c r="BQ80" i="6"/>
  <c r="BO80" i="6"/>
  <c r="CI80" i="6" a="1"/>
  <c r="CI80" i="6" s="1"/>
  <c r="BP80" i="6"/>
  <c r="AX80" i="6"/>
  <c r="CK80" i="6" a="1"/>
  <c r="CK80" i="6" s="1"/>
  <c r="BT80" i="6"/>
  <c r="BM80" i="6"/>
  <c r="CM80" i="6" a="1"/>
  <c r="CM80" i="6" s="1"/>
  <c r="BA80" i="6"/>
  <c r="BS80" i="6"/>
  <c r="CF80" i="6" a="1"/>
  <c r="CF80" i="6" s="1"/>
  <c r="AZ80" i="6"/>
  <c r="CL80" i="6" a="1"/>
  <c r="CL80" i="6" s="1"/>
  <c r="CJ80" i="6" a="1"/>
  <c r="CJ80" i="6" s="1"/>
  <c r="BN80" i="6"/>
  <c r="CH80" i="6" a="1"/>
  <c r="CH80" i="6" s="1"/>
  <c r="AY80" i="6"/>
  <c r="BR80" i="6"/>
  <c r="AW80" i="6"/>
  <c r="CG80" i="6" a="1"/>
  <c r="CG80" i="6" s="1"/>
  <c r="AV80" i="6"/>
  <c r="BD77" i="6"/>
  <c r="CJ77" i="6" a="1"/>
  <c r="CJ77" i="6" s="1"/>
  <c r="BS77" i="6"/>
  <c r="BM77" i="6"/>
  <c r="CH77" i="6" a="1"/>
  <c r="CH77" i="6" s="1"/>
  <c r="CF77" i="6" a="1"/>
  <c r="CF77" i="6" s="1"/>
  <c r="BT77" i="6"/>
  <c r="BP77" i="6"/>
  <c r="BR77" i="6"/>
  <c r="BN77" i="6"/>
  <c r="CG77" i="6" a="1"/>
  <c r="CG77" i="6" s="1"/>
  <c r="CM77" i="6" a="1"/>
  <c r="CM77" i="6" s="1"/>
  <c r="CL77" i="6" a="1"/>
  <c r="CL77" i="6" s="1"/>
  <c r="BQ77" i="6"/>
  <c r="BO77" i="6"/>
  <c r="CI77" i="6" a="1"/>
  <c r="CI77" i="6" s="1"/>
  <c r="BA77" i="6"/>
  <c r="CK77" i="6" a="1"/>
  <c r="CK77" i="6" s="1"/>
  <c r="AZ77" i="6"/>
  <c r="AV77" i="6"/>
  <c r="AW77" i="6"/>
  <c r="AX77" i="6"/>
  <c r="AY77" i="6"/>
  <c r="BJ48" i="6"/>
  <c r="CM48" i="6" a="1"/>
  <c r="CM48" i="6" s="1"/>
  <c r="CG48" i="6" a="1"/>
  <c r="CG48" i="6" s="1"/>
  <c r="BS48" i="6"/>
  <c r="CL48" i="6" a="1"/>
  <c r="CL48" i="6" s="1"/>
  <c r="BR48" i="6"/>
  <c r="CF48" i="6" a="1"/>
  <c r="CF48" i="6" s="1"/>
  <c r="BQ48" i="6"/>
  <c r="CK48" i="6" a="1"/>
  <c r="CK48" i="6" s="1"/>
  <c r="BP48" i="6"/>
  <c r="CH48" i="6" a="1"/>
  <c r="CH48" i="6" s="1"/>
  <c r="CI48" i="6" a="1"/>
  <c r="CI48" i="6" s="1"/>
  <c r="BM48" i="6"/>
  <c r="BT48" i="6"/>
  <c r="CJ48" i="6" a="1"/>
  <c r="CJ48" i="6" s="1"/>
  <c r="BO48" i="6"/>
  <c r="BN48" i="6"/>
  <c r="AY48" i="6"/>
  <c r="BA48" i="6"/>
  <c r="AV48" i="6"/>
  <c r="AZ48" i="6"/>
  <c r="AW48" i="6"/>
  <c r="AX48" i="6"/>
  <c r="BJ62" i="6"/>
  <c r="CI62" i="6" a="1"/>
  <c r="CI62" i="6" s="1"/>
  <c r="BP62" i="6"/>
  <c r="CK62" i="6" a="1"/>
  <c r="CK62" i="6" s="1"/>
  <c r="BO62" i="6"/>
  <c r="CM62" i="6" a="1"/>
  <c r="CM62" i="6" s="1"/>
  <c r="AW62" i="6"/>
  <c r="BS62" i="6"/>
  <c r="CL62" i="6" a="1"/>
  <c r="CL62" i="6" s="1"/>
  <c r="CF62" i="6" a="1"/>
  <c r="CF62" i="6" s="1"/>
  <c r="BN62" i="6"/>
  <c r="CJ62" i="6" a="1"/>
  <c r="CJ62" i="6" s="1"/>
  <c r="BT62" i="6"/>
  <c r="CH62" i="6" a="1"/>
  <c r="CH62" i="6" s="1"/>
  <c r="BM62" i="6"/>
  <c r="CG62" i="6" a="1"/>
  <c r="CG62" i="6" s="1"/>
  <c r="AX62" i="6"/>
  <c r="BR62" i="6"/>
  <c r="BQ62" i="6"/>
  <c r="AV62" i="6"/>
  <c r="AZ62" i="6"/>
  <c r="AY62" i="6"/>
  <c r="BA62" i="6"/>
  <c r="BS92" i="6"/>
  <c r="BQ92" i="6"/>
  <c r="BN92" i="6"/>
  <c r="CL92" i="6" a="1"/>
  <c r="CL92" i="6" s="1"/>
  <c r="BR92" i="6"/>
  <c r="AX92" i="6"/>
  <c r="CH92" i="6" a="1"/>
  <c r="CH92" i="6" s="1"/>
  <c r="BP92" i="6"/>
  <c r="CF92" i="6" a="1"/>
  <c r="CF92" i="6" s="1"/>
  <c r="CI92" i="6" a="1"/>
  <c r="CI92" i="6" s="1"/>
  <c r="BO92" i="6"/>
  <c r="CG92" i="6" a="1"/>
  <c r="CG92" i="6" s="1"/>
  <c r="CJ92" i="6" a="1"/>
  <c r="CJ92" i="6" s="1"/>
  <c r="CK92" i="6" a="1"/>
  <c r="CK92" i="6" s="1"/>
  <c r="CM92" i="6" a="1"/>
  <c r="CM92" i="6" s="1"/>
  <c r="BM92" i="6"/>
  <c r="BT92" i="6"/>
  <c r="AV92" i="6"/>
  <c r="AW92" i="6"/>
  <c r="AY92" i="6"/>
  <c r="BA92" i="6"/>
  <c r="AZ92" i="6"/>
  <c r="CB84" i="6" a="1"/>
  <c r="CB84" i="6" s="1"/>
  <c r="CJ84" i="6" a="1"/>
  <c r="CJ84" i="6" s="1"/>
  <c r="BR84" i="6"/>
  <c r="CI84" i="6" a="1"/>
  <c r="CI84" i="6" s="1"/>
  <c r="BS84" i="6"/>
  <c r="CH84" i="6" a="1"/>
  <c r="CH84" i="6" s="1"/>
  <c r="BQ84" i="6"/>
  <c r="CL84" i="6" a="1"/>
  <c r="CL84" i="6" s="1"/>
  <c r="CK84" i="6" a="1"/>
  <c r="CK84" i="6" s="1"/>
  <c r="BP84" i="6"/>
  <c r="CG84" i="6" a="1"/>
  <c r="CG84" i="6" s="1"/>
  <c r="CM84" i="6" a="1"/>
  <c r="CM84" i="6" s="1"/>
  <c r="BM84" i="6"/>
  <c r="BT84" i="6"/>
  <c r="CF84" i="6" a="1"/>
  <c r="CF84" i="6" s="1"/>
  <c r="AV84" i="6"/>
  <c r="BO84" i="6"/>
  <c r="BN84" i="6"/>
  <c r="AW84" i="6"/>
  <c r="BA84" i="6"/>
  <c r="AX84" i="6"/>
  <c r="AY84" i="6"/>
  <c r="AZ84" i="6"/>
  <c r="BN96" i="6"/>
  <c r="AX96" i="6"/>
  <c r="BQ96" i="6"/>
  <c r="CG96" i="6" a="1"/>
  <c r="CG96" i="6" s="1"/>
  <c r="CL96" i="6" a="1"/>
  <c r="CL96" i="6" s="1"/>
  <c r="CI96" i="6" a="1"/>
  <c r="CI96" i="6" s="1"/>
  <c r="CH96" i="6" a="1"/>
  <c r="CH96" i="6" s="1"/>
  <c r="BT96" i="6"/>
  <c r="CF96" i="6" a="1"/>
  <c r="CF96" i="6" s="1"/>
  <c r="AY96" i="6"/>
  <c r="CM96" i="6" a="1"/>
  <c r="CM96" i="6" s="1"/>
  <c r="BA96" i="6"/>
  <c r="AV96" i="6"/>
  <c r="CK96" i="6" a="1"/>
  <c r="CK96" i="6" s="1"/>
  <c r="AZ96" i="6"/>
  <c r="CJ96" i="6" a="1"/>
  <c r="CJ96" i="6" s="1"/>
  <c r="BR96" i="6"/>
  <c r="BM96" i="6"/>
  <c r="BS96" i="6"/>
  <c r="BP96" i="6"/>
  <c r="BO96" i="6"/>
  <c r="AW96" i="6"/>
  <c r="CA36" i="6" a="1"/>
  <c r="CA36" i="6" s="1"/>
  <c r="CM36" i="6" a="1"/>
  <c r="CM36" i="6" s="1"/>
  <c r="BQ36" i="6"/>
  <c r="CG36" i="6" a="1"/>
  <c r="CG36" i="6" s="1"/>
  <c r="CL36" i="6" a="1"/>
  <c r="CL36" i="6" s="1"/>
  <c r="BP36" i="6"/>
  <c r="BS36" i="6"/>
  <c r="CF36" i="6" a="1"/>
  <c r="CF36" i="6" s="1"/>
  <c r="BM36" i="6"/>
  <c r="BR36" i="6"/>
  <c r="CK36" i="6" a="1"/>
  <c r="CK36" i="6" s="1"/>
  <c r="CH36" i="6" a="1"/>
  <c r="CH36" i="6" s="1"/>
  <c r="CJ36" i="6" a="1"/>
  <c r="CJ36" i="6" s="1"/>
  <c r="BT36" i="6"/>
  <c r="CI36" i="6" a="1"/>
  <c r="CI36" i="6" s="1"/>
  <c r="BO36" i="6"/>
  <c r="BN36" i="6"/>
  <c r="AZ36" i="6"/>
  <c r="AV36" i="6"/>
  <c r="AW36" i="6"/>
  <c r="AX36" i="6"/>
  <c r="BA36" i="6"/>
  <c r="AY36" i="6"/>
  <c r="BT33" i="6"/>
  <c r="BS33" i="6"/>
  <c r="CL33" i="6" a="1"/>
  <c r="CL33" i="6" s="1"/>
  <c r="BO33" i="6"/>
  <c r="BN33" i="6"/>
  <c r="BP33" i="6"/>
  <c r="CK33" i="6" a="1"/>
  <c r="CK33" i="6" s="1"/>
  <c r="CM33" i="6" a="1"/>
  <c r="CM33" i="6" s="1"/>
  <c r="CI33" i="6" a="1"/>
  <c r="CI33" i="6" s="1"/>
  <c r="CG33" i="6" a="1"/>
  <c r="CG33" i="6" s="1"/>
  <c r="BQ33" i="6"/>
  <c r="CF33" i="6" a="1"/>
  <c r="CF33" i="6" s="1"/>
  <c r="CH33" i="6" a="1"/>
  <c r="CH33" i="6" s="1"/>
  <c r="BR33" i="6"/>
  <c r="CJ33" i="6" a="1"/>
  <c r="CJ33" i="6" s="1"/>
  <c r="BM33" i="6"/>
  <c r="AV33" i="6"/>
  <c r="BA33" i="6"/>
  <c r="AW33" i="6"/>
  <c r="AX33" i="6"/>
  <c r="AY33" i="6"/>
  <c r="AZ33" i="6"/>
  <c r="BJ86" i="6"/>
  <c r="CK86" i="6" a="1"/>
  <c r="CK86" i="6" s="1"/>
  <c r="BT86" i="6"/>
  <c r="BO86" i="6"/>
  <c r="BS86" i="6"/>
  <c r="CF86" i="6" a="1"/>
  <c r="CF86" i="6" s="1"/>
  <c r="BR86" i="6"/>
  <c r="CL86" i="6" a="1"/>
  <c r="CL86" i="6" s="1"/>
  <c r="BQ86" i="6"/>
  <c r="BN86" i="6"/>
  <c r="CJ86" i="6" a="1"/>
  <c r="CJ86" i="6" s="1"/>
  <c r="BP86" i="6"/>
  <c r="CG86" i="6" a="1"/>
  <c r="CG86" i="6" s="1"/>
  <c r="CM86" i="6" a="1"/>
  <c r="CM86" i="6" s="1"/>
  <c r="BM86" i="6"/>
  <c r="CI86" i="6" a="1"/>
  <c r="CI86" i="6" s="1"/>
  <c r="CH86" i="6" a="1"/>
  <c r="CH86" i="6" s="1"/>
  <c r="AY86" i="6"/>
  <c r="AZ86" i="6"/>
  <c r="AV86" i="6"/>
  <c r="BA86" i="6"/>
  <c r="AW86" i="6"/>
  <c r="AX86" i="6"/>
  <c r="BD40" i="6"/>
  <c r="CK40" i="6" a="1"/>
  <c r="CK40" i="6" s="1"/>
  <c r="BR40" i="6"/>
  <c r="CJ40" i="6" a="1"/>
  <c r="CJ40" i="6" s="1"/>
  <c r="CI40" i="6" a="1"/>
  <c r="CI40" i="6" s="1"/>
  <c r="BT40" i="6"/>
  <c r="CL40" i="6" a="1"/>
  <c r="CL40" i="6" s="1"/>
  <c r="CF40" i="6" a="1"/>
  <c r="CF40" i="6" s="1"/>
  <c r="BQ40" i="6"/>
  <c r="BO40" i="6"/>
  <c r="CM40" i="6" a="1"/>
  <c r="CM40" i="6" s="1"/>
  <c r="CH40" i="6" a="1"/>
  <c r="CH40" i="6" s="1"/>
  <c r="BP40" i="6"/>
  <c r="BN40" i="6"/>
  <c r="BM40" i="6"/>
  <c r="CG40" i="6" a="1"/>
  <c r="CG40" i="6" s="1"/>
  <c r="BS40" i="6"/>
  <c r="AY40" i="6"/>
  <c r="AZ40" i="6"/>
  <c r="BA40" i="6"/>
  <c r="AV40" i="6"/>
  <c r="AW40" i="6"/>
  <c r="AX40" i="6"/>
  <c r="BE52" i="6"/>
  <c r="BS52" i="6"/>
  <c r="BR52" i="6"/>
  <c r="CK52" i="6" a="1"/>
  <c r="CK52" i="6" s="1"/>
  <c r="BT52" i="6"/>
  <c r="BO52" i="6"/>
  <c r="CJ52" i="6" a="1"/>
  <c r="CJ52" i="6" s="1"/>
  <c r="CI52" i="6" a="1"/>
  <c r="CI52" i="6" s="1"/>
  <c r="CH52" i="6" a="1"/>
  <c r="CH52" i="6" s="1"/>
  <c r="BQ52" i="6"/>
  <c r="CL52" i="6" a="1"/>
  <c r="CL52" i="6" s="1"/>
  <c r="CF52" i="6" a="1"/>
  <c r="CF52" i="6" s="1"/>
  <c r="CM52" i="6" a="1"/>
  <c r="CM52" i="6" s="1"/>
  <c r="CG52" i="6" a="1"/>
  <c r="CG52" i="6" s="1"/>
  <c r="BP52" i="6"/>
  <c r="BN52" i="6"/>
  <c r="BM52" i="6"/>
  <c r="AV52" i="6"/>
  <c r="AZ52" i="6"/>
  <c r="AY52" i="6"/>
  <c r="AX52" i="6"/>
  <c r="AW52" i="6"/>
  <c r="BA52" i="6"/>
  <c r="BP104" i="6"/>
  <c r="BO104" i="6"/>
  <c r="CL104" i="6" a="1"/>
  <c r="CL104" i="6" s="1"/>
  <c r="CF104" i="6" a="1"/>
  <c r="CF104" i="6" s="1"/>
  <c r="BT104" i="6"/>
  <c r="CH104" i="6" a="1"/>
  <c r="CH104" i="6" s="1"/>
  <c r="CK104" i="6" a="1"/>
  <c r="CK104" i="6" s="1"/>
  <c r="CJ104" i="6" a="1"/>
  <c r="CJ104" i="6" s="1"/>
  <c r="BM104" i="6"/>
  <c r="CI104" i="6" a="1"/>
  <c r="CI104" i="6" s="1"/>
  <c r="BS104" i="6"/>
  <c r="CM104" i="6" a="1"/>
  <c r="CM104" i="6" s="1"/>
  <c r="CG104" i="6" a="1"/>
  <c r="CG104" i="6" s="1"/>
  <c r="BR104" i="6"/>
  <c r="BQ104" i="6"/>
  <c r="BN104" i="6"/>
  <c r="AZ104" i="6"/>
  <c r="AX104" i="6"/>
  <c r="BA104" i="6"/>
  <c r="AV104" i="6"/>
  <c r="AW104" i="6"/>
  <c r="AY104" i="6"/>
  <c r="CI89" i="6" a="1"/>
  <c r="CI89" i="6" s="1"/>
  <c r="BP89" i="6"/>
  <c r="CH89" i="6" a="1"/>
  <c r="CH89" i="6" s="1"/>
  <c r="BO89" i="6"/>
  <c r="CK89" i="6" a="1"/>
  <c r="CK89" i="6" s="1"/>
  <c r="CM89" i="6" a="1"/>
  <c r="CM89" i="6" s="1"/>
  <c r="CL89" i="6" a="1"/>
  <c r="CL89" i="6" s="1"/>
  <c r="BN89" i="6"/>
  <c r="CF89" i="6" a="1"/>
  <c r="CF89" i="6" s="1"/>
  <c r="BS89" i="6"/>
  <c r="CJ89" i="6" a="1"/>
  <c r="CJ89" i="6" s="1"/>
  <c r="CG89" i="6" a="1"/>
  <c r="CG89" i="6" s="1"/>
  <c r="BM89" i="6"/>
  <c r="BR89" i="6"/>
  <c r="BQ89" i="6"/>
  <c r="BT89" i="6"/>
  <c r="AX89" i="6"/>
  <c r="AY89" i="6"/>
  <c r="AW89" i="6"/>
  <c r="AZ89" i="6"/>
  <c r="AV89" i="6"/>
  <c r="BA89" i="6"/>
  <c r="CJ97" i="6" a="1"/>
  <c r="CJ97" i="6" s="1"/>
  <c r="BS97" i="6"/>
  <c r="CM97" i="6" a="1"/>
  <c r="CM97" i="6" s="1"/>
  <c r="BR97" i="6"/>
  <c r="BO97" i="6"/>
  <c r="CL97" i="6" a="1"/>
  <c r="CL97" i="6" s="1"/>
  <c r="BP97" i="6"/>
  <c r="BQ97" i="6"/>
  <c r="CK97" i="6" a="1"/>
  <c r="CK97" i="6" s="1"/>
  <c r="AZ97" i="6"/>
  <c r="CF97" i="6" a="1"/>
  <c r="CF97" i="6" s="1"/>
  <c r="CG97" i="6" a="1"/>
  <c r="CG97" i="6" s="1"/>
  <c r="CI97" i="6" a="1"/>
  <c r="CI97" i="6" s="1"/>
  <c r="CH97" i="6" a="1"/>
  <c r="CH97" i="6" s="1"/>
  <c r="BT97" i="6"/>
  <c r="BN97" i="6"/>
  <c r="BM97" i="6"/>
  <c r="AX97" i="6"/>
  <c r="BA97" i="6"/>
  <c r="AY97" i="6"/>
  <c r="AV97" i="6"/>
  <c r="AW97" i="6"/>
  <c r="BK73" i="6"/>
  <c r="BM73" i="6"/>
  <c r="BA73" i="6"/>
  <c r="BP73" i="6"/>
  <c r="CM73" i="6" a="1"/>
  <c r="CM73" i="6" s="1"/>
  <c r="BS73" i="6"/>
  <c r="CJ73" i="6" a="1"/>
  <c r="CJ73" i="6" s="1"/>
  <c r="CI73" i="6" a="1"/>
  <c r="CI73" i="6" s="1"/>
  <c r="CF73" i="6" a="1"/>
  <c r="CF73" i="6" s="1"/>
  <c r="BR73" i="6"/>
  <c r="BQ73" i="6"/>
  <c r="CL73" i="6" a="1"/>
  <c r="CL73" i="6" s="1"/>
  <c r="AX73" i="6"/>
  <c r="CK73" i="6" a="1"/>
  <c r="CK73" i="6" s="1"/>
  <c r="AW73" i="6"/>
  <c r="CH73" i="6" a="1"/>
  <c r="CH73" i="6" s="1"/>
  <c r="AV73" i="6"/>
  <c r="CG73" i="6" a="1"/>
  <c r="CG73" i="6" s="1"/>
  <c r="BO73" i="6"/>
  <c r="AY73" i="6"/>
  <c r="AZ73" i="6"/>
  <c r="BN73" i="6"/>
  <c r="BT73" i="6"/>
  <c r="BD62" i="6"/>
  <c r="BI62" i="6"/>
  <c r="BH62" i="6"/>
  <c r="BE62" i="6"/>
  <c r="BK62" i="6"/>
  <c r="BY62" i="6" a="1"/>
  <c r="BY62" i="6" s="1"/>
  <c r="CA62" i="6" a="1"/>
  <c r="CA62" i="6" s="1"/>
  <c r="BV62" i="6" a="1"/>
  <c r="BV62" i="6" s="1"/>
  <c r="BL62" i="6"/>
  <c r="BF62" i="6"/>
  <c r="CE62" i="6" a="1"/>
  <c r="CE62" i="6" s="1"/>
  <c r="BZ62" i="6" a="1"/>
  <c r="BZ62" i="6" s="1"/>
  <c r="BC62" i="6"/>
  <c r="CC62" i="6" a="1"/>
  <c r="CC62" i="6" s="1"/>
  <c r="BX62" i="6" a="1"/>
  <c r="BX62" i="6" s="1"/>
  <c r="BG62" i="6"/>
  <c r="CD62" i="6" a="1"/>
  <c r="CD62" i="6" s="1"/>
  <c r="BW62" i="6" a="1"/>
  <c r="BW62" i="6" s="1"/>
  <c r="CB62" i="6" a="1"/>
  <c r="CB62" i="6" s="1"/>
  <c r="BV77" i="6" a="1"/>
  <c r="BV77" i="6" s="1"/>
  <c r="BC77" i="6"/>
  <c r="CE77" i="6" a="1"/>
  <c r="CE77" i="6" s="1"/>
  <c r="BH77" i="6"/>
  <c r="BC41" i="6"/>
  <c r="BL77" i="6"/>
  <c r="BF77" i="6"/>
  <c r="BI77" i="6"/>
  <c r="CA77" i="6" a="1"/>
  <c r="CA77" i="6" s="1"/>
  <c r="BZ77" i="6" a="1"/>
  <c r="BZ77" i="6" s="1"/>
  <c r="CC77" i="6" a="1"/>
  <c r="CC77" i="6" s="1"/>
  <c r="BW77" i="6" a="1"/>
  <c r="BW77" i="6" s="1"/>
  <c r="CD77" i="6" a="1"/>
  <c r="CD77" i="6" s="1"/>
  <c r="BG77" i="6"/>
  <c r="BK77" i="6"/>
  <c r="BY77" i="6" a="1"/>
  <c r="BY77" i="6" s="1"/>
  <c r="BE77" i="6"/>
  <c r="CB77" i="6" a="1"/>
  <c r="CB77" i="6" s="1"/>
  <c r="BX77" i="6" a="1"/>
  <c r="BX77" i="6" s="1"/>
  <c r="BJ77" i="6"/>
  <c r="BG55" i="6"/>
  <c r="BK55" i="6"/>
  <c r="BH55" i="6"/>
  <c r="BC55" i="6"/>
  <c r="BD55" i="6"/>
  <c r="CC55" i="6" a="1"/>
  <c r="CC55" i="6" s="1"/>
  <c r="CE55" i="6" a="1"/>
  <c r="CE55" i="6" s="1"/>
  <c r="CD55" i="6" a="1"/>
  <c r="CD55" i="6" s="1"/>
  <c r="CB55" i="6" a="1"/>
  <c r="CB55" i="6" s="1"/>
  <c r="BW55" i="6" a="1"/>
  <c r="BW55" i="6" s="1"/>
  <c r="BX55" i="6" a="1"/>
  <c r="BX55" i="6" s="1"/>
  <c r="BE47" i="6"/>
  <c r="BZ55" i="6" a="1"/>
  <c r="BZ55" i="6" s="1"/>
  <c r="BL47" i="6"/>
  <c r="BV55" i="6" a="1"/>
  <c r="BV55" i="6" s="1"/>
  <c r="CA55" i="6" a="1"/>
  <c r="CA55" i="6" s="1"/>
  <c r="BK41" i="6"/>
  <c r="BW41" i="6" a="1"/>
  <c r="BW41" i="6" s="1"/>
  <c r="CB41" i="6" a="1"/>
  <c r="CB41" i="6" s="1"/>
  <c r="BH41" i="6"/>
  <c r="BL41" i="6"/>
  <c r="BD41" i="6"/>
  <c r="CB47" i="6" a="1"/>
  <c r="CB47" i="6" s="1"/>
  <c r="BF47" i="6"/>
  <c r="BV47" i="6" a="1"/>
  <c r="BV47" i="6" s="1"/>
  <c r="BG47" i="6"/>
  <c r="BJ55" i="6"/>
  <c r="BI47" i="6"/>
  <c r="BL55" i="6"/>
  <c r="BI55" i="6"/>
  <c r="BY55" i="6" a="1"/>
  <c r="BY55" i="6" s="1"/>
  <c r="BJ18" i="6"/>
  <c r="BC47" i="6"/>
  <c r="BF55" i="6"/>
  <c r="CD47" i="6" a="1"/>
  <c r="CD47" i="6" s="1"/>
  <c r="BJ41" i="6"/>
  <c r="BF41" i="6"/>
  <c r="BX41" i="6" a="1"/>
  <c r="BX41" i="6" s="1"/>
  <c r="CA41" i="6" a="1"/>
  <c r="CA41" i="6" s="1"/>
  <c r="CD41" i="6" a="1"/>
  <c r="CD41" i="6" s="1"/>
  <c r="BD47" i="6"/>
  <c r="CA47" i="6" a="1"/>
  <c r="CA47" i="6" s="1"/>
  <c r="CC47" i="6" a="1"/>
  <c r="CC47" i="6" s="1"/>
  <c r="CE47" i="6" a="1"/>
  <c r="CE47" i="6" s="1"/>
  <c r="BZ47" i="6" a="1"/>
  <c r="BZ47" i="6" s="1"/>
  <c r="BJ47" i="6"/>
  <c r="BW47" i="6" a="1"/>
  <c r="BW47" i="6" s="1"/>
  <c r="BY47" i="6" a="1"/>
  <c r="BY47" i="6" s="1"/>
  <c r="BX47" i="6" a="1"/>
  <c r="BX47" i="6" s="1"/>
  <c r="BK47" i="6"/>
  <c r="BY41" i="6" a="1"/>
  <c r="BY41" i="6" s="1"/>
  <c r="BE41" i="6"/>
  <c r="BI41" i="6"/>
  <c r="BV41" i="6" a="1"/>
  <c r="BV41" i="6" s="1"/>
  <c r="BZ41" i="6" a="1"/>
  <c r="BZ41" i="6" s="1"/>
  <c r="CC41" i="6" a="1"/>
  <c r="CC41" i="6" s="1"/>
  <c r="CE41" i="6" a="1"/>
  <c r="CE41" i="6" s="1"/>
  <c r="BC40" i="6"/>
  <c r="BW73" i="6" a="1"/>
  <c r="BW73" i="6" s="1"/>
  <c r="CC40" i="6" a="1"/>
  <c r="CC40" i="6" s="1"/>
  <c r="BF73" i="6"/>
  <c r="BG40" i="6"/>
  <c r="BE73" i="6"/>
  <c r="BX73" i="6" a="1"/>
  <c r="BX73" i="6" s="1"/>
  <c r="BZ73" i="6" a="1"/>
  <c r="BZ73" i="6" s="1"/>
  <c r="BY73" i="6" a="1"/>
  <c r="BY73" i="6" s="1"/>
  <c r="CD73" i="6" a="1"/>
  <c r="CD73" i="6" s="1"/>
  <c r="BL73" i="6"/>
  <c r="CB73" i="6" a="1"/>
  <c r="CB73" i="6" s="1"/>
  <c r="CC73" i="6" a="1"/>
  <c r="CC73" i="6" s="1"/>
  <c r="BF40" i="6"/>
  <c r="BW40" i="6" a="1"/>
  <c r="BW40" i="6" s="1"/>
  <c r="CD36" i="6" a="1"/>
  <c r="CD36" i="6" s="1"/>
  <c r="CB40" i="6" a="1"/>
  <c r="CB40" i="6" s="1"/>
  <c r="CE36" i="6" a="1"/>
  <c r="CE36" i="6" s="1"/>
  <c r="BC36" i="6"/>
  <c r="BE40" i="6"/>
  <c r="BH40" i="6"/>
  <c r="BZ36" i="6" a="1"/>
  <c r="BZ36" i="6" s="1"/>
  <c r="CA73" i="6" a="1"/>
  <c r="CA73" i="6" s="1"/>
  <c r="BJ73" i="6"/>
  <c r="BY40" i="6" a="1"/>
  <c r="BY40" i="6" s="1"/>
  <c r="BK40" i="6"/>
  <c r="CC36" i="6" a="1"/>
  <c r="CC36" i="6" s="1"/>
  <c r="BC73" i="6"/>
  <c r="BV73" i="6" a="1"/>
  <c r="BV73" i="6" s="1"/>
  <c r="BL40" i="6"/>
  <c r="BY36" i="6" a="1"/>
  <c r="BY36" i="6" s="1"/>
  <c r="BI73" i="6"/>
  <c r="CE40" i="6" a="1"/>
  <c r="CE40" i="6" s="1"/>
  <c r="BV40" i="6" a="1"/>
  <c r="BV40" i="6" s="1"/>
  <c r="BD73" i="6"/>
  <c r="CD40" i="6" a="1"/>
  <c r="CD40" i="6" s="1"/>
  <c r="CA40" i="6" a="1"/>
  <c r="CA40" i="6" s="1"/>
  <c r="BG36" i="6"/>
  <c r="CE73" i="6" a="1"/>
  <c r="CE73" i="6" s="1"/>
  <c r="BG73" i="6"/>
  <c r="BX40" i="6" a="1"/>
  <c r="BX40" i="6" s="1"/>
  <c r="CB36" i="6" a="1"/>
  <c r="CB36" i="6" s="1"/>
  <c r="BE36" i="6"/>
  <c r="BV36" i="6" a="1"/>
  <c r="BV36" i="6" s="1"/>
  <c r="BX36" i="6" a="1"/>
  <c r="BX36" i="6" s="1"/>
  <c r="BH73" i="6"/>
  <c r="BJ40" i="6"/>
  <c r="BZ40" i="6" a="1"/>
  <c r="BZ40" i="6" s="1"/>
  <c r="BI40" i="6"/>
  <c r="BF36" i="6"/>
  <c r="BI36" i="6"/>
  <c r="BF48" i="6"/>
  <c r="BX48" i="6" a="1"/>
  <c r="BX48" i="6" s="1"/>
  <c r="BK36" i="6"/>
  <c r="BY48" i="6" a="1"/>
  <c r="BY48" i="6" s="1"/>
  <c r="BL36" i="6"/>
  <c r="BD36" i="6"/>
  <c r="BE48" i="6"/>
  <c r="BD48" i="6"/>
  <c r="CC48" i="6" a="1"/>
  <c r="CC48" i="6" s="1"/>
  <c r="BG48" i="6"/>
  <c r="BW36" i="6" a="1"/>
  <c r="BW36" i="6" s="1"/>
  <c r="BJ36" i="6"/>
  <c r="BH36" i="6"/>
  <c r="CC93" i="6" a="1"/>
  <c r="CC93" i="6" s="1"/>
  <c r="BW48" i="6" a="1"/>
  <c r="BW48" i="6" s="1"/>
  <c r="CD48" i="6" a="1"/>
  <c r="CD48" i="6" s="1"/>
  <c r="CD52" i="6" a="1"/>
  <c r="CD52" i="6" s="1"/>
  <c r="CA48" i="6" a="1"/>
  <c r="CA48" i="6" s="1"/>
  <c r="BK48" i="6"/>
  <c r="CB52" i="6" a="1"/>
  <c r="CB52" i="6" s="1"/>
  <c r="BZ48" i="6" a="1"/>
  <c r="BZ48" i="6" s="1"/>
  <c r="CE48" i="6" a="1"/>
  <c r="CE48" i="6" s="1"/>
  <c r="BH52" i="6"/>
  <c r="BW18" i="6" a="1"/>
  <c r="BW18" i="6" s="1"/>
  <c r="BL48" i="6"/>
  <c r="BH48" i="6"/>
  <c r="BX52" i="6" a="1"/>
  <c r="BX52" i="6" s="1"/>
  <c r="BV48" i="6" a="1"/>
  <c r="BV48" i="6" s="1"/>
  <c r="BC48" i="6"/>
  <c r="CB48" i="6" a="1"/>
  <c r="CB48" i="6" s="1"/>
  <c r="BX18" i="6" a="1"/>
  <c r="BX18" i="6" s="1"/>
  <c r="BI48" i="6"/>
  <c r="BV93" i="6" a="1"/>
  <c r="BV93" i="6" s="1"/>
  <c r="BZ18" i="6" a="1"/>
  <c r="BZ18" i="6" s="1"/>
  <c r="CB18" i="6" a="1"/>
  <c r="CB18" i="6" s="1"/>
  <c r="BL52" i="6"/>
  <c r="BC18" i="6"/>
  <c r="BC52" i="6"/>
  <c r="BE18" i="6"/>
  <c r="BV52" i="6" a="1"/>
  <c r="BV52" i="6" s="1"/>
  <c r="BL18" i="6"/>
  <c r="BJ52" i="6"/>
  <c r="CC18" i="6" a="1"/>
  <c r="CC18" i="6" s="1"/>
  <c r="BY52" i="6" a="1"/>
  <c r="BY52" i="6" s="1"/>
  <c r="CE18" i="6" a="1"/>
  <c r="CE18" i="6" s="1"/>
  <c r="BD52" i="6"/>
  <c r="BW52" i="6" a="1"/>
  <c r="BW52" i="6" s="1"/>
  <c r="BG18" i="6"/>
  <c r="CC52" i="6" a="1"/>
  <c r="CC52" i="6" s="1"/>
  <c r="BY18" i="6" a="1"/>
  <c r="BY18" i="6" s="1"/>
  <c r="BF18" i="6"/>
  <c r="BZ52" i="6" a="1"/>
  <c r="BZ52" i="6" s="1"/>
  <c r="CA52" i="6" a="1"/>
  <c r="CA52" i="6" s="1"/>
  <c r="BH18" i="6"/>
  <c r="BI18" i="6"/>
  <c r="BK52" i="6"/>
  <c r="BF52" i="6"/>
  <c r="BV18" i="6" a="1"/>
  <c r="BV18" i="6" s="1"/>
  <c r="CE52" i="6" a="1"/>
  <c r="CE52" i="6" s="1"/>
  <c r="BI93" i="6"/>
  <c r="CA18" i="6" a="1"/>
  <c r="CA18" i="6" s="1"/>
  <c r="BK18" i="6"/>
  <c r="BI52" i="6"/>
  <c r="BG52" i="6"/>
  <c r="BZ93" i="6" a="1"/>
  <c r="BZ93" i="6" s="1"/>
  <c r="BY93" i="6" a="1"/>
  <c r="BY93" i="6" s="1"/>
  <c r="CD18" i="6" a="1"/>
  <c r="CD18" i="6" s="1"/>
  <c r="BJ93" i="6"/>
  <c r="BW93" i="6" a="1"/>
  <c r="BW93" i="6" s="1"/>
  <c r="BC93" i="6"/>
  <c r="BD93" i="6"/>
  <c r="BX93" i="6" a="1"/>
  <c r="BX93" i="6" s="1"/>
  <c r="BG93" i="6"/>
  <c r="CE93" i="6" a="1"/>
  <c r="CE93" i="6" s="1"/>
  <c r="CB93" i="6" a="1"/>
  <c r="CB93" i="6" s="1"/>
  <c r="BH93" i="6"/>
  <c r="CA93" i="6" a="1"/>
  <c r="CA93" i="6" s="1"/>
  <c r="BK93" i="6"/>
  <c r="BF93" i="6"/>
  <c r="BE93" i="6"/>
  <c r="CD93" i="6" a="1"/>
  <c r="CD93" i="6" s="1"/>
  <c r="BZ90" i="6" a="1"/>
  <c r="BZ90" i="6" s="1"/>
  <c r="BI90" i="6"/>
  <c r="CD84" i="6" a="1"/>
  <c r="CD84" i="6" s="1"/>
  <c r="CB90" i="6" a="1"/>
  <c r="CB90" i="6" s="1"/>
  <c r="BF86" i="6"/>
  <c r="CD90" i="6" a="1"/>
  <c r="CD90" i="6" s="1"/>
  <c r="BL86" i="6"/>
  <c r="BD90" i="6"/>
  <c r="BJ84" i="6"/>
  <c r="CB86" i="6" a="1"/>
  <c r="CB86" i="6" s="1"/>
  <c r="BK90" i="6"/>
  <c r="BX84" i="6" a="1"/>
  <c r="BX84" i="6" s="1"/>
  <c r="CC84" i="6" a="1"/>
  <c r="CC84" i="6" s="1"/>
  <c r="BV90" i="6" a="1"/>
  <c r="BV90" i="6" s="1"/>
  <c r="BC90" i="6"/>
  <c r="BL90" i="6"/>
  <c r="CA94" i="6" a="1"/>
  <c r="CA94" i="6" s="1"/>
  <c r="BE94" i="6"/>
  <c r="BD94" i="6"/>
  <c r="BW94" i="6" a="1"/>
  <c r="BW94" i="6" s="1"/>
  <c r="CB94" i="6" a="1"/>
  <c r="CB94" i="6" s="1"/>
  <c r="BC94" i="6"/>
  <c r="BK94" i="6"/>
  <c r="BY94" i="6" a="1"/>
  <c r="BY94" i="6" s="1"/>
  <c r="CC94" i="6" a="1"/>
  <c r="CC94" i="6" s="1"/>
  <c r="BZ94" i="6" a="1"/>
  <c r="BZ94" i="6" s="1"/>
  <c r="BH94" i="6"/>
  <c r="BG94" i="6"/>
  <c r="BJ94" i="6"/>
  <c r="BX94" i="6" a="1"/>
  <c r="BX94" i="6" s="1"/>
  <c r="BI94" i="6"/>
  <c r="CE94" i="6" a="1"/>
  <c r="CE94" i="6" s="1"/>
  <c r="BV94" i="6" a="1"/>
  <c r="BV94" i="6" s="1"/>
  <c r="BF94" i="6"/>
  <c r="BL94" i="6"/>
  <c r="CD94" i="6" a="1"/>
  <c r="CD94" i="6" s="1"/>
  <c r="CC90" i="6" a="1"/>
  <c r="CC90" i="6" s="1"/>
  <c r="BF95" i="6"/>
  <c r="BV95" i="6" a="1"/>
  <c r="BV95" i="6" s="1"/>
  <c r="BZ95" i="6" a="1"/>
  <c r="BZ95" i="6" s="1"/>
  <c r="CC95" i="6" a="1"/>
  <c r="CC95" i="6" s="1"/>
  <c r="BY95" i="6" a="1"/>
  <c r="BY95" i="6" s="1"/>
  <c r="BH95" i="6"/>
  <c r="BI95" i="6"/>
  <c r="BC95" i="6"/>
  <c r="BG95" i="6"/>
  <c r="CD95" i="6" a="1"/>
  <c r="CD95" i="6" s="1"/>
  <c r="BJ95" i="6"/>
  <c r="BE95" i="6"/>
  <c r="BX95" i="6" a="1"/>
  <c r="BX95" i="6" s="1"/>
  <c r="BW95" i="6" a="1"/>
  <c r="BW95" i="6" s="1"/>
  <c r="CB95" i="6" a="1"/>
  <c r="CB95" i="6" s="1"/>
  <c r="CE95" i="6" a="1"/>
  <c r="CE95" i="6" s="1"/>
  <c r="BD95" i="6"/>
  <c r="CA95" i="6" a="1"/>
  <c r="CA95" i="6" s="1"/>
  <c r="BK95" i="6"/>
  <c r="BL95" i="6"/>
  <c r="BE90" i="6"/>
  <c r="BJ90" i="6"/>
  <c r="BH90" i="6"/>
  <c r="BW90" i="6" a="1"/>
  <c r="BW90" i="6" s="1"/>
  <c r="BZ96" i="6" a="1"/>
  <c r="BZ96" i="6" s="1"/>
  <c r="BK96" i="6"/>
  <c r="BI96" i="6"/>
  <c r="BV96" i="6" a="1"/>
  <c r="BV96" i="6" s="1"/>
  <c r="CB96" i="6" a="1"/>
  <c r="CB96" i="6" s="1"/>
  <c r="BJ96" i="6"/>
  <c r="BC96" i="6"/>
  <c r="BL96" i="6"/>
  <c r="CA96" i="6" a="1"/>
  <c r="CA96" i="6" s="1"/>
  <c r="BG96" i="6"/>
  <c r="BH96" i="6"/>
  <c r="CE96" i="6" a="1"/>
  <c r="CE96" i="6" s="1"/>
  <c r="BE96" i="6"/>
  <c r="CD96" i="6" a="1"/>
  <c r="CD96" i="6" s="1"/>
  <c r="CC96" i="6" a="1"/>
  <c r="CC96" i="6" s="1"/>
  <c r="BW96" i="6" a="1"/>
  <c r="BW96" i="6" s="1"/>
  <c r="BY96" i="6" a="1"/>
  <c r="BY96" i="6" s="1"/>
  <c r="BF96" i="6"/>
  <c r="BX96" i="6" a="1"/>
  <c r="BX96" i="6" s="1"/>
  <c r="BD96" i="6"/>
  <c r="CA84" i="6" a="1"/>
  <c r="CA84" i="6" s="1"/>
  <c r="BD88" i="6"/>
  <c r="CA90" i="6" a="1"/>
  <c r="CA90" i="6" s="1"/>
  <c r="BG90" i="6"/>
  <c r="BX88" i="6" a="1"/>
  <c r="BX88" i="6" s="1"/>
  <c r="BY90" i="6" a="1"/>
  <c r="BY90" i="6" s="1"/>
  <c r="BX90" i="6" a="1"/>
  <c r="BX90" i="6" s="1"/>
  <c r="CB97" i="6" a="1"/>
  <c r="CB97" i="6" s="1"/>
  <c r="BV97" i="6" a="1"/>
  <c r="BV97" i="6" s="1"/>
  <c r="BH97" i="6"/>
  <c r="CD97" i="6" a="1"/>
  <c r="CD97" i="6" s="1"/>
  <c r="BG97" i="6"/>
  <c r="CA97" i="6" a="1"/>
  <c r="CA97" i="6" s="1"/>
  <c r="BY97" i="6" a="1"/>
  <c r="BY97" i="6" s="1"/>
  <c r="BC97" i="6"/>
  <c r="BZ97" i="6" a="1"/>
  <c r="BZ97" i="6" s="1"/>
  <c r="CE97" i="6" a="1"/>
  <c r="CE97" i="6" s="1"/>
  <c r="BX97" i="6" a="1"/>
  <c r="BX97" i="6" s="1"/>
  <c r="BI97" i="6"/>
  <c r="BJ97" i="6"/>
  <c r="BL97" i="6"/>
  <c r="CC97" i="6" a="1"/>
  <c r="CC97" i="6" s="1"/>
  <c r="BD97" i="6"/>
  <c r="BK97" i="6"/>
  <c r="BE97" i="6"/>
  <c r="BW97" i="6" a="1"/>
  <c r="BW97" i="6" s="1"/>
  <c r="BF97" i="6"/>
  <c r="BF90" i="6"/>
  <c r="BG86" i="6"/>
  <c r="BX86" i="6" a="1"/>
  <c r="BX86" i="6" s="1"/>
  <c r="BZ86" i="6" a="1"/>
  <c r="BZ86" i="6" s="1"/>
  <c r="BI84" i="6"/>
  <c r="CA86" i="6" a="1"/>
  <c r="CA86" i="6" s="1"/>
  <c r="BW84" i="6" a="1"/>
  <c r="BW84" i="6" s="1"/>
  <c r="BD86" i="6"/>
  <c r="BE84" i="6"/>
  <c r="BF84" i="6"/>
  <c r="BY84" i="6" a="1"/>
  <c r="BY84" i="6" s="1"/>
  <c r="BG84" i="6"/>
  <c r="BH86" i="6"/>
  <c r="BK86" i="6"/>
  <c r="BH84" i="6"/>
  <c r="CD86" i="6" a="1"/>
  <c r="CD86" i="6" s="1"/>
  <c r="BW86" i="6" a="1"/>
  <c r="BW86" i="6" s="1"/>
  <c r="BV92" i="6" a="1"/>
  <c r="BV92" i="6" s="1"/>
  <c r="BW92" i="6" a="1"/>
  <c r="BW92" i="6" s="1"/>
  <c r="BY92" i="6" a="1"/>
  <c r="BY92" i="6" s="1"/>
  <c r="BE92" i="6"/>
  <c r="CA92" i="6" a="1"/>
  <c r="CA92" i="6" s="1"/>
  <c r="CD92" i="6" a="1"/>
  <c r="CD92" i="6" s="1"/>
  <c r="BX92" i="6" a="1"/>
  <c r="BX92" i="6" s="1"/>
  <c r="BI92" i="6"/>
  <c r="BZ92" i="6" a="1"/>
  <c r="BZ92" i="6" s="1"/>
  <c r="CB92" i="6" a="1"/>
  <c r="CB92" i="6" s="1"/>
  <c r="BG92" i="6"/>
  <c r="BF92" i="6"/>
  <c r="CC92" i="6" a="1"/>
  <c r="CC92" i="6" s="1"/>
  <c r="BH92" i="6"/>
  <c r="BD92" i="6"/>
  <c r="BC92" i="6"/>
  <c r="CE92" i="6" a="1"/>
  <c r="CE92" i="6" s="1"/>
  <c r="BK92" i="6"/>
  <c r="BJ92" i="6"/>
  <c r="BL92" i="6"/>
  <c r="BC84" i="6"/>
  <c r="BI86" i="6"/>
  <c r="BK84" i="6"/>
  <c r="BV86" i="6" a="1"/>
  <c r="BV86" i="6" s="1"/>
  <c r="BY86" i="6" a="1"/>
  <c r="BY86" i="6" s="1"/>
  <c r="CC88" i="6" a="1"/>
  <c r="CC88" i="6" s="1"/>
  <c r="BL84" i="6"/>
  <c r="BI88" i="6"/>
  <c r="CB88" i="6" a="1"/>
  <c r="CB88" i="6" s="1"/>
  <c r="BC88" i="6"/>
  <c r="BH88" i="6"/>
  <c r="BW88" i="6" a="1"/>
  <c r="BW88" i="6" s="1"/>
  <c r="BJ88" i="6"/>
  <c r="BK88" i="6"/>
  <c r="BZ88" i="6" a="1"/>
  <c r="BZ88" i="6" s="1"/>
  <c r="BG88" i="6"/>
  <c r="BE79" i="6"/>
  <c r="BL88" i="6"/>
  <c r="CE88" i="6" a="1"/>
  <c r="CE88" i="6" s="1"/>
  <c r="BV88" i="6" a="1"/>
  <c r="BV88" i="6" s="1"/>
  <c r="CD88" i="6" a="1"/>
  <c r="CD88" i="6" s="1"/>
  <c r="BE88" i="6"/>
  <c r="BY88" i="6" a="1"/>
  <c r="BY88" i="6" s="1"/>
  <c r="BV84" i="6" a="1"/>
  <c r="BV84" i="6" s="1"/>
  <c r="CC86" i="6" a="1"/>
  <c r="CC86" i="6" s="1"/>
  <c r="BF88" i="6"/>
  <c r="BZ84" i="6" a="1"/>
  <c r="BZ84" i="6" s="1"/>
  <c r="CE86" i="6" a="1"/>
  <c r="CE86" i="6" s="1"/>
  <c r="BE86" i="6"/>
  <c r="CE84" i="6" a="1"/>
  <c r="CE84" i="6" s="1"/>
  <c r="BD84" i="6"/>
  <c r="BC86" i="6"/>
  <c r="BI89" i="6"/>
  <c r="BC89" i="6"/>
  <c r="BL89" i="6"/>
  <c r="BK89" i="6"/>
  <c r="BD89" i="6"/>
  <c r="BX89" i="6" a="1"/>
  <c r="BX89" i="6" s="1"/>
  <c r="BE89" i="6"/>
  <c r="BV89" i="6" a="1"/>
  <c r="BV89" i="6" s="1"/>
  <c r="CB89" i="6" a="1"/>
  <c r="CB89" i="6" s="1"/>
  <c r="BJ89" i="6"/>
  <c r="BG89" i="6"/>
  <c r="CE89" i="6" a="1"/>
  <c r="CE89" i="6" s="1"/>
  <c r="BW89" i="6" a="1"/>
  <c r="BW89" i="6" s="1"/>
  <c r="CC89" i="6" a="1"/>
  <c r="CC89" i="6" s="1"/>
  <c r="BH89" i="6"/>
  <c r="BF89" i="6"/>
  <c r="BZ89" i="6" a="1"/>
  <c r="BZ89" i="6" s="1"/>
  <c r="BY89" i="6" a="1"/>
  <c r="BY89" i="6" s="1"/>
  <c r="CA89" i="6" a="1"/>
  <c r="CA89" i="6" s="1"/>
  <c r="CD89" i="6" a="1"/>
  <c r="CD89" i="6" s="1"/>
  <c r="BL79" i="6"/>
  <c r="BV79" i="6" a="1"/>
  <c r="BV79" i="6" s="1"/>
  <c r="CA87" i="6" a="1"/>
  <c r="CA87" i="6" s="1"/>
  <c r="CC87" i="6" a="1"/>
  <c r="CC87" i="6" s="1"/>
  <c r="BC87" i="6"/>
  <c r="BH87" i="6"/>
  <c r="BF87" i="6"/>
  <c r="BW87" i="6" a="1"/>
  <c r="BW87" i="6" s="1"/>
  <c r="BL87" i="6"/>
  <c r="BD87" i="6"/>
  <c r="CD87" i="6" a="1"/>
  <c r="CD87" i="6" s="1"/>
  <c r="BV87" i="6" a="1"/>
  <c r="BV87" i="6" s="1"/>
  <c r="BK87" i="6"/>
  <c r="CB87" i="6" a="1"/>
  <c r="CB87" i="6" s="1"/>
  <c r="BY87" i="6" a="1"/>
  <c r="BY87" i="6" s="1"/>
  <c r="BZ87" i="6" a="1"/>
  <c r="BZ87" i="6" s="1"/>
  <c r="BX87" i="6" a="1"/>
  <c r="BX87" i="6" s="1"/>
  <c r="BE87" i="6"/>
  <c r="BJ87" i="6"/>
  <c r="BG87" i="6"/>
  <c r="BI87" i="6"/>
  <c r="CE87" i="6" a="1"/>
  <c r="CE87" i="6" s="1"/>
  <c r="CE79" i="6" a="1"/>
  <c r="CE79" i="6" s="1"/>
  <c r="CA79" i="6" a="1"/>
  <c r="CA79" i="6" s="1"/>
  <c r="BH79" i="6"/>
  <c r="BD79" i="6"/>
  <c r="BG79" i="6"/>
  <c r="BX79" i="6" a="1"/>
  <c r="BX79" i="6" s="1"/>
  <c r="CC79" i="6" a="1"/>
  <c r="CC79" i="6" s="1"/>
  <c r="BL85" i="6"/>
  <c r="BY85" i="6" a="1"/>
  <c r="BY85" i="6" s="1"/>
  <c r="BV85" i="6" a="1"/>
  <c r="BV85" i="6" s="1"/>
  <c r="BD85" i="6"/>
  <c r="BX85" i="6" a="1"/>
  <c r="BX85" i="6" s="1"/>
  <c r="CB85" i="6" a="1"/>
  <c r="CB85" i="6" s="1"/>
  <c r="BH85" i="6"/>
  <c r="BF85" i="6"/>
  <c r="BZ85" i="6" a="1"/>
  <c r="BZ85" i="6" s="1"/>
  <c r="BG85" i="6"/>
  <c r="CD85" i="6" a="1"/>
  <c r="CD85" i="6" s="1"/>
  <c r="BW85" i="6" a="1"/>
  <c r="BW85" i="6" s="1"/>
  <c r="CE85" i="6" a="1"/>
  <c r="CE85" i="6" s="1"/>
  <c r="CC85" i="6" a="1"/>
  <c r="CC85" i="6" s="1"/>
  <c r="BJ85" i="6"/>
  <c r="BI85" i="6"/>
  <c r="BK85" i="6"/>
  <c r="BE85" i="6"/>
  <c r="BC85" i="6"/>
  <c r="CA85" i="6" a="1"/>
  <c r="CA85" i="6" s="1"/>
  <c r="BK79" i="6"/>
  <c r="BY79" i="6" a="1"/>
  <c r="BY79" i="6" s="1"/>
  <c r="BW79" i="6" a="1"/>
  <c r="BW79" i="6" s="1"/>
  <c r="BI79" i="6"/>
  <c r="CD79" i="6" a="1"/>
  <c r="CD79" i="6" s="1"/>
  <c r="BC79" i="6"/>
  <c r="CB81" i="6" a="1"/>
  <c r="CB81" i="6" s="1"/>
  <c r="CD81" i="6" a="1"/>
  <c r="CD81" i="6" s="1"/>
  <c r="BL81" i="6"/>
  <c r="CA81" i="6" a="1"/>
  <c r="CA81" i="6" s="1"/>
  <c r="BG81" i="6"/>
  <c r="BJ81" i="6"/>
  <c r="BH81" i="6"/>
  <c r="BY81" i="6" a="1"/>
  <c r="BY81" i="6" s="1"/>
  <c r="BE81" i="6"/>
  <c r="BX81" i="6" a="1"/>
  <c r="BX81" i="6" s="1"/>
  <c r="BD81" i="6"/>
  <c r="BF81" i="6"/>
  <c r="BV81" i="6" a="1"/>
  <c r="BV81" i="6" s="1"/>
  <c r="BI81" i="6"/>
  <c r="BW81" i="6" a="1"/>
  <c r="BW81" i="6" s="1"/>
  <c r="BK81" i="6"/>
  <c r="CE81" i="6" a="1"/>
  <c r="CE81" i="6" s="1"/>
  <c r="BC81" i="6"/>
  <c r="BZ81" i="6" a="1"/>
  <c r="BZ81" i="6" s="1"/>
  <c r="CC81" i="6" a="1"/>
  <c r="CC81" i="6" s="1"/>
  <c r="BJ79" i="6"/>
  <c r="BZ79" i="6" a="1"/>
  <c r="BZ79" i="6" s="1"/>
  <c r="BF79" i="6"/>
  <c r="BX80" i="6" a="1"/>
  <c r="BX80" i="6" s="1"/>
  <c r="BW80" i="6" a="1"/>
  <c r="BW80" i="6" s="1"/>
  <c r="BV80" i="6" a="1"/>
  <c r="BV80" i="6" s="1"/>
  <c r="BF80" i="6"/>
  <c r="BE80" i="6"/>
  <c r="CD80" i="6" a="1"/>
  <c r="CD80" i="6" s="1"/>
  <c r="BD80" i="6"/>
  <c r="BG80" i="6"/>
  <c r="CB80" i="6" a="1"/>
  <c r="CB80" i="6" s="1"/>
  <c r="BI80" i="6"/>
  <c r="BL80" i="6"/>
  <c r="BH80" i="6"/>
  <c r="BY80" i="6" a="1"/>
  <c r="BY80" i="6" s="1"/>
  <c r="CC80" i="6" a="1"/>
  <c r="CC80" i="6" s="1"/>
  <c r="CA80" i="6" a="1"/>
  <c r="CA80" i="6" s="1"/>
  <c r="BC80" i="6"/>
  <c r="BZ80" i="6" a="1"/>
  <c r="BZ80" i="6" s="1"/>
  <c r="CE80" i="6" a="1"/>
  <c r="CE80" i="6" s="1"/>
  <c r="BK80" i="6"/>
  <c r="BJ80" i="6"/>
  <c r="BD63" i="6"/>
  <c r="CB63" i="6" a="1"/>
  <c r="CB63" i="6" s="1"/>
  <c r="CE63" i="6" a="1"/>
  <c r="CE63" i="6" s="1"/>
  <c r="BH63" i="6"/>
  <c r="BJ63" i="6"/>
  <c r="BC63" i="6"/>
  <c r="BG63" i="6"/>
  <c r="BY63" i="6" a="1"/>
  <c r="BY63" i="6" s="1"/>
  <c r="BF63" i="6"/>
  <c r="BV63" i="6" a="1"/>
  <c r="BV63" i="6" s="1"/>
  <c r="BK63" i="6"/>
  <c r="CA63" i="6" a="1"/>
  <c r="CA63" i="6" s="1"/>
  <c r="CD63" i="6" a="1"/>
  <c r="CD63" i="6" s="1"/>
  <c r="BE63" i="6"/>
  <c r="BI63" i="6"/>
  <c r="CC63" i="6" a="1"/>
  <c r="CC63" i="6" s="1"/>
  <c r="BX63" i="6" a="1"/>
  <c r="BX63" i="6" s="1"/>
  <c r="BL63" i="6"/>
  <c r="BZ63" i="6" a="1"/>
  <c r="BZ63" i="6" s="1"/>
  <c r="BW63" i="6" a="1"/>
  <c r="BW63" i="6" s="1"/>
  <c r="BE26" i="6"/>
  <c r="CE26" i="6" a="1"/>
  <c r="CE26" i="6" s="1"/>
  <c r="BY26" i="6" a="1"/>
  <c r="BY26" i="6" s="1"/>
  <c r="CB26" i="6" a="1"/>
  <c r="CB26" i="6" s="1"/>
  <c r="BG26" i="6"/>
  <c r="BJ26" i="6"/>
  <c r="BI26" i="6"/>
  <c r="BD26" i="6"/>
  <c r="BK26" i="6"/>
  <c r="BV26" i="6" a="1"/>
  <c r="BV26" i="6" s="1"/>
  <c r="CC26" i="6" a="1"/>
  <c r="CC26" i="6" s="1"/>
  <c r="BZ26" i="6" a="1"/>
  <c r="BZ26" i="6" s="1"/>
  <c r="BW26" i="6" a="1"/>
  <c r="BW26" i="6" s="1"/>
  <c r="BC26" i="6"/>
  <c r="BL26" i="6"/>
  <c r="BX26" i="6" a="1"/>
  <c r="BX26" i="6" s="1"/>
  <c r="BF26" i="6"/>
  <c r="CA26" i="6" a="1"/>
  <c r="CA26" i="6" s="1"/>
  <c r="BH26" i="6"/>
  <c r="CD26" i="6" a="1"/>
  <c r="CD26" i="6" s="1"/>
  <c r="BW108" i="6" a="1"/>
  <c r="BW108" i="6" s="1"/>
  <c r="CA108" i="6" a="1"/>
  <c r="CA108" i="6" s="1"/>
  <c r="BC108" i="6"/>
  <c r="BK108" i="6"/>
  <c r="BE108" i="6"/>
  <c r="CB108" i="6" a="1"/>
  <c r="CB108" i="6" s="1"/>
  <c r="BG108" i="6"/>
  <c r="BI108" i="6"/>
  <c r="BD108" i="6"/>
  <c r="BX108" i="6" a="1"/>
  <c r="BX108" i="6" s="1"/>
  <c r="CC108" i="6" a="1"/>
  <c r="CC108" i="6" s="1"/>
  <c r="CE108" i="6" a="1"/>
  <c r="CE108" i="6" s="1"/>
  <c r="BF108" i="6"/>
  <c r="BH108" i="6"/>
  <c r="BY108" i="6" a="1"/>
  <c r="BY108" i="6" s="1"/>
  <c r="BL108" i="6"/>
  <c r="BJ108" i="6"/>
  <c r="BV108" i="6" a="1"/>
  <c r="BV108" i="6" s="1"/>
  <c r="BZ108" i="6" a="1"/>
  <c r="BZ108" i="6" s="1"/>
  <c r="CD108" i="6" a="1"/>
  <c r="CD108" i="6" s="1"/>
  <c r="BG54" i="6"/>
  <c r="CD54" i="6" a="1"/>
  <c r="CD54" i="6" s="1"/>
  <c r="BV54" i="6" a="1"/>
  <c r="BV54" i="6" s="1"/>
  <c r="BX54" i="6" a="1"/>
  <c r="BX54" i="6" s="1"/>
  <c r="CC54" i="6" a="1"/>
  <c r="CC54" i="6" s="1"/>
  <c r="BE54" i="6"/>
  <c r="BD54" i="6"/>
  <c r="BC54" i="6"/>
  <c r="BL54" i="6"/>
  <c r="BW54" i="6" a="1"/>
  <c r="BW54" i="6" s="1"/>
  <c r="BK54" i="6"/>
  <c r="BY54" i="6" a="1"/>
  <c r="BY54" i="6" s="1"/>
  <c r="BJ54" i="6"/>
  <c r="BZ54" i="6" a="1"/>
  <c r="BZ54" i="6" s="1"/>
  <c r="BI54" i="6"/>
  <c r="BH54" i="6"/>
  <c r="CE54" i="6" a="1"/>
  <c r="CE54" i="6" s="1"/>
  <c r="BF54" i="6"/>
  <c r="CA54" i="6" a="1"/>
  <c r="CA54" i="6" s="1"/>
  <c r="CB54" i="6" a="1"/>
  <c r="CB54" i="6" s="1"/>
  <c r="BJ28" i="6"/>
  <c r="BE28" i="6"/>
  <c r="CE28" i="6" a="1"/>
  <c r="CE28" i="6" s="1"/>
  <c r="BZ28" i="6" a="1"/>
  <c r="BZ28" i="6" s="1"/>
  <c r="BX28" i="6" a="1"/>
  <c r="BX28" i="6" s="1"/>
  <c r="BL28" i="6"/>
  <c r="CB28" i="6" a="1"/>
  <c r="CB28" i="6" s="1"/>
  <c r="CA28" i="6" a="1"/>
  <c r="CA28" i="6" s="1"/>
  <c r="BI28" i="6"/>
  <c r="BK28" i="6"/>
  <c r="CC28" i="6" a="1"/>
  <c r="CC28" i="6" s="1"/>
  <c r="BF28" i="6"/>
  <c r="BV28" i="6" a="1"/>
  <c r="BV28" i="6" s="1"/>
  <c r="BH28" i="6"/>
  <c r="BC28" i="6"/>
  <c r="BG28" i="6"/>
  <c r="CD28" i="6" a="1"/>
  <c r="CD28" i="6" s="1"/>
  <c r="BD28" i="6"/>
  <c r="BY28" i="6" a="1"/>
  <c r="BY28" i="6" s="1"/>
  <c r="BW28" i="6" a="1"/>
  <c r="BW28" i="6" s="1"/>
  <c r="BW104" i="6" a="1"/>
  <c r="BW104" i="6" s="1"/>
  <c r="BV104" i="6" a="1"/>
  <c r="BV104" i="6" s="1"/>
  <c r="CA104" i="6" a="1"/>
  <c r="CA104" i="6" s="1"/>
  <c r="BK104" i="6"/>
  <c r="BC104" i="6"/>
  <c r="BG104" i="6"/>
  <c r="BD104" i="6"/>
  <c r="BF104" i="6"/>
  <c r="CC104" i="6" a="1"/>
  <c r="CC104" i="6" s="1"/>
  <c r="BZ104" i="6" a="1"/>
  <c r="BZ104" i="6" s="1"/>
  <c r="BJ104" i="6"/>
  <c r="CE104" i="6" a="1"/>
  <c r="CE104" i="6" s="1"/>
  <c r="CB104" i="6" a="1"/>
  <c r="CB104" i="6" s="1"/>
  <c r="BL104" i="6"/>
  <c r="CD104" i="6" a="1"/>
  <c r="CD104" i="6" s="1"/>
  <c r="BX104" i="6" a="1"/>
  <c r="BX104" i="6" s="1"/>
  <c r="BY104" i="6" a="1"/>
  <c r="BY104" i="6" s="1"/>
  <c r="BH104" i="6"/>
  <c r="BE104" i="6"/>
  <c r="BI104" i="6"/>
  <c r="BL68" i="6"/>
  <c r="CE68" i="6" a="1"/>
  <c r="CE68" i="6" s="1"/>
  <c r="BF68" i="6"/>
  <c r="BC68" i="6"/>
  <c r="BX68" i="6" a="1"/>
  <c r="BX68" i="6" s="1"/>
  <c r="CB68" i="6" a="1"/>
  <c r="CB68" i="6" s="1"/>
  <c r="BV68" i="6" a="1"/>
  <c r="BV68" i="6" s="1"/>
  <c r="BH68" i="6"/>
  <c r="CD68" i="6" a="1"/>
  <c r="CD68" i="6" s="1"/>
  <c r="BJ68" i="6"/>
  <c r="BZ68" i="6" a="1"/>
  <c r="BZ68" i="6" s="1"/>
  <c r="BD68" i="6"/>
  <c r="BK68" i="6"/>
  <c r="BI68" i="6"/>
  <c r="BE68" i="6"/>
  <c r="BW68" i="6" a="1"/>
  <c r="BW68" i="6" s="1"/>
  <c r="BG68" i="6"/>
  <c r="CA68" i="6" a="1"/>
  <c r="CA68" i="6" s="1"/>
  <c r="CC68" i="6" a="1"/>
  <c r="CC68" i="6" s="1"/>
  <c r="BY68" i="6" a="1"/>
  <c r="BY68" i="6" s="1"/>
  <c r="BJ33" i="6"/>
  <c r="CA33" i="6" a="1"/>
  <c r="CA33" i="6" s="1"/>
  <c r="BF33" i="6"/>
  <c r="CC33" i="6" a="1"/>
  <c r="CC33" i="6" s="1"/>
  <c r="BH33" i="6"/>
  <c r="BW33" i="6" a="1"/>
  <c r="BW33" i="6" s="1"/>
  <c r="BK33" i="6"/>
  <c r="CB33" i="6" a="1"/>
  <c r="CB33" i="6" s="1"/>
  <c r="BG33" i="6"/>
  <c r="BY33" i="6" a="1"/>
  <c r="BY33" i="6" s="1"/>
  <c r="BE33" i="6"/>
  <c r="BX33" i="6" a="1"/>
  <c r="BX33" i="6" s="1"/>
  <c r="CE33" i="6" a="1"/>
  <c r="CE33" i="6" s="1"/>
  <c r="BC33" i="6"/>
  <c r="BL33" i="6"/>
  <c r="CD33" i="6" a="1"/>
  <c r="CD33" i="6" s="1"/>
  <c r="BZ33" i="6" a="1"/>
  <c r="BZ33" i="6" s="1"/>
  <c r="BV33" i="6" a="1"/>
  <c r="BV33" i="6" s="1"/>
  <c r="BD33" i="6"/>
  <c r="BI33" i="6"/>
  <c r="M112" i="6"/>
  <c r="F114" i="5"/>
  <c r="A113" i="6"/>
  <c r="L131" i="6"/>
  <c r="L113" i="12" l="1" a="1"/>
  <c r="L113" i="12" s="1"/>
  <c r="K113" i="12" s="1"/>
  <c r="H114" i="5"/>
  <c r="H115" i="5" s="1"/>
  <c r="AE114" i="5" a="1"/>
  <c r="AE114" i="5" s="1"/>
  <c r="AD114" i="5"/>
  <c r="A114" i="12"/>
  <c r="G114" i="5"/>
  <c r="G115" i="5" s="1"/>
  <c r="I114" i="5"/>
  <c r="B114" i="5"/>
  <c r="B115" i="5" s="1"/>
  <c r="N113" i="6"/>
  <c r="AF114" i="5" a="1"/>
  <c r="AF114" i="5" s="1"/>
  <c r="AG114" i="5" s="1" a="1"/>
  <c r="AG114" i="5" s="1"/>
  <c r="U114" i="5" s="1"/>
  <c r="AN114" i="5" s="1" a="1"/>
  <c r="AN114" i="5" s="1"/>
  <c r="N114" i="5"/>
  <c r="D114" i="6" s="1"/>
  <c r="N114" i="6" s="1"/>
  <c r="E114" i="5"/>
  <c r="E115" i="5" s="1"/>
  <c r="W114" i="5" a="1"/>
  <c r="W114" i="5" s="1"/>
  <c r="H114" i="12" s="1" a="1"/>
  <c r="H114" i="12" s="1"/>
  <c r="B114" i="6"/>
  <c r="J114" i="6" s="1" a="1"/>
  <c r="J114" i="6" s="1"/>
  <c r="B115" i="6"/>
  <c r="T113" i="5"/>
  <c r="G113" i="12" s="1" a="1"/>
  <c r="G113" i="12" s="1"/>
  <c r="CM112" i="6" a="1"/>
  <c r="CM112" i="6" s="1"/>
  <c r="BT112" i="6"/>
  <c r="CG112" i="6" a="1"/>
  <c r="CG112" i="6" s="1"/>
  <c r="BP112" i="6"/>
  <c r="BO112" i="6"/>
  <c r="BN112" i="6"/>
  <c r="BQ112" i="6"/>
  <c r="BM112" i="6"/>
  <c r="CI112" i="6" a="1"/>
  <c r="CI112" i="6" s="1"/>
  <c r="CH112" i="6" a="1"/>
  <c r="CH112" i="6" s="1"/>
  <c r="CJ112" i="6" a="1"/>
  <c r="CJ112" i="6" s="1"/>
  <c r="BR112" i="6"/>
  <c r="CK112" i="6" a="1"/>
  <c r="CK112" i="6" s="1"/>
  <c r="BS112" i="6"/>
  <c r="CL112" i="6" a="1"/>
  <c r="CL112" i="6" s="1"/>
  <c r="CF112" i="6" a="1"/>
  <c r="CF112" i="6" s="1"/>
  <c r="AY112" i="6"/>
  <c r="AZ112" i="6"/>
  <c r="BA112" i="6"/>
  <c r="AX112" i="6"/>
  <c r="AW112" i="6"/>
  <c r="AV112" i="6"/>
  <c r="F115" i="5"/>
  <c r="N115" i="5"/>
  <c r="D115" i="6" s="1"/>
  <c r="BV112" i="6" a="1"/>
  <c r="BV112" i="6" s="1"/>
  <c r="BE112" i="6"/>
  <c r="BC112" i="6"/>
  <c r="CE112" i="6" a="1"/>
  <c r="CE112" i="6" s="1"/>
  <c r="BY112" i="6" a="1"/>
  <c r="BY112" i="6" s="1"/>
  <c r="BJ112" i="6"/>
  <c r="BL112" i="6"/>
  <c r="BI112" i="6"/>
  <c r="CC112" i="6" a="1"/>
  <c r="CC112" i="6" s="1"/>
  <c r="CB112" i="6" a="1"/>
  <c r="CB112" i="6" s="1"/>
  <c r="BF112" i="6"/>
  <c r="BW112" i="6" a="1"/>
  <c r="BW112" i="6" s="1"/>
  <c r="CD112" i="6" a="1"/>
  <c r="CD112" i="6" s="1"/>
  <c r="CA112" i="6" a="1"/>
  <c r="CA112" i="6" s="1"/>
  <c r="BH112" i="6"/>
  <c r="BZ112" i="6" a="1"/>
  <c r="BZ112" i="6" s="1"/>
  <c r="BD112" i="6"/>
  <c r="BX112" i="6" a="1"/>
  <c r="BX112" i="6" s="1"/>
  <c r="BG112" i="6"/>
  <c r="BK112" i="6"/>
  <c r="J115" i="5"/>
  <c r="AD115" i="5"/>
  <c r="K115" i="5"/>
  <c r="A114" i="6"/>
  <c r="A115" i="12"/>
  <c r="L115" i="12" s="1" a="1"/>
  <c r="L115" i="12" s="1"/>
  <c r="AE115" i="5" a="1"/>
  <c r="AE115" i="5" s="1"/>
  <c r="D115" i="5"/>
  <c r="B115" i="12" s="1"/>
  <c r="C116" i="5"/>
  <c r="M113" i="6"/>
  <c r="AW113" i="6" s="1"/>
  <c r="H114" i="6" l="1" a="1"/>
  <c r="H114" i="6" s="1"/>
  <c r="T114" i="5" s="1"/>
  <c r="G114" i="12" s="1" a="1"/>
  <c r="G114" i="12" s="1"/>
  <c r="G114" i="6"/>
  <c r="M114" i="6"/>
  <c r="BY114" i="6" s="1" a="1"/>
  <c r="BY114" i="6" s="1"/>
  <c r="B116" i="6"/>
  <c r="AV113" i="6"/>
  <c r="CM113" i="6" a="1"/>
  <c r="CM113" i="6" s="1"/>
  <c r="CL113" i="6" a="1"/>
  <c r="CL113" i="6" s="1"/>
  <c r="BR113" i="6"/>
  <c r="BQ113" i="6"/>
  <c r="CG113" i="6" a="1"/>
  <c r="CG113" i="6" s="1"/>
  <c r="CK113" i="6" a="1"/>
  <c r="CK113" i="6" s="1"/>
  <c r="BT113" i="6"/>
  <c r="BP113" i="6"/>
  <c r="BS113" i="6"/>
  <c r="BN113" i="6"/>
  <c r="CH113" i="6" a="1"/>
  <c r="CH113" i="6" s="1"/>
  <c r="CJ113" i="6" a="1"/>
  <c r="CJ113" i="6" s="1"/>
  <c r="CF113" i="6" a="1"/>
  <c r="CF113" i="6" s="1"/>
  <c r="CI113" i="6" a="1"/>
  <c r="CI113" i="6" s="1"/>
  <c r="BM113" i="6"/>
  <c r="BO113" i="6"/>
  <c r="AZ113" i="6"/>
  <c r="H115" i="6" a="1"/>
  <c r="H115" i="6" s="1"/>
  <c r="T115" i="5" s="1"/>
  <c r="G115" i="12" s="1" a="1"/>
  <c r="G115" i="12" s="1"/>
  <c r="AX113" i="6"/>
  <c r="BA113" i="6"/>
  <c r="AY113" i="6"/>
  <c r="BJ113" i="6"/>
  <c r="A115" i="6"/>
  <c r="N115" i="6" s="1"/>
  <c r="A116" i="12"/>
  <c r="J116" i="12" s="1" a="1"/>
  <c r="J116" i="12" s="1"/>
  <c r="J115" i="12" a="1"/>
  <c r="J115" i="12" s="1"/>
  <c r="K115" i="12" s="1"/>
  <c r="CD114" i="6" a="1"/>
  <c r="CD114" i="6" s="1"/>
  <c r="BX114" i="6" a="1"/>
  <c r="BX114" i="6" s="1"/>
  <c r="AE116" i="5" a="1"/>
  <c r="AE116" i="5" s="1"/>
  <c r="C117" i="5"/>
  <c r="B116" i="5"/>
  <c r="J116" i="5"/>
  <c r="N116" i="5"/>
  <c r="D116" i="6" s="1"/>
  <c r="F116" i="5"/>
  <c r="E116" i="5"/>
  <c r="D116" i="5"/>
  <c r="B116" i="12" s="1"/>
  <c r="G116" i="5"/>
  <c r="AD116" i="5"/>
  <c r="K116" i="5"/>
  <c r="H116" i="5"/>
  <c r="BZ113" i="6" a="1"/>
  <c r="BZ113" i="6" s="1"/>
  <c r="BK113" i="6"/>
  <c r="BW113" i="6" a="1"/>
  <c r="BW113" i="6" s="1"/>
  <c r="CC113" i="6" a="1"/>
  <c r="CC113" i="6" s="1"/>
  <c r="BI113" i="6"/>
  <c r="BF113" i="6"/>
  <c r="CB113" i="6" a="1"/>
  <c r="CB113" i="6" s="1"/>
  <c r="BD113" i="6"/>
  <c r="BG113" i="6"/>
  <c r="CD113" i="6" a="1"/>
  <c r="CD113" i="6" s="1"/>
  <c r="CA113" i="6" a="1"/>
  <c r="CA113" i="6" s="1"/>
  <c r="BH113" i="6"/>
  <c r="BV113" i="6" a="1"/>
  <c r="BV113" i="6" s="1"/>
  <c r="BE113" i="6"/>
  <c r="BX113" i="6" a="1"/>
  <c r="BX113" i="6" s="1"/>
  <c r="BY113" i="6" a="1"/>
  <c r="BY113" i="6" s="1"/>
  <c r="BC113" i="6"/>
  <c r="BL113" i="6"/>
  <c r="CE113" i="6" a="1"/>
  <c r="CE113" i="6" s="1"/>
  <c r="L132" i="6"/>
  <c r="AN114" i="6" l="1"/>
  <c r="AL114" i="6"/>
  <c r="BG114" i="6"/>
  <c r="CM114" i="6" a="1"/>
  <c r="CM114" i="6" s="1"/>
  <c r="BA114" i="6"/>
  <c r="AV114" i="6"/>
  <c r="CA114" i="6" a="1"/>
  <c r="CA114" i="6" s="1"/>
  <c r="AS114" i="6"/>
  <c r="CF114" i="6" a="1"/>
  <c r="CF114" i="6" s="1"/>
  <c r="AQ114" i="6"/>
  <c r="BP114" i="6"/>
  <c r="BN114" i="6"/>
  <c r="BV114" i="6" a="1"/>
  <c r="BV114" i="6" s="1"/>
  <c r="CH114" i="6" a="1"/>
  <c r="CH114" i="6" s="1"/>
  <c r="AT114" i="6"/>
  <c r="AK114" i="6"/>
  <c r="BZ114" i="6" a="1"/>
  <c r="BZ114" i="6" s="1"/>
  <c r="BF114" i="6"/>
  <c r="BI114" i="6"/>
  <c r="BL114" i="6"/>
  <c r="AR114" i="6"/>
  <c r="CE114" i="6" a="1"/>
  <c r="CE114" i="6" s="1"/>
  <c r="AP114" i="6"/>
  <c r="CG114" i="6" a="1"/>
  <c r="CG114" i="6" s="1"/>
  <c r="BS114" i="6"/>
  <c r="BC114" i="6"/>
  <c r="BD114" i="6"/>
  <c r="BK114" i="6"/>
  <c r="AO114" i="6"/>
  <c r="AM114" i="6"/>
  <c r="BW114" i="6" a="1"/>
  <c r="BW114" i="6" s="1"/>
  <c r="AX114" i="6"/>
  <c r="BH114" i="6"/>
  <c r="AJ114" i="6"/>
  <c r="AZ114" i="6"/>
  <c r="CK114" i="6" a="1"/>
  <c r="CK114" i="6" s="1"/>
  <c r="AU114" i="6"/>
  <c r="BO114" i="6"/>
  <c r="CB114" i="6" a="1"/>
  <c r="CB114" i="6" s="1"/>
  <c r="BQ114" i="6"/>
  <c r="BT114" i="6"/>
  <c r="BE114" i="6"/>
  <c r="AY114" i="6"/>
  <c r="CJ114" i="6" a="1"/>
  <c r="CJ114" i="6" s="1"/>
  <c r="BM114" i="6"/>
  <c r="BR114" i="6"/>
  <c r="BJ114" i="6"/>
  <c r="CC114" i="6" a="1"/>
  <c r="CC114" i="6" s="1"/>
  <c r="CL114" i="6" a="1"/>
  <c r="CL114" i="6" s="1"/>
  <c r="AW114" i="6"/>
  <c r="CI114" i="6" a="1"/>
  <c r="CI114" i="6" s="1"/>
  <c r="H116" i="6" a="1"/>
  <c r="H116" i="6" s="1"/>
  <c r="M115" i="6"/>
  <c r="G117" i="5"/>
  <c r="L116" i="12" a="1"/>
  <c r="L116" i="12" s="1"/>
  <c r="K116" i="12" s="1"/>
  <c r="B117" i="5"/>
  <c r="J117" i="5"/>
  <c r="N117" i="5"/>
  <c r="D117" i="6" s="1"/>
  <c r="E117" i="5"/>
  <c r="F117" i="5"/>
  <c r="A117" i="12"/>
  <c r="J117" i="12" s="1" a="1"/>
  <c r="J117" i="12" s="1"/>
  <c r="D117" i="5"/>
  <c r="B117" i="12" s="1"/>
  <c r="H117" i="5"/>
  <c r="AE117" i="5" a="1"/>
  <c r="AE117" i="5" s="1"/>
  <c r="AD117" i="5"/>
  <c r="C118" i="5"/>
  <c r="B117" i="6"/>
  <c r="K117" i="5"/>
  <c r="A116" i="6"/>
  <c r="N116" i="6" s="1"/>
  <c r="L133" i="6"/>
  <c r="AV115" i="6" l="1"/>
  <c r="BN115" i="6"/>
  <c r="BM115" i="6"/>
  <c r="CK115" i="6" a="1"/>
  <c r="CK115" i="6" s="1"/>
  <c r="CI115" i="6" a="1"/>
  <c r="CI115" i="6" s="1"/>
  <c r="CH115" i="6" a="1"/>
  <c r="CH115" i="6" s="1"/>
  <c r="BS115" i="6"/>
  <c r="CJ115" i="6" a="1"/>
  <c r="CJ115" i="6" s="1"/>
  <c r="BR115" i="6"/>
  <c r="CM115" i="6" a="1"/>
  <c r="CM115" i="6" s="1"/>
  <c r="CL115" i="6" a="1"/>
  <c r="CL115" i="6" s="1"/>
  <c r="CF115" i="6" a="1"/>
  <c r="CF115" i="6" s="1"/>
  <c r="BT115" i="6"/>
  <c r="CG115" i="6" a="1"/>
  <c r="CG115" i="6" s="1"/>
  <c r="AZ115" i="6"/>
  <c r="BQ115" i="6"/>
  <c r="BP115" i="6"/>
  <c r="AY115" i="6"/>
  <c r="BO115" i="6"/>
  <c r="BA115" i="6"/>
  <c r="AX115" i="6"/>
  <c r="T116" i="5"/>
  <c r="G116" i="12" s="1" a="1"/>
  <c r="G116" i="12" s="1"/>
  <c r="H117" i="6" a="1"/>
  <c r="H117" i="6" s="1"/>
  <c r="T117" i="5" s="1"/>
  <c r="G117" i="12" s="1" a="1"/>
  <c r="G117" i="12" s="1"/>
  <c r="AW115" i="6"/>
  <c r="BC115" i="6"/>
  <c r="BF115" i="6"/>
  <c r="BI115" i="6"/>
  <c r="BL115" i="6"/>
  <c r="BD115" i="6"/>
  <c r="BV115" i="6" a="1"/>
  <c r="BV115" i="6" s="1"/>
  <c r="BE115" i="6"/>
  <c r="CB115" i="6" a="1"/>
  <c r="CB115" i="6" s="1"/>
  <c r="BH115" i="6"/>
  <c r="BY115" i="6" a="1"/>
  <c r="BY115" i="6" s="1"/>
  <c r="BX115" i="6" a="1"/>
  <c r="BX115" i="6" s="1"/>
  <c r="BJ115" i="6"/>
  <c r="BZ115" i="6" a="1"/>
  <c r="BZ115" i="6" s="1"/>
  <c r="BK115" i="6"/>
  <c r="CC115" i="6" a="1"/>
  <c r="CC115" i="6" s="1"/>
  <c r="CA115" i="6" a="1"/>
  <c r="CA115" i="6" s="1"/>
  <c r="BW115" i="6" a="1"/>
  <c r="BW115" i="6" s="1"/>
  <c r="BG115" i="6"/>
  <c r="CE115" i="6" a="1"/>
  <c r="CE115" i="6" s="1"/>
  <c r="CD115" i="6" a="1"/>
  <c r="CD115" i="6" s="1"/>
  <c r="G118" i="5"/>
  <c r="L117" i="12" a="1"/>
  <c r="L117" i="12" s="1"/>
  <c r="K117" i="12" s="1"/>
  <c r="A117" i="6"/>
  <c r="N117" i="6" s="1"/>
  <c r="M116" i="6"/>
  <c r="A118" i="12"/>
  <c r="L118" i="12" s="1" a="1"/>
  <c r="L118" i="12" s="1"/>
  <c r="B118" i="5"/>
  <c r="N118" i="5"/>
  <c r="D118" i="6" s="1"/>
  <c r="AD118" i="5"/>
  <c r="C119" i="5"/>
  <c r="B118" i="6"/>
  <c r="E118" i="5"/>
  <c r="J118" i="5"/>
  <c r="F118" i="5"/>
  <c r="AE118" i="5" a="1"/>
  <c r="AE118" i="5" s="1"/>
  <c r="H118" i="5"/>
  <c r="D118" i="5"/>
  <c r="B118" i="12" s="1"/>
  <c r="K118" i="5"/>
  <c r="L134" i="6"/>
  <c r="C120" i="5" l="1"/>
  <c r="AZ116" i="6"/>
  <c r="H118" i="6" a="1"/>
  <c r="H118" i="6" s="1"/>
  <c r="T118" i="5" s="1"/>
  <c r="G118" i="12" s="1" a="1"/>
  <c r="G118" i="12" s="1"/>
  <c r="AX116" i="6"/>
  <c r="AV116" i="6"/>
  <c r="CJ116" i="6" a="1"/>
  <c r="CJ116" i="6" s="1"/>
  <c r="BN116" i="6"/>
  <c r="CK116" i="6" a="1"/>
  <c r="CK116" i="6" s="1"/>
  <c r="BQ116" i="6"/>
  <c r="AW116" i="6"/>
  <c r="BT116" i="6"/>
  <c r="BM116" i="6"/>
  <c r="BS116" i="6"/>
  <c r="BR116" i="6"/>
  <c r="CL116" i="6" a="1"/>
  <c r="CL116" i="6" s="1"/>
  <c r="CF116" i="6" a="1"/>
  <c r="CF116" i="6" s="1"/>
  <c r="CM116" i="6" a="1"/>
  <c r="CM116" i="6" s="1"/>
  <c r="BP116" i="6"/>
  <c r="CG116" i="6" a="1"/>
  <c r="CG116" i="6" s="1"/>
  <c r="BO116" i="6"/>
  <c r="CH116" i="6" a="1"/>
  <c r="CH116" i="6" s="1"/>
  <c r="CI116" i="6" a="1"/>
  <c r="CI116" i="6" s="1"/>
  <c r="AY116" i="6"/>
  <c r="BA116" i="6"/>
  <c r="J118" i="12" a="1"/>
  <c r="J118" i="12" s="1"/>
  <c r="K118" i="12" s="1"/>
  <c r="BK116" i="6"/>
  <c r="CE116" i="6" a="1"/>
  <c r="CE116" i="6" s="1"/>
  <c r="K119" i="5"/>
  <c r="BW116" i="6" a="1"/>
  <c r="BW116" i="6" s="1"/>
  <c r="BD116" i="6"/>
  <c r="CA116" i="6" a="1"/>
  <c r="CA116" i="6" s="1"/>
  <c r="M117" i="6"/>
  <c r="BH116" i="6"/>
  <c r="CD116" i="6" a="1"/>
  <c r="CD116" i="6" s="1"/>
  <c r="A118" i="6"/>
  <c r="N118" i="6" s="1"/>
  <c r="BX116" i="6" a="1"/>
  <c r="BX116" i="6" s="1"/>
  <c r="BG116" i="6"/>
  <c r="CC116" i="6" a="1"/>
  <c r="CC116" i="6" s="1"/>
  <c r="BV116" i="6" a="1"/>
  <c r="BV116" i="6" s="1"/>
  <c r="CB116" i="6" a="1"/>
  <c r="CB116" i="6" s="1"/>
  <c r="BZ116" i="6" a="1"/>
  <c r="BZ116" i="6" s="1"/>
  <c r="BI116" i="6"/>
  <c r="BY116" i="6" a="1"/>
  <c r="BY116" i="6" s="1"/>
  <c r="BL116" i="6"/>
  <c r="BF116" i="6"/>
  <c r="D119" i="5"/>
  <c r="B119" i="12" s="1"/>
  <c r="BE116" i="6"/>
  <c r="BJ116" i="6"/>
  <c r="BC116" i="6"/>
  <c r="N119" i="5"/>
  <c r="D119" i="6" s="1"/>
  <c r="B119" i="5"/>
  <c r="B120" i="5" s="1"/>
  <c r="A119" i="12"/>
  <c r="J119" i="12" s="1" a="1"/>
  <c r="J119" i="12" s="1"/>
  <c r="B119" i="6"/>
  <c r="J119" i="5"/>
  <c r="AD119" i="5"/>
  <c r="E119" i="5"/>
  <c r="E120" i="5" s="1"/>
  <c r="AE119" i="5" a="1"/>
  <c r="AE119" i="5" s="1"/>
  <c r="G119" i="5"/>
  <c r="G120" i="5" s="1"/>
  <c r="H119" i="5"/>
  <c r="H120" i="5" s="1"/>
  <c r="F119" i="5"/>
  <c r="D120" i="5"/>
  <c r="B120" i="12" s="1"/>
  <c r="J120" i="5"/>
  <c r="B120" i="6"/>
  <c r="K120" i="5"/>
  <c r="AD120" i="5"/>
  <c r="C121" i="5"/>
  <c r="N120" i="5"/>
  <c r="D120" i="6" s="1"/>
  <c r="A120" i="12"/>
  <c r="L135" i="6"/>
  <c r="AE120" i="5" l="1" a="1"/>
  <c r="AE120" i="5" s="1"/>
  <c r="F120" i="5"/>
  <c r="F121" i="5" s="1"/>
  <c r="AX117" i="6"/>
  <c r="CI117" i="6" a="1"/>
  <c r="CI117" i="6" s="1"/>
  <c r="CH117" i="6" a="1"/>
  <c r="CH117" i="6" s="1"/>
  <c r="CG117" i="6" a="1"/>
  <c r="CG117" i="6" s="1"/>
  <c r="BS117" i="6"/>
  <c r="CK117" i="6" a="1"/>
  <c r="CK117" i="6" s="1"/>
  <c r="BT117" i="6"/>
  <c r="BN117" i="6"/>
  <c r="BQ117" i="6"/>
  <c r="CL117" i="6" a="1"/>
  <c r="CL117" i="6" s="1"/>
  <c r="BA117" i="6"/>
  <c r="BO117" i="6"/>
  <c r="BR117" i="6"/>
  <c r="CJ117" i="6" a="1"/>
  <c r="CJ117" i="6" s="1"/>
  <c r="BP117" i="6"/>
  <c r="CF117" i="6" a="1"/>
  <c r="CF117" i="6" s="1"/>
  <c r="BM117" i="6"/>
  <c r="CM117" i="6" a="1"/>
  <c r="CM117" i="6" s="1"/>
  <c r="AV117" i="6"/>
  <c r="AZ117" i="6"/>
  <c r="AW117" i="6"/>
  <c r="AY117" i="6"/>
  <c r="BZ117" i="6" a="1"/>
  <c r="BZ117" i="6" s="1"/>
  <c r="BK117" i="6"/>
  <c r="BE117" i="6"/>
  <c r="BY117" i="6" a="1"/>
  <c r="BY117" i="6" s="1"/>
  <c r="BV117" i="6" a="1"/>
  <c r="BV117" i="6" s="1"/>
  <c r="M118" i="6"/>
  <c r="CD117" i="6" a="1"/>
  <c r="CD117" i="6" s="1"/>
  <c r="CC117" i="6" a="1"/>
  <c r="CC117" i="6" s="1"/>
  <c r="BX117" i="6" a="1"/>
  <c r="BX117" i="6" s="1"/>
  <c r="BF117" i="6"/>
  <c r="BC117" i="6"/>
  <c r="BD117" i="6"/>
  <c r="A119" i="6"/>
  <c r="N119" i="6" s="1"/>
  <c r="CB117" i="6" a="1"/>
  <c r="CB117" i="6" s="1"/>
  <c r="CE117" i="6" a="1"/>
  <c r="CE117" i="6" s="1"/>
  <c r="BJ117" i="6"/>
  <c r="BL117" i="6"/>
  <c r="CA117" i="6" a="1"/>
  <c r="CA117" i="6" s="1"/>
  <c r="BI117" i="6"/>
  <c r="BW117" i="6" a="1"/>
  <c r="BW117" i="6" s="1"/>
  <c r="BG117" i="6"/>
  <c r="BH117" i="6"/>
  <c r="L119" i="12" a="1"/>
  <c r="L119" i="12" s="1"/>
  <c r="K119" i="12" s="1"/>
  <c r="H119" i="6" a="1"/>
  <c r="H119" i="6" s="1"/>
  <c r="T119" i="5" s="1"/>
  <c r="G119" i="12" s="1" a="1"/>
  <c r="G119" i="12" s="1"/>
  <c r="D121" i="5"/>
  <c r="B121" i="12" s="1"/>
  <c r="E121" i="5"/>
  <c r="N121" i="5"/>
  <c r="D121" i="6" s="1"/>
  <c r="B121" i="6"/>
  <c r="J121" i="5"/>
  <c r="K121" i="5"/>
  <c r="A121" i="12"/>
  <c r="AE121" i="5" a="1"/>
  <c r="AE121" i="5" s="1"/>
  <c r="B121" i="5"/>
  <c r="H121" i="5"/>
  <c r="AD121" i="5"/>
  <c r="G121" i="5"/>
  <c r="C122" i="5"/>
  <c r="J120" i="12" a="1"/>
  <c r="J120" i="12" s="1"/>
  <c r="L120" i="12" a="1"/>
  <c r="L120" i="12" s="1"/>
  <c r="H120" i="6" a="1"/>
  <c r="H120" i="6" s="1"/>
  <c r="L136" i="6"/>
  <c r="AY118" i="6" l="1"/>
  <c r="AV118" i="6"/>
  <c r="BO118" i="6"/>
  <c r="CG118" i="6" a="1"/>
  <c r="CG118" i="6" s="1"/>
  <c r="AZ118" i="6"/>
  <c r="CF118" i="6" a="1"/>
  <c r="CF118" i="6" s="1"/>
  <c r="BN118" i="6"/>
  <c r="BT118" i="6"/>
  <c r="BM118" i="6"/>
  <c r="AX118" i="6"/>
  <c r="CI118" i="6" a="1"/>
  <c r="CI118" i="6" s="1"/>
  <c r="CH118" i="6" a="1"/>
  <c r="CH118" i="6" s="1"/>
  <c r="BS118" i="6"/>
  <c r="CJ118" i="6" a="1"/>
  <c r="CJ118" i="6" s="1"/>
  <c r="BR118" i="6"/>
  <c r="CM118" i="6" a="1"/>
  <c r="CM118" i="6" s="1"/>
  <c r="CL118" i="6" a="1"/>
  <c r="CL118" i="6" s="1"/>
  <c r="BA118" i="6"/>
  <c r="CK118" i="6" a="1"/>
  <c r="CK118" i="6" s="1"/>
  <c r="BQ118" i="6"/>
  <c r="BP118" i="6"/>
  <c r="AW118" i="6"/>
  <c r="CB118" i="6" a="1"/>
  <c r="CB118" i="6" s="1"/>
  <c r="BW118" i="6" a="1"/>
  <c r="BW118" i="6" s="1"/>
  <c r="CC118" i="6" a="1"/>
  <c r="CC118" i="6" s="1"/>
  <c r="BG118" i="6"/>
  <c r="BI118" i="6"/>
  <c r="BL118" i="6"/>
  <c r="BV118" i="6" a="1"/>
  <c r="BV118" i="6" s="1"/>
  <c r="CD118" i="6" a="1"/>
  <c r="CD118" i="6" s="1"/>
  <c r="BC118" i="6"/>
  <c r="BX118" i="6" a="1"/>
  <c r="BX118" i="6" s="1"/>
  <c r="CA118" i="6" a="1"/>
  <c r="CA118" i="6" s="1"/>
  <c r="BE118" i="6"/>
  <c r="BJ118" i="6"/>
  <c r="CE118" i="6" a="1"/>
  <c r="CE118" i="6" s="1"/>
  <c r="BD118" i="6"/>
  <c r="BH118" i="6"/>
  <c r="BZ118" i="6" a="1"/>
  <c r="BZ118" i="6" s="1"/>
  <c r="BY118" i="6" a="1"/>
  <c r="BY118" i="6" s="1"/>
  <c r="BK118" i="6"/>
  <c r="BF118" i="6"/>
  <c r="M119" i="6"/>
  <c r="AZ119" i="6" s="1"/>
  <c r="A120" i="6"/>
  <c r="N120" i="6" s="1"/>
  <c r="T120" i="5"/>
  <c r="G120" i="12" s="1" a="1"/>
  <c r="G120" i="12" s="1"/>
  <c r="L121" i="12" a="1"/>
  <c r="L121" i="12" s="1"/>
  <c r="J121" i="12" a="1"/>
  <c r="J121" i="12" s="1"/>
  <c r="H121" i="6" a="1"/>
  <c r="H121" i="6" s="1"/>
  <c r="K120" i="12"/>
  <c r="B122" i="6"/>
  <c r="F122" i="5"/>
  <c r="C123" i="5"/>
  <c r="AD122" i="5"/>
  <c r="J122" i="5"/>
  <c r="B122" i="5"/>
  <c r="K122" i="5"/>
  <c r="AE122" i="5" a="1"/>
  <c r="AE122" i="5" s="1"/>
  <c r="H122" i="5"/>
  <c r="E122" i="5"/>
  <c r="A122" i="12"/>
  <c r="N122" i="5"/>
  <c r="D122" i="6" s="1"/>
  <c r="G122" i="5"/>
  <c r="D122" i="5"/>
  <c r="B122" i="12" s="1"/>
  <c r="L137" i="6"/>
  <c r="BA119" i="6" l="1"/>
  <c r="BS119" i="6"/>
  <c r="BN119" i="6"/>
  <c r="CH119" i="6" a="1"/>
  <c r="CH119" i="6" s="1"/>
  <c r="AW119" i="6"/>
  <c r="CJ119" i="6" a="1"/>
  <c r="CJ119" i="6" s="1"/>
  <c r="BR119" i="6"/>
  <c r="BM119" i="6"/>
  <c r="CI119" i="6" a="1"/>
  <c r="CI119" i="6" s="1"/>
  <c r="AV119" i="6"/>
  <c r="BQ119" i="6"/>
  <c r="CM119" i="6" a="1"/>
  <c r="CM119" i="6" s="1"/>
  <c r="BP119" i="6"/>
  <c r="CG119" i="6" a="1"/>
  <c r="CG119" i="6" s="1"/>
  <c r="BO119" i="6"/>
  <c r="CL119" i="6" a="1"/>
  <c r="CL119" i="6" s="1"/>
  <c r="CF119" i="6" a="1"/>
  <c r="CF119" i="6" s="1"/>
  <c r="AY119" i="6"/>
  <c r="AX119" i="6"/>
  <c r="BT119" i="6"/>
  <c r="CK119" i="6" a="1"/>
  <c r="CK119" i="6" s="1"/>
  <c r="H122" i="6" a="1"/>
  <c r="H122" i="6" s="1"/>
  <c r="T122" i="5" s="1"/>
  <c r="G122" i="12" s="1" a="1"/>
  <c r="G122" i="12" s="1"/>
  <c r="BD119" i="6"/>
  <c r="BL119" i="6"/>
  <c r="BW119" i="6" a="1"/>
  <c r="BW119" i="6" s="1"/>
  <c r="A121" i="6"/>
  <c r="M121" i="6" s="1"/>
  <c r="CC119" i="6" a="1"/>
  <c r="CC119" i="6" s="1"/>
  <c r="BG119" i="6"/>
  <c r="BC119" i="6"/>
  <c r="BY119" i="6" a="1"/>
  <c r="BY119" i="6" s="1"/>
  <c r="CE119" i="6" a="1"/>
  <c r="CE119" i="6" s="1"/>
  <c r="BK119" i="6"/>
  <c r="BH119" i="6"/>
  <c r="CA119" i="6" a="1"/>
  <c r="CA119" i="6" s="1"/>
  <c r="BF119" i="6"/>
  <c r="BJ119" i="6"/>
  <c r="CB119" i="6" a="1"/>
  <c r="CB119" i="6" s="1"/>
  <c r="BZ119" i="6" a="1"/>
  <c r="BZ119" i="6" s="1"/>
  <c r="BI119" i="6"/>
  <c r="BV119" i="6" a="1"/>
  <c r="BV119" i="6" s="1"/>
  <c r="BX119" i="6" a="1"/>
  <c r="BX119" i="6" s="1"/>
  <c r="BE119" i="6"/>
  <c r="CD119" i="6" a="1"/>
  <c r="CD119" i="6" s="1"/>
  <c r="M120" i="6"/>
  <c r="K121" i="12"/>
  <c r="J122" i="12" a="1"/>
  <c r="J122" i="12" s="1"/>
  <c r="L122" i="12" a="1"/>
  <c r="L122" i="12" s="1"/>
  <c r="K123" i="5"/>
  <c r="H123" i="5"/>
  <c r="E123" i="5"/>
  <c r="D123" i="5"/>
  <c r="B123" i="12" s="1"/>
  <c r="B123" i="6"/>
  <c r="AE123" i="5" a="1"/>
  <c r="AE123" i="5" s="1"/>
  <c r="AD123" i="5"/>
  <c r="C124" i="5"/>
  <c r="B123" i="5"/>
  <c r="F123" i="5"/>
  <c r="A123" i="12"/>
  <c r="N123" i="5"/>
  <c r="D123" i="6" s="1"/>
  <c r="G123" i="5"/>
  <c r="J123" i="5"/>
  <c r="T121" i="5"/>
  <c r="G121" i="12" s="1" a="1"/>
  <c r="G121" i="12" s="1"/>
  <c r="L138" i="6"/>
  <c r="C125" i="5" l="1"/>
  <c r="BG121" i="6"/>
  <c r="BR121" i="6"/>
  <c r="BQ121" i="6"/>
  <c r="CL121" i="6" a="1"/>
  <c r="CL121" i="6" s="1"/>
  <c r="BO121" i="6"/>
  <c r="CF121" i="6" a="1"/>
  <c r="CF121" i="6" s="1"/>
  <c r="BN121" i="6"/>
  <c r="BS121" i="6"/>
  <c r="CI121" i="6" a="1"/>
  <c r="CI121" i="6" s="1"/>
  <c r="BM121" i="6"/>
  <c r="CH121" i="6" a="1"/>
  <c r="CH121" i="6" s="1"/>
  <c r="CJ121" i="6" a="1"/>
  <c r="CJ121" i="6" s="1"/>
  <c r="BT121" i="6"/>
  <c r="CM121" i="6" a="1"/>
  <c r="CM121" i="6" s="1"/>
  <c r="CG121" i="6" a="1"/>
  <c r="CG121" i="6" s="1"/>
  <c r="BP121" i="6"/>
  <c r="CK121" i="6" a="1"/>
  <c r="CK121" i="6" s="1"/>
  <c r="AX121" i="6"/>
  <c r="BA121" i="6"/>
  <c r="AZ121" i="6"/>
  <c r="AV121" i="6"/>
  <c r="AW121" i="6"/>
  <c r="H123" i="6" a="1"/>
  <c r="H123" i="6" s="1"/>
  <c r="T123" i="5" s="1"/>
  <c r="G123" i="12" s="1" a="1"/>
  <c r="G123" i="12" s="1"/>
  <c r="CL120" i="6" a="1"/>
  <c r="CL120" i="6" s="1"/>
  <c r="BR120" i="6"/>
  <c r="CF120" i="6" a="1"/>
  <c r="CF120" i="6" s="1"/>
  <c r="BT120" i="6"/>
  <c r="BP120" i="6"/>
  <c r="CI120" i="6" a="1"/>
  <c r="CI120" i="6" s="1"/>
  <c r="BO120" i="6"/>
  <c r="CM120" i="6" a="1"/>
  <c r="CM120" i="6" s="1"/>
  <c r="BQ120" i="6"/>
  <c r="BM120" i="6"/>
  <c r="CH120" i="6" a="1"/>
  <c r="CH120" i="6" s="1"/>
  <c r="BN120" i="6"/>
  <c r="CG120" i="6" a="1"/>
  <c r="CG120" i="6" s="1"/>
  <c r="CK120" i="6" a="1"/>
  <c r="CK120" i="6" s="1"/>
  <c r="BS120" i="6"/>
  <c r="CJ120" i="6" a="1"/>
  <c r="CJ120" i="6" s="1"/>
  <c r="AZ120" i="6"/>
  <c r="BA120" i="6"/>
  <c r="AY120" i="6"/>
  <c r="AW120" i="6"/>
  <c r="AX120" i="6"/>
  <c r="AV120" i="6"/>
  <c r="AY121" i="6"/>
  <c r="BC121" i="6"/>
  <c r="CB121" i="6" a="1"/>
  <c r="CB121" i="6" s="1"/>
  <c r="BI121" i="6"/>
  <c r="CE121" i="6" a="1"/>
  <c r="CE121" i="6" s="1"/>
  <c r="BF121" i="6"/>
  <c r="BJ121" i="6"/>
  <c r="BV121" i="6" a="1"/>
  <c r="BV121" i="6" s="1"/>
  <c r="BX121" i="6" a="1"/>
  <c r="BX121" i="6" s="1"/>
  <c r="CD121" i="6" a="1"/>
  <c r="CD121" i="6" s="1"/>
  <c r="BZ121" i="6" a="1"/>
  <c r="BZ121" i="6" s="1"/>
  <c r="BH121" i="6"/>
  <c r="BD121" i="6"/>
  <c r="BY121" i="6" a="1"/>
  <c r="BY121" i="6" s="1"/>
  <c r="N121" i="6"/>
  <c r="BE121" i="6"/>
  <c r="BK121" i="6"/>
  <c r="A122" i="6"/>
  <c r="M122" i="6" s="1"/>
  <c r="CA121" i="6" a="1"/>
  <c r="CA121" i="6" s="1"/>
  <c r="BL121" i="6"/>
  <c r="BZ120" i="6" a="1"/>
  <c r="BZ120" i="6" s="1"/>
  <c r="BW121" i="6" a="1"/>
  <c r="BW121" i="6" s="1"/>
  <c r="CC121" i="6" a="1"/>
  <c r="CC121" i="6" s="1"/>
  <c r="BX120" i="6" a="1"/>
  <c r="BX120" i="6" s="1"/>
  <c r="CB120" i="6" a="1"/>
  <c r="CB120" i="6" s="1"/>
  <c r="BC120" i="6"/>
  <c r="CC120" i="6" a="1"/>
  <c r="CC120" i="6" s="1"/>
  <c r="BK120" i="6"/>
  <c r="BE120" i="6"/>
  <c r="BG120" i="6"/>
  <c r="BH120" i="6"/>
  <c r="BD120" i="6"/>
  <c r="CD120" i="6" a="1"/>
  <c r="CD120" i="6" s="1"/>
  <c r="CE120" i="6" a="1"/>
  <c r="CE120" i="6" s="1"/>
  <c r="BF120" i="6"/>
  <c r="CA120" i="6" a="1"/>
  <c r="CA120" i="6" s="1"/>
  <c r="BV120" i="6" a="1"/>
  <c r="BV120" i="6" s="1"/>
  <c r="BI120" i="6"/>
  <c r="BW120" i="6" a="1"/>
  <c r="BW120" i="6" s="1"/>
  <c r="BY120" i="6" a="1"/>
  <c r="BY120" i="6" s="1"/>
  <c r="BL120" i="6"/>
  <c r="BJ120" i="6"/>
  <c r="K122" i="12"/>
  <c r="L123" i="12" a="1"/>
  <c r="L123" i="12" s="1"/>
  <c r="J123" i="12" a="1"/>
  <c r="J123" i="12" s="1"/>
  <c r="G124" i="5"/>
  <c r="G125" i="5" s="1"/>
  <c r="A124" i="12"/>
  <c r="J124" i="5"/>
  <c r="AD124" i="5"/>
  <c r="H124" i="5"/>
  <c r="H125" i="5" s="1"/>
  <c r="N124" i="5"/>
  <c r="D124" i="6" s="1"/>
  <c r="AE124" i="5" a="1"/>
  <c r="AE124" i="5" s="1"/>
  <c r="D124" i="5"/>
  <c r="B124" i="12" s="1"/>
  <c r="B124" i="6"/>
  <c r="E124" i="5"/>
  <c r="E125" i="5" s="1"/>
  <c r="F124" i="5"/>
  <c r="F125" i="5" s="1"/>
  <c r="K124" i="5"/>
  <c r="B124" i="5"/>
  <c r="B125" i="5" s="1"/>
  <c r="B125" i="6"/>
  <c r="N125" i="5"/>
  <c r="D125" i="6" s="1"/>
  <c r="D125" i="5"/>
  <c r="B125" i="12" s="1"/>
  <c r="K125" i="5"/>
  <c r="A125" i="12"/>
  <c r="J125" i="5"/>
  <c r="C126" i="5"/>
  <c r="AE125" i="5" a="1"/>
  <c r="AE125" i="5" s="1"/>
  <c r="AD125" i="5"/>
  <c r="L139" i="6"/>
  <c r="CJ122" i="6" l="1" a="1"/>
  <c r="CJ122" i="6" s="1"/>
  <c r="BT122" i="6"/>
  <c r="BQ122" i="6"/>
  <c r="BN122" i="6"/>
  <c r="CK122" i="6" a="1"/>
  <c r="CK122" i="6" s="1"/>
  <c r="BO122" i="6"/>
  <c r="BS122" i="6"/>
  <c r="BR122" i="6"/>
  <c r="BP122" i="6"/>
  <c r="CF122" i="6" a="1"/>
  <c r="CF122" i="6" s="1"/>
  <c r="CM122" i="6" a="1"/>
  <c r="CM122" i="6" s="1"/>
  <c r="CG122" i="6" a="1"/>
  <c r="CG122" i="6" s="1"/>
  <c r="BM122" i="6"/>
  <c r="CL122" i="6" a="1"/>
  <c r="CL122" i="6" s="1"/>
  <c r="CH122" i="6" a="1"/>
  <c r="CH122" i="6" s="1"/>
  <c r="BA122" i="6"/>
  <c r="CI122" i="6" a="1"/>
  <c r="CI122" i="6" s="1"/>
  <c r="AW122" i="6"/>
  <c r="AV122" i="6"/>
  <c r="AZ122" i="6"/>
  <c r="AY122" i="6"/>
  <c r="AX122" i="6"/>
  <c r="BC122" i="6"/>
  <c r="BH122" i="6"/>
  <c r="CA122" i="6" a="1"/>
  <c r="CA122" i="6" s="1"/>
  <c r="BI122" i="6"/>
  <c r="BE122" i="6"/>
  <c r="BV122" i="6" a="1"/>
  <c r="BV122" i="6" s="1"/>
  <c r="BL122" i="6"/>
  <c r="CC122" i="6" a="1"/>
  <c r="CC122" i="6" s="1"/>
  <c r="CE122" i="6" a="1"/>
  <c r="CE122" i="6" s="1"/>
  <c r="BG122" i="6"/>
  <c r="BK122" i="6"/>
  <c r="BZ122" i="6" a="1"/>
  <c r="BZ122" i="6" s="1"/>
  <c r="BD122" i="6"/>
  <c r="N122" i="6"/>
  <c r="BY122" i="6" a="1"/>
  <c r="BY122" i="6" s="1"/>
  <c r="CD122" i="6" a="1"/>
  <c r="CD122" i="6" s="1"/>
  <c r="BX122" i="6" a="1"/>
  <c r="BX122" i="6" s="1"/>
  <c r="CB122" i="6" a="1"/>
  <c r="CB122" i="6" s="1"/>
  <c r="A123" i="6"/>
  <c r="A124" i="6" s="1"/>
  <c r="M124" i="6" s="1"/>
  <c r="CJ124" i="6" s="1" a="1"/>
  <c r="CJ124" i="6" s="1"/>
  <c r="BJ122" i="6"/>
  <c r="BF122" i="6"/>
  <c r="BW122" i="6" a="1"/>
  <c r="BW122" i="6" s="1"/>
  <c r="H124" i="6" a="1"/>
  <c r="H124" i="6" s="1"/>
  <c r="J124" i="12" a="1"/>
  <c r="J124" i="12" s="1"/>
  <c r="L124" i="12" a="1"/>
  <c r="L124" i="12" s="1"/>
  <c r="K123" i="12"/>
  <c r="H125" i="6" a="1"/>
  <c r="H125" i="6" s="1"/>
  <c r="E126" i="5"/>
  <c r="G126" i="5"/>
  <c r="B126" i="6"/>
  <c r="N126" i="5"/>
  <c r="D126" i="6" s="1"/>
  <c r="D126" i="5"/>
  <c r="B126" i="12" s="1"/>
  <c r="B126" i="5"/>
  <c r="A126" i="12"/>
  <c r="K126" i="5"/>
  <c r="J126" i="5"/>
  <c r="H126" i="5"/>
  <c r="AE126" i="5" a="1"/>
  <c r="AE126" i="5" s="1"/>
  <c r="C127" i="5"/>
  <c r="F126" i="5"/>
  <c r="AD126" i="5"/>
  <c r="J125" i="12" a="1"/>
  <c r="J125" i="12" s="1"/>
  <c r="L125" i="12" a="1"/>
  <c r="L125" i="12" s="1"/>
  <c r="L140" i="6"/>
  <c r="AV124" i="6" l="1"/>
  <c r="BO124" i="6"/>
  <c r="CH124" i="6" a="1"/>
  <c r="CH124" i="6" s="1"/>
  <c r="BQ124" i="6"/>
  <c r="CI124" i="6" a="1"/>
  <c r="CI124" i="6" s="1"/>
  <c r="BM124" i="6"/>
  <c r="BP124" i="6"/>
  <c r="H126" i="6" a="1"/>
  <c r="H126" i="6" s="1"/>
  <c r="T126" i="5" s="1"/>
  <c r="G126" i="12" s="1" a="1"/>
  <c r="G126" i="12" s="1"/>
  <c r="CG124" i="6" a="1"/>
  <c r="CG124" i="6" s="1"/>
  <c r="AW124" i="6"/>
  <c r="CK124" i="6" a="1"/>
  <c r="CK124" i="6" s="1"/>
  <c r="BS124" i="6"/>
  <c r="AX124" i="6"/>
  <c r="CF124" i="6" a="1"/>
  <c r="CF124" i="6" s="1"/>
  <c r="AZ124" i="6"/>
  <c r="BR124" i="6"/>
  <c r="BA124" i="6"/>
  <c r="BT124" i="6"/>
  <c r="AY124" i="6"/>
  <c r="CL124" i="6" a="1"/>
  <c r="CL124" i="6" s="1"/>
  <c r="CM124" i="6" a="1"/>
  <c r="CM124" i="6" s="1"/>
  <c r="BN124" i="6"/>
  <c r="M123" i="6"/>
  <c r="N123" i="6"/>
  <c r="A125" i="6"/>
  <c r="A126" i="6" s="1"/>
  <c r="N124" i="6"/>
  <c r="K124" i="12"/>
  <c r="T124" i="5"/>
  <c r="G124" i="12" s="1" a="1"/>
  <c r="G124" i="12" s="1"/>
  <c r="CD124" i="6" a="1"/>
  <c r="CD124" i="6" s="1"/>
  <c r="BG124" i="6"/>
  <c r="BL124" i="6"/>
  <c r="BW124" i="6" a="1"/>
  <c r="BW124" i="6" s="1"/>
  <c r="CC124" i="6" a="1"/>
  <c r="CC124" i="6" s="1"/>
  <c r="BJ124" i="6"/>
  <c r="BY124" i="6" a="1"/>
  <c r="BY124" i="6" s="1"/>
  <c r="CB124" i="6" a="1"/>
  <c r="CB124" i="6" s="1"/>
  <c r="BV124" i="6" a="1"/>
  <c r="BV124" i="6" s="1"/>
  <c r="BZ124" i="6" a="1"/>
  <c r="BZ124" i="6" s="1"/>
  <c r="CA124" i="6" a="1"/>
  <c r="CA124" i="6" s="1"/>
  <c r="BC124" i="6"/>
  <c r="BX124" i="6" a="1"/>
  <c r="BX124" i="6" s="1"/>
  <c r="BK124" i="6"/>
  <c r="BE124" i="6"/>
  <c r="CE124" i="6" a="1"/>
  <c r="CE124" i="6" s="1"/>
  <c r="BI124" i="6"/>
  <c r="BH124" i="6"/>
  <c r="BF124" i="6"/>
  <c r="BD124" i="6"/>
  <c r="K125" i="12"/>
  <c r="F127" i="5"/>
  <c r="D127" i="5"/>
  <c r="B127" i="12" s="1"/>
  <c r="K127" i="5"/>
  <c r="J127" i="5"/>
  <c r="G127" i="5"/>
  <c r="C128" i="5"/>
  <c r="AD127" i="5"/>
  <c r="B127" i="5"/>
  <c r="H127" i="5"/>
  <c r="E127" i="5"/>
  <c r="AE127" i="5" a="1"/>
  <c r="AE127" i="5" s="1"/>
  <c r="N127" i="5"/>
  <c r="D127" i="6" s="1"/>
  <c r="B127" i="6"/>
  <c r="A127" i="12"/>
  <c r="L126" i="12" a="1"/>
  <c r="L126" i="12" s="1"/>
  <c r="J126" i="12" a="1"/>
  <c r="J126" i="12" s="1"/>
  <c r="T125" i="5"/>
  <c r="G125" i="12" s="1" a="1"/>
  <c r="G125" i="12" s="1"/>
  <c r="BO123" i="6" l="1"/>
  <c r="BN123" i="6"/>
  <c r="BR123" i="6"/>
  <c r="AW123" i="6"/>
  <c r="BS123" i="6"/>
  <c r="BM123" i="6"/>
  <c r="CK123" i="6" a="1"/>
  <c r="CK123" i="6" s="1"/>
  <c r="BQ123" i="6"/>
  <c r="CJ123" i="6" a="1"/>
  <c r="CJ123" i="6" s="1"/>
  <c r="CL123" i="6" a="1"/>
  <c r="CL123" i="6" s="1"/>
  <c r="CF123" i="6" a="1"/>
  <c r="CF123" i="6" s="1"/>
  <c r="CM123" i="6" a="1"/>
  <c r="CM123" i="6" s="1"/>
  <c r="AZ123" i="6"/>
  <c r="CI123" i="6" a="1"/>
  <c r="CI123" i="6" s="1"/>
  <c r="BT123" i="6"/>
  <c r="CH123" i="6" a="1"/>
  <c r="CH123" i="6" s="1"/>
  <c r="BP123" i="6"/>
  <c r="CG123" i="6" a="1"/>
  <c r="CG123" i="6" s="1"/>
  <c r="BA123" i="6"/>
  <c r="AV123" i="6"/>
  <c r="AX123" i="6"/>
  <c r="AY123" i="6"/>
  <c r="BY123" i="6" a="1"/>
  <c r="BY123" i="6" s="1"/>
  <c r="CB123" i="6" a="1"/>
  <c r="CB123" i="6" s="1"/>
  <c r="BK123" i="6"/>
  <c r="BC123" i="6"/>
  <c r="BG123" i="6"/>
  <c r="BD123" i="6"/>
  <c r="BJ123" i="6"/>
  <c r="BX123" i="6" a="1"/>
  <c r="BX123" i="6" s="1"/>
  <c r="CC123" i="6" a="1"/>
  <c r="CC123" i="6" s="1"/>
  <c r="BW123" i="6" a="1"/>
  <c r="BW123" i="6" s="1"/>
  <c r="BH123" i="6"/>
  <c r="CE123" i="6" a="1"/>
  <c r="CE123" i="6" s="1"/>
  <c r="BE123" i="6"/>
  <c r="BV123" i="6" a="1"/>
  <c r="BV123" i="6" s="1"/>
  <c r="CA123" i="6" a="1"/>
  <c r="CA123" i="6" s="1"/>
  <c r="BL123" i="6"/>
  <c r="CD123" i="6" a="1"/>
  <c r="CD123" i="6" s="1"/>
  <c r="BZ123" i="6" a="1"/>
  <c r="BZ123" i="6" s="1"/>
  <c r="BF123" i="6"/>
  <c r="BI123" i="6"/>
  <c r="M125" i="6"/>
  <c r="N125" i="6"/>
  <c r="K126" i="12"/>
  <c r="J127" i="12" a="1"/>
  <c r="J127" i="12" s="1"/>
  <c r="L127" i="12" a="1"/>
  <c r="L127" i="12" s="1"/>
  <c r="H127" i="6" a="1"/>
  <c r="H127" i="6" s="1"/>
  <c r="J128" i="5"/>
  <c r="AE128" i="5" a="1"/>
  <c r="AE128" i="5" s="1"/>
  <c r="A128" i="12"/>
  <c r="G128" i="5"/>
  <c r="H128" i="5"/>
  <c r="E128" i="5"/>
  <c r="D128" i="5"/>
  <c r="B128" i="12" s="1"/>
  <c r="B128" i="5"/>
  <c r="K128" i="5"/>
  <c r="F128" i="5"/>
  <c r="B128" i="6"/>
  <c r="C129" i="5"/>
  <c r="AD128" i="5"/>
  <c r="N128" i="5"/>
  <c r="D128" i="6" s="1"/>
  <c r="N126" i="6"/>
  <c r="M126" i="6"/>
  <c r="BA126" i="6" s="1"/>
  <c r="A127" i="6"/>
  <c r="N127" i="6" s="1"/>
  <c r="C10" i="7"/>
  <c r="L141" i="6"/>
  <c r="H128" i="6" l="1" a="1"/>
  <c r="H128" i="6" s="1"/>
  <c r="T128" i="5" s="1"/>
  <c r="G128" i="12" s="1" a="1"/>
  <c r="G128" i="12" s="1"/>
  <c r="AV126" i="6"/>
  <c r="BT125" i="6"/>
  <c r="BM125" i="6"/>
  <c r="BS125" i="6"/>
  <c r="BN125" i="6"/>
  <c r="CF125" i="6" a="1"/>
  <c r="CF125" i="6" s="1"/>
  <c r="BQ125" i="6"/>
  <c r="CI125" i="6" a="1"/>
  <c r="CI125" i="6" s="1"/>
  <c r="BO125" i="6"/>
  <c r="CM125" i="6" a="1"/>
  <c r="CM125" i="6" s="1"/>
  <c r="CG125" i="6" a="1"/>
  <c r="CG125" i="6" s="1"/>
  <c r="BR125" i="6"/>
  <c r="AV125" i="6"/>
  <c r="CL125" i="6" a="1"/>
  <c r="CL125" i="6" s="1"/>
  <c r="CH125" i="6" a="1"/>
  <c r="CH125" i="6" s="1"/>
  <c r="CJ125" i="6" a="1"/>
  <c r="CJ125" i="6" s="1"/>
  <c r="BP125" i="6"/>
  <c r="CK125" i="6" a="1"/>
  <c r="CK125" i="6" s="1"/>
  <c r="AW125" i="6"/>
  <c r="AY125" i="6"/>
  <c r="AX125" i="6"/>
  <c r="AZ125" i="6"/>
  <c r="BA125" i="6"/>
  <c r="CJ126" i="6" a="1"/>
  <c r="CJ126" i="6" s="1"/>
  <c r="BT126" i="6"/>
  <c r="CM126" i="6" a="1"/>
  <c r="CM126" i="6" s="1"/>
  <c r="AZ126" i="6"/>
  <c r="BN126" i="6"/>
  <c r="CL126" i="6" a="1"/>
  <c r="CL126" i="6" s="1"/>
  <c r="BS126" i="6"/>
  <c r="CF126" i="6" a="1"/>
  <c r="CF126" i="6" s="1"/>
  <c r="AW126" i="6"/>
  <c r="CI126" i="6" a="1"/>
  <c r="CI126" i="6" s="1"/>
  <c r="BR126" i="6"/>
  <c r="BP126" i="6"/>
  <c r="CH126" i="6" a="1"/>
  <c r="CH126" i="6" s="1"/>
  <c r="BO126" i="6"/>
  <c r="CG126" i="6" a="1"/>
  <c r="CG126" i="6" s="1"/>
  <c r="BQ126" i="6"/>
  <c r="AY126" i="6"/>
  <c r="CK126" i="6" a="1"/>
  <c r="CK126" i="6" s="1"/>
  <c r="BM126" i="6"/>
  <c r="AX126" i="6"/>
  <c r="BJ125" i="6"/>
  <c r="BI125" i="6"/>
  <c r="CC125" i="6" a="1"/>
  <c r="CC125" i="6" s="1"/>
  <c r="CE125" i="6" a="1"/>
  <c r="CE125" i="6" s="1"/>
  <c r="BK125" i="6"/>
  <c r="CD125" i="6" a="1"/>
  <c r="CD125" i="6" s="1"/>
  <c r="BX125" i="6" a="1"/>
  <c r="BX125" i="6" s="1"/>
  <c r="BF125" i="6"/>
  <c r="BZ125" i="6" a="1"/>
  <c r="BZ125" i="6" s="1"/>
  <c r="BL125" i="6"/>
  <c r="BV125" i="6" a="1"/>
  <c r="BV125" i="6" s="1"/>
  <c r="BY125" i="6" a="1"/>
  <c r="BY125" i="6" s="1"/>
  <c r="CB125" i="6" a="1"/>
  <c r="CB125" i="6" s="1"/>
  <c r="BW125" i="6" a="1"/>
  <c r="BW125" i="6" s="1"/>
  <c r="BG125" i="6"/>
  <c r="CA125" i="6" a="1"/>
  <c r="CA125" i="6" s="1"/>
  <c r="BH125" i="6"/>
  <c r="BC125" i="6"/>
  <c r="BE125" i="6"/>
  <c r="BD125" i="6"/>
  <c r="K127" i="12"/>
  <c r="B129" i="5"/>
  <c r="C130" i="5"/>
  <c r="E129" i="5"/>
  <c r="AD129" i="5"/>
  <c r="A129" i="12"/>
  <c r="F129" i="5"/>
  <c r="N129" i="5"/>
  <c r="D129" i="6" s="1"/>
  <c r="J129" i="5"/>
  <c r="B129" i="6"/>
  <c r="H129" i="5"/>
  <c r="K129" i="5"/>
  <c r="D129" i="5"/>
  <c r="B129" i="12" s="1"/>
  <c r="AE129" i="5" a="1"/>
  <c r="AE129" i="5" s="1"/>
  <c r="G129" i="5"/>
  <c r="J128" i="12" a="1"/>
  <c r="J128" i="12" s="1"/>
  <c r="L128" i="12" a="1"/>
  <c r="L128" i="12" s="1"/>
  <c r="M127" i="6"/>
  <c r="AY127" i="6" s="1"/>
  <c r="T127" i="5"/>
  <c r="G127" i="12" s="1" a="1"/>
  <c r="G127" i="12" s="1"/>
  <c r="CC126" i="6" a="1"/>
  <c r="CC126" i="6" s="1"/>
  <c r="CB126" i="6" a="1"/>
  <c r="CB126" i="6" s="1"/>
  <c r="BI126" i="6"/>
  <c r="BL126" i="6"/>
  <c r="BH126" i="6"/>
  <c r="BF126" i="6"/>
  <c r="BV126" i="6" a="1"/>
  <c r="BV126" i="6" s="1"/>
  <c r="BY126" i="6" a="1"/>
  <c r="BY126" i="6" s="1"/>
  <c r="BE126" i="6"/>
  <c r="BK126" i="6"/>
  <c r="BG126" i="6"/>
  <c r="BD126" i="6"/>
  <c r="CA126" i="6" a="1"/>
  <c r="CA126" i="6" s="1"/>
  <c r="CD126" i="6" a="1"/>
  <c r="CD126" i="6" s="1"/>
  <c r="BW126" i="6" a="1"/>
  <c r="BW126" i="6" s="1"/>
  <c r="BC126" i="6"/>
  <c r="BJ126" i="6"/>
  <c r="CE126" i="6" a="1"/>
  <c r="CE126" i="6" s="1"/>
  <c r="BX126" i="6" a="1"/>
  <c r="BX126" i="6" s="1"/>
  <c r="BZ126" i="6" a="1"/>
  <c r="BZ126" i="6" s="1"/>
  <c r="A128" i="6"/>
  <c r="L142" i="6"/>
  <c r="F141" i="6"/>
  <c r="BT127" i="6" l="1"/>
  <c r="BP127" i="6"/>
  <c r="AX127" i="6"/>
  <c r="BS127" i="6"/>
  <c r="BM127" i="6"/>
  <c r="CK127" i="6" a="1"/>
  <c r="CK127" i="6" s="1"/>
  <c r="BR127" i="6"/>
  <c r="BQ127" i="6"/>
  <c r="CG127" i="6" a="1"/>
  <c r="CG127" i="6" s="1"/>
  <c r="CI127" i="6" a="1"/>
  <c r="CI127" i="6" s="1"/>
  <c r="CH127" i="6" a="1"/>
  <c r="CH127" i="6" s="1"/>
  <c r="BN127" i="6"/>
  <c r="CJ127" i="6" a="1"/>
  <c r="CJ127" i="6" s="1"/>
  <c r="CM127" i="6" a="1"/>
  <c r="CM127" i="6" s="1"/>
  <c r="CF127" i="6" a="1"/>
  <c r="CF127" i="6" s="1"/>
  <c r="CL127" i="6" a="1"/>
  <c r="CL127" i="6" s="1"/>
  <c r="BO127" i="6"/>
  <c r="AV127" i="6"/>
  <c r="AZ127" i="6"/>
  <c r="BA127" i="6"/>
  <c r="AW127" i="6"/>
  <c r="N128" i="6"/>
  <c r="M128" i="6"/>
  <c r="BY127" i="6" a="1"/>
  <c r="BY127" i="6" s="1"/>
  <c r="CC127" i="6" a="1"/>
  <c r="CC127" i="6" s="1"/>
  <c r="BE127" i="6"/>
  <c r="BD127" i="6"/>
  <c r="CD127" i="6" a="1"/>
  <c r="CD127" i="6" s="1"/>
  <c r="BL127" i="6"/>
  <c r="CE127" i="6" a="1"/>
  <c r="CE127" i="6" s="1"/>
  <c r="BJ127" i="6"/>
  <c r="CA127" i="6" a="1"/>
  <c r="CA127" i="6" s="1"/>
  <c r="BC127" i="6"/>
  <c r="CB127" i="6" a="1"/>
  <c r="CB127" i="6" s="1"/>
  <c r="BV127" i="6" a="1"/>
  <c r="BV127" i="6" s="1"/>
  <c r="BF127" i="6"/>
  <c r="BK127" i="6"/>
  <c r="BX127" i="6" a="1"/>
  <c r="BX127" i="6" s="1"/>
  <c r="BW127" i="6" a="1"/>
  <c r="BW127" i="6" s="1"/>
  <c r="BI127" i="6"/>
  <c r="BZ127" i="6" a="1"/>
  <c r="BZ127" i="6" s="1"/>
  <c r="BG127" i="6"/>
  <c r="BH127" i="6"/>
  <c r="C131" i="5"/>
  <c r="J130" i="5"/>
  <c r="AD130" i="5"/>
  <c r="H130" i="5"/>
  <c r="B130" i="6"/>
  <c r="A130" i="12"/>
  <c r="G130" i="5"/>
  <c r="D130" i="5"/>
  <c r="B130" i="12" s="1"/>
  <c r="F130" i="5"/>
  <c r="K130" i="5"/>
  <c r="AE130" i="5" a="1"/>
  <c r="AE130" i="5" s="1"/>
  <c r="B130" i="5"/>
  <c r="E130" i="5"/>
  <c r="N130" i="5"/>
  <c r="D130" i="6" s="1"/>
  <c r="K128" i="12"/>
  <c r="A129" i="6"/>
  <c r="M129" i="6" s="1"/>
  <c r="BQ129" i="6" s="1"/>
  <c r="H129" i="6" a="1"/>
  <c r="H129" i="6" s="1"/>
  <c r="J129" i="12" a="1"/>
  <c r="J129" i="12" s="1"/>
  <c r="L129" i="12" a="1"/>
  <c r="L129" i="12" s="1"/>
  <c r="L143" i="6"/>
  <c r="AZ128" i="6" l="1"/>
  <c r="AW128" i="6"/>
  <c r="BA129" i="6"/>
  <c r="BN129" i="6"/>
  <c r="BO129" i="6"/>
  <c r="BT129" i="6"/>
  <c r="CJ129" i="6" a="1"/>
  <c r="CJ129" i="6" s="1"/>
  <c r="CL129" i="6" a="1"/>
  <c r="CL129" i="6" s="1"/>
  <c r="BM129" i="6"/>
  <c r="BR129" i="6"/>
  <c r="AY129" i="6"/>
  <c r="BS129" i="6"/>
  <c r="CF129" i="6" a="1"/>
  <c r="CF129" i="6" s="1"/>
  <c r="CM129" i="6" a="1"/>
  <c r="CM129" i="6" s="1"/>
  <c r="AV129" i="6"/>
  <c r="CK129" i="6" a="1"/>
  <c r="CK129" i="6" s="1"/>
  <c r="AW129" i="6"/>
  <c r="CG129" i="6" a="1"/>
  <c r="CG129" i="6" s="1"/>
  <c r="AX129" i="6"/>
  <c r="CH129" i="6" a="1"/>
  <c r="CH129" i="6" s="1"/>
  <c r="BP129" i="6"/>
  <c r="AZ129" i="6"/>
  <c r="BS128" i="6"/>
  <c r="BN128" i="6"/>
  <c r="BA128" i="6"/>
  <c r="BO128" i="6"/>
  <c r="AV128" i="6"/>
  <c r="AX128" i="6"/>
  <c r="CI128" i="6" a="1"/>
  <c r="CI128" i="6" s="1"/>
  <c r="CF128" i="6" a="1"/>
  <c r="CF128" i="6" s="1"/>
  <c r="CH128" i="6" a="1"/>
  <c r="CH128" i="6" s="1"/>
  <c r="BM128" i="6"/>
  <c r="CG128" i="6" a="1"/>
  <c r="CG128" i="6" s="1"/>
  <c r="CJ128" i="6" a="1"/>
  <c r="CJ128" i="6" s="1"/>
  <c r="BQ128" i="6"/>
  <c r="CL128" i="6" a="1"/>
  <c r="CL128" i="6" s="1"/>
  <c r="AY128" i="6"/>
  <c r="CK128" i="6" a="1"/>
  <c r="CK128" i="6" s="1"/>
  <c r="BR128" i="6"/>
  <c r="CM128" i="6" a="1"/>
  <c r="CM128" i="6" s="1"/>
  <c r="BP128" i="6"/>
  <c r="BT128" i="6"/>
  <c r="CI129" i="6" a="1"/>
  <c r="CI129" i="6" s="1"/>
  <c r="K129" i="12"/>
  <c r="T129" i="5"/>
  <c r="G129" i="12" s="1" a="1"/>
  <c r="G129" i="12" s="1"/>
  <c r="N129" i="6"/>
  <c r="H130" i="6" a="1"/>
  <c r="H130" i="6" s="1"/>
  <c r="L130" i="12" a="1"/>
  <c r="L130" i="12" s="1"/>
  <c r="J130" i="12" a="1"/>
  <c r="J130" i="12" s="1"/>
  <c r="AE131" i="5" a="1"/>
  <c r="AE131" i="5" s="1"/>
  <c r="B131" i="6"/>
  <c r="AD131" i="5"/>
  <c r="N131" i="5"/>
  <c r="D131" i="6" s="1"/>
  <c r="K131" i="5"/>
  <c r="B131" i="5"/>
  <c r="F131" i="5"/>
  <c r="A131" i="12"/>
  <c r="H131" i="5"/>
  <c r="J131" i="5"/>
  <c r="D131" i="5"/>
  <c r="B131" i="12" s="1"/>
  <c r="E131" i="5"/>
  <c r="G131" i="5"/>
  <c r="CB128" i="6" a="1"/>
  <c r="CB128" i="6" s="1"/>
  <c r="BY128" i="6" a="1"/>
  <c r="BY128" i="6" s="1"/>
  <c r="CD128" i="6" a="1"/>
  <c r="CD128" i="6" s="1"/>
  <c r="BI128" i="6"/>
  <c r="BL128" i="6"/>
  <c r="BW128" i="6" a="1"/>
  <c r="BW128" i="6" s="1"/>
  <c r="BK128" i="6"/>
  <c r="BH128" i="6"/>
  <c r="BZ128" i="6" a="1"/>
  <c r="BZ128" i="6" s="1"/>
  <c r="BX128" i="6" a="1"/>
  <c r="BX128" i="6" s="1"/>
  <c r="CE128" i="6" a="1"/>
  <c r="CE128" i="6" s="1"/>
  <c r="BG128" i="6"/>
  <c r="BD128" i="6"/>
  <c r="BF128" i="6"/>
  <c r="BJ128" i="6"/>
  <c r="CC128" i="6" a="1"/>
  <c r="CC128" i="6" s="1"/>
  <c r="BE128" i="6"/>
  <c r="CA128" i="6" a="1"/>
  <c r="CA128" i="6" s="1"/>
  <c r="BV128" i="6" a="1"/>
  <c r="BV128" i="6" s="1"/>
  <c r="BC128" i="6"/>
  <c r="BL129" i="6"/>
  <c r="BX129" i="6" a="1"/>
  <c r="BX129" i="6" s="1"/>
  <c r="BF129" i="6"/>
  <c r="BI129" i="6"/>
  <c r="BC129" i="6"/>
  <c r="BK129" i="6"/>
  <c r="BZ129" i="6" a="1"/>
  <c r="BZ129" i="6" s="1"/>
  <c r="CC129" i="6" a="1"/>
  <c r="CC129" i="6" s="1"/>
  <c r="CB129" i="6" a="1"/>
  <c r="CB129" i="6" s="1"/>
  <c r="CA129" i="6" a="1"/>
  <c r="CA129" i="6" s="1"/>
  <c r="BE129" i="6"/>
  <c r="BD129" i="6"/>
  <c r="BY129" i="6" a="1"/>
  <c r="BY129" i="6" s="1"/>
  <c r="CE129" i="6" a="1"/>
  <c r="CE129" i="6" s="1"/>
  <c r="BJ129" i="6"/>
  <c r="CD129" i="6" a="1"/>
  <c r="CD129" i="6" s="1"/>
  <c r="BG129" i="6"/>
  <c r="BW129" i="6" a="1"/>
  <c r="BW129" i="6" s="1"/>
  <c r="BH129" i="6"/>
  <c r="BV129" i="6" a="1"/>
  <c r="BV129" i="6" s="1"/>
  <c r="A130" i="6"/>
  <c r="M130" i="6" s="1"/>
  <c r="CI130" i="6" s="1" a="1"/>
  <c r="CI130" i="6" s="1"/>
  <c r="L144" i="6"/>
  <c r="AV130" i="6" l="1"/>
  <c r="BN130" i="6"/>
  <c r="AX130" i="6"/>
  <c r="CL130" i="6" a="1"/>
  <c r="CL130" i="6" s="1"/>
  <c r="BO130" i="6"/>
  <c r="AW130" i="6"/>
  <c r="BM130" i="6"/>
  <c r="BP130" i="6"/>
  <c r="CM130" i="6" a="1"/>
  <c r="CM130" i="6" s="1"/>
  <c r="AY130" i="6"/>
  <c r="BT130" i="6"/>
  <c r="CF130" i="6" a="1"/>
  <c r="CF130" i="6" s="1"/>
  <c r="AZ130" i="6"/>
  <c r="CK130" i="6" a="1"/>
  <c r="CK130" i="6" s="1"/>
  <c r="BA130" i="6"/>
  <c r="CJ130" i="6" a="1"/>
  <c r="CJ130" i="6" s="1"/>
  <c r="CG130" i="6" a="1"/>
  <c r="CG130" i="6" s="1"/>
  <c r="BQ130" i="6"/>
  <c r="BS130" i="6"/>
  <c r="CH130" i="6" a="1"/>
  <c r="CH130" i="6" s="1"/>
  <c r="H131" i="6" a="1"/>
  <c r="H131" i="6" s="1"/>
  <c r="T131" i="5" s="1"/>
  <c r="G131" i="12" s="1" a="1"/>
  <c r="G131" i="12" s="1"/>
  <c r="BR130" i="6"/>
  <c r="CD130" i="6" a="1"/>
  <c r="CD130" i="6" s="1"/>
  <c r="BD130" i="6"/>
  <c r="BZ130" i="6" a="1"/>
  <c r="BZ130" i="6" s="1"/>
  <c r="BY130" i="6" a="1"/>
  <c r="BY130" i="6" s="1"/>
  <c r="BK130" i="6"/>
  <c r="BJ130" i="6"/>
  <c r="BG130" i="6"/>
  <c r="BW130" i="6" a="1"/>
  <c r="BW130" i="6" s="1"/>
  <c r="BV130" i="6" a="1"/>
  <c r="BV130" i="6" s="1"/>
  <c r="BC130" i="6"/>
  <c r="BH130" i="6"/>
  <c r="BL130" i="6"/>
  <c r="BI130" i="6"/>
  <c r="BE130" i="6"/>
  <c r="CA130" i="6" a="1"/>
  <c r="CA130" i="6" s="1"/>
  <c r="CE130" i="6" a="1"/>
  <c r="CE130" i="6" s="1"/>
  <c r="BF130" i="6"/>
  <c r="CC130" i="6" a="1"/>
  <c r="CC130" i="6" s="1"/>
  <c r="BX130" i="6" a="1"/>
  <c r="BX130" i="6" s="1"/>
  <c r="CB130" i="6" a="1"/>
  <c r="CB130" i="6" s="1"/>
  <c r="J131" i="12" a="1"/>
  <c r="J131" i="12" s="1"/>
  <c r="L131" i="12" a="1"/>
  <c r="L131" i="12" s="1"/>
  <c r="C132" i="5"/>
  <c r="A131" i="6"/>
  <c r="N130" i="6"/>
  <c r="T130" i="5"/>
  <c r="G130" i="12" s="1" a="1"/>
  <c r="G130" i="12" s="1"/>
  <c r="K130" i="12"/>
  <c r="L145" i="6"/>
  <c r="N131" i="6" l="1"/>
  <c r="M131" i="6"/>
  <c r="AD132" i="5"/>
  <c r="E132" i="5"/>
  <c r="AE132" i="5" a="1"/>
  <c r="AE132" i="5" s="1"/>
  <c r="J132" i="5"/>
  <c r="K132" i="5"/>
  <c r="B132" i="6"/>
  <c r="N132" i="5"/>
  <c r="D132" i="6" s="1"/>
  <c r="H132" i="5"/>
  <c r="D132" i="5"/>
  <c r="B132" i="12" s="1"/>
  <c r="G132" i="5"/>
  <c r="B132" i="5"/>
  <c r="A132" i="12"/>
  <c r="C133" i="5"/>
  <c r="F132" i="5"/>
  <c r="K131" i="12"/>
  <c r="L146" i="6"/>
  <c r="F145" i="6"/>
  <c r="CI131" i="6" l="1" a="1"/>
  <c r="CI131" i="6" s="1"/>
  <c r="BS131" i="6"/>
  <c r="BR131" i="6"/>
  <c r="CM131" i="6" a="1"/>
  <c r="CM131" i="6" s="1"/>
  <c r="BQ131" i="6"/>
  <c r="CJ131" i="6" a="1"/>
  <c r="CJ131" i="6" s="1"/>
  <c r="CH131" i="6" a="1"/>
  <c r="CH131" i="6" s="1"/>
  <c r="BP131" i="6"/>
  <c r="CG131" i="6" a="1"/>
  <c r="CG131" i="6" s="1"/>
  <c r="BO131" i="6"/>
  <c r="CK131" i="6" a="1"/>
  <c r="CK131" i="6" s="1"/>
  <c r="BN131" i="6"/>
  <c r="AZ131" i="6"/>
  <c r="CF131" i="6" a="1"/>
  <c r="CF131" i="6" s="1"/>
  <c r="BA131" i="6"/>
  <c r="BM131" i="6"/>
  <c r="CL131" i="6" a="1"/>
  <c r="CL131" i="6" s="1"/>
  <c r="BT131" i="6"/>
  <c r="AV131" i="6"/>
  <c r="AW131" i="6"/>
  <c r="AY131" i="6"/>
  <c r="H132" i="6" a="1"/>
  <c r="H132" i="6" s="1"/>
  <c r="T132" i="5" s="1"/>
  <c r="G132" i="12" s="1" a="1"/>
  <c r="G132" i="12" s="1"/>
  <c r="AX131" i="6"/>
  <c r="N133" i="5"/>
  <c r="D133" i="6" s="1"/>
  <c r="D133" i="5"/>
  <c r="B133" i="12" s="1"/>
  <c r="AD133" i="5"/>
  <c r="A133" i="12"/>
  <c r="C134" i="5"/>
  <c r="E133" i="5"/>
  <c r="K133" i="5"/>
  <c r="B133" i="6"/>
  <c r="G133" i="5"/>
  <c r="AE133" i="5" a="1"/>
  <c r="AE133" i="5" s="1"/>
  <c r="B133" i="5"/>
  <c r="F133" i="5"/>
  <c r="J133" i="5"/>
  <c r="H133" i="5"/>
  <c r="A132" i="6"/>
  <c r="CD131" i="6" a="1"/>
  <c r="CD131" i="6" s="1"/>
  <c r="BG131" i="6"/>
  <c r="BY131" i="6" a="1"/>
  <c r="BY131" i="6" s="1"/>
  <c r="BJ131" i="6"/>
  <c r="BK131" i="6"/>
  <c r="CA131" i="6" a="1"/>
  <c r="CA131" i="6" s="1"/>
  <c r="CC131" i="6" a="1"/>
  <c r="CC131" i="6" s="1"/>
  <c r="BV131" i="6" a="1"/>
  <c r="BV131" i="6" s="1"/>
  <c r="BZ131" i="6" a="1"/>
  <c r="BZ131" i="6" s="1"/>
  <c r="CE131" i="6" a="1"/>
  <c r="CE131" i="6" s="1"/>
  <c r="BW131" i="6" a="1"/>
  <c r="BW131" i="6" s="1"/>
  <c r="BF131" i="6"/>
  <c r="CB131" i="6" a="1"/>
  <c r="CB131" i="6" s="1"/>
  <c r="BC131" i="6"/>
  <c r="BL131" i="6"/>
  <c r="BH131" i="6"/>
  <c r="BX131" i="6" a="1"/>
  <c r="BX131" i="6" s="1"/>
  <c r="BI131" i="6"/>
  <c r="BD131" i="6"/>
  <c r="BE131" i="6"/>
  <c r="J132" i="12" a="1"/>
  <c r="J132" i="12" s="1"/>
  <c r="L132" i="12" a="1"/>
  <c r="L132" i="12" s="1"/>
  <c r="L147" i="6"/>
  <c r="K132" i="12" l="1"/>
  <c r="N132" i="6"/>
  <c r="M132" i="6"/>
  <c r="A133" i="6"/>
  <c r="N133" i="6" s="1"/>
  <c r="L133" i="12" a="1"/>
  <c r="L133" i="12" s="1"/>
  <c r="J133" i="12" a="1"/>
  <c r="J133" i="12" s="1"/>
  <c r="G134" i="5"/>
  <c r="AE134" i="5" a="1"/>
  <c r="AE134" i="5" s="1"/>
  <c r="E134" i="5"/>
  <c r="K134" i="5"/>
  <c r="F134" i="5"/>
  <c r="H134" i="5"/>
  <c r="C135" i="5"/>
  <c r="AD134" i="5"/>
  <c r="A134" i="12"/>
  <c r="J134" i="5"/>
  <c r="B134" i="5"/>
  <c r="D134" i="5"/>
  <c r="B134" i="12" s="1"/>
  <c r="B134" i="6"/>
  <c r="N134" i="5"/>
  <c r="D134" i="6" s="1"/>
  <c r="H133" i="6" a="1"/>
  <c r="H133" i="6" s="1"/>
  <c r="CI132" i="6" l="1" a="1"/>
  <c r="CI132" i="6" s="1"/>
  <c r="BS132" i="6"/>
  <c r="CG132" i="6" a="1"/>
  <c r="CG132" i="6" s="1"/>
  <c r="CH132" i="6" a="1"/>
  <c r="CH132" i="6" s="1"/>
  <c r="BA132" i="6"/>
  <c r="BR132" i="6"/>
  <c r="CK132" i="6" a="1"/>
  <c r="CK132" i="6" s="1"/>
  <c r="CL132" i="6" a="1"/>
  <c r="CL132" i="6" s="1"/>
  <c r="BO132" i="6"/>
  <c r="CJ132" i="6" a="1"/>
  <c r="CJ132" i="6" s="1"/>
  <c r="CF132" i="6" a="1"/>
  <c r="CF132" i="6" s="1"/>
  <c r="CM132" i="6" a="1"/>
  <c r="CM132" i="6" s="1"/>
  <c r="BM132" i="6"/>
  <c r="BN132" i="6"/>
  <c r="BP132" i="6"/>
  <c r="BQ132" i="6"/>
  <c r="BT132" i="6"/>
  <c r="AY132" i="6"/>
  <c r="AX132" i="6"/>
  <c r="AW132" i="6"/>
  <c r="AV132" i="6"/>
  <c r="AZ132" i="6"/>
  <c r="H134" i="6" a="1"/>
  <c r="H134" i="6" s="1"/>
  <c r="T134" i="5" s="1"/>
  <c r="G134" i="12" s="1" a="1"/>
  <c r="G134" i="12" s="1"/>
  <c r="A134" i="6"/>
  <c r="M134" i="6" s="1"/>
  <c r="CF134" i="6" s="1" a="1"/>
  <c r="CF134" i="6" s="1"/>
  <c r="K133" i="12"/>
  <c r="M133" i="6"/>
  <c r="AY133" i="6" s="1"/>
  <c r="BW132" i="6" a="1"/>
  <c r="BW132" i="6" s="1"/>
  <c r="BZ132" i="6" a="1"/>
  <c r="BZ132" i="6" s="1"/>
  <c r="CB132" i="6" a="1"/>
  <c r="CB132" i="6" s="1"/>
  <c r="BK132" i="6"/>
  <c r="BC132" i="6"/>
  <c r="BX132" i="6" a="1"/>
  <c r="BX132" i="6" s="1"/>
  <c r="BI132" i="6"/>
  <c r="BF132" i="6"/>
  <c r="BE132" i="6"/>
  <c r="BL132" i="6"/>
  <c r="BH132" i="6"/>
  <c r="BY132" i="6" a="1"/>
  <c r="BY132" i="6" s="1"/>
  <c r="BJ132" i="6"/>
  <c r="CC132" i="6" a="1"/>
  <c r="CC132" i="6" s="1"/>
  <c r="BG132" i="6"/>
  <c r="CE132" i="6" a="1"/>
  <c r="CE132" i="6" s="1"/>
  <c r="CA132" i="6" a="1"/>
  <c r="CA132" i="6" s="1"/>
  <c r="CD132" i="6" a="1"/>
  <c r="CD132" i="6" s="1"/>
  <c r="BD132" i="6"/>
  <c r="BV132" i="6" a="1"/>
  <c r="BV132" i="6" s="1"/>
  <c r="T133" i="5"/>
  <c r="G133" i="12" s="1" a="1"/>
  <c r="G133" i="12" s="1"/>
  <c r="L134" i="12" a="1"/>
  <c r="L134" i="12" s="1"/>
  <c r="J134" i="12" a="1"/>
  <c r="J134" i="12" s="1"/>
  <c r="AD135" i="5"/>
  <c r="E135" i="5"/>
  <c r="D135" i="5"/>
  <c r="B135" i="12" s="1"/>
  <c r="F135" i="5"/>
  <c r="A135" i="12"/>
  <c r="K135" i="5"/>
  <c r="H135" i="5"/>
  <c r="C136" i="5"/>
  <c r="J135" i="5"/>
  <c r="N135" i="5"/>
  <c r="D135" i="6" s="1"/>
  <c r="G135" i="5"/>
  <c r="B135" i="6"/>
  <c r="B135" i="5"/>
  <c r="AE135" i="5" a="1"/>
  <c r="AE135" i="5" s="1"/>
  <c r="L148" i="6"/>
  <c r="CL134" i="6" l="1" a="1"/>
  <c r="CL134" i="6" s="1"/>
  <c r="BQ134" i="6"/>
  <c r="BR134" i="6"/>
  <c r="BM134" i="6"/>
  <c r="CG134" i="6" a="1"/>
  <c r="CG134" i="6" s="1"/>
  <c r="CH134" i="6" a="1"/>
  <c r="CH134" i="6" s="1"/>
  <c r="AV134" i="6"/>
  <c r="AZ134" i="6"/>
  <c r="CM134" i="6" a="1"/>
  <c r="CM134" i="6" s="1"/>
  <c r="AW133" i="6"/>
  <c r="AW134" i="6"/>
  <c r="CI134" i="6" a="1"/>
  <c r="CI134" i="6" s="1"/>
  <c r="BO134" i="6"/>
  <c r="CJ134" i="6" a="1"/>
  <c r="CJ134" i="6" s="1"/>
  <c r="BP134" i="6"/>
  <c r="CK134" i="6" a="1"/>
  <c r="CK134" i="6" s="1"/>
  <c r="BA134" i="6"/>
  <c r="CE133" i="6" a="1"/>
  <c r="CE133" i="6" s="1"/>
  <c r="CM133" i="6" a="1"/>
  <c r="CM133" i="6" s="1"/>
  <c r="CG133" i="6" a="1"/>
  <c r="CG133" i="6" s="1"/>
  <c r="CI133" i="6" a="1"/>
  <c r="CI133" i="6" s="1"/>
  <c r="BR133" i="6"/>
  <c r="BA133" i="6"/>
  <c r="CL133" i="6" a="1"/>
  <c r="CL133" i="6" s="1"/>
  <c r="BQ133" i="6"/>
  <c r="BM133" i="6"/>
  <c r="BP133" i="6"/>
  <c r="CJ133" i="6" a="1"/>
  <c r="CJ133" i="6" s="1"/>
  <c r="BN133" i="6"/>
  <c r="BO133" i="6"/>
  <c r="BT133" i="6"/>
  <c r="BS133" i="6"/>
  <c r="CH133" i="6" a="1"/>
  <c r="CH133" i="6" s="1"/>
  <c r="CK133" i="6" a="1"/>
  <c r="CK133" i="6" s="1"/>
  <c r="AV133" i="6"/>
  <c r="CF133" i="6" a="1"/>
  <c r="CF133" i="6" s="1"/>
  <c r="AX134" i="6"/>
  <c r="BS134" i="6"/>
  <c r="AY134" i="6"/>
  <c r="BT134" i="6"/>
  <c r="BN134" i="6"/>
  <c r="AX133" i="6"/>
  <c r="AZ133" i="6"/>
  <c r="BK133" i="6"/>
  <c r="N134" i="6"/>
  <c r="BL133" i="6"/>
  <c r="BZ133" i="6" a="1"/>
  <c r="BZ133" i="6" s="1"/>
  <c r="BI133" i="6"/>
  <c r="BE133" i="6"/>
  <c r="BZ134" i="6" a="1"/>
  <c r="BZ134" i="6" s="1"/>
  <c r="BY134" i="6" a="1"/>
  <c r="BY134" i="6" s="1"/>
  <c r="BE134" i="6"/>
  <c r="BF134" i="6"/>
  <c r="BJ134" i="6"/>
  <c r="BH133" i="6"/>
  <c r="BG133" i="6"/>
  <c r="BJ133" i="6"/>
  <c r="BX133" i="6" a="1"/>
  <c r="BX133" i="6" s="1"/>
  <c r="CD133" i="6" a="1"/>
  <c r="CD133" i="6" s="1"/>
  <c r="BY133" i="6" a="1"/>
  <c r="BY133" i="6" s="1"/>
  <c r="CC133" i="6" a="1"/>
  <c r="CC133" i="6" s="1"/>
  <c r="CB133" i="6" a="1"/>
  <c r="CB133" i="6" s="1"/>
  <c r="CA133" i="6" a="1"/>
  <c r="CA133" i="6" s="1"/>
  <c r="BF133" i="6"/>
  <c r="BW133" i="6" a="1"/>
  <c r="BW133" i="6" s="1"/>
  <c r="BV133" i="6" a="1"/>
  <c r="BV133" i="6" s="1"/>
  <c r="BC133" i="6"/>
  <c r="BD133" i="6"/>
  <c r="BI134" i="6"/>
  <c r="BD134" i="6"/>
  <c r="BL134" i="6"/>
  <c r="BW134" i="6" a="1"/>
  <c r="BW134" i="6" s="1"/>
  <c r="K134" i="12"/>
  <c r="A135" i="6"/>
  <c r="M135" i="6" s="1"/>
  <c r="BM135" i="6" s="1"/>
  <c r="CD134" i="6" a="1"/>
  <c r="CD134" i="6" s="1"/>
  <c r="CB134" i="6" a="1"/>
  <c r="CB134" i="6" s="1"/>
  <c r="CE134" i="6" a="1"/>
  <c r="CE134" i="6" s="1"/>
  <c r="BG134" i="6"/>
  <c r="BH134" i="6"/>
  <c r="CC134" i="6" a="1"/>
  <c r="CC134" i="6" s="1"/>
  <c r="BC134" i="6"/>
  <c r="BX134" i="6" a="1"/>
  <c r="BX134" i="6" s="1"/>
  <c r="CA134" i="6" a="1"/>
  <c r="CA134" i="6" s="1"/>
  <c r="BK134" i="6"/>
  <c r="BV134" i="6" a="1"/>
  <c r="BV134" i="6" s="1"/>
  <c r="J135" i="12" a="1"/>
  <c r="J135" i="12" s="1"/>
  <c r="L135" i="12" a="1"/>
  <c r="L135" i="12" s="1"/>
  <c r="H135" i="6" a="1"/>
  <c r="H135" i="6" s="1"/>
  <c r="F136" i="5"/>
  <c r="AE136" i="5" a="1"/>
  <c r="AE136" i="5" s="1"/>
  <c r="D136" i="5"/>
  <c r="B136" i="12" s="1"/>
  <c r="K136" i="5"/>
  <c r="C137" i="5"/>
  <c r="H136" i="5"/>
  <c r="B136" i="5"/>
  <c r="A136" i="12"/>
  <c r="G136" i="5"/>
  <c r="AD136" i="5"/>
  <c r="E136" i="5"/>
  <c r="N136" i="5"/>
  <c r="D136" i="6" s="1"/>
  <c r="B136" i="6"/>
  <c r="J136" i="5"/>
  <c r="CM135" i="6" l="1" a="1"/>
  <c r="CM135" i="6" s="1"/>
  <c r="CH135" i="6" a="1"/>
  <c r="CH135" i="6" s="1"/>
  <c r="CF135" i="6" a="1"/>
  <c r="CF135" i="6" s="1"/>
  <c r="AW135" i="6"/>
  <c r="BS135" i="6"/>
  <c r="AX135" i="6"/>
  <c r="CI135" i="6" a="1"/>
  <c r="CI135" i="6" s="1"/>
  <c r="AY135" i="6"/>
  <c r="CG135" i="6" a="1"/>
  <c r="CG135" i="6" s="1"/>
  <c r="BA135" i="6"/>
  <c r="BO135" i="6"/>
  <c r="CJ135" i="6" a="1"/>
  <c r="CJ135" i="6" s="1"/>
  <c r="BQ135" i="6"/>
  <c r="CK135" i="6" a="1"/>
  <c r="CK135" i="6" s="1"/>
  <c r="AZ135" i="6"/>
  <c r="BR135" i="6"/>
  <c r="CL135" i="6" a="1"/>
  <c r="CL135" i="6" s="1"/>
  <c r="BN135" i="6"/>
  <c r="BT135" i="6"/>
  <c r="AV135" i="6"/>
  <c r="H136" i="6" a="1"/>
  <c r="H136" i="6" s="1"/>
  <c r="T136" i="5" s="1"/>
  <c r="G136" i="12" s="1" a="1"/>
  <c r="G136" i="12" s="1"/>
  <c r="BP135" i="6"/>
  <c r="BG135" i="6"/>
  <c r="BV135" i="6" a="1"/>
  <c r="BV135" i="6" s="1"/>
  <c r="N135" i="6"/>
  <c r="BW135" i="6" a="1"/>
  <c r="BW135" i="6" s="1"/>
  <c r="CA135" i="6" a="1"/>
  <c r="CA135" i="6" s="1"/>
  <c r="CB135" i="6" a="1"/>
  <c r="CB135" i="6" s="1"/>
  <c r="BC135" i="6"/>
  <c r="BL135" i="6"/>
  <c r="BY135" i="6" a="1"/>
  <c r="BY135" i="6" s="1"/>
  <c r="BX135" i="6" a="1"/>
  <c r="BX135" i="6" s="1"/>
  <c r="K135" i="12"/>
  <c r="CC135" i="6" a="1"/>
  <c r="CC135" i="6" s="1"/>
  <c r="CE135" i="6" a="1"/>
  <c r="CE135" i="6" s="1"/>
  <c r="BD135" i="6"/>
  <c r="CD135" i="6" a="1"/>
  <c r="CD135" i="6" s="1"/>
  <c r="BE135" i="6"/>
  <c r="BI135" i="6"/>
  <c r="BK135" i="6"/>
  <c r="BH135" i="6"/>
  <c r="A136" i="6"/>
  <c r="BZ135" i="6" a="1"/>
  <c r="BZ135" i="6" s="1"/>
  <c r="BJ135" i="6"/>
  <c r="BF135" i="6"/>
  <c r="L136" i="12" a="1"/>
  <c r="L136" i="12" s="1"/>
  <c r="J136" i="12" a="1"/>
  <c r="J136" i="12" s="1"/>
  <c r="B137" i="5"/>
  <c r="K137" i="5"/>
  <c r="A137" i="12"/>
  <c r="H137" i="5"/>
  <c r="AD137" i="5"/>
  <c r="E137" i="5"/>
  <c r="C138" i="5"/>
  <c r="B137" i="6"/>
  <c r="N137" i="5"/>
  <c r="D137" i="6" s="1"/>
  <c r="F137" i="5"/>
  <c r="J137" i="5"/>
  <c r="AE137" i="5" a="1"/>
  <c r="AE137" i="5" s="1"/>
  <c r="G137" i="5"/>
  <c r="D137" i="5"/>
  <c r="B137" i="12" s="1"/>
  <c r="T135" i="5"/>
  <c r="G135" i="12" s="1" a="1"/>
  <c r="G135" i="12" s="1"/>
  <c r="L149" i="6"/>
  <c r="H137" i="6" l="1" a="1"/>
  <c r="H137" i="6" s="1"/>
  <c r="T137" i="5" s="1"/>
  <c r="G137" i="12" s="1" a="1"/>
  <c r="G137" i="12" s="1"/>
  <c r="K136" i="12"/>
  <c r="A137" i="6"/>
  <c r="N136" i="6"/>
  <c r="M136" i="6"/>
  <c r="AD138" i="5"/>
  <c r="E138" i="5"/>
  <c r="J138" i="5"/>
  <c r="B138" i="5"/>
  <c r="G138" i="5"/>
  <c r="H138" i="5"/>
  <c r="AE138" i="5" a="1"/>
  <c r="AE138" i="5" s="1"/>
  <c r="D138" i="5"/>
  <c r="B138" i="12" s="1"/>
  <c r="K138" i="5"/>
  <c r="C139" i="5"/>
  <c r="N138" i="5"/>
  <c r="D138" i="6" s="1"/>
  <c r="A138" i="12"/>
  <c r="F138" i="5"/>
  <c r="B138" i="6"/>
  <c r="L137" i="12" a="1"/>
  <c r="L137" i="12" s="1"/>
  <c r="J137" i="12" a="1"/>
  <c r="J137" i="12" s="1"/>
  <c r="BQ136" i="6" l="1"/>
  <c r="BO136" i="6"/>
  <c r="BS136" i="6"/>
  <c r="BP136" i="6"/>
  <c r="CH136" i="6" a="1"/>
  <c r="CH136" i="6" s="1"/>
  <c r="CG136" i="6" a="1"/>
  <c r="CG136" i="6" s="1"/>
  <c r="CK136" i="6" a="1"/>
  <c r="CK136" i="6" s="1"/>
  <c r="CF136" i="6" a="1"/>
  <c r="CF136" i="6" s="1"/>
  <c r="BR136" i="6"/>
  <c r="AY136" i="6"/>
  <c r="BT136" i="6"/>
  <c r="CM136" i="6" a="1"/>
  <c r="CM136" i="6" s="1"/>
  <c r="BM136" i="6"/>
  <c r="CL136" i="6" a="1"/>
  <c r="CL136" i="6" s="1"/>
  <c r="AV136" i="6"/>
  <c r="CJ136" i="6" a="1"/>
  <c r="CJ136" i="6" s="1"/>
  <c r="CI136" i="6" a="1"/>
  <c r="CI136" i="6" s="1"/>
  <c r="BN136" i="6"/>
  <c r="BA136" i="6"/>
  <c r="AZ136" i="6"/>
  <c r="AW136" i="6"/>
  <c r="AX136" i="6"/>
  <c r="A138" i="6"/>
  <c r="M138" i="6" s="1"/>
  <c r="CM138" i="6" s="1" a="1"/>
  <c r="CM138" i="6" s="1"/>
  <c r="M137" i="6"/>
  <c r="N137" i="6"/>
  <c r="BX136" i="6" a="1"/>
  <c r="BX136" i="6" s="1"/>
  <c r="BE136" i="6"/>
  <c r="BJ136" i="6"/>
  <c r="CC136" i="6" a="1"/>
  <c r="CC136" i="6" s="1"/>
  <c r="CB136" i="6" a="1"/>
  <c r="CB136" i="6" s="1"/>
  <c r="BL136" i="6"/>
  <c r="CE136" i="6" a="1"/>
  <c r="CE136" i="6" s="1"/>
  <c r="BF136" i="6"/>
  <c r="BG136" i="6"/>
  <c r="BV136" i="6" a="1"/>
  <c r="BV136" i="6" s="1"/>
  <c r="BH136" i="6"/>
  <c r="CA136" i="6" a="1"/>
  <c r="CA136" i="6" s="1"/>
  <c r="BD136" i="6"/>
  <c r="BK136" i="6"/>
  <c r="BW136" i="6" a="1"/>
  <c r="BW136" i="6" s="1"/>
  <c r="CD136" i="6" a="1"/>
  <c r="CD136" i="6" s="1"/>
  <c r="BC136" i="6"/>
  <c r="BI136" i="6"/>
  <c r="BZ136" i="6" a="1"/>
  <c r="BZ136" i="6" s="1"/>
  <c r="BY136" i="6" a="1"/>
  <c r="BY136" i="6" s="1"/>
  <c r="K137" i="12"/>
  <c r="H138" i="6" a="1"/>
  <c r="H138" i="6" s="1"/>
  <c r="L138" i="12" a="1"/>
  <c r="L138" i="12" s="1"/>
  <c r="J138" i="12" a="1"/>
  <c r="J138" i="12" s="1"/>
  <c r="H139" i="5"/>
  <c r="F139" i="5"/>
  <c r="AE139" i="5" a="1"/>
  <c r="AE139" i="5" s="1"/>
  <c r="B139" i="6"/>
  <c r="G139" i="5"/>
  <c r="D139" i="5"/>
  <c r="B139" i="12" s="1"/>
  <c r="B139" i="5"/>
  <c r="K139" i="5"/>
  <c r="C140" i="5"/>
  <c r="A139" i="12"/>
  <c r="AD139" i="5"/>
  <c r="E139" i="5"/>
  <c r="N139" i="5"/>
  <c r="D139" i="6" s="1"/>
  <c r="J139" i="5"/>
  <c r="L150" i="6"/>
  <c r="AY138" i="6" l="1"/>
  <c r="BO138" i="6"/>
  <c r="CG138" i="6" a="1"/>
  <c r="CG138" i="6" s="1"/>
  <c r="BR138" i="6"/>
  <c r="BA138" i="6"/>
  <c r="AW138" i="6"/>
  <c r="CF138" i="6" a="1"/>
  <c r="CF138" i="6" s="1"/>
  <c r="BQ138" i="6"/>
  <c r="BP138" i="6"/>
  <c r="BT138" i="6"/>
  <c r="BM138" i="6"/>
  <c r="AV138" i="6"/>
  <c r="CI138" i="6" a="1"/>
  <c r="CI138" i="6" s="1"/>
  <c r="CJ138" i="6" a="1"/>
  <c r="CJ138" i="6" s="1"/>
  <c r="AX138" i="6"/>
  <c r="CK138" i="6" a="1"/>
  <c r="CK138" i="6" s="1"/>
  <c r="AZ138" i="6"/>
  <c r="CL138" i="6" a="1"/>
  <c r="CL138" i="6" s="1"/>
  <c r="H139" i="6" a="1"/>
  <c r="H139" i="6" s="1"/>
  <c r="T139" i="5" s="1"/>
  <c r="G139" i="12" s="1" a="1"/>
  <c r="G139" i="12" s="1"/>
  <c r="BQ137" i="6"/>
  <c r="BP137" i="6"/>
  <c r="BA137" i="6"/>
  <c r="AZ137" i="6"/>
  <c r="AY137" i="6"/>
  <c r="BN137" i="6"/>
  <c r="AV137" i="6"/>
  <c r="CF137" i="6" a="1"/>
  <c r="CF137" i="6" s="1"/>
  <c r="CM137" i="6" a="1"/>
  <c r="CM137" i="6" s="1"/>
  <c r="BT137" i="6"/>
  <c r="CL137" i="6" a="1"/>
  <c r="CL137" i="6" s="1"/>
  <c r="CI137" i="6" a="1"/>
  <c r="CI137" i="6" s="1"/>
  <c r="CK137" i="6" a="1"/>
  <c r="CK137" i="6" s="1"/>
  <c r="BO137" i="6"/>
  <c r="CG137" i="6" a="1"/>
  <c r="CG137" i="6" s="1"/>
  <c r="AX137" i="6"/>
  <c r="CH137" i="6" a="1"/>
  <c r="CH137" i="6" s="1"/>
  <c r="AW137" i="6"/>
  <c r="CJ137" i="6" a="1"/>
  <c r="CJ137" i="6" s="1"/>
  <c r="BS137" i="6"/>
  <c r="BR137" i="6"/>
  <c r="BM137" i="6"/>
  <c r="BS138" i="6"/>
  <c r="CH138" i="6" a="1"/>
  <c r="CH138" i="6" s="1"/>
  <c r="BN138" i="6"/>
  <c r="N138" i="6"/>
  <c r="BD137" i="6"/>
  <c r="BG137" i="6"/>
  <c r="BZ137" i="6" a="1"/>
  <c r="BZ137" i="6" s="1"/>
  <c r="CD137" i="6" a="1"/>
  <c r="CD137" i="6" s="1"/>
  <c r="BC137" i="6"/>
  <c r="BW137" i="6" a="1"/>
  <c r="BW137" i="6" s="1"/>
  <c r="CC137" i="6" a="1"/>
  <c r="CC137" i="6" s="1"/>
  <c r="BI137" i="6"/>
  <c r="BY137" i="6" a="1"/>
  <c r="BY137" i="6" s="1"/>
  <c r="BE137" i="6"/>
  <c r="BJ137" i="6"/>
  <c r="CA137" i="6" a="1"/>
  <c r="CA137" i="6" s="1"/>
  <c r="CB137" i="6" a="1"/>
  <c r="CB137" i="6" s="1"/>
  <c r="CE137" i="6" a="1"/>
  <c r="CE137" i="6" s="1"/>
  <c r="BL137" i="6"/>
  <c r="BK137" i="6"/>
  <c r="BX137" i="6" a="1"/>
  <c r="BX137" i="6" s="1"/>
  <c r="BH137" i="6"/>
  <c r="BF137" i="6"/>
  <c r="BV137" i="6" a="1"/>
  <c r="BV137" i="6" s="1"/>
  <c r="J139" i="12" a="1"/>
  <c r="J139" i="12" s="1"/>
  <c r="L139" i="12" a="1"/>
  <c r="L139" i="12" s="1"/>
  <c r="A139" i="6"/>
  <c r="K138" i="12"/>
  <c r="T138" i="5"/>
  <c r="G138" i="12" s="1" a="1"/>
  <c r="G138" i="12" s="1"/>
  <c r="G140" i="5"/>
  <c r="D140" i="5"/>
  <c r="B140" i="12" s="1"/>
  <c r="K140" i="5"/>
  <c r="N140" i="5"/>
  <c r="D140" i="6" s="1"/>
  <c r="H140" i="5"/>
  <c r="B140" i="5"/>
  <c r="A140" i="12"/>
  <c r="F140" i="5"/>
  <c r="E140" i="5"/>
  <c r="J140" i="5"/>
  <c r="AD140" i="5"/>
  <c r="AE140" i="5" a="1"/>
  <c r="AE140" i="5" s="1"/>
  <c r="B140" i="6"/>
  <c r="CB138" i="6" a="1"/>
  <c r="CB138" i="6" s="1"/>
  <c r="CE138" i="6" a="1"/>
  <c r="CE138" i="6" s="1"/>
  <c r="BI138" i="6"/>
  <c r="BD138" i="6"/>
  <c r="CA138" i="6" a="1"/>
  <c r="CA138" i="6" s="1"/>
  <c r="CD138" i="6" a="1"/>
  <c r="CD138" i="6" s="1"/>
  <c r="BK138" i="6"/>
  <c r="BC138" i="6"/>
  <c r="BV138" i="6" a="1"/>
  <c r="BV138" i="6" s="1"/>
  <c r="BF138" i="6"/>
  <c r="CC138" i="6" a="1"/>
  <c r="CC138" i="6" s="1"/>
  <c r="BL138" i="6"/>
  <c r="BH138" i="6"/>
  <c r="BY138" i="6" a="1"/>
  <c r="BY138" i="6" s="1"/>
  <c r="BJ138" i="6"/>
  <c r="BX138" i="6" a="1"/>
  <c r="BX138" i="6" s="1"/>
  <c r="BG138" i="6"/>
  <c r="BW138" i="6" a="1"/>
  <c r="BW138" i="6" s="1"/>
  <c r="BZ138" i="6" a="1"/>
  <c r="BZ138" i="6" s="1"/>
  <c r="BE138" i="6"/>
  <c r="L151" i="6"/>
  <c r="A140" i="6" l="1"/>
  <c r="N140" i="6" s="1"/>
  <c r="K139" i="12"/>
  <c r="C141" i="5"/>
  <c r="J140" i="12" a="1"/>
  <c r="J140" i="12" s="1"/>
  <c r="L140" i="12" a="1"/>
  <c r="L140" i="12" s="1"/>
  <c r="H140" i="6" a="1"/>
  <c r="H140" i="6" s="1"/>
  <c r="M139" i="6"/>
  <c r="N139" i="6"/>
  <c r="L152" i="6"/>
  <c r="BT139" i="6" l="1"/>
  <c r="AZ139" i="6"/>
  <c r="CH139" i="6" a="1"/>
  <c r="CH139" i="6" s="1"/>
  <c r="AV139" i="6"/>
  <c r="CG139" i="6" a="1"/>
  <c r="CG139" i="6" s="1"/>
  <c r="BM139" i="6"/>
  <c r="CM139" i="6" a="1"/>
  <c r="CM139" i="6" s="1"/>
  <c r="CF139" i="6" a="1"/>
  <c r="CF139" i="6" s="1"/>
  <c r="BR139" i="6"/>
  <c r="CI139" i="6" a="1"/>
  <c r="CI139" i="6" s="1"/>
  <c r="AW139" i="6"/>
  <c r="BS139" i="6"/>
  <c r="CL139" i="6" a="1"/>
  <c r="CL139" i="6" s="1"/>
  <c r="BN139" i="6"/>
  <c r="CK139" i="6" a="1"/>
  <c r="CK139" i="6" s="1"/>
  <c r="CJ139" i="6" a="1"/>
  <c r="CJ139" i="6" s="1"/>
  <c r="AY139" i="6"/>
  <c r="BQ139" i="6"/>
  <c r="BP139" i="6"/>
  <c r="AX139" i="6"/>
  <c r="BO139" i="6"/>
  <c r="BA139" i="6"/>
  <c r="M140" i="6"/>
  <c r="AW140" i="6" s="1"/>
  <c r="T140" i="5"/>
  <c r="G140" i="12" s="1" a="1"/>
  <c r="G140" i="12" s="1"/>
  <c r="B141" i="5"/>
  <c r="N141" i="5"/>
  <c r="D141" i="6" s="1"/>
  <c r="W141" i="5" a="1"/>
  <c r="W141" i="5" s="1"/>
  <c r="H141" i="12" s="1" a="1"/>
  <c r="H141" i="12" s="1"/>
  <c r="H141" i="5"/>
  <c r="G141" i="5"/>
  <c r="I141" i="5"/>
  <c r="F141" i="5"/>
  <c r="A141" i="12"/>
  <c r="AE141" i="5" a="1"/>
  <c r="AE141" i="5" s="1"/>
  <c r="AF141" i="5" a="1"/>
  <c r="AF141" i="5" s="1"/>
  <c r="AG141" i="5" s="1" a="1"/>
  <c r="AG141" i="5" s="1"/>
  <c r="U141" i="5" s="1"/>
  <c r="AN141" i="5" s="1" a="1"/>
  <c r="AN141" i="5" s="1"/>
  <c r="C142" i="5"/>
  <c r="AD141" i="5"/>
  <c r="E141" i="5"/>
  <c r="B141" i="6"/>
  <c r="BD139" i="6"/>
  <c r="CC139" i="6" a="1"/>
  <c r="CC139" i="6" s="1"/>
  <c r="BV139" i="6" a="1"/>
  <c r="BV139" i="6" s="1"/>
  <c r="CB139" i="6" a="1"/>
  <c r="CB139" i="6" s="1"/>
  <c r="CD139" i="6" a="1"/>
  <c r="CD139" i="6" s="1"/>
  <c r="BJ139" i="6"/>
  <c r="BW139" i="6" a="1"/>
  <c r="BW139" i="6" s="1"/>
  <c r="BC139" i="6"/>
  <c r="BI139" i="6"/>
  <c r="BY139" i="6" a="1"/>
  <c r="BY139" i="6" s="1"/>
  <c r="CA139" i="6" a="1"/>
  <c r="CA139" i="6" s="1"/>
  <c r="BL139" i="6"/>
  <c r="BZ139" i="6" a="1"/>
  <c r="BZ139" i="6" s="1"/>
  <c r="BK139" i="6"/>
  <c r="BE139" i="6"/>
  <c r="BH139" i="6"/>
  <c r="CE139" i="6" a="1"/>
  <c r="CE139" i="6" s="1"/>
  <c r="BG139" i="6"/>
  <c r="BF139" i="6"/>
  <c r="BX139" i="6" a="1"/>
  <c r="BX139" i="6" s="1"/>
  <c r="K140" i="12"/>
  <c r="L153" i="6"/>
  <c r="AZ140" i="6" l="1"/>
  <c r="BA140" i="6"/>
  <c r="AX140" i="6"/>
  <c r="CH140" i="6" a="1"/>
  <c r="CH140" i="6" s="1"/>
  <c r="BO140" i="6"/>
  <c r="CG140" i="6" a="1"/>
  <c r="CG140" i="6" s="1"/>
  <c r="BN140" i="6"/>
  <c r="CF140" i="6" a="1"/>
  <c r="CF140" i="6" s="1"/>
  <c r="CM140" i="6" a="1"/>
  <c r="CM140" i="6" s="1"/>
  <c r="CJ140" i="6" a="1"/>
  <c r="CJ140" i="6" s="1"/>
  <c r="BM140" i="6"/>
  <c r="CI140" i="6" a="1"/>
  <c r="CI140" i="6" s="1"/>
  <c r="CL140" i="6" a="1"/>
  <c r="CL140" i="6" s="1"/>
  <c r="CK140" i="6" a="1"/>
  <c r="CK140" i="6" s="1"/>
  <c r="BT140" i="6"/>
  <c r="BS140" i="6"/>
  <c r="BP140" i="6"/>
  <c r="BR140" i="6"/>
  <c r="BQ140" i="6"/>
  <c r="AV140" i="6"/>
  <c r="AY140" i="6"/>
  <c r="CA140" i="6" a="1"/>
  <c r="CA140" i="6" s="1"/>
  <c r="CC140" i="6" a="1"/>
  <c r="CC140" i="6" s="1"/>
  <c r="CD140" i="6" a="1"/>
  <c r="CD140" i="6" s="1"/>
  <c r="BF140" i="6"/>
  <c r="CB140" i="6" a="1"/>
  <c r="CB140" i="6" s="1"/>
  <c r="BI140" i="6"/>
  <c r="BE140" i="6"/>
  <c r="BH140" i="6"/>
  <c r="BW140" i="6" a="1"/>
  <c r="BW140" i="6" s="1"/>
  <c r="BZ140" i="6" a="1"/>
  <c r="BZ140" i="6" s="1"/>
  <c r="BJ140" i="6"/>
  <c r="BC140" i="6"/>
  <c r="CE140" i="6" a="1"/>
  <c r="CE140" i="6" s="1"/>
  <c r="BL140" i="6"/>
  <c r="BD140" i="6"/>
  <c r="BV140" i="6" a="1"/>
  <c r="BV140" i="6" s="1"/>
  <c r="BX140" i="6" a="1"/>
  <c r="BX140" i="6" s="1"/>
  <c r="BG140" i="6"/>
  <c r="BY140" i="6" a="1"/>
  <c r="BY140" i="6" s="1"/>
  <c r="BK140" i="6"/>
  <c r="A141" i="6"/>
  <c r="J141" i="6" a="1"/>
  <c r="J141" i="6" s="1"/>
  <c r="M141" i="6"/>
  <c r="CJ141" i="6" s="1" a="1"/>
  <c r="CJ141" i="6" s="1"/>
  <c r="H141" i="6" a="1"/>
  <c r="H141" i="6" s="1"/>
  <c r="N141" i="6"/>
  <c r="G141" i="6"/>
  <c r="F142" i="5"/>
  <c r="N142" i="5"/>
  <c r="D142" i="6" s="1"/>
  <c r="G142" i="5"/>
  <c r="A142" i="12"/>
  <c r="J142" i="5"/>
  <c r="K142" i="5"/>
  <c r="B142" i="5"/>
  <c r="E142" i="5"/>
  <c r="AE142" i="5" a="1"/>
  <c r="AE142" i="5" s="1"/>
  <c r="H142" i="5"/>
  <c r="AD142" i="5"/>
  <c r="D142" i="5"/>
  <c r="B142" i="12" s="1"/>
  <c r="B142" i="6"/>
  <c r="C143" i="5"/>
  <c r="L154" i="6"/>
  <c r="AW141" i="6" l="1"/>
  <c r="AX141" i="6"/>
  <c r="BN141" i="6"/>
  <c r="AY141" i="6"/>
  <c r="BO141" i="6"/>
  <c r="AU141" i="6"/>
  <c r="BT141" i="6"/>
  <c r="BM141" i="6"/>
  <c r="AV141" i="6"/>
  <c r="BQ141" i="6"/>
  <c r="BA141" i="6"/>
  <c r="CF141" i="6" a="1"/>
  <c r="CF141" i="6" s="1"/>
  <c r="AZ141" i="6"/>
  <c r="CM141" i="6" a="1"/>
  <c r="CM141" i="6" s="1"/>
  <c r="AT141" i="6"/>
  <c r="CK141" i="6" a="1"/>
  <c r="CK141" i="6" s="1"/>
  <c r="BR141" i="6"/>
  <c r="CG141" i="6" a="1"/>
  <c r="CG141" i="6" s="1"/>
  <c r="BS141" i="6"/>
  <c r="CH141" i="6" a="1"/>
  <c r="CH141" i="6" s="1"/>
  <c r="CI141" i="6" a="1"/>
  <c r="CI141" i="6" s="1"/>
  <c r="BP141" i="6"/>
  <c r="H142" i="6" a="1"/>
  <c r="H142" i="6" s="1"/>
  <c r="T142" i="5" s="1"/>
  <c r="G142" i="12" s="1" a="1"/>
  <c r="G142" i="12" s="1"/>
  <c r="CL141" i="6" a="1"/>
  <c r="CL141" i="6" s="1"/>
  <c r="BI141" i="6"/>
  <c r="A142" i="6"/>
  <c r="M142" i="6" s="1"/>
  <c r="CH142" i="6" s="1" a="1"/>
  <c r="CH142" i="6" s="1"/>
  <c r="B143" i="6"/>
  <c r="H143" i="5"/>
  <c r="B143" i="5"/>
  <c r="G143" i="5"/>
  <c r="J143" i="5"/>
  <c r="K143" i="5"/>
  <c r="AE143" i="5" a="1"/>
  <c r="AE143" i="5" s="1"/>
  <c r="AD143" i="5"/>
  <c r="C144" i="5"/>
  <c r="F143" i="5"/>
  <c r="N143" i="5"/>
  <c r="D143" i="6" s="1"/>
  <c r="A143" i="12"/>
  <c r="D143" i="5"/>
  <c r="B143" i="12" s="1"/>
  <c r="E143" i="5"/>
  <c r="CB141" i="6" a="1"/>
  <c r="CB141" i="6" s="1"/>
  <c r="BZ141" i="6" a="1"/>
  <c r="BZ141" i="6" s="1"/>
  <c r="BJ141" i="6"/>
  <c r="CE141" i="6" a="1"/>
  <c r="CE141" i="6" s="1"/>
  <c r="BY141" i="6" a="1"/>
  <c r="BY141" i="6" s="1"/>
  <c r="CC141" i="6" a="1"/>
  <c r="CC141" i="6" s="1"/>
  <c r="BG141" i="6"/>
  <c r="BE141" i="6"/>
  <c r="BK141" i="6"/>
  <c r="BH141" i="6"/>
  <c r="BC141" i="6"/>
  <c r="BF141" i="6"/>
  <c r="BX141" i="6" a="1"/>
  <c r="BX141" i="6" s="1"/>
  <c r="CA141" i="6" a="1"/>
  <c r="CA141" i="6" s="1"/>
  <c r="BD141" i="6"/>
  <c r="BL141" i="6"/>
  <c r="BW141" i="6" a="1"/>
  <c r="BW141" i="6" s="1"/>
  <c r="BV141" i="6" a="1"/>
  <c r="BV141" i="6" s="1"/>
  <c r="CD141" i="6" a="1"/>
  <c r="CD141" i="6" s="1"/>
  <c r="J142" i="12" a="1"/>
  <c r="J142" i="12" s="1"/>
  <c r="L142" i="12" a="1"/>
  <c r="L142" i="12" s="1"/>
  <c r="AQ141" i="6"/>
  <c r="AO141" i="6"/>
  <c r="AS141" i="6"/>
  <c r="AP141" i="6"/>
  <c r="AL141" i="6"/>
  <c r="AJ141" i="6"/>
  <c r="AM141" i="6"/>
  <c r="AR141" i="6"/>
  <c r="AK141" i="6"/>
  <c r="T141" i="5"/>
  <c r="AN141" i="6"/>
  <c r="L155" i="6"/>
  <c r="F154" i="6"/>
  <c r="CF142" i="6" l="1" a="1"/>
  <c r="CF142" i="6" s="1"/>
  <c r="BS142" i="6"/>
  <c r="BT142" i="6"/>
  <c r="BO142" i="6"/>
  <c r="BQ142" i="6"/>
  <c r="BR142" i="6"/>
  <c r="CJ142" i="6" a="1"/>
  <c r="CJ142" i="6" s="1"/>
  <c r="BP142" i="6"/>
  <c r="CG142" i="6" a="1"/>
  <c r="CG142" i="6" s="1"/>
  <c r="CM142" i="6" a="1"/>
  <c r="CM142" i="6" s="1"/>
  <c r="CK142" i="6" a="1"/>
  <c r="CK142" i="6" s="1"/>
  <c r="BM142" i="6"/>
  <c r="CL142" i="6" a="1"/>
  <c r="CL142" i="6" s="1"/>
  <c r="BN142" i="6"/>
  <c r="CI142" i="6" a="1"/>
  <c r="CI142" i="6" s="1"/>
  <c r="BA142" i="6"/>
  <c r="AX142" i="6"/>
  <c r="AW142" i="6"/>
  <c r="AZ142" i="6"/>
  <c r="AY142" i="6"/>
  <c r="AV142" i="6"/>
  <c r="BV142" i="6" a="1"/>
  <c r="BV142" i="6" s="1"/>
  <c r="N142" i="6"/>
  <c r="BL142" i="6"/>
  <c r="CE142" i="6" a="1"/>
  <c r="CE142" i="6" s="1"/>
  <c r="CB142" i="6" a="1"/>
  <c r="CB142" i="6" s="1"/>
  <c r="CA142" i="6" a="1"/>
  <c r="CA142" i="6" s="1"/>
  <c r="BE142" i="6"/>
  <c r="BI142" i="6"/>
  <c r="BZ142" i="6" a="1"/>
  <c r="BZ142" i="6" s="1"/>
  <c r="BG142" i="6"/>
  <c r="BD142" i="6"/>
  <c r="BF142" i="6"/>
  <c r="BH142" i="6"/>
  <c r="BC142" i="6"/>
  <c r="BJ142" i="6"/>
  <c r="CD142" i="6" a="1"/>
  <c r="CD142" i="6" s="1"/>
  <c r="BW142" i="6" a="1"/>
  <c r="BW142" i="6" s="1"/>
  <c r="CC142" i="6" a="1"/>
  <c r="CC142" i="6" s="1"/>
  <c r="BX142" i="6" a="1"/>
  <c r="BX142" i="6" s="1"/>
  <c r="BY142" i="6" a="1"/>
  <c r="BY142" i="6" s="1"/>
  <c r="BK142" i="6"/>
  <c r="L143" i="12" a="1"/>
  <c r="L143" i="12" s="1"/>
  <c r="J143" i="12" a="1"/>
  <c r="J143" i="12" s="1"/>
  <c r="G141" i="12" a="1"/>
  <c r="G141" i="12" s="1"/>
  <c r="K142" i="12"/>
  <c r="H143" i="6" a="1"/>
  <c r="H143" i="6" s="1"/>
  <c r="G144" i="5"/>
  <c r="N144" i="5"/>
  <c r="D144" i="6" s="1"/>
  <c r="D144" i="5"/>
  <c r="B144" i="12" s="1"/>
  <c r="B144" i="5"/>
  <c r="C145" i="5" s="1"/>
  <c r="F144" i="5"/>
  <c r="B144" i="6"/>
  <c r="A144" i="12"/>
  <c r="E144" i="5"/>
  <c r="H144" i="5"/>
  <c r="K144" i="5"/>
  <c r="J144" i="5"/>
  <c r="AE144" i="5" a="1"/>
  <c r="AE144" i="5" s="1"/>
  <c r="AD144" i="5"/>
  <c r="A143" i="6"/>
  <c r="N143" i="6" s="1"/>
  <c r="L156" i="6"/>
  <c r="K143" i="12" l="1"/>
  <c r="A144" i="6"/>
  <c r="N144" i="6" s="1"/>
  <c r="E145" i="5"/>
  <c r="AD145" i="5"/>
  <c r="F145" i="5"/>
  <c r="A145" i="12"/>
  <c r="B145" i="6"/>
  <c r="N145" i="5"/>
  <c r="D145" i="6" s="1"/>
  <c r="W145" i="5" a="1"/>
  <c r="W145" i="5" s="1"/>
  <c r="H145" i="12" s="1" a="1"/>
  <c r="H145" i="12" s="1"/>
  <c r="C146" i="5"/>
  <c r="H145" i="5"/>
  <c r="I145" i="5"/>
  <c r="AF145" i="5" a="1"/>
  <c r="AF145" i="5" s="1"/>
  <c r="AG145" i="5" s="1" a="1"/>
  <c r="AG145" i="5" s="1"/>
  <c r="U145" i="5" s="1"/>
  <c r="AN145" i="5" s="1" a="1"/>
  <c r="AN145" i="5" s="1"/>
  <c r="AE145" i="5" a="1"/>
  <c r="AE145" i="5" s="1"/>
  <c r="B145" i="5"/>
  <c r="G145" i="5"/>
  <c r="H144" i="6" a="1"/>
  <c r="H144" i="6" s="1"/>
  <c r="M143" i="6"/>
  <c r="J144" i="12" a="1"/>
  <c r="J144" i="12" s="1"/>
  <c r="L144" i="12" a="1"/>
  <c r="L144" i="12" s="1"/>
  <c r="T143" i="5"/>
  <c r="G143" i="12" s="1" a="1"/>
  <c r="G143" i="12" s="1"/>
  <c r="L157" i="6"/>
  <c r="F156" i="6"/>
  <c r="AV143" i="6" l="1"/>
  <c r="AZ143" i="6"/>
  <c r="AW143" i="6"/>
  <c r="AX143" i="6"/>
  <c r="BA143" i="6"/>
  <c r="CL143" i="6" a="1"/>
  <c r="CL143" i="6" s="1"/>
  <c r="BQ143" i="6"/>
  <c r="CK143" i="6" a="1"/>
  <c r="CK143" i="6" s="1"/>
  <c r="BO143" i="6"/>
  <c r="CF143" i="6" a="1"/>
  <c r="CF143" i="6" s="1"/>
  <c r="CJ143" i="6" a="1"/>
  <c r="CJ143" i="6" s="1"/>
  <c r="BN143" i="6"/>
  <c r="CI143" i="6" a="1"/>
  <c r="CI143" i="6" s="1"/>
  <c r="BM143" i="6"/>
  <c r="CM143" i="6" a="1"/>
  <c r="CM143" i="6" s="1"/>
  <c r="CG143" i="6" a="1"/>
  <c r="CG143" i="6" s="1"/>
  <c r="BT143" i="6"/>
  <c r="BS143" i="6"/>
  <c r="CH143" i="6" a="1"/>
  <c r="CH143" i="6" s="1"/>
  <c r="BP143" i="6"/>
  <c r="BR143" i="6"/>
  <c r="AY143" i="6"/>
  <c r="M144" i="6"/>
  <c r="K144" i="12"/>
  <c r="BE143" i="6"/>
  <c r="BL143" i="6"/>
  <c r="BZ143" i="6" a="1"/>
  <c r="BZ143" i="6" s="1"/>
  <c r="BV143" i="6" a="1"/>
  <c r="BV143" i="6" s="1"/>
  <c r="BF143" i="6"/>
  <c r="CA143" i="6" a="1"/>
  <c r="CA143" i="6" s="1"/>
  <c r="BC143" i="6"/>
  <c r="BK143" i="6"/>
  <c r="BJ143" i="6"/>
  <c r="BW143" i="6" a="1"/>
  <c r="BW143" i="6" s="1"/>
  <c r="BX143" i="6" a="1"/>
  <c r="BX143" i="6" s="1"/>
  <c r="CB143" i="6" a="1"/>
  <c r="CB143" i="6" s="1"/>
  <c r="BY143" i="6" a="1"/>
  <c r="BY143" i="6" s="1"/>
  <c r="CD143" i="6" a="1"/>
  <c r="CD143" i="6" s="1"/>
  <c r="BG143" i="6"/>
  <c r="BH143" i="6"/>
  <c r="BD143" i="6"/>
  <c r="CC143" i="6" a="1"/>
  <c r="CC143" i="6" s="1"/>
  <c r="BI143" i="6"/>
  <c r="CE143" i="6" a="1"/>
  <c r="CE143" i="6" s="1"/>
  <c r="T144" i="5"/>
  <c r="G144" i="12" s="1" a="1"/>
  <c r="G144" i="12" s="1"/>
  <c r="F146" i="5"/>
  <c r="A146" i="12"/>
  <c r="G146" i="5"/>
  <c r="E146" i="5"/>
  <c r="D146" i="5"/>
  <c r="B146" i="12" s="1"/>
  <c r="AD146" i="5"/>
  <c r="AE146" i="5" a="1"/>
  <c r="AE146" i="5" s="1"/>
  <c r="B146" i="5"/>
  <c r="N146" i="5"/>
  <c r="D146" i="6" s="1"/>
  <c r="C147" i="5"/>
  <c r="H146" i="5"/>
  <c r="J146" i="5"/>
  <c r="B146" i="6"/>
  <c r="K146" i="5"/>
  <c r="G145" i="6"/>
  <c r="N145" i="6"/>
  <c r="M145" i="6"/>
  <c r="BO145" i="6" s="1"/>
  <c r="H145" i="6" a="1"/>
  <c r="H145" i="6" s="1"/>
  <c r="J145" i="6" a="1"/>
  <c r="J145" i="6" s="1"/>
  <c r="A145" i="6"/>
  <c r="L158" i="6"/>
  <c r="AY145" i="6" l="1"/>
  <c r="AU145" i="6"/>
  <c r="BQ145" i="6"/>
  <c r="CJ145" i="6" a="1"/>
  <c r="CJ145" i="6" s="1"/>
  <c r="CH145" i="6" a="1"/>
  <c r="CH145" i="6" s="1"/>
  <c r="CF145" i="6" a="1"/>
  <c r="CF145" i="6" s="1"/>
  <c r="CL145" i="6" a="1"/>
  <c r="CL145" i="6" s="1"/>
  <c r="BT145" i="6"/>
  <c r="BP145" i="6"/>
  <c r="BM145" i="6"/>
  <c r="AZ145" i="6"/>
  <c r="BN145" i="6"/>
  <c r="BR145" i="6"/>
  <c r="AV145" i="6"/>
  <c r="AX145" i="6"/>
  <c r="CI145" i="6" a="1"/>
  <c r="CI145" i="6" s="1"/>
  <c r="CG144" i="6" a="1"/>
  <c r="CG144" i="6" s="1"/>
  <c r="AX144" i="6"/>
  <c r="BM144" i="6"/>
  <c r="CL144" i="6" a="1"/>
  <c r="CL144" i="6" s="1"/>
  <c r="CJ144" i="6" a="1"/>
  <c r="CJ144" i="6" s="1"/>
  <c r="BT144" i="6"/>
  <c r="CF144" i="6" a="1"/>
  <c r="CF144" i="6" s="1"/>
  <c r="BR144" i="6"/>
  <c r="BP144" i="6"/>
  <c r="BQ144" i="6"/>
  <c r="BS144" i="6"/>
  <c r="BO144" i="6"/>
  <c r="BA144" i="6"/>
  <c r="BN144" i="6"/>
  <c r="AZ144" i="6"/>
  <c r="CK144" i="6" a="1"/>
  <c r="CK144" i="6" s="1"/>
  <c r="CM144" i="6" a="1"/>
  <c r="CM144" i="6" s="1"/>
  <c r="AW144" i="6"/>
  <c r="CI144" i="6" a="1"/>
  <c r="CI144" i="6" s="1"/>
  <c r="AY144" i="6"/>
  <c r="CH144" i="6" a="1"/>
  <c r="CH144" i="6" s="1"/>
  <c r="AW145" i="6"/>
  <c r="CG145" i="6" a="1"/>
  <c r="CG145" i="6" s="1"/>
  <c r="BA145" i="6"/>
  <c r="CM145" i="6" a="1"/>
  <c r="CM145" i="6" s="1"/>
  <c r="BS145" i="6"/>
  <c r="CK145" i="6" a="1"/>
  <c r="CK145" i="6" s="1"/>
  <c r="AT145" i="6"/>
  <c r="AV144" i="6"/>
  <c r="CE144" i="6" a="1"/>
  <c r="CE144" i="6" s="1"/>
  <c r="BL144" i="6"/>
  <c r="BE144" i="6"/>
  <c r="BH144" i="6"/>
  <c r="BF144" i="6"/>
  <c r="CB144" i="6" a="1"/>
  <c r="CB144" i="6" s="1"/>
  <c r="BK144" i="6"/>
  <c r="BY144" i="6" a="1"/>
  <c r="BY144" i="6" s="1"/>
  <c r="BV144" i="6" a="1"/>
  <c r="BV144" i="6" s="1"/>
  <c r="CC144" i="6" a="1"/>
  <c r="CC144" i="6" s="1"/>
  <c r="BD144" i="6"/>
  <c r="CA144" i="6" a="1"/>
  <c r="CA144" i="6" s="1"/>
  <c r="BI144" i="6"/>
  <c r="BW144" i="6" a="1"/>
  <c r="BW144" i="6" s="1"/>
  <c r="BJ144" i="6"/>
  <c r="BX144" i="6" a="1"/>
  <c r="BX144" i="6" s="1"/>
  <c r="CD144" i="6" a="1"/>
  <c r="CD144" i="6" s="1"/>
  <c r="BC144" i="6"/>
  <c r="BZ144" i="6" a="1"/>
  <c r="BZ144" i="6" s="1"/>
  <c r="BG144" i="6"/>
  <c r="T145" i="5"/>
  <c r="AN145" i="6"/>
  <c r="AM145" i="6"/>
  <c r="AS145" i="6"/>
  <c r="AL145" i="6"/>
  <c r="AR145" i="6"/>
  <c r="AJ145" i="6"/>
  <c r="AK145" i="6"/>
  <c r="AP145" i="6"/>
  <c r="AO145" i="6"/>
  <c r="AQ145" i="6"/>
  <c r="F147" i="5"/>
  <c r="N147" i="5"/>
  <c r="D147" i="6" s="1"/>
  <c r="K147" i="5"/>
  <c r="B147" i="5"/>
  <c r="AD147" i="5"/>
  <c r="A147" i="12"/>
  <c r="E147" i="5"/>
  <c r="AE147" i="5" a="1"/>
  <c r="AE147" i="5" s="1"/>
  <c r="G147" i="5"/>
  <c r="J147" i="5"/>
  <c r="B147" i="6"/>
  <c r="D147" i="5"/>
  <c r="B147" i="12" s="1"/>
  <c r="H147" i="5"/>
  <c r="CB145" i="6" a="1"/>
  <c r="CB145" i="6" s="1"/>
  <c r="BX145" i="6" a="1"/>
  <c r="BX145" i="6" s="1"/>
  <c r="CC145" i="6" a="1"/>
  <c r="CC145" i="6" s="1"/>
  <c r="BG145" i="6"/>
  <c r="BF145" i="6"/>
  <c r="BH145" i="6"/>
  <c r="BY145" i="6" a="1"/>
  <c r="BY145" i="6" s="1"/>
  <c r="BE145" i="6"/>
  <c r="BI145" i="6"/>
  <c r="CE145" i="6" a="1"/>
  <c r="CE145" i="6" s="1"/>
  <c r="BJ145" i="6"/>
  <c r="BW145" i="6" a="1"/>
  <c r="BW145" i="6" s="1"/>
  <c r="BL145" i="6"/>
  <c r="BZ145" i="6" a="1"/>
  <c r="BZ145" i="6" s="1"/>
  <c r="BV145" i="6" a="1"/>
  <c r="BV145" i="6" s="1"/>
  <c r="BC145" i="6"/>
  <c r="CA145" i="6" a="1"/>
  <c r="CA145" i="6" s="1"/>
  <c r="BD145" i="6"/>
  <c r="BK145" i="6"/>
  <c r="CD145" i="6" a="1"/>
  <c r="CD145" i="6" s="1"/>
  <c r="A146" i="6"/>
  <c r="N146" i="6" s="1"/>
  <c r="H146" i="6" a="1"/>
  <c r="H146" i="6" s="1"/>
  <c r="L146" i="12" a="1"/>
  <c r="L146" i="12" s="1"/>
  <c r="J146" i="12" a="1"/>
  <c r="J146" i="12" s="1"/>
  <c r="L159" i="6"/>
  <c r="H147" i="6" l="1" a="1"/>
  <c r="H147" i="6" s="1"/>
  <c r="T147" i="5" s="1"/>
  <c r="G147" i="12" s="1" a="1"/>
  <c r="G147" i="12" s="1"/>
  <c r="T146" i="5"/>
  <c r="G146" i="12" s="1" a="1"/>
  <c r="G146" i="12" s="1"/>
  <c r="K146" i="12"/>
  <c r="M146" i="6"/>
  <c r="A147" i="6"/>
  <c r="J147" i="12" a="1"/>
  <c r="J147" i="12" s="1"/>
  <c r="L147" i="12" a="1"/>
  <c r="L147" i="12" s="1"/>
  <c r="C148" i="5"/>
  <c r="G145" i="12" a="1"/>
  <c r="G145" i="12" s="1"/>
  <c r="L160" i="6"/>
  <c r="AV146" i="6" l="1"/>
  <c r="CL146" i="6" a="1"/>
  <c r="CL146" i="6" s="1"/>
  <c r="CK146" i="6" a="1"/>
  <c r="CK146" i="6" s="1"/>
  <c r="BT146" i="6"/>
  <c r="AY146" i="6"/>
  <c r="CM146" i="6" a="1"/>
  <c r="CM146" i="6" s="1"/>
  <c r="BS146" i="6"/>
  <c r="BP146" i="6"/>
  <c r="BR146" i="6"/>
  <c r="CI146" i="6" a="1"/>
  <c r="CI146" i="6" s="1"/>
  <c r="BO146" i="6"/>
  <c r="BN146" i="6"/>
  <c r="CG146" i="6" a="1"/>
  <c r="CG146" i="6" s="1"/>
  <c r="BQ146" i="6"/>
  <c r="CF146" i="6" a="1"/>
  <c r="CF146" i="6" s="1"/>
  <c r="CH146" i="6" a="1"/>
  <c r="CH146" i="6" s="1"/>
  <c r="BM146" i="6"/>
  <c r="CJ146" i="6" a="1"/>
  <c r="CJ146" i="6" s="1"/>
  <c r="AZ146" i="6"/>
  <c r="AX146" i="6"/>
  <c r="BA146" i="6"/>
  <c r="AW146" i="6"/>
  <c r="K147" i="12"/>
  <c r="AD148" i="5"/>
  <c r="N148" i="5"/>
  <c r="D148" i="6" s="1"/>
  <c r="AE148" i="5" a="1"/>
  <c r="AE148" i="5" s="1"/>
  <c r="H148" i="5"/>
  <c r="J148" i="5"/>
  <c r="K148" i="5"/>
  <c r="F148" i="5"/>
  <c r="B148" i="5"/>
  <c r="A148" i="12"/>
  <c r="E148" i="5"/>
  <c r="G148" i="5"/>
  <c r="D148" i="5"/>
  <c r="B148" i="12" s="1"/>
  <c r="B148" i="6"/>
  <c r="N147" i="6"/>
  <c r="M147" i="6"/>
  <c r="AV147" i="6" s="1"/>
  <c r="BE146" i="6"/>
  <c r="BY146" i="6" a="1"/>
  <c r="BY146" i="6" s="1"/>
  <c r="CC146" i="6" a="1"/>
  <c r="CC146" i="6" s="1"/>
  <c r="CB146" i="6" a="1"/>
  <c r="CB146" i="6" s="1"/>
  <c r="BZ146" i="6" a="1"/>
  <c r="BZ146" i="6" s="1"/>
  <c r="BK146" i="6"/>
  <c r="BH146" i="6"/>
  <c r="BF146" i="6"/>
  <c r="BI146" i="6"/>
  <c r="CE146" i="6" a="1"/>
  <c r="CE146" i="6" s="1"/>
  <c r="CA146" i="6" a="1"/>
  <c r="CA146" i="6" s="1"/>
  <c r="BG146" i="6"/>
  <c r="BW146" i="6" a="1"/>
  <c r="BW146" i="6" s="1"/>
  <c r="BL146" i="6"/>
  <c r="BC146" i="6"/>
  <c r="BD146" i="6"/>
  <c r="CD146" i="6" a="1"/>
  <c r="CD146" i="6" s="1"/>
  <c r="BJ146" i="6"/>
  <c r="BV146" i="6" a="1"/>
  <c r="BV146" i="6" s="1"/>
  <c r="BX146" i="6" a="1"/>
  <c r="BX146" i="6" s="1"/>
  <c r="L161" i="6"/>
  <c r="BA147" i="6" l="1"/>
  <c r="BT147" i="6"/>
  <c r="BP147" i="6"/>
  <c r="BO147" i="6"/>
  <c r="CF147" i="6" a="1"/>
  <c r="CF147" i="6" s="1"/>
  <c r="CM147" i="6" a="1"/>
  <c r="CM147" i="6" s="1"/>
  <c r="BN147" i="6"/>
  <c r="CG147" i="6" a="1"/>
  <c r="CG147" i="6" s="1"/>
  <c r="CJ147" i="6" a="1"/>
  <c r="CJ147" i="6" s="1"/>
  <c r="BS147" i="6"/>
  <c r="CH147" i="6" a="1"/>
  <c r="CH147" i="6" s="1"/>
  <c r="CK147" i="6" a="1"/>
  <c r="CK147" i="6" s="1"/>
  <c r="BM147" i="6"/>
  <c r="CI147" i="6" a="1"/>
  <c r="CI147" i="6" s="1"/>
  <c r="BR147" i="6"/>
  <c r="BQ147" i="6"/>
  <c r="CL147" i="6" a="1"/>
  <c r="CL147" i="6" s="1"/>
  <c r="AZ147" i="6"/>
  <c r="AX147" i="6"/>
  <c r="H148" i="6" a="1"/>
  <c r="H148" i="6" s="1"/>
  <c r="T148" i="5" s="1"/>
  <c r="G148" i="12" s="1" a="1"/>
  <c r="G148" i="12" s="1"/>
  <c r="AW147" i="6"/>
  <c r="AY147" i="6"/>
  <c r="A148" i="6"/>
  <c r="BV147" i="6" a="1"/>
  <c r="BV147" i="6" s="1"/>
  <c r="CA147" i="6" a="1"/>
  <c r="CA147" i="6" s="1"/>
  <c r="BY147" i="6" a="1"/>
  <c r="BY147" i="6" s="1"/>
  <c r="CB147" i="6" a="1"/>
  <c r="CB147" i="6" s="1"/>
  <c r="BE147" i="6"/>
  <c r="BW147" i="6" a="1"/>
  <c r="BW147" i="6" s="1"/>
  <c r="CC147" i="6" a="1"/>
  <c r="CC147" i="6" s="1"/>
  <c r="BF147" i="6"/>
  <c r="BH147" i="6"/>
  <c r="BX147" i="6" a="1"/>
  <c r="BX147" i="6" s="1"/>
  <c r="BZ147" i="6" a="1"/>
  <c r="BZ147" i="6" s="1"/>
  <c r="BG147" i="6"/>
  <c r="CD147" i="6" a="1"/>
  <c r="CD147" i="6" s="1"/>
  <c r="BJ147" i="6"/>
  <c r="CE147" i="6" a="1"/>
  <c r="CE147" i="6" s="1"/>
  <c r="BL147" i="6"/>
  <c r="BI147" i="6"/>
  <c r="BK147" i="6"/>
  <c r="BD147" i="6"/>
  <c r="BC147" i="6"/>
  <c r="L148" i="12" a="1"/>
  <c r="L148" i="12" s="1"/>
  <c r="J148" i="12" a="1"/>
  <c r="J148" i="12" s="1"/>
  <c r="C149" i="5"/>
  <c r="L162" i="6"/>
  <c r="K148" i="12" l="1"/>
  <c r="N148" i="6"/>
  <c r="M148" i="6"/>
  <c r="H149" i="5"/>
  <c r="B149" i="6"/>
  <c r="E149" i="5"/>
  <c r="G149" i="5"/>
  <c r="D149" i="5"/>
  <c r="B149" i="12" s="1"/>
  <c r="AD149" i="5"/>
  <c r="A149" i="12"/>
  <c r="K149" i="5"/>
  <c r="B149" i="5"/>
  <c r="F149" i="5"/>
  <c r="J149" i="5"/>
  <c r="N149" i="5"/>
  <c r="D149" i="6" s="1"/>
  <c r="AE149" i="5" a="1"/>
  <c r="AE149" i="5" s="1"/>
  <c r="L163" i="6"/>
  <c r="CM148" i="6" l="1" a="1"/>
  <c r="CM148" i="6" s="1"/>
  <c r="CH148" i="6" a="1"/>
  <c r="CH148" i="6" s="1"/>
  <c r="BM148" i="6"/>
  <c r="BR148" i="6"/>
  <c r="BP148" i="6"/>
  <c r="BT148" i="6"/>
  <c r="AY148" i="6"/>
  <c r="AV148" i="6"/>
  <c r="CG148" i="6" a="1"/>
  <c r="CG148" i="6" s="1"/>
  <c r="BS148" i="6"/>
  <c r="CF148" i="6" a="1"/>
  <c r="CF148" i="6" s="1"/>
  <c r="BQ148" i="6"/>
  <c r="BA148" i="6"/>
  <c r="BN148" i="6"/>
  <c r="CK148" i="6" a="1"/>
  <c r="CK148" i="6" s="1"/>
  <c r="CL148" i="6" a="1"/>
  <c r="CL148" i="6" s="1"/>
  <c r="BO148" i="6"/>
  <c r="CJ148" i="6" a="1"/>
  <c r="CJ148" i="6" s="1"/>
  <c r="CI148" i="6" a="1"/>
  <c r="CI148" i="6" s="1"/>
  <c r="AX148" i="6"/>
  <c r="AW148" i="6"/>
  <c r="H149" i="6" a="1"/>
  <c r="H149" i="6" s="1"/>
  <c r="T149" i="5" s="1"/>
  <c r="G149" i="12" s="1" a="1"/>
  <c r="G149" i="12" s="1"/>
  <c r="AZ148" i="6"/>
  <c r="BI148" i="6"/>
  <c r="BX148" i="6" a="1"/>
  <c r="BX148" i="6" s="1"/>
  <c r="BJ148" i="6"/>
  <c r="BK148" i="6"/>
  <c r="CE148" i="6" a="1"/>
  <c r="CE148" i="6" s="1"/>
  <c r="BY148" i="6" a="1"/>
  <c r="BY148" i="6" s="1"/>
  <c r="BH148" i="6"/>
  <c r="BE148" i="6"/>
  <c r="CD148" i="6" a="1"/>
  <c r="CD148" i="6" s="1"/>
  <c r="BC148" i="6"/>
  <c r="BV148" i="6" a="1"/>
  <c r="BV148" i="6" s="1"/>
  <c r="BF148" i="6"/>
  <c r="CB148" i="6" a="1"/>
  <c r="CB148" i="6" s="1"/>
  <c r="BW148" i="6" a="1"/>
  <c r="BW148" i="6" s="1"/>
  <c r="BZ148" i="6" a="1"/>
  <c r="BZ148" i="6" s="1"/>
  <c r="CA148" i="6" a="1"/>
  <c r="CA148" i="6" s="1"/>
  <c r="BL148" i="6"/>
  <c r="BG148" i="6"/>
  <c r="CC148" i="6" a="1"/>
  <c r="CC148" i="6" s="1"/>
  <c r="BD148" i="6"/>
  <c r="A149" i="6"/>
  <c r="C150" i="5"/>
  <c r="L149" i="12" a="1"/>
  <c r="L149" i="12" s="1"/>
  <c r="J149" i="12" a="1"/>
  <c r="J149" i="12" s="1"/>
  <c r="L164" i="6"/>
  <c r="L165" i="6" s="1"/>
  <c r="K149" i="12" l="1"/>
  <c r="M149" i="6"/>
  <c r="N149" i="6"/>
  <c r="C151" i="5"/>
  <c r="A150" i="12"/>
  <c r="J150" i="5"/>
  <c r="B150" i="5"/>
  <c r="K150" i="5"/>
  <c r="H150" i="5"/>
  <c r="AD150" i="5"/>
  <c r="B150" i="6"/>
  <c r="E150" i="5"/>
  <c r="AE150" i="5" a="1"/>
  <c r="AE150" i="5" s="1"/>
  <c r="F150" i="5"/>
  <c r="G150" i="5"/>
  <c r="D150" i="5"/>
  <c r="B150" i="12" s="1"/>
  <c r="N150" i="5"/>
  <c r="D150" i="6" s="1"/>
  <c r="L166" i="6"/>
  <c r="BA149" i="6" l="1"/>
  <c r="AZ149" i="6"/>
  <c r="AV149" i="6"/>
  <c r="CJ149" i="6" a="1"/>
  <c r="CJ149" i="6" s="1"/>
  <c r="BQ149" i="6"/>
  <c r="CI149" i="6" a="1"/>
  <c r="CI149" i="6" s="1"/>
  <c r="BO149" i="6"/>
  <c r="CM149" i="6" a="1"/>
  <c r="CM149" i="6" s="1"/>
  <c r="BN149" i="6"/>
  <c r="CL149" i="6" a="1"/>
  <c r="CL149" i="6" s="1"/>
  <c r="BM149" i="6"/>
  <c r="BS149" i="6"/>
  <c r="BP149" i="6"/>
  <c r="BT149" i="6"/>
  <c r="CF149" i="6" a="1"/>
  <c r="CF149" i="6" s="1"/>
  <c r="CK149" i="6" a="1"/>
  <c r="CK149" i="6" s="1"/>
  <c r="BR149" i="6"/>
  <c r="CH149" i="6" a="1"/>
  <c r="CH149" i="6" s="1"/>
  <c r="CG149" i="6" a="1"/>
  <c r="CG149" i="6" s="1"/>
  <c r="AW149" i="6"/>
  <c r="AY149" i="6"/>
  <c r="H150" i="6" a="1"/>
  <c r="H150" i="6" s="1"/>
  <c r="T150" i="5" s="1"/>
  <c r="G150" i="12" s="1" a="1"/>
  <c r="G150" i="12" s="1"/>
  <c r="AX149" i="6"/>
  <c r="A150" i="6"/>
  <c r="J150" i="12" a="1"/>
  <c r="J150" i="12" s="1"/>
  <c r="L150" i="12" a="1"/>
  <c r="L150" i="12" s="1"/>
  <c r="N151" i="5"/>
  <c r="D151" i="6" s="1"/>
  <c r="AE151" i="5" a="1"/>
  <c r="AE151" i="5" s="1"/>
  <c r="F151" i="5"/>
  <c r="J151" i="5"/>
  <c r="K151" i="5"/>
  <c r="H151" i="5"/>
  <c r="AD151" i="5"/>
  <c r="A151" i="12"/>
  <c r="B151" i="5"/>
  <c r="B151" i="6"/>
  <c r="E151" i="5"/>
  <c r="C152" i="5"/>
  <c r="G151" i="5"/>
  <c r="D151" i="5"/>
  <c r="B151" i="12" s="1"/>
  <c r="BF149" i="6"/>
  <c r="BK149" i="6"/>
  <c r="BH149" i="6"/>
  <c r="CA149" i="6" a="1"/>
  <c r="CA149" i="6" s="1"/>
  <c r="CE149" i="6" a="1"/>
  <c r="CE149" i="6" s="1"/>
  <c r="CB149" i="6" a="1"/>
  <c r="CB149" i="6" s="1"/>
  <c r="BJ149" i="6"/>
  <c r="BZ149" i="6" a="1"/>
  <c r="BZ149" i="6" s="1"/>
  <c r="BY149" i="6" a="1"/>
  <c r="BY149" i="6" s="1"/>
  <c r="CC149" i="6" a="1"/>
  <c r="CC149" i="6" s="1"/>
  <c r="BE149" i="6"/>
  <c r="BX149" i="6" a="1"/>
  <c r="BX149" i="6" s="1"/>
  <c r="BV149" i="6" a="1"/>
  <c r="BV149" i="6" s="1"/>
  <c r="BG149" i="6"/>
  <c r="CD149" i="6" a="1"/>
  <c r="CD149" i="6" s="1"/>
  <c r="BD149" i="6"/>
  <c r="BL149" i="6"/>
  <c r="BI149" i="6"/>
  <c r="BC149" i="6"/>
  <c r="BW149" i="6" a="1"/>
  <c r="BW149" i="6" s="1"/>
  <c r="L167" i="6"/>
  <c r="F166" i="6"/>
  <c r="H151" i="6" l="1" a="1"/>
  <c r="H151" i="6" s="1"/>
  <c r="T151" i="5" s="1"/>
  <c r="G151" i="12" s="1" a="1"/>
  <c r="G151" i="12" s="1"/>
  <c r="A151" i="6"/>
  <c r="N151" i="6" s="1"/>
  <c r="K150" i="12"/>
  <c r="N152" i="5"/>
  <c r="D152" i="6" s="1"/>
  <c r="K152" i="5"/>
  <c r="D152" i="5"/>
  <c r="B152" i="12" s="1"/>
  <c r="F152" i="5"/>
  <c r="B152" i="6"/>
  <c r="AD152" i="5"/>
  <c r="AE152" i="5" a="1"/>
  <c r="AE152" i="5" s="1"/>
  <c r="C153" i="5"/>
  <c r="H152" i="5"/>
  <c r="J152" i="5"/>
  <c r="B152" i="5"/>
  <c r="A152" i="12"/>
  <c r="G152" i="5"/>
  <c r="E152" i="5"/>
  <c r="J151" i="12" a="1"/>
  <c r="J151" i="12" s="1"/>
  <c r="L151" i="12" a="1"/>
  <c r="L151" i="12" s="1"/>
  <c r="M150" i="6"/>
  <c r="N150" i="6"/>
  <c r="L168" i="6"/>
  <c r="L169" i="6" s="1"/>
  <c r="BA150" i="6" l="1"/>
  <c r="AW150" i="6"/>
  <c r="AV150" i="6"/>
  <c r="CM150" i="6" a="1"/>
  <c r="CM150" i="6" s="1"/>
  <c r="CG150" i="6" a="1"/>
  <c r="CG150" i="6" s="1"/>
  <c r="CF150" i="6" a="1"/>
  <c r="CF150" i="6" s="1"/>
  <c r="BS150" i="6"/>
  <c r="AY150" i="6"/>
  <c r="BO150" i="6"/>
  <c r="AX150" i="6"/>
  <c r="BR150" i="6"/>
  <c r="AZ150" i="6"/>
  <c r="BP150" i="6"/>
  <c r="CJ150" i="6" a="1"/>
  <c r="CJ150" i="6" s="1"/>
  <c r="CI150" i="6" a="1"/>
  <c r="CI150" i="6" s="1"/>
  <c r="CL150" i="6" a="1"/>
  <c r="CL150" i="6" s="1"/>
  <c r="BQ150" i="6"/>
  <c r="CK150" i="6" a="1"/>
  <c r="CK150" i="6" s="1"/>
  <c r="BM150" i="6"/>
  <c r="BT150" i="6"/>
  <c r="CH150" i="6" a="1"/>
  <c r="CH150" i="6" s="1"/>
  <c r="BN150" i="6"/>
  <c r="A152" i="6"/>
  <c r="N152" i="6" s="1"/>
  <c r="K151" i="12"/>
  <c r="H152" i="6" a="1"/>
  <c r="H152" i="6" s="1"/>
  <c r="BW150" i="6" a="1"/>
  <c r="BW150" i="6" s="1"/>
  <c r="BG150" i="6"/>
  <c r="CA150" i="6" a="1"/>
  <c r="CA150" i="6" s="1"/>
  <c r="CE150" i="6" a="1"/>
  <c r="CE150" i="6" s="1"/>
  <c r="BC150" i="6"/>
  <c r="BL150" i="6"/>
  <c r="BJ150" i="6"/>
  <c r="BY150" i="6" a="1"/>
  <c r="BY150" i="6" s="1"/>
  <c r="CB150" i="6" a="1"/>
  <c r="CB150" i="6" s="1"/>
  <c r="BV150" i="6" a="1"/>
  <c r="BV150" i="6" s="1"/>
  <c r="BH150" i="6"/>
  <c r="CC150" i="6" a="1"/>
  <c r="CC150" i="6" s="1"/>
  <c r="BK150" i="6"/>
  <c r="BX150" i="6" a="1"/>
  <c r="BX150" i="6" s="1"/>
  <c r="BD150" i="6"/>
  <c r="BE150" i="6"/>
  <c r="BF150" i="6"/>
  <c r="BI150" i="6"/>
  <c r="BZ150" i="6" a="1"/>
  <c r="BZ150" i="6" s="1"/>
  <c r="CD150" i="6" a="1"/>
  <c r="CD150" i="6" s="1"/>
  <c r="M151" i="6"/>
  <c r="AW151" i="6" s="1"/>
  <c r="J152" i="12" a="1"/>
  <c r="J152" i="12" s="1"/>
  <c r="L152" i="12" a="1"/>
  <c r="L152" i="12" s="1"/>
  <c r="G153" i="5"/>
  <c r="AE153" i="5" a="1"/>
  <c r="AE153" i="5" s="1"/>
  <c r="B153" i="5"/>
  <c r="C154" i="5" s="1"/>
  <c r="D153" i="5"/>
  <c r="B153" i="12" s="1"/>
  <c r="AD153" i="5"/>
  <c r="E153" i="5"/>
  <c r="J153" i="5"/>
  <c r="H153" i="5"/>
  <c r="N153" i="5"/>
  <c r="D153" i="6" s="1"/>
  <c r="A153" i="12"/>
  <c r="F153" i="5"/>
  <c r="B153" i="6"/>
  <c r="K153" i="5"/>
  <c r="AZ151" i="6" l="1"/>
  <c r="BA151" i="6"/>
  <c r="AV151" i="6"/>
  <c r="BQ151" i="6"/>
  <c r="BP151" i="6"/>
  <c r="BR151" i="6"/>
  <c r="BT151" i="6"/>
  <c r="BM151" i="6"/>
  <c r="AX151" i="6"/>
  <c r="AY151" i="6"/>
  <c r="BO151" i="6"/>
  <c r="BN151" i="6"/>
  <c r="CL151" i="6" a="1"/>
  <c r="CL151" i="6" s="1"/>
  <c r="BS151" i="6"/>
  <c r="CF151" i="6" a="1"/>
  <c r="CF151" i="6" s="1"/>
  <c r="CI151" i="6" a="1"/>
  <c r="CI151" i="6" s="1"/>
  <c r="CK151" i="6" a="1"/>
  <c r="CK151" i="6" s="1"/>
  <c r="CM151" i="6" a="1"/>
  <c r="CM151" i="6" s="1"/>
  <c r="CJ151" i="6" a="1"/>
  <c r="CJ151" i="6" s="1"/>
  <c r="CH151" i="6" a="1"/>
  <c r="CH151" i="6" s="1"/>
  <c r="CG151" i="6" a="1"/>
  <c r="CG151" i="6" s="1"/>
  <c r="H153" i="6" a="1"/>
  <c r="H153" i="6" s="1"/>
  <c r="T153" i="5" s="1"/>
  <c r="G153" i="12" s="1" a="1"/>
  <c r="G153" i="12" s="1"/>
  <c r="M152" i="6"/>
  <c r="K152" i="12"/>
  <c r="CD151" i="6" a="1"/>
  <c r="CD151" i="6" s="1"/>
  <c r="CB151" i="6" a="1"/>
  <c r="CB151" i="6" s="1"/>
  <c r="CE151" i="6" a="1"/>
  <c r="CE151" i="6" s="1"/>
  <c r="BY151" i="6" a="1"/>
  <c r="BY151" i="6" s="1"/>
  <c r="BE151" i="6"/>
  <c r="BF151" i="6"/>
  <c r="BJ151" i="6"/>
  <c r="BD151" i="6"/>
  <c r="CC151" i="6" a="1"/>
  <c r="CC151" i="6" s="1"/>
  <c r="BX151" i="6" a="1"/>
  <c r="BX151" i="6" s="1"/>
  <c r="BG151" i="6"/>
  <c r="BW151" i="6" a="1"/>
  <c r="BW151" i="6" s="1"/>
  <c r="BI151" i="6"/>
  <c r="BK151" i="6"/>
  <c r="BC151" i="6"/>
  <c r="BL151" i="6"/>
  <c r="BZ151" i="6" a="1"/>
  <c r="BZ151" i="6" s="1"/>
  <c r="BH151" i="6"/>
  <c r="BV151" i="6" a="1"/>
  <c r="BV151" i="6" s="1"/>
  <c r="CA151" i="6" a="1"/>
  <c r="CA151" i="6" s="1"/>
  <c r="T152" i="5"/>
  <c r="G152" i="12" s="1" a="1"/>
  <c r="G152" i="12" s="1"/>
  <c r="A153" i="6"/>
  <c r="J153" i="12" a="1"/>
  <c r="J153" i="12" s="1"/>
  <c r="L153" i="12" a="1"/>
  <c r="L153" i="12" s="1"/>
  <c r="N154" i="5"/>
  <c r="D154" i="6" s="1"/>
  <c r="AF154" i="5" a="1"/>
  <c r="AF154" i="5" s="1"/>
  <c r="AG154" i="5" s="1" a="1"/>
  <c r="AG154" i="5" s="1"/>
  <c r="U154" i="5" s="1"/>
  <c r="AN154" i="5" s="1" a="1"/>
  <c r="AN154" i="5" s="1"/>
  <c r="A154" i="12"/>
  <c r="I154" i="5"/>
  <c r="C155" i="5"/>
  <c r="G154" i="5"/>
  <c r="W154" i="5" a="1"/>
  <c r="W154" i="5" s="1"/>
  <c r="H154" i="12" s="1" a="1"/>
  <c r="H154" i="12" s="1"/>
  <c r="AE154" i="5" a="1"/>
  <c r="AE154" i="5" s="1"/>
  <c r="AD154" i="5"/>
  <c r="E154" i="5"/>
  <c r="F154" i="5"/>
  <c r="H154" i="5"/>
  <c r="B154" i="5"/>
  <c r="B154" i="6"/>
  <c r="BT152" i="6" l="1"/>
  <c r="BS152" i="6"/>
  <c r="BP152" i="6"/>
  <c r="BR152" i="6"/>
  <c r="CJ152" i="6" a="1"/>
  <c r="CJ152" i="6" s="1"/>
  <c r="BQ152" i="6"/>
  <c r="CI152" i="6" a="1"/>
  <c r="CI152" i="6" s="1"/>
  <c r="BO152" i="6"/>
  <c r="CG152" i="6" a="1"/>
  <c r="CG152" i="6" s="1"/>
  <c r="BN152" i="6"/>
  <c r="BA152" i="6"/>
  <c r="CF152" i="6" a="1"/>
  <c r="CF152" i="6" s="1"/>
  <c r="BM152" i="6"/>
  <c r="CH152" i="6" a="1"/>
  <c r="CH152" i="6" s="1"/>
  <c r="CM152" i="6" a="1"/>
  <c r="CM152" i="6" s="1"/>
  <c r="CL152" i="6" a="1"/>
  <c r="CL152" i="6" s="1"/>
  <c r="CK152" i="6" a="1"/>
  <c r="CK152" i="6" s="1"/>
  <c r="AW152" i="6"/>
  <c r="AV152" i="6"/>
  <c r="AZ152" i="6"/>
  <c r="AY152" i="6"/>
  <c r="AX152" i="6"/>
  <c r="BX152" i="6" a="1"/>
  <c r="BX152" i="6" s="1"/>
  <c r="BF152" i="6"/>
  <c r="BE152" i="6"/>
  <c r="BL152" i="6"/>
  <c r="BZ152" i="6" a="1"/>
  <c r="BZ152" i="6" s="1"/>
  <c r="BY152" i="6" a="1"/>
  <c r="BY152" i="6" s="1"/>
  <c r="CA152" i="6" a="1"/>
  <c r="CA152" i="6" s="1"/>
  <c r="CB152" i="6" a="1"/>
  <c r="CB152" i="6" s="1"/>
  <c r="BK152" i="6"/>
  <c r="BI152" i="6"/>
  <c r="BW152" i="6" a="1"/>
  <c r="BW152" i="6" s="1"/>
  <c r="BG152" i="6"/>
  <c r="BH152" i="6"/>
  <c r="BJ152" i="6"/>
  <c r="BD152" i="6"/>
  <c r="BC152" i="6"/>
  <c r="CC152" i="6" a="1"/>
  <c r="CC152" i="6" s="1"/>
  <c r="CE152" i="6" a="1"/>
  <c r="CE152" i="6" s="1"/>
  <c r="BV152" i="6" a="1"/>
  <c r="BV152" i="6" s="1"/>
  <c r="CD152" i="6" a="1"/>
  <c r="CD152" i="6" s="1"/>
  <c r="K153" i="12"/>
  <c r="G155" i="5"/>
  <c r="B155" i="6"/>
  <c r="D155" i="5"/>
  <c r="B155" i="12" s="1"/>
  <c r="F155" i="5"/>
  <c r="K155" i="5"/>
  <c r="N155" i="5"/>
  <c r="D155" i="6" s="1"/>
  <c r="E155" i="5"/>
  <c r="AE155" i="5" a="1"/>
  <c r="AE155" i="5" s="1"/>
  <c r="H155" i="5"/>
  <c r="J155" i="5"/>
  <c r="AD155" i="5"/>
  <c r="A155" i="12"/>
  <c r="B155" i="5"/>
  <c r="C156" i="5" s="1"/>
  <c r="M154" i="6"/>
  <c r="BZ154" i="6" s="1" a="1"/>
  <c r="BZ154" i="6" s="1"/>
  <c r="N154" i="6"/>
  <c r="H154" i="6" a="1"/>
  <c r="H154" i="6" s="1"/>
  <c r="G154" i="6"/>
  <c r="J154" i="6" a="1"/>
  <c r="J154" i="6" s="1"/>
  <c r="A154" i="6"/>
  <c r="N153" i="6"/>
  <c r="M153" i="6"/>
  <c r="AZ153" i="6" s="1"/>
  <c r="CL154" i="6" l="1" a="1"/>
  <c r="CL154" i="6" s="1"/>
  <c r="BP154" i="6"/>
  <c r="BA154" i="6"/>
  <c r="CI154" i="6" a="1"/>
  <c r="CI154" i="6" s="1"/>
  <c r="AU154" i="6"/>
  <c r="AX154" i="6"/>
  <c r="BN154" i="6"/>
  <c r="BS154" i="6"/>
  <c r="BO154" i="6"/>
  <c r="AT154" i="6"/>
  <c r="BT154" i="6"/>
  <c r="H155" i="6" a="1"/>
  <c r="H155" i="6" s="1"/>
  <c r="T155" i="5" s="1"/>
  <c r="G155" i="12" s="1" a="1"/>
  <c r="G155" i="12" s="1"/>
  <c r="AY154" i="6"/>
  <c r="BQ154" i="6"/>
  <c r="BM154" i="6"/>
  <c r="CG154" i="6" a="1"/>
  <c r="CG154" i="6" s="1"/>
  <c r="AW153" i="6"/>
  <c r="AZ154" i="6"/>
  <c r="CH154" i="6" a="1"/>
  <c r="CH154" i="6" s="1"/>
  <c r="BA153" i="6"/>
  <c r="CJ154" i="6" a="1"/>
  <c r="CJ154" i="6" s="1"/>
  <c r="AW154" i="6"/>
  <c r="CL153" i="6" a="1"/>
  <c r="CL153" i="6" s="1"/>
  <c r="BM153" i="6"/>
  <c r="BT153" i="6"/>
  <c r="BQ153" i="6"/>
  <c r="BO153" i="6"/>
  <c r="CH153" i="6" a="1"/>
  <c r="CH153" i="6" s="1"/>
  <c r="BN153" i="6"/>
  <c r="AY153" i="6"/>
  <c r="CJ153" i="6" a="1"/>
  <c r="CJ153" i="6" s="1"/>
  <c r="BP153" i="6"/>
  <c r="BR153" i="6"/>
  <c r="CM153" i="6" a="1"/>
  <c r="CM153" i="6" s="1"/>
  <c r="CG153" i="6" a="1"/>
  <c r="CG153" i="6" s="1"/>
  <c r="BS153" i="6"/>
  <c r="CK153" i="6" a="1"/>
  <c r="CK153" i="6" s="1"/>
  <c r="CI153" i="6" a="1"/>
  <c r="CI153" i="6" s="1"/>
  <c r="AX153" i="6"/>
  <c r="CF153" i="6" a="1"/>
  <c r="CF153" i="6" s="1"/>
  <c r="AV153" i="6"/>
  <c r="BR154" i="6"/>
  <c r="CM154" i="6" a="1"/>
  <c r="CM154" i="6" s="1"/>
  <c r="AV154" i="6"/>
  <c r="CK154" i="6" a="1"/>
  <c r="CK154" i="6" s="1"/>
  <c r="CF154" i="6" a="1"/>
  <c r="CF154" i="6" s="1"/>
  <c r="BK153" i="6"/>
  <c r="BZ153" i="6" a="1"/>
  <c r="BZ153" i="6" s="1"/>
  <c r="BD153" i="6"/>
  <c r="CB153" i="6" a="1"/>
  <c r="CB153" i="6" s="1"/>
  <c r="CC153" i="6" a="1"/>
  <c r="CC153" i="6" s="1"/>
  <c r="BW153" i="6" a="1"/>
  <c r="BW153" i="6" s="1"/>
  <c r="CD153" i="6" a="1"/>
  <c r="CD153" i="6" s="1"/>
  <c r="BF153" i="6"/>
  <c r="BJ153" i="6"/>
  <c r="BC153" i="6"/>
  <c r="BX153" i="6" a="1"/>
  <c r="BX153" i="6" s="1"/>
  <c r="BE153" i="6"/>
  <c r="BV153" i="6" a="1"/>
  <c r="BV153" i="6" s="1"/>
  <c r="CA153" i="6" a="1"/>
  <c r="CA153" i="6" s="1"/>
  <c r="BH153" i="6"/>
  <c r="CE153" i="6" a="1"/>
  <c r="CE153" i="6" s="1"/>
  <c r="BY153" i="6" a="1"/>
  <c r="BY153" i="6" s="1"/>
  <c r="BL153" i="6"/>
  <c r="BG153" i="6"/>
  <c r="BI153" i="6"/>
  <c r="AS154" i="6"/>
  <c r="AN154" i="6"/>
  <c r="AM154" i="6"/>
  <c r="AQ154" i="6"/>
  <c r="AK154" i="6"/>
  <c r="T154" i="5"/>
  <c r="AJ154" i="6"/>
  <c r="AO154" i="6"/>
  <c r="AP154" i="6"/>
  <c r="AR154" i="6"/>
  <c r="AL154" i="6"/>
  <c r="L155" i="12" a="1"/>
  <c r="L155" i="12" s="1"/>
  <c r="J155" i="12" a="1"/>
  <c r="J155" i="12" s="1"/>
  <c r="A155" i="6"/>
  <c r="BK154" i="6"/>
  <c r="BV154" i="6" a="1"/>
  <c r="BV154" i="6" s="1"/>
  <c r="BF154" i="6"/>
  <c r="BI154" i="6"/>
  <c r="BJ154" i="6"/>
  <c r="CD154" i="6" a="1"/>
  <c r="CD154" i="6" s="1"/>
  <c r="BH154" i="6"/>
  <c r="BG154" i="6"/>
  <c r="BE154" i="6"/>
  <c r="BY154" i="6" a="1"/>
  <c r="BY154" i="6" s="1"/>
  <c r="BD154" i="6"/>
  <c r="CA154" i="6" a="1"/>
  <c r="CA154" i="6" s="1"/>
  <c r="CB154" i="6" a="1"/>
  <c r="CB154" i="6" s="1"/>
  <c r="CC154" i="6" a="1"/>
  <c r="CC154" i="6" s="1"/>
  <c r="BC154" i="6"/>
  <c r="CE154" i="6" a="1"/>
  <c r="CE154" i="6" s="1"/>
  <c r="BW154" i="6" a="1"/>
  <c r="BW154" i="6" s="1"/>
  <c r="BL154" i="6"/>
  <c r="BX154" i="6" a="1"/>
  <c r="BX154" i="6" s="1"/>
  <c r="AE156" i="5" a="1"/>
  <c r="AE156" i="5" s="1"/>
  <c r="G156" i="5"/>
  <c r="B156" i="6"/>
  <c r="E156" i="5"/>
  <c r="W156" i="5" a="1"/>
  <c r="W156" i="5" s="1"/>
  <c r="H156" i="12" s="1" a="1"/>
  <c r="H156" i="12" s="1"/>
  <c r="C157" i="5"/>
  <c r="AF156" i="5" a="1"/>
  <c r="AF156" i="5" s="1"/>
  <c r="AG156" i="5" s="1" a="1"/>
  <c r="AG156" i="5" s="1"/>
  <c r="U156" i="5" s="1"/>
  <c r="AN156" i="5" s="1" a="1"/>
  <c r="AN156" i="5" s="1"/>
  <c r="H156" i="5"/>
  <c r="A156" i="12"/>
  <c r="N156" i="5"/>
  <c r="D156" i="6" s="1"/>
  <c r="I156" i="5"/>
  <c r="F156" i="5"/>
  <c r="AD156" i="5"/>
  <c r="B156" i="5"/>
  <c r="J156" i="6" l="1" a="1"/>
  <c r="J156" i="6" s="1"/>
  <c r="A156" i="6"/>
  <c r="M156" i="6"/>
  <c r="CB156" i="6" s="1" a="1"/>
  <c r="CB156" i="6" s="1"/>
  <c r="G156" i="6"/>
  <c r="H156" i="6" a="1"/>
  <c r="H156" i="6" s="1"/>
  <c r="N156" i="6"/>
  <c r="G157" i="5"/>
  <c r="B157" i="6"/>
  <c r="K157" i="5"/>
  <c r="AE157" i="5" a="1"/>
  <c r="AE157" i="5" s="1"/>
  <c r="F157" i="5"/>
  <c r="A157" i="12"/>
  <c r="C158" i="5"/>
  <c r="D157" i="5"/>
  <c r="B157" i="12" s="1"/>
  <c r="AD157" i="5"/>
  <c r="B157" i="5"/>
  <c r="H157" i="5"/>
  <c r="E157" i="5"/>
  <c r="J157" i="5"/>
  <c r="N157" i="5"/>
  <c r="D157" i="6" s="1"/>
  <c r="M155" i="6"/>
  <c r="N155" i="6"/>
  <c r="K155" i="12"/>
  <c r="G154" i="12" a="1"/>
  <c r="G154" i="12" s="1"/>
  <c r="AU156" i="6" l="1"/>
  <c r="AX155" i="6"/>
  <c r="AV156" i="6"/>
  <c r="AX156" i="6"/>
  <c r="AZ156" i="6"/>
  <c r="BQ156" i="6"/>
  <c r="CJ156" i="6" a="1"/>
  <c r="CJ156" i="6" s="1"/>
  <c r="AY155" i="6"/>
  <c r="BT156" i="6"/>
  <c r="BM156" i="6"/>
  <c r="CI156" i="6" a="1"/>
  <c r="CI156" i="6" s="1"/>
  <c r="BA156" i="6"/>
  <c r="CF156" i="6" a="1"/>
  <c r="CF156" i="6" s="1"/>
  <c r="CK156" i="6" a="1"/>
  <c r="CK156" i="6" s="1"/>
  <c r="BR156" i="6"/>
  <c r="CL156" i="6" a="1"/>
  <c r="CL156" i="6" s="1"/>
  <c r="AY156" i="6"/>
  <c r="CG156" i="6" a="1"/>
  <c r="CG156" i="6" s="1"/>
  <c r="H157" i="6" a="1"/>
  <c r="H157" i="6" s="1"/>
  <c r="T157" i="5" s="1"/>
  <c r="G157" i="12" s="1" a="1"/>
  <c r="G157" i="12" s="1"/>
  <c r="BS156" i="6"/>
  <c r="AW156" i="6"/>
  <c r="CM156" i="6" a="1"/>
  <c r="CM156" i="6" s="1"/>
  <c r="BN156" i="6"/>
  <c r="CH156" i="6" a="1"/>
  <c r="CH156" i="6" s="1"/>
  <c r="AT156" i="6"/>
  <c r="BO156" i="6"/>
  <c r="BS155" i="6"/>
  <c r="BR155" i="6"/>
  <c r="BA155" i="6"/>
  <c r="CK155" i="6" a="1"/>
  <c r="CK155" i="6" s="1"/>
  <c r="BP155" i="6"/>
  <c r="CJ155" i="6" a="1"/>
  <c r="CJ155" i="6" s="1"/>
  <c r="BQ155" i="6"/>
  <c r="CI155" i="6" a="1"/>
  <c r="CI155" i="6" s="1"/>
  <c r="BO155" i="6"/>
  <c r="CH155" i="6" a="1"/>
  <c r="CH155" i="6" s="1"/>
  <c r="BN155" i="6"/>
  <c r="AV155" i="6"/>
  <c r="CG155" i="6" a="1"/>
  <c r="CG155" i="6" s="1"/>
  <c r="BM155" i="6"/>
  <c r="CF155" i="6" a="1"/>
  <c r="CF155" i="6" s="1"/>
  <c r="AZ155" i="6"/>
  <c r="CL155" i="6" a="1"/>
  <c r="CL155" i="6" s="1"/>
  <c r="AW155" i="6"/>
  <c r="CM155" i="6" a="1"/>
  <c r="CM155" i="6" s="1"/>
  <c r="BT155" i="6"/>
  <c r="BP156" i="6"/>
  <c r="CA156" i="6" a="1"/>
  <c r="CA156" i="6" s="1"/>
  <c r="BC155" i="6"/>
  <c r="BW155" i="6" a="1"/>
  <c r="BW155" i="6" s="1"/>
  <c r="BK155" i="6"/>
  <c r="CD155" i="6" a="1"/>
  <c r="CD155" i="6" s="1"/>
  <c r="BD155" i="6"/>
  <c r="BE155" i="6"/>
  <c r="BV155" i="6" a="1"/>
  <c r="BV155" i="6" s="1"/>
  <c r="BJ155" i="6"/>
  <c r="BG155" i="6"/>
  <c r="BL155" i="6"/>
  <c r="BZ155" i="6" a="1"/>
  <c r="BZ155" i="6" s="1"/>
  <c r="BF155" i="6"/>
  <c r="CE155" i="6" a="1"/>
  <c r="CE155" i="6" s="1"/>
  <c r="BI155" i="6"/>
  <c r="BH155" i="6"/>
  <c r="CC155" i="6" a="1"/>
  <c r="CC155" i="6" s="1"/>
  <c r="CB155" i="6" a="1"/>
  <c r="CB155" i="6" s="1"/>
  <c r="BX155" i="6" a="1"/>
  <c r="BX155" i="6" s="1"/>
  <c r="CA155" i="6" a="1"/>
  <c r="CA155" i="6" s="1"/>
  <c r="BY155" i="6" a="1"/>
  <c r="BY155" i="6" s="1"/>
  <c r="J157" i="12" a="1"/>
  <c r="J157" i="12" s="1"/>
  <c r="L157" i="12" a="1"/>
  <c r="L157" i="12" s="1"/>
  <c r="A157" i="6"/>
  <c r="T156" i="5"/>
  <c r="AR156" i="6"/>
  <c r="AN156" i="6"/>
  <c r="AO156" i="6"/>
  <c r="AP156" i="6"/>
  <c r="AK156" i="6"/>
  <c r="AL156" i="6"/>
  <c r="AS156" i="6"/>
  <c r="AQ156" i="6"/>
  <c r="AM156" i="6"/>
  <c r="AJ156" i="6"/>
  <c r="AD158" i="5"/>
  <c r="AE158" i="5" a="1"/>
  <c r="AE158" i="5" s="1"/>
  <c r="B158" i="5"/>
  <c r="G158" i="5"/>
  <c r="C159" i="5"/>
  <c r="H158" i="5"/>
  <c r="A158" i="12"/>
  <c r="D158" i="5"/>
  <c r="B158" i="12" s="1"/>
  <c r="E158" i="5"/>
  <c r="F158" i="5"/>
  <c r="N158" i="5"/>
  <c r="D158" i="6" s="1"/>
  <c r="B158" i="6"/>
  <c r="K158" i="5"/>
  <c r="J158" i="5"/>
  <c r="BZ156" i="6" a="1"/>
  <c r="BZ156" i="6" s="1"/>
  <c r="CD156" i="6" a="1"/>
  <c r="CD156" i="6" s="1"/>
  <c r="BL156" i="6"/>
  <c r="BJ156" i="6"/>
  <c r="BV156" i="6" a="1"/>
  <c r="BV156" i="6" s="1"/>
  <c r="CE156" i="6" a="1"/>
  <c r="CE156" i="6" s="1"/>
  <c r="BW156" i="6" a="1"/>
  <c r="BW156" i="6" s="1"/>
  <c r="BH156" i="6"/>
  <c r="BK156" i="6"/>
  <c r="BG156" i="6"/>
  <c r="BE156" i="6"/>
  <c r="BF156" i="6"/>
  <c r="BC156" i="6"/>
  <c r="CC156" i="6" a="1"/>
  <c r="CC156" i="6" s="1"/>
  <c r="BI156" i="6"/>
  <c r="BD156" i="6"/>
  <c r="BX156" i="6" a="1"/>
  <c r="BX156" i="6" s="1"/>
  <c r="BY156" i="6" a="1"/>
  <c r="BY156" i="6" s="1"/>
  <c r="L170" i="6"/>
  <c r="H158" i="6" l="1" a="1"/>
  <c r="H158" i="6" s="1"/>
  <c r="T158" i="5" s="1"/>
  <c r="G158" i="12" s="1" a="1"/>
  <c r="G158" i="12" s="1"/>
  <c r="A158" i="6"/>
  <c r="N158" i="6" s="1"/>
  <c r="K157" i="12"/>
  <c r="G156" i="12" a="1"/>
  <c r="G156" i="12" s="1"/>
  <c r="J158" i="12" a="1"/>
  <c r="J158" i="12" s="1"/>
  <c r="L158" i="12" a="1"/>
  <c r="L158" i="12" s="1"/>
  <c r="AE159" i="5" a="1"/>
  <c r="AE159" i="5" s="1"/>
  <c r="B159" i="6"/>
  <c r="K159" i="5"/>
  <c r="G159" i="5"/>
  <c r="J159" i="5"/>
  <c r="N159" i="5"/>
  <c r="D159" i="6" s="1"/>
  <c r="H159" i="5"/>
  <c r="F159" i="5"/>
  <c r="AD159" i="5"/>
  <c r="E159" i="5"/>
  <c r="B159" i="5"/>
  <c r="D159" i="5"/>
  <c r="B159" i="12" s="1"/>
  <c r="C160" i="5"/>
  <c r="A159" i="12"/>
  <c r="M157" i="6"/>
  <c r="N157" i="6"/>
  <c r="L171" i="6"/>
  <c r="F170" i="6"/>
  <c r="AZ157" i="6" l="1"/>
  <c r="AW157" i="6"/>
  <c r="AY157" i="6"/>
  <c r="H159" i="6" a="1"/>
  <c r="H159" i="6" s="1"/>
  <c r="T159" i="5" s="1"/>
  <c r="G159" i="12" s="1" a="1"/>
  <c r="G159" i="12" s="1"/>
  <c r="CG157" i="6" a="1"/>
  <c r="CG157" i="6" s="1"/>
  <c r="BT157" i="6"/>
  <c r="BA157" i="6"/>
  <c r="CI157" i="6" a="1"/>
  <c r="CI157" i="6" s="1"/>
  <c r="BM157" i="6"/>
  <c r="CF157" i="6" a="1"/>
  <c r="CF157" i="6" s="1"/>
  <c r="CM157" i="6" a="1"/>
  <c r="CM157" i="6" s="1"/>
  <c r="CJ157" i="6" a="1"/>
  <c r="CJ157" i="6" s="1"/>
  <c r="CL157" i="6" a="1"/>
  <c r="CL157" i="6" s="1"/>
  <c r="BQ157" i="6"/>
  <c r="BS157" i="6"/>
  <c r="BP157" i="6"/>
  <c r="BR157" i="6"/>
  <c r="BO157" i="6"/>
  <c r="CK157" i="6" a="1"/>
  <c r="CK157" i="6" s="1"/>
  <c r="CH157" i="6" a="1"/>
  <c r="CH157" i="6" s="1"/>
  <c r="BN157" i="6"/>
  <c r="AX157" i="6"/>
  <c r="AV157" i="6"/>
  <c r="BJ157" i="6"/>
  <c r="CD157" i="6" a="1"/>
  <c r="CD157" i="6" s="1"/>
  <c r="BL157" i="6"/>
  <c r="CC157" i="6" a="1"/>
  <c r="CC157" i="6" s="1"/>
  <c r="BY157" i="6" a="1"/>
  <c r="BY157" i="6" s="1"/>
  <c r="BC157" i="6"/>
  <c r="BH157" i="6"/>
  <c r="CA157" i="6" a="1"/>
  <c r="CA157" i="6" s="1"/>
  <c r="BE157" i="6"/>
  <c r="BD157" i="6"/>
  <c r="CB157" i="6" a="1"/>
  <c r="CB157" i="6" s="1"/>
  <c r="BG157" i="6"/>
  <c r="BV157" i="6" a="1"/>
  <c r="BV157" i="6" s="1"/>
  <c r="BF157" i="6"/>
  <c r="BX157" i="6" a="1"/>
  <c r="BX157" i="6" s="1"/>
  <c r="BZ157" i="6" a="1"/>
  <c r="BZ157" i="6" s="1"/>
  <c r="BW157" i="6" a="1"/>
  <c r="BW157" i="6" s="1"/>
  <c r="CE157" i="6" a="1"/>
  <c r="CE157" i="6" s="1"/>
  <c r="BI157" i="6"/>
  <c r="BK157" i="6"/>
  <c r="D160" i="5"/>
  <c r="B160" i="12" s="1"/>
  <c r="K160" i="5"/>
  <c r="F160" i="5"/>
  <c r="B160" i="6"/>
  <c r="E160" i="5"/>
  <c r="AD160" i="5"/>
  <c r="G160" i="5"/>
  <c r="C161" i="5"/>
  <c r="B160" i="5"/>
  <c r="N160" i="5"/>
  <c r="D160" i="6" s="1"/>
  <c r="A160" i="12"/>
  <c r="H160" i="5"/>
  <c r="AE160" i="5" a="1"/>
  <c r="AE160" i="5" s="1"/>
  <c r="J160" i="5"/>
  <c r="A159" i="6"/>
  <c r="K158" i="12"/>
  <c r="L159" i="12" a="1"/>
  <c r="L159" i="12" s="1"/>
  <c r="J159" i="12" a="1"/>
  <c r="J159" i="12" s="1"/>
  <c r="M158" i="6"/>
  <c r="BA158" i="6" s="1"/>
  <c r="L172" i="6"/>
  <c r="H160" i="6" l="1" a="1"/>
  <c r="H160" i="6" s="1"/>
  <c r="T160" i="5" s="1"/>
  <c r="G160" i="12" s="1" a="1"/>
  <c r="G160" i="12" s="1"/>
  <c r="AY158" i="6"/>
  <c r="AX158" i="6"/>
  <c r="CH158" i="6" a="1"/>
  <c r="CH158" i="6" s="1"/>
  <c r="CG158" i="6" a="1"/>
  <c r="CG158" i="6" s="1"/>
  <c r="BQ158" i="6"/>
  <c r="CJ158" i="6" a="1"/>
  <c r="CJ158" i="6" s="1"/>
  <c r="CF158" i="6" a="1"/>
  <c r="CF158" i="6" s="1"/>
  <c r="BR158" i="6"/>
  <c r="CI158" i="6" a="1"/>
  <c r="CI158" i="6" s="1"/>
  <c r="BT158" i="6"/>
  <c r="CK158" i="6" a="1"/>
  <c r="CK158" i="6" s="1"/>
  <c r="BO158" i="6"/>
  <c r="BS158" i="6"/>
  <c r="BN158" i="6"/>
  <c r="AZ158" i="6"/>
  <c r="BP158" i="6"/>
  <c r="CM158" i="6" a="1"/>
  <c r="CM158" i="6" s="1"/>
  <c r="BM158" i="6"/>
  <c r="CL158" i="6" a="1"/>
  <c r="CL158" i="6" s="1"/>
  <c r="AV158" i="6"/>
  <c r="AW158" i="6"/>
  <c r="K159" i="12"/>
  <c r="M159" i="6"/>
  <c r="AX159" i="6" s="1"/>
  <c r="N159" i="6"/>
  <c r="L160" i="12" a="1"/>
  <c r="L160" i="12" s="1"/>
  <c r="J160" i="12" a="1"/>
  <c r="J160" i="12" s="1"/>
  <c r="A161" i="12"/>
  <c r="C162" i="5"/>
  <c r="K161" i="5"/>
  <c r="AE161" i="5" a="1"/>
  <c r="AE161" i="5" s="1"/>
  <c r="F161" i="5"/>
  <c r="B161" i="6"/>
  <c r="AD161" i="5"/>
  <c r="D161" i="5"/>
  <c r="B161" i="12" s="1"/>
  <c r="E161" i="5"/>
  <c r="B161" i="5"/>
  <c r="G161" i="5"/>
  <c r="H161" i="5"/>
  <c r="N161" i="5"/>
  <c r="D161" i="6" s="1"/>
  <c r="J161" i="5"/>
  <c r="A160" i="6"/>
  <c r="BW158" i="6" a="1"/>
  <c r="BW158" i="6" s="1"/>
  <c r="BG158" i="6"/>
  <c r="BZ158" i="6" a="1"/>
  <c r="BZ158" i="6" s="1"/>
  <c r="CE158" i="6" a="1"/>
  <c r="CE158" i="6" s="1"/>
  <c r="BI158" i="6"/>
  <c r="CD158" i="6" a="1"/>
  <c r="CD158" i="6" s="1"/>
  <c r="BY158" i="6" a="1"/>
  <c r="BY158" i="6" s="1"/>
  <c r="BD158" i="6"/>
  <c r="CC158" i="6" a="1"/>
  <c r="CC158" i="6" s="1"/>
  <c r="BJ158" i="6"/>
  <c r="BX158" i="6" a="1"/>
  <c r="BX158" i="6" s="1"/>
  <c r="BK158" i="6"/>
  <c r="BC158" i="6"/>
  <c r="BV158" i="6" a="1"/>
  <c r="BV158" i="6" s="1"/>
  <c r="BH158" i="6"/>
  <c r="CA158" i="6" a="1"/>
  <c r="CA158" i="6" s="1"/>
  <c r="BL158" i="6"/>
  <c r="CB158" i="6" a="1"/>
  <c r="CB158" i="6" s="1"/>
  <c r="BF158" i="6"/>
  <c r="BE158" i="6"/>
  <c r="L173" i="6"/>
  <c r="CK159" i="6" l="1" a="1"/>
  <c r="CK159" i="6" s="1"/>
  <c r="CJ159" i="6" a="1"/>
  <c r="CJ159" i="6" s="1"/>
  <c r="BN159" i="6"/>
  <c r="BS159" i="6"/>
  <c r="CL159" i="6" a="1"/>
  <c r="CL159" i="6" s="1"/>
  <c r="BM159" i="6"/>
  <c r="BT159" i="6"/>
  <c r="CI159" i="6" a="1"/>
  <c r="CI159" i="6" s="1"/>
  <c r="AW159" i="6"/>
  <c r="BP159" i="6"/>
  <c r="BQ159" i="6"/>
  <c r="BO159" i="6"/>
  <c r="CH159" i="6" a="1"/>
  <c r="CH159" i="6" s="1"/>
  <c r="CM159" i="6" a="1"/>
  <c r="CM159" i="6" s="1"/>
  <c r="CG159" i="6" a="1"/>
  <c r="CG159" i="6" s="1"/>
  <c r="CF159" i="6" a="1"/>
  <c r="CF159" i="6" s="1"/>
  <c r="BR159" i="6"/>
  <c r="AV159" i="6"/>
  <c r="AY159" i="6"/>
  <c r="BA159" i="6"/>
  <c r="H161" i="6" a="1"/>
  <c r="H161" i="6" s="1"/>
  <c r="T161" i="5" s="1"/>
  <c r="G161" i="12" s="1" a="1"/>
  <c r="G161" i="12" s="1"/>
  <c r="AZ159" i="6"/>
  <c r="K160" i="12"/>
  <c r="J161" i="12" a="1"/>
  <c r="J161" i="12" s="1"/>
  <c r="L161" i="12" a="1"/>
  <c r="L161" i="12" s="1"/>
  <c r="CC159" i="6" a="1"/>
  <c r="CC159" i="6" s="1"/>
  <c r="BY159" i="6" a="1"/>
  <c r="BY159" i="6" s="1"/>
  <c r="BK159" i="6"/>
  <c r="BL159" i="6"/>
  <c r="CD159" i="6" a="1"/>
  <c r="CD159" i="6" s="1"/>
  <c r="BE159" i="6"/>
  <c r="BJ159" i="6"/>
  <c r="BH159" i="6"/>
  <c r="BF159" i="6"/>
  <c r="BC159" i="6"/>
  <c r="BX159" i="6" a="1"/>
  <c r="BX159" i="6" s="1"/>
  <c r="CE159" i="6" a="1"/>
  <c r="CE159" i="6" s="1"/>
  <c r="BW159" i="6" a="1"/>
  <c r="BW159" i="6" s="1"/>
  <c r="BG159" i="6"/>
  <c r="BI159" i="6"/>
  <c r="BZ159" i="6" a="1"/>
  <c r="BZ159" i="6" s="1"/>
  <c r="CB159" i="6" a="1"/>
  <c r="CB159" i="6" s="1"/>
  <c r="BD159" i="6"/>
  <c r="BV159" i="6" a="1"/>
  <c r="BV159" i="6" s="1"/>
  <c r="CA159" i="6" a="1"/>
  <c r="CA159" i="6" s="1"/>
  <c r="M160" i="6"/>
  <c r="N160" i="6"/>
  <c r="A161" i="6"/>
  <c r="J162" i="5"/>
  <c r="AD162" i="5"/>
  <c r="G162" i="5"/>
  <c r="D162" i="5"/>
  <c r="B162" i="12" s="1"/>
  <c r="A162" i="12"/>
  <c r="B162" i="5"/>
  <c r="C163" i="5"/>
  <c r="AE162" i="5" a="1"/>
  <c r="AE162" i="5" s="1"/>
  <c r="F162" i="5"/>
  <c r="N162" i="5"/>
  <c r="D162" i="6" s="1"/>
  <c r="B162" i="6"/>
  <c r="H162" i="5"/>
  <c r="K162" i="5"/>
  <c r="E162" i="5"/>
  <c r="L174" i="6"/>
  <c r="BM160" i="6" l="1"/>
  <c r="CM160" i="6" a="1"/>
  <c r="CM160" i="6" s="1"/>
  <c r="BT160" i="6"/>
  <c r="CG160" i="6" a="1"/>
  <c r="CG160" i="6" s="1"/>
  <c r="BS160" i="6"/>
  <c r="CL160" i="6" a="1"/>
  <c r="CL160" i="6" s="1"/>
  <c r="BA160" i="6"/>
  <c r="CF160" i="6" a="1"/>
  <c r="CF160" i="6" s="1"/>
  <c r="AV160" i="6"/>
  <c r="CK160" i="6" a="1"/>
  <c r="CK160" i="6" s="1"/>
  <c r="AX160" i="6"/>
  <c r="CJ160" i="6" a="1"/>
  <c r="CJ160" i="6" s="1"/>
  <c r="AZ160" i="6"/>
  <c r="CI160" i="6" a="1"/>
  <c r="CI160" i="6" s="1"/>
  <c r="AY160" i="6"/>
  <c r="CH160" i="6" a="1"/>
  <c r="CH160" i="6" s="1"/>
  <c r="BQ160" i="6"/>
  <c r="BR160" i="6"/>
  <c r="BP160" i="6"/>
  <c r="BN160" i="6"/>
  <c r="BO160" i="6"/>
  <c r="AW160" i="6"/>
  <c r="A162" i="6"/>
  <c r="N162" i="6" s="1"/>
  <c r="G163" i="5"/>
  <c r="AE163" i="5" a="1"/>
  <c r="AE163" i="5" s="1"/>
  <c r="J163" i="5"/>
  <c r="K163" i="5"/>
  <c r="C164" i="5"/>
  <c r="H163" i="5"/>
  <c r="AD163" i="5"/>
  <c r="B163" i="6"/>
  <c r="F163" i="5"/>
  <c r="D163" i="5"/>
  <c r="B163" i="12" s="1"/>
  <c r="N163" i="5"/>
  <c r="D163" i="6" s="1"/>
  <c r="B163" i="5"/>
  <c r="E163" i="5"/>
  <c r="A163" i="12"/>
  <c r="J162" i="12" a="1"/>
  <c r="J162" i="12" s="1"/>
  <c r="L162" i="12" a="1"/>
  <c r="L162" i="12" s="1"/>
  <c r="H162" i="6" a="1"/>
  <c r="H162" i="6" s="1"/>
  <c r="N161" i="6"/>
  <c r="M161" i="6"/>
  <c r="AX161" i="6" s="1"/>
  <c r="BK160" i="6"/>
  <c r="BZ160" i="6" a="1"/>
  <c r="BZ160" i="6" s="1"/>
  <c r="BE160" i="6"/>
  <c r="CE160" i="6" a="1"/>
  <c r="CE160" i="6" s="1"/>
  <c r="BV160" i="6" a="1"/>
  <c r="BV160" i="6" s="1"/>
  <c r="BW160" i="6" a="1"/>
  <c r="BW160" i="6" s="1"/>
  <c r="BH160" i="6"/>
  <c r="BD160" i="6"/>
  <c r="CA160" i="6" a="1"/>
  <c r="CA160" i="6" s="1"/>
  <c r="CD160" i="6" a="1"/>
  <c r="CD160" i="6" s="1"/>
  <c r="BG160" i="6"/>
  <c r="BL160" i="6"/>
  <c r="BI160" i="6"/>
  <c r="BJ160" i="6"/>
  <c r="BY160" i="6" a="1"/>
  <c r="BY160" i="6" s="1"/>
  <c r="BX160" i="6" a="1"/>
  <c r="BX160" i="6" s="1"/>
  <c r="BC160" i="6"/>
  <c r="CC160" i="6" a="1"/>
  <c r="CC160" i="6" s="1"/>
  <c r="CB160" i="6" a="1"/>
  <c r="CB160" i="6" s="1"/>
  <c r="BF160" i="6"/>
  <c r="K161" i="12"/>
  <c r="L175" i="6"/>
  <c r="C165" i="5" l="1"/>
  <c r="AV161" i="6"/>
  <c r="AZ161" i="6"/>
  <c r="BA161" i="6"/>
  <c r="AY161" i="6"/>
  <c r="H163" i="6" a="1"/>
  <c r="H163" i="6" s="1"/>
  <c r="T163" i="5" s="1"/>
  <c r="G163" i="12" s="1" a="1"/>
  <c r="G163" i="12" s="1"/>
  <c r="CJ161" i="6" a="1"/>
  <c r="CJ161" i="6" s="1"/>
  <c r="BO161" i="6"/>
  <c r="CI161" i="6" a="1"/>
  <c r="CI161" i="6" s="1"/>
  <c r="BN161" i="6"/>
  <c r="CG161" i="6" a="1"/>
  <c r="CG161" i="6" s="1"/>
  <c r="CF161" i="6" a="1"/>
  <c r="CF161" i="6" s="1"/>
  <c r="CH161" i="6" a="1"/>
  <c r="CH161" i="6" s="1"/>
  <c r="BP161" i="6"/>
  <c r="CM161" i="6" a="1"/>
  <c r="CM161" i="6" s="1"/>
  <c r="CL161" i="6" a="1"/>
  <c r="CL161" i="6" s="1"/>
  <c r="BT161" i="6"/>
  <c r="BS161" i="6"/>
  <c r="BQ161" i="6"/>
  <c r="BM161" i="6"/>
  <c r="CK161" i="6" a="1"/>
  <c r="CK161" i="6" s="1"/>
  <c r="BR161" i="6"/>
  <c r="AW161" i="6"/>
  <c r="A165" i="12"/>
  <c r="AE165" i="5" a="1"/>
  <c r="AE165" i="5" s="1"/>
  <c r="AD165" i="5"/>
  <c r="N165" i="5"/>
  <c r="J165" i="5"/>
  <c r="B165" i="6"/>
  <c r="M162" i="6"/>
  <c r="BX161" i="6" a="1"/>
  <c r="BX161" i="6" s="1"/>
  <c r="CA161" i="6" a="1"/>
  <c r="CA161" i="6" s="1"/>
  <c r="BI161" i="6"/>
  <c r="CD161" i="6" a="1"/>
  <c r="CD161" i="6" s="1"/>
  <c r="BC161" i="6"/>
  <c r="CB161" i="6" a="1"/>
  <c r="CB161" i="6" s="1"/>
  <c r="BH161" i="6"/>
  <c r="BV161" i="6" a="1"/>
  <c r="BV161" i="6" s="1"/>
  <c r="BL161" i="6"/>
  <c r="BE161" i="6"/>
  <c r="BK161" i="6"/>
  <c r="BY161" i="6" a="1"/>
  <c r="BY161" i="6" s="1"/>
  <c r="BD161" i="6"/>
  <c r="BG161" i="6"/>
  <c r="CE161" i="6" a="1"/>
  <c r="CE161" i="6" s="1"/>
  <c r="CC161" i="6" a="1"/>
  <c r="CC161" i="6" s="1"/>
  <c r="BJ161" i="6"/>
  <c r="BW161" i="6" a="1"/>
  <c r="BW161" i="6" s="1"/>
  <c r="BZ161" i="6" a="1"/>
  <c r="BZ161" i="6" s="1"/>
  <c r="BF161" i="6"/>
  <c r="T162" i="5"/>
  <c r="G162" i="12" s="1" a="1"/>
  <c r="G162" i="12" s="1"/>
  <c r="D164" i="5"/>
  <c r="B164" i="12" s="1"/>
  <c r="AE164" i="5" a="1"/>
  <c r="AE164" i="5" s="1"/>
  <c r="N164" i="5"/>
  <c r="D164" i="6" s="1"/>
  <c r="A164" i="12"/>
  <c r="E164" i="5"/>
  <c r="E165" i="5" s="1"/>
  <c r="AD164" i="5"/>
  <c r="F164" i="5"/>
  <c r="F165" i="5" s="1"/>
  <c r="H164" i="5"/>
  <c r="H165" i="5" s="1"/>
  <c r="J164" i="5"/>
  <c r="B164" i="6"/>
  <c r="B164" i="5"/>
  <c r="B165" i="5" s="1"/>
  <c r="G164" i="5"/>
  <c r="G165" i="5" s="1"/>
  <c r="K164" i="5"/>
  <c r="K162" i="12"/>
  <c r="L163" i="12" a="1"/>
  <c r="L163" i="12" s="1"/>
  <c r="J163" i="12" a="1"/>
  <c r="J163" i="12" s="1"/>
  <c r="A163" i="6"/>
  <c r="L176" i="6"/>
  <c r="D165" i="5" l="1"/>
  <c r="B165" i="12" s="1"/>
  <c r="K165" i="5"/>
  <c r="AV162" i="6"/>
  <c r="AZ162" i="6"/>
  <c r="AY162" i="6"/>
  <c r="BA162" i="6"/>
  <c r="AX162" i="6"/>
  <c r="CI162" i="6" a="1"/>
  <c r="CI162" i="6" s="1"/>
  <c r="BR162" i="6"/>
  <c r="CH162" i="6" a="1"/>
  <c r="CH162" i="6" s="1"/>
  <c r="CM162" i="6" a="1"/>
  <c r="CM162" i="6" s="1"/>
  <c r="BQ162" i="6"/>
  <c r="CG162" i="6" a="1"/>
  <c r="CG162" i="6" s="1"/>
  <c r="BN162" i="6"/>
  <c r="CL162" i="6" a="1"/>
  <c r="CL162" i="6" s="1"/>
  <c r="CK162" i="6" a="1"/>
  <c r="CK162" i="6" s="1"/>
  <c r="CJ162" i="6" a="1"/>
  <c r="CJ162" i="6" s="1"/>
  <c r="BS162" i="6"/>
  <c r="BP162" i="6"/>
  <c r="BM162" i="6"/>
  <c r="BT162" i="6"/>
  <c r="BO162" i="6"/>
  <c r="CF162" i="6" a="1"/>
  <c r="CF162" i="6" s="1"/>
  <c r="AW162" i="6"/>
  <c r="BX162" i="6" a="1"/>
  <c r="BX162" i="6" s="1"/>
  <c r="D165" i="6"/>
  <c r="J165" i="12" a="1"/>
  <c r="J165" i="12" s="1"/>
  <c r="L165" i="12" a="1"/>
  <c r="L165" i="12" s="1"/>
  <c r="C166" i="5"/>
  <c r="BV162" i="6" a="1"/>
  <c r="BV162" i="6" s="1"/>
  <c r="BK162" i="6"/>
  <c r="BI162" i="6"/>
  <c r="BC162" i="6"/>
  <c r="CE162" i="6" a="1"/>
  <c r="CE162" i="6" s="1"/>
  <c r="CB162" i="6" a="1"/>
  <c r="CB162" i="6" s="1"/>
  <c r="CD162" i="6" a="1"/>
  <c r="CD162" i="6" s="1"/>
  <c r="BY162" i="6" a="1"/>
  <c r="BY162" i="6" s="1"/>
  <c r="BF162" i="6"/>
  <c r="BL162" i="6"/>
  <c r="BD162" i="6"/>
  <c r="CC162" i="6" a="1"/>
  <c r="CC162" i="6" s="1"/>
  <c r="BZ162" i="6" a="1"/>
  <c r="BZ162" i="6" s="1"/>
  <c r="BE162" i="6"/>
  <c r="BJ162" i="6"/>
  <c r="BH162" i="6"/>
  <c r="BW162" i="6" a="1"/>
  <c r="BW162" i="6" s="1"/>
  <c r="CA162" i="6" a="1"/>
  <c r="CA162" i="6" s="1"/>
  <c r="BG162" i="6"/>
  <c r="K163" i="12"/>
  <c r="A164" i="6"/>
  <c r="M164" i="6" s="1"/>
  <c r="CL164" i="6" s="1" a="1"/>
  <c r="CL164" i="6" s="1"/>
  <c r="L164" i="12" a="1"/>
  <c r="L164" i="12" s="1"/>
  <c r="J164" i="12" a="1"/>
  <c r="J164" i="12" s="1"/>
  <c r="M163" i="6"/>
  <c r="N163" i="6"/>
  <c r="H164" i="6" a="1"/>
  <c r="H164" i="6" s="1"/>
  <c r="L177" i="6"/>
  <c r="AV164" i="6" l="1"/>
  <c r="BP164" i="6"/>
  <c r="CK164" i="6" a="1"/>
  <c r="CK164" i="6" s="1"/>
  <c r="AZ164" i="6"/>
  <c r="CI164" i="6" a="1"/>
  <c r="CI164" i="6" s="1"/>
  <c r="BR164" i="6"/>
  <c r="CJ164" i="6" a="1"/>
  <c r="CJ164" i="6" s="1"/>
  <c r="BA164" i="6"/>
  <c r="AY164" i="6"/>
  <c r="BQ164" i="6"/>
  <c r="BM164" i="6"/>
  <c r="BS164" i="6"/>
  <c r="BN164" i="6"/>
  <c r="BT164" i="6"/>
  <c r="AZ163" i="6"/>
  <c r="BO164" i="6"/>
  <c r="CH164" i="6" a="1"/>
  <c r="CH164" i="6" s="1"/>
  <c r="AY163" i="6"/>
  <c r="CM164" i="6" a="1"/>
  <c r="CM164" i="6" s="1"/>
  <c r="AX164" i="6"/>
  <c r="CF163" i="6" a="1"/>
  <c r="CF163" i="6" s="1"/>
  <c r="BT163" i="6"/>
  <c r="CK163" i="6" a="1"/>
  <c r="CK163" i="6" s="1"/>
  <c r="CM163" i="6" a="1"/>
  <c r="CM163" i="6" s="1"/>
  <c r="CJ163" i="6" a="1"/>
  <c r="CJ163" i="6" s="1"/>
  <c r="BR163" i="6"/>
  <c r="CI163" i="6" a="1"/>
  <c r="CI163" i="6" s="1"/>
  <c r="BN163" i="6"/>
  <c r="CH163" i="6" a="1"/>
  <c r="CH163" i="6" s="1"/>
  <c r="BQ163" i="6"/>
  <c r="BP163" i="6"/>
  <c r="BO163" i="6"/>
  <c r="BM163" i="6"/>
  <c r="CG163" i="6" a="1"/>
  <c r="CG163" i="6" s="1"/>
  <c r="BS163" i="6"/>
  <c r="CL163" i="6" a="1"/>
  <c r="CL163" i="6" s="1"/>
  <c r="AW164" i="6"/>
  <c r="CG164" i="6" a="1"/>
  <c r="CG164" i="6" s="1"/>
  <c r="AX163" i="6"/>
  <c r="AV163" i="6"/>
  <c r="AW163" i="6"/>
  <c r="CF164" i="6" a="1"/>
  <c r="CF164" i="6" s="1"/>
  <c r="BA163" i="6"/>
  <c r="K165" i="12"/>
  <c r="H165" i="6" a="1"/>
  <c r="H165" i="6" s="1"/>
  <c r="A165" i="6"/>
  <c r="N165" i="6" s="1"/>
  <c r="E166" i="5"/>
  <c r="N166" i="5"/>
  <c r="D166" i="6" s="1"/>
  <c r="G166" i="5"/>
  <c r="C167" i="5"/>
  <c r="A166" i="12"/>
  <c r="H166" i="5"/>
  <c r="B166" i="6"/>
  <c r="J166" i="6" s="1" a="1"/>
  <c r="J166" i="6" s="1"/>
  <c r="AF166" i="5" a="1"/>
  <c r="AF166" i="5" s="1"/>
  <c r="AG166" i="5" s="1" a="1"/>
  <c r="AG166" i="5" s="1"/>
  <c r="U166" i="5" s="1"/>
  <c r="AN166" i="5" s="1" a="1"/>
  <c r="AN166" i="5" s="1"/>
  <c r="W166" i="5" a="1"/>
  <c r="W166" i="5" s="1"/>
  <c r="H166" i="12" s="1" a="1"/>
  <c r="H166" i="12" s="1"/>
  <c r="B166" i="5"/>
  <c r="F166" i="5"/>
  <c r="AE166" i="5" a="1"/>
  <c r="AE166" i="5" s="1"/>
  <c r="AD166" i="5"/>
  <c r="I166" i="5"/>
  <c r="N164" i="6"/>
  <c r="T164" i="5"/>
  <c r="G164" i="12" s="1" a="1"/>
  <c r="G164" i="12" s="1"/>
  <c r="BY163" i="6" a="1"/>
  <c r="BY163" i="6" s="1"/>
  <c r="BG163" i="6"/>
  <c r="BX163" i="6" a="1"/>
  <c r="BX163" i="6" s="1"/>
  <c r="BC163" i="6"/>
  <c r="CD163" i="6" a="1"/>
  <c r="CD163" i="6" s="1"/>
  <c r="BL163" i="6"/>
  <c r="BD163" i="6"/>
  <c r="CB163" i="6" a="1"/>
  <c r="CB163" i="6" s="1"/>
  <c r="BF163" i="6"/>
  <c r="BE163" i="6"/>
  <c r="CA163" i="6" a="1"/>
  <c r="CA163" i="6" s="1"/>
  <c r="BH163" i="6"/>
  <c r="CC163" i="6" a="1"/>
  <c r="CC163" i="6" s="1"/>
  <c r="BK163" i="6"/>
  <c r="CE163" i="6" a="1"/>
  <c r="CE163" i="6" s="1"/>
  <c r="BW163" i="6" a="1"/>
  <c r="BW163" i="6" s="1"/>
  <c r="BZ163" i="6" a="1"/>
  <c r="BZ163" i="6" s="1"/>
  <c r="BV163" i="6" a="1"/>
  <c r="BV163" i="6" s="1"/>
  <c r="BJ163" i="6"/>
  <c r="BI163" i="6"/>
  <c r="K164" i="12"/>
  <c r="CA164" i="6" a="1"/>
  <c r="CA164" i="6" s="1"/>
  <c r="BG164" i="6"/>
  <c r="BF164" i="6"/>
  <c r="BK164" i="6"/>
  <c r="BI164" i="6"/>
  <c r="CD164" i="6" a="1"/>
  <c r="CD164" i="6" s="1"/>
  <c r="BV164" i="6" a="1"/>
  <c r="BV164" i="6" s="1"/>
  <c r="BD164" i="6"/>
  <c r="CE164" i="6" a="1"/>
  <c r="CE164" i="6" s="1"/>
  <c r="BC164" i="6"/>
  <c r="CC164" i="6" a="1"/>
  <c r="CC164" i="6" s="1"/>
  <c r="BX164" i="6" a="1"/>
  <c r="BX164" i="6" s="1"/>
  <c r="BY164" i="6" a="1"/>
  <c r="BY164" i="6" s="1"/>
  <c r="BW164" i="6" a="1"/>
  <c r="BW164" i="6" s="1"/>
  <c r="BZ164" i="6" a="1"/>
  <c r="BZ164" i="6" s="1"/>
  <c r="BJ164" i="6"/>
  <c r="BH164" i="6"/>
  <c r="BE164" i="6"/>
  <c r="BL164" i="6"/>
  <c r="CB164" i="6" a="1"/>
  <c r="CB164" i="6" s="1"/>
  <c r="L178" i="6"/>
  <c r="J167" i="5" l="1"/>
  <c r="N166" i="6"/>
  <c r="M165" i="6"/>
  <c r="T165" i="5"/>
  <c r="M166" i="6"/>
  <c r="BF166" i="6" s="1"/>
  <c r="H166" i="6" a="1"/>
  <c r="H166" i="6" s="1"/>
  <c r="T166" i="5" s="1"/>
  <c r="H167" i="5"/>
  <c r="D167" i="5"/>
  <c r="B167" i="12" s="1"/>
  <c r="E167" i="5"/>
  <c r="K167" i="5"/>
  <c r="B167" i="5"/>
  <c r="G167" i="5"/>
  <c r="A166" i="6"/>
  <c r="G166" i="6"/>
  <c r="N167" i="5"/>
  <c r="D167" i="6" s="1"/>
  <c r="C168" i="5"/>
  <c r="A167" i="12"/>
  <c r="L167" i="12" s="1" a="1"/>
  <c r="L167" i="12" s="1"/>
  <c r="AE167" i="5" a="1"/>
  <c r="AE167" i="5" s="1"/>
  <c r="AD167" i="5"/>
  <c r="B167" i="6"/>
  <c r="F167" i="5"/>
  <c r="L179" i="6"/>
  <c r="C169" i="5" l="1"/>
  <c r="AZ165" i="6"/>
  <c r="BP166" i="6"/>
  <c r="BR166" i="6"/>
  <c r="BQ166" i="6"/>
  <c r="AY166" i="6"/>
  <c r="CI166" i="6" a="1"/>
  <c r="CI166" i="6" s="1"/>
  <c r="AZ166" i="6"/>
  <c r="AW165" i="6"/>
  <c r="BA166" i="6"/>
  <c r="CF166" i="6" a="1"/>
  <c r="CF166" i="6" s="1"/>
  <c r="AX166" i="6"/>
  <c r="H167" i="6" a="1"/>
  <c r="H167" i="6" s="1"/>
  <c r="T167" i="5" s="1"/>
  <c r="G167" i="12" s="1" a="1"/>
  <c r="G167" i="12" s="1"/>
  <c r="CJ166" i="6" a="1"/>
  <c r="CJ166" i="6" s="1"/>
  <c r="CG166" i="6" a="1"/>
  <c r="CG166" i="6" s="1"/>
  <c r="CH166" i="6" a="1"/>
  <c r="CH166" i="6" s="1"/>
  <c r="AW166" i="6"/>
  <c r="CL166" i="6" a="1"/>
  <c r="CL166" i="6" s="1"/>
  <c r="BT165" i="6"/>
  <c r="BP165" i="6"/>
  <c r="BO165" i="6"/>
  <c r="CI165" i="6" a="1"/>
  <c r="CI165" i="6" s="1"/>
  <c r="CK165" i="6" a="1"/>
  <c r="CK165" i="6" s="1"/>
  <c r="CH165" i="6" a="1"/>
  <c r="CH165" i="6" s="1"/>
  <c r="BS165" i="6"/>
  <c r="CL165" i="6" a="1"/>
  <c r="CL165" i="6" s="1"/>
  <c r="CM165" i="6" a="1"/>
  <c r="CM165" i="6" s="1"/>
  <c r="BR165" i="6"/>
  <c r="CG165" i="6" a="1"/>
  <c r="CG165" i="6" s="1"/>
  <c r="BQ165" i="6"/>
  <c r="CJ165" i="6" a="1"/>
  <c r="CJ165" i="6" s="1"/>
  <c r="BN165" i="6"/>
  <c r="AY165" i="6"/>
  <c r="CF165" i="6" a="1"/>
  <c r="CF165" i="6" s="1"/>
  <c r="BM165" i="6"/>
  <c r="AV166" i="6"/>
  <c r="CK166" i="6" a="1"/>
  <c r="CK166" i="6" s="1"/>
  <c r="BN166" i="6"/>
  <c r="AV165" i="6"/>
  <c r="BS166" i="6"/>
  <c r="BA165" i="6"/>
  <c r="BT166" i="6"/>
  <c r="CM166" i="6" a="1"/>
  <c r="CM166" i="6" s="1"/>
  <c r="AT166" i="6"/>
  <c r="BM166" i="6"/>
  <c r="AU166" i="6"/>
  <c r="BO166" i="6"/>
  <c r="AX165" i="6"/>
  <c r="BD165" i="6"/>
  <c r="CA165" i="6" a="1"/>
  <c r="CA165" i="6" s="1"/>
  <c r="CC165" i="6" a="1"/>
  <c r="CC165" i="6" s="1"/>
  <c r="BI165" i="6"/>
  <c r="CD165" i="6" a="1"/>
  <c r="CD165" i="6" s="1"/>
  <c r="BY165" i="6" a="1"/>
  <c r="BY165" i="6" s="1"/>
  <c r="BG165" i="6"/>
  <c r="BW165" i="6" a="1"/>
  <c r="BW165" i="6" s="1"/>
  <c r="BH165" i="6"/>
  <c r="BL165" i="6"/>
  <c r="CE165" i="6" a="1"/>
  <c r="CE165" i="6" s="1"/>
  <c r="BC165" i="6"/>
  <c r="BV165" i="6" a="1"/>
  <c r="BV165" i="6" s="1"/>
  <c r="BE165" i="6"/>
  <c r="BJ165" i="6"/>
  <c r="BZ165" i="6" a="1"/>
  <c r="BZ165" i="6" s="1"/>
  <c r="BK165" i="6"/>
  <c r="BX165" i="6" a="1"/>
  <c r="BX165" i="6" s="1"/>
  <c r="CB165" i="6" a="1"/>
  <c r="CB165" i="6" s="1"/>
  <c r="BF165" i="6"/>
  <c r="G165" i="12" a="1"/>
  <c r="G165" i="12" s="1"/>
  <c r="AN166" i="6"/>
  <c r="AK166" i="6"/>
  <c r="AJ166" i="6"/>
  <c r="CC166" i="6" a="1"/>
  <c r="CC166" i="6" s="1"/>
  <c r="BV166" i="6" a="1"/>
  <c r="BV166" i="6" s="1"/>
  <c r="BC166" i="6"/>
  <c r="BY166" i="6" a="1"/>
  <c r="BY166" i="6" s="1"/>
  <c r="AO166" i="6"/>
  <c r="AQ166" i="6"/>
  <c r="BW166" i="6" a="1"/>
  <c r="BW166" i="6" s="1"/>
  <c r="BD166" i="6"/>
  <c r="AL166" i="6"/>
  <c r="BG166" i="6"/>
  <c r="CD166" i="6" a="1"/>
  <c r="CD166" i="6" s="1"/>
  <c r="BJ166" i="6"/>
  <c r="BI166" i="6"/>
  <c r="BE166" i="6"/>
  <c r="AM166" i="6"/>
  <c r="CB166" i="6" a="1"/>
  <c r="CB166" i="6" s="1"/>
  <c r="BH166" i="6"/>
  <c r="AS166" i="6"/>
  <c r="CE166" i="6" a="1"/>
  <c r="CE166" i="6" s="1"/>
  <c r="BK166" i="6"/>
  <c r="AP166" i="6"/>
  <c r="BX166" i="6" a="1"/>
  <c r="BX166" i="6" s="1"/>
  <c r="BZ166" i="6" a="1"/>
  <c r="BZ166" i="6" s="1"/>
  <c r="AR166" i="6"/>
  <c r="CA166" i="6" a="1"/>
  <c r="CA166" i="6" s="1"/>
  <c r="BL166" i="6"/>
  <c r="A167" i="6"/>
  <c r="N167" i="6" s="1"/>
  <c r="J167" i="12" a="1"/>
  <c r="J167" i="12" s="1"/>
  <c r="K167" i="12" s="1"/>
  <c r="D168" i="5"/>
  <c r="B168" i="12" s="1"/>
  <c r="B168" i="5"/>
  <c r="B169" i="5" s="1"/>
  <c r="B168" i="6"/>
  <c r="H168" i="5"/>
  <c r="H169" i="5" s="1"/>
  <c r="K169" i="5"/>
  <c r="J169" i="5"/>
  <c r="AE168" i="5" a="1"/>
  <c r="AE168" i="5" s="1"/>
  <c r="F168" i="5"/>
  <c r="F169" i="5" s="1"/>
  <c r="B169" i="6"/>
  <c r="N169" i="5"/>
  <c r="D169" i="6" s="1"/>
  <c r="AE169" i="5" a="1"/>
  <c r="AE169" i="5" s="1"/>
  <c r="K168" i="5"/>
  <c r="J168" i="5"/>
  <c r="AD168" i="5"/>
  <c r="N168" i="5"/>
  <c r="D168" i="6" s="1"/>
  <c r="A168" i="12"/>
  <c r="J168" i="12" s="1" a="1"/>
  <c r="J168" i="12" s="1"/>
  <c r="G168" i="5"/>
  <c r="G169" i="5" s="1"/>
  <c r="E168" i="5"/>
  <c r="E169" i="5" s="1"/>
  <c r="AD169" i="5"/>
  <c r="D169" i="5"/>
  <c r="B169" i="12" s="1"/>
  <c r="G166" i="12" a="1"/>
  <c r="G166" i="12" s="1"/>
  <c r="L180" i="6"/>
  <c r="A169" i="12" l="1"/>
  <c r="H168" i="6" a="1"/>
  <c r="H168" i="6" s="1"/>
  <c r="T168" i="5" s="1"/>
  <c r="G168" i="12" s="1" a="1"/>
  <c r="G168" i="12" s="1"/>
  <c r="M167" i="6"/>
  <c r="A168" i="6"/>
  <c r="A169" i="6" s="1"/>
  <c r="M169" i="6" s="1"/>
  <c r="CI169" i="6" s="1" a="1"/>
  <c r="CI169" i="6" s="1"/>
  <c r="L168" i="12" a="1"/>
  <c r="L168" i="12" s="1"/>
  <c r="K168" i="12" s="1"/>
  <c r="H169" i="6" a="1"/>
  <c r="H169" i="6" s="1"/>
  <c r="L181" i="6"/>
  <c r="J169" i="12" l="1" a="1"/>
  <c r="J169" i="12" s="1"/>
  <c r="L169" i="12" a="1"/>
  <c r="L169" i="12" s="1"/>
  <c r="AV167" i="6"/>
  <c r="AX169" i="6"/>
  <c r="AV169" i="6"/>
  <c r="CJ169" i="6" a="1"/>
  <c r="CJ169" i="6" s="1"/>
  <c r="BA167" i="6"/>
  <c r="BT169" i="6"/>
  <c r="CM169" i="6" a="1"/>
  <c r="CM169" i="6" s="1"/>
  <c r="CL169" i="6" a="1"/>
  <c r="CL169" i="6" s="1"/>
  <c r="AW169" i="6"/>
  <c r="BN169" i="6"/>
  <c r="CK169" i="6" a="1"/>
  <c r="CK169" i="6" s="1"/>
  <c r="BR169" i="6"/>
  <c r="BA169" i="6"/>
  <c r="CG169" i="6" a="1"/>
  <c r="CG169" i="6" s="1"/>
  <c r="BM169" i="6"/>
  <c r="AZ167" i="6"/>
  <c r="AZ169" i="6"/>
  <c r="BO169" i="6"/>
  <c r="CH169" i="6" a="1"/>
  <c r="CH169" i="6" s="1"/>
  <c r="CK167" i="6" a="1"/>
  <c r="CK167" i="6" s="1"/>
  <c r="CH167" i="6" a="1"/>
  <c r="CH167" i="6" s="1"/>
  <c r="CJ167" i="6" a="1"/>
  <c r="CJ167" i="6" s="1"/>
  <c r="BS167" i="6"/>
  <c r="CI167" i="6" a="1"/>
  <c r="CI167" i="6" s="1"/>
  <c r="BN167" i="6"/>
  <c r="CL167" i="6" a="1"/>
  <c r="CL167" i="6" s="1"/>
  <c r="CF167" i="6" a="1"/>
  <c r="CF167" i="6" s="1"/>
  <c r="BM167" i="6"/>
  <c r="CG167" i="6" a="1"/>
  <c r="CG167" i="6" s="1"/>
  <c r="CM167" i="6" a="1"/>
  <c r="CM167" i="6" s="1"/>
  <c r="BR167" i="6"/>
  <c r="BO167" i="6"/>
  <c r="BT167" i="6"/>
  <c r="AW167" i="6"/>
  <c r="BQ167" i="6"/>
  <c r="BP167" i="6"/>
  <c r="AX167" i="6"/>
  <c r="AY169" i="6"/>
  <c r="BP169" i="6"/>
  <c r="BQ169" i="6"/>
  <c r="CF169" i="6" a="1"/>
  <c r="CF169" i="6" s="1"/>
  <c r="BS169" i="6"/>
  <c r="AY167" i="6"/>
  <c r="CD167" i="6" a="1"/>
  <c r="CD167" i="6" s="1"/>
  <c r="BK167" i="6"/>
  <c r="BY167" i="6" a="1"/>
  <c r="BY167" i="6" s="1"/>
  <c r="BI167" i="6"/>
  <c r="BW167" i="6" a="1"/>
  <c r="BW167" i="6" s="1"/>
  <c r="BX167" i="6" a="1"/>
  <c r="BX167" i="6" s="1"/>
  <c r="BC167" i="6"/>
  <c r="CB167" i="6" a="1"/>
  <c r="CB167" i="6" s="1"/>
  <c r="BE167" i="6"/>
  <c r="BZ167" i="6" a="1"/>
  <c r="BZ167" i="6" s="1"/>
  <c r="BL167" i="6"/>
  <c r="BJ167" i="6"/>
  <c r="BV167" i="6" a="1"/>
  <c r="BV167" i="6" s="1"/>
  <c r="BH167" i="6"/>
  <c r="CC167" i="6" a="1"/>
  <c r="CC167" i="6" s="1"/>
  <c r="CA167" i="6" a="1"/>
  <c r="CA167" i="6" s="1"/>
  <c r="BF167" i="6"/>
  <c r="CE167" i="6" a="1"/>
  <c r="CE167" i="6" s="1"/>
  <c r="BD167" i="6"/>
  <c r="BG167" i="6"/>
  <c r="N168" i="6"/>
  <c r="M168" i="6"/>
  <c r="AW168" i="6" s="1"/>
  <c r="CE169" i="6" a="1"/>
  <c r="CE169" i="6" s="1"/>
  <c r="BJ169" i="6"/>
  <c r="BH169" i="6"/>
  <c r="N169" i="6"/>
  <c r="BI169" i="6"/>
  <c r="BX169" i="6" a="1"/>
  <c r="BX169" i="6" s="1"/>
  <c r="CB169" i="6" a="1"/>
  <c r="CB169" i="6" s="1"/>
  <c r="BD169" i="6"/>
  <c r="BL169" i="6"/>
  <c r="BF169" i="6"/>
  <c r="BE169" i="6"/>
  <c r="BV169" i="6" a="1"/>
  <c r="BV169" i="6" s="1"/>
  <c r="BZ169" i="6" a="1"/>
  <c r="BZ169" i="6" s="1"/>
  <c r="CD169" i="6" a="1"/>
  <c r="CD169" i="6" s="1"/>
  <c r="T169" i="5"/>
  <c r="BC169" i="6"/>
  <c r="BG169" i="6"/>
  <c r="BK169" i="6"/>
  <c r="BW169" i="6" a="1"/>
  <c r="BW169" i="6" s="1"/>
  <c r="BY169" i="6" a="1"/>
  <c r="BY169" i="6" s="1"/>
  <c r="CA169" i="6" a="1"/>
  <c r="CA169" i="6" s="1"/>
  <c r="CC169" i="6" a="1"/>
  <c r="CC169" i="6" s="1"/>
  <c r="L182" i="6"/>
  <c r="L183" i="6" s="1"/>
  <c r="K169" i="12" l="1"/>
  <c r="BA168" i="6"/>
  <c r="AV168" i="6"/>
  <c r="CC168" i="6" a="1"/>
  <c r="CC168" i="6" s="1"/>
  <c r="BT168" i="6"/>
  <c r="BO168" i="6"/>
  <c r="BP168" i="6"/>
  <c r="BN168" i="6"/>
  <c r="CI168" i="6" a="1"/>
  <c r="CI168" i="6" s="1"/>
  <c r="CH168" i="6" a="1"/>
  <c r="CH168" i="6" s="1"/>
  <c r="BS168" i="6"/>
  <c r="CK168" i="6" a="1"/>
  <c r="CK168" i="6" s="1"/>
  <c r="CM168" i="6" a="1"/>
  <c r="CM168" i="6" s="1"/>
  <c r="BR168" i="6"/>
  <c r="CG168" i="6" a="1"/>
  <c r="CG168" i="6" s="1"/>
  <c r="BQ168" i="6"/>
  <c r="CJ168" i="6" a="1"/>
  <c r="CJ168" i="6" s="1"/>
  <c r="CL168" i="6" a="1"/>
  <c r="CL168" i="6" s="1"/>
  <c r="CF168" i="6" a="1"/>
  <c r="CF168" i="6" s="1"/>
  <c r="BM168" i="6"/>
  <c r="AX168" i="6"/>
  <c r="AY168" i="6"/>
  <c r="AZ168" i="6"/>
  <c r="BW168" i="6" a="1"/>
  <c r="BW168" i="6" s="1"/>
  <c r="BV168" i="6" a="1"/>
  <c r="BV168" i="6" s="1"/>
  <c r="BF168" i="6"/>
  <c r="CE168" i="6" a="1"/>
  <c r="CE168" i="6" s="1"/>
  <c r="BD168" i="6"/>
  <c r="BI168" i="6"/>
  <c r="CA168" i="6" a="1"/>
  <c r="CA168" i="6" s="1"/>
  <c r="BE168" i="6"/>
  <c r="BY168" i="6" a="1"/>
  <c r="BY168" i="6" s="1"/>
  <c r="BL168" i="6"/>
  <c r="CD168" i="6" a="1"/>
  <c r="CD168" i="6" s="1"/>
  <c r="BJ168" i="6"/>
  <c r="CB168" i="6" a="1"/>
  <c r="CB168" i="6" s="1"/>
  <c r="BK168" i="6"/>
  <c r="BX168" i="6" a="1"/>
  <c r="BX168" i="6" s="1"/>
  <c r="BG168" i="6"/>
  <c r="BH168" i="6"/>
  <c r="BC168" i="6"/>
  <c r="BZ168" i="6" a="1"/>
  <c r="BZ168" i="6" s="1"/>
  <c r="G169" i="12" a="1"/>
  <c r="G169" i="12" s="1"/>
  <c r="L184" i="6"/>
  <c r="L185" i="6" s="1"/>
  <c r="C170" i="5" l="1"/>
  <c r="L186" i="6"/>
  <c r="H170" i="5" l="1"/>
  <c r="B170" i="6"/>
  <c r="I170" i="5"/>
  <c r="A170" i="12"/>
  <c r="W170" i="5" a="1"/>
  <c r="W170" i="5" s="1"/>
  <c r="H170" i="12" s="1" a="1"/>
  <c r="H170" i="12" s="1"/>
  <c r="AF170" i="5" a="1"/>
  <c r="AF170" i="5" s="1"/>
  <c r="AG170" i="5" s="1" a="1"/>
  <c r="AG170" i="5" s="1"/>
  <c r="U170" i="5" s="1"/>
  <c r="AN170" i="5" s="1" a="1"/>
  <c r="AN170" i="5" s="1"/>
  <c r="C171" i="5"/>
  <c r="AE170" i="5" a="1"/>
  <c r="AE170" i="5" s="1"/>
  <c r="B170" i="5"/>
  <c r="AD170" i="5"/>
  <c r="E170" i="5"/>
  <c r="G170" i="5"/>
  <c r="F170" i="5"/>
  <c r="N170" i="5"/>
  <c r="D170" i="6" s="1"/>
  <c r="L187" i="6"/>
  <c r="F186" i="6"/>
  <c r="D171" i="5" l="1"/>
  <c r="B171" i="12" s="1"/>
  <c r="A171" i="12"/>
  <c r="J171" i="5"/>
  <c r="E171" i="5"/>
  <c r="AE171" i="5" a="1"/>
  <c r="AE171" i="5" s="1"/>
  <c r="B171" i="5"/>
  <c r="C172" i="5"/>
  <c r="N171" i="5"/>
  <c r="D171" i="6" s="1"/>
  <c r="B171" i="6"/>
  <c r="AD171" i="5"/>
  <c r="K171" i="5"/>
  <c r="F171" i="5"/>
  <c r="G171" i="5"/>
  <c r="H171" i="5"/>
  <c r="M170" i="6"/>
  <c r="G170" i="6"/>
  <c r="H170" i="6" a="1"/>
  <c r="H170" i="6" s="1"/>
  <c r="N170" i="6"/>
  <c r="J170" i="6" a="1"/>
  <c r="J170" i="6" s="1"/>
  <c r="L188" i="6"/>
  <c r="CK170" i="6" l="1" a="1"/>
  <c r="CK170" i="6" s="1"/>
  <c r="AY170" i="6"/>
  <c r="BN170" i="6"/>
  <c r="AX170" i="6"/>
  <c r="BP170" i="6"/>
  <c r="BQ170" i="6"/>
  <c r="BS170" i="6"/>
  <c r="BT170" i="6"/>
  <c r="BA170" i="6"/>
  <c r="CM170" i="6" a="1"/>
  <c r="CM170" i="6" s="1"/>
  <c r="CH170" i="6" a="1"/>
  <c r="CH170" i="6" s="1"/>
  <c r="CF170" i="6" a="1"/>
  <c r="CF170" i="6" s="1"/>
  <c r="CI170" i="6" a="1"/>
  <c r="CI170" i="6" s="1"/>
  <c r="AT170" i="6"/>
  <c r="AW170" i="6"/>
  <c r="AU170" i="6"/>
  <c r="BO170" i="6"/>
  <c r="CG170" i="6" a="1"/>
  <c r="CG170" i="6" s="1"/>
  <c r="AV170" i="6"/>
  <c r="BR170" i="6"/>
  <c r="CL170" i="6" a="1"/>
  <c r="CL170" i="6" s="1"/>
  <c r="CJ170" i="6" a="1"/>
  <c r="CJ170" i="6" s="1"/>
  <c r="AZ170" i="6"/>
  <c r="BM170" i="6"/>
  <c r="A170" i="6"/>
  <c r="A171" i="6" s="1"/>
  <c r="N171" i="6" s="1"/>
  <c r="T170" i="5"/>
  <c r="AL170" i="6"/>
  <c r="AM170" i="6"/>
  <c r="AQ170" i="6"/>
  <c r="AJ170" i="6"/>
  <c r="AP170" i="6"/>
  <c r="AO170" i="6"/>
  <c r="AS170" i="6"/>
  <c r="AK170" i="6"/>
  <c r="AN170" i="6"/>
  <c r="AR170" i="6"/>
  <c r="BY170" i="6" a="1"/>
  <c r="BY170" i="6" s="1"/>
  <c r="BK170" i="6"/>
  <c r="CA170" i="6" a="1"/>
  <c r="CA170" i="6" s="1"/>
  <c r="BJ170" i="6"/>
  <c r="BF170" i="6"/>
  <c r="BC170" i="6"/>
  <c r="CD170" i="6" a="1"/>
  <c r="CD170" i="6" s="1"/>
  <c r="BE170" i="6"/>
  <c r="BG170" i="6"/>
  <c r="BD170" i="6"/>
  <c r="BL170" i="6"/>
  <c r="CE170" i="6" a="1"/>
  <c r="CE170" i="6" s="1"/>
  <c r="BH170" i="6"/>
  <c r="BX170" i="6" a="1"/>
  <c r="BX170" i="6" s="1"/>
  <c r="BZ170" i="6" a="1"/>
  <c r="BZ170" i="6" s="1"/>
  <c r="CC170" i="6" a="1"/>
  <c r="CC170" i="6" s="1"/>
  <c r="CB170" i="6" a="1"/>
  <c r="CB170" i="6" s="1"/>
  <c r="BV170" i="6" a="1"/>
  <c r="BV170" i="6" s="1"/>
  <c r="BW170" i="6" a="1"/>
  <c r="BW170" i="6" s="1"/>
  <c r="BI170" i="6"/>
  <c r="E172" i="5"/>
  <c r="A172" i="12"/>
  <c r="B172" i="6"/>
  <c r="D172" i="5"/>
  <c r="B172" i="12" s="1"/>
  <c r="C173" i="5"/>
  <c r="AD172" i="5"/>
  <c r="K172" i="5"/>
  <c r="H172" i="5"/>
  <c r="B172" i="5"/>
  <c r="AE172" i="5" a="1"/>
  <c r="AE172" i="5" s="1"/>
  <c r="N172" i="5"/>
  <c r="D172" i="6" s="1"/>
  <c r="G172" i="5"/>
  <c r="F172" i="5"/>
  <c r="J172" i="5"/>
  <c r="L171" i="12" a="1"/>
  <c r="L171" i="12" s="1"/>
  <c r="J171" i="12" a="1"/>
  <c r="J171" i="12" s="1"/>
  <c r="H171" i="6" a="1"/>
  <c r="H171" i="6" s="1"/>
  <c r="L189" i="6"/>
  <c r="K171" i="12" l="1"/>
  <c r="M171" i="6"/>
  <c r="H172" i="6" a="1"/>
  <c r="H172" i="6" s="1"/>
  <c r="L172" i="12" a="1"/>
  <c r="L172" i="12" s="1"/>
  <c r="J172" i="12" a="1"/>
  <c r="J172" i="12" s="1"/>
  <c r="T171" i="5"/>
  <c r="G171" i="12" s="1" a="1"/>
  <c r="G171" i="12" s="1"/>
  <c r="AE173" i="5" a="1"/>
  <c r="AE173" i="5" s="1"/>
  <c r="N173" i="5"/>
  <c r="D173" i="6" s="1"/>
  <c r="G173" i="5"/>
  <c r="F173" i="5"/>
  <c r="C174" i="5"/>
  <c r="AD173" i="5"/>
  <c r="D173" i="5"/>
  <c r="B173" i="12" s="1"/>
  <c r="K173" i="5"/>
  <c r="H173" i="5"/>
  <c r="A173" i="12"/>
  <c r="J173" i="5"/>
  <c r="B173" i="5"/>
  <c r="B173" i="6"/>
  <c r="E173" i="5"/>
  <c r="A172" i="6"/>
  <c r="N172" i="6" s="1"/>
  <c r="G170" i="12" a="1"/>
  <c r="G170" i="12" s="1"/>
  <c r="BO171" i="6" l="1"/>
  <c r="BN171" i="6"/>
  <c r="BS171" i="6"/>
  <c r="CF171" i="6" a="1"/>
  <c r="CF171" i="6" s="1"/>
  <c r="CI171" i="6" a="1"/>
  <c r="CI171" i="6" s="1"/>
  <c r="CH171" i="6" a="1"/>
  <c r="CH171" i="6" s="1"/>
  <c r="CM171" i="6" a="1"/>
  <c r="CM171" i="6" s="1"/>
  <c r="CG171" i="6" a="1"/>
  <c r="CG171" i="6" s="1"/>
  <c r="BM171" i="6"/>
  <c r="CJ171" i="6" a="1"/>
  <c r="CJ171" i="6" s="1"/>
  <c r="BQ171" i="6"/>
  <c r="CL171" i="6" a="1"/>
  <c r="CL171" i="6" s="1"/>
  <c r="CK171" i="6" a="1"/>
  <c r="CK171" i="6" s="1"/>
  <c r="BT171" i="6"/>
  <c r="BP171" i="6"/>
  <c r="BR171" i="6"/>
  <c r="AZ171" i="6"/>
  <c r="AV171" i="6"/>
  <c r="BA171" i="6"/>
  <c r="AY171" i="6"/>
  <c r="AX171" i="6"/>
  <c r="AW171" i="6"/>
  <c r="BE171" i="6"/>
  <c r="BZ171" i="6" a="1"/>
  <c r="BZ171" i="6" s="1"/>
  <c r="BL171" i="6"/>
  <c r="BH171" i="6"/>
  <c r="BJ171" i="6"/>
  <c r="BY171" i="6" a="1"/>
  <c r="BY171" i="6" s="1"/>
  <c r="CE171" i="6" a="1"/>
  <c r="CE171" i="6" s="1"/>
  <c r="BD171" i="6"/>
  <c r="CC171" i="6" a="1"/>
  <c r="CC171" i="6" s="1"/>
  <c r="CD171" i="6" a="1"/>
  <c r="CD171" i="6" s="1"/>
  <c r="BX171" i="6" a="1"/>
  <c r="BX171" i="6" s="1"/>
  <c r="BK171" i="6"/>
  <c r="BG171" i="6"/>
  <c r="BF171" i="6"/>
  <c r="BW171" i="6" a="1"/>
  <c r="BW171" i="6" s="1"/>
  <c r="BC171" i="6"/>
  <c r="BI171" i="6"/>
  <c r="CA171" i="6" a="1"/>
  <c r="CA171" i="6" s="1"/>
  <c r="BV171" i="6" a="1"/>
  <c r="BV171" i="6" s="1"/>
  <c r="CB171" i="6" a="1"/>
  <c r="CB171" i="6" s="1"/>
  <c r="K172" i="12"/>
  <c r="L173" i="12" a="1"/>
  <c r="L173" i="12" s="1"/>
  <c r="J173" i="12" a="1"/>
  <c r="J173" i="12" s="1"/>
  <c r="G174" i="5"/>
  <c r="B174" i="6"/>
  <c r="K174" i="5"/>
  <c r="AE174" i="5" a="1"/>
  <c r="AE174" i="5" s="1"/>
  <c r="F174" i="5"/>
  <c r="A174" i="12"/>
  <c r="C175" i="5"/>
  <c r="D174" i="5"/>
  <c r="B174" i="12" s="1"/>
  <c r="AD174" i="5"/>
  <c r="E174" i="5"/>
  <c r="J174" i="5"/>
  <c r="B174" i="5"/>
  <c r="N174" i="5"/>
  <c r="D174" i="6" s="1"/>
  <c r="H174" i="5"/>
  <c r="T172" i="5"/>
  <c r="G172" i="12" s="1" a="1"/>
  <c r="G172" i="12" s="1"/>
  <c r="A173" i="6"/>
  <c r="M173" i="6" s="1"/>
  <c r="CJ173" i="6" s="1" a="1"/>
  <c r="CJ173" i="6" s="1"/>
  <c r="H173" i="6" a="1"/>
  <c r="H173" i="6" s="1"/>
  <c r="M172" i="6"/>
  <c r="AX172" i="6" s="1"/>
  <c r="BA173" i="6" l="1"/>
  <c r="AV172" i="6"/>
  <c r="AZ172" i="6"/>
  <c r="BA172" i="6"/>
  <c r="AY172" i="6"/>
  <c r="AW172" i="6"/>
  <c r="AW173" i="6"/>
  <c r="BP173" i="6"/>
  <c r="CK173" i="6" a="1"/>
  <c r="CK173" i="6" s="1"/>
  <c r="BQ173" i="6"/>
  <c r="BS173" i="6"/>
  <c r="H174" i="6" a="1"/>
  <c r="H174" i="6" s="1"/>
  <c r="T174" i="5" s="1"/>
  <c r="G174" i="12" s="1" a="1"/>
  <c r="G174" i="12" s="1"/>
  <c r="AY173" i="6"/>
  <c r="BT173" i="6"/>
  <c r="BR173" i="6"/>
  <c r="CH173" i="6" a="1"/>
  <c r="CH173" i="6" s="1"/>
  <c r="AV173" i="6"/>
  <c r="CM173" i="6" a="1"/>
  <c r="CM173" i="6" s="1"/>
  <c r="AZ173" i="6"/>
  <c r="CG173" i="6" a="1"/>
  <c r="CG173" i="6" s="1"/>
  <c r="AX173" i="6"/>
  <c r="CF173" i="6" a="1"/>
  <c r="CF173" i="6" s="1"/>
  <c r="BM173" i="6"/>
  <c r="CL173" i="6" a="1"/>
  <c r="CL173" i="6" s="1"/>
  <c r="BN173" i="6"/>
  <c r="CI173" i="6" a="1"/>
  <c r="CI173" i="6" s="1"/>
  <c r="CI172" i="6" a="1"/>
  <c r="CI172" i="6" s="1"/>
  <c r="BN172" i="6"/>
  <c r="BO172" i="6"/>
  <c r="BR172" i="6"/>
  <c r="BQ172" i="6"/>
  <c r="BP172" i="6"/>
  <c r="BM172" i="6"/>
  <c r="CK172" i="6" a="1"/>
  <c r="CK172" i="6" s="1"/>
  <c r="CM172" i="6" a="1"/>
  <c r="CM172" i="6" s="1"/>
  <c r="CG172" i="6" a="1"/>
  <c r="CG172" i="6" s="1"/>
  <c r="BT172" i="6"/>
  <c r="CL172" i="6" a="1"/>
  <c r="CL172" i="6" s="1"/>
  <c r="BS172" i="6"/>
  <c r="CF172" i="6" a="1"/>
  <c r="CF172" i="6" s="1"/>
  <c r="CJ172" i="6" a="1"/>
  <c r="CJ172" i="6" s="1"/>
  <c r="CH172" i="6" a="1"/>
  <c r="CH172" i="6" s="1"/>
  <c r="BO173" i="6"/>
  <c r="N173" i="6"/>
  <c r="BE172" i="6"/>
  <c r="BF172" i="6"/>
  <c r="BG172" i="6"/>
  <c r="CC172" i="6" a="1"/>
  <c r="CC172" i="6" s="1"/>
  <c r="BZ172" i="6" a="1"/>
  <c r="BZ172" i="6" s="1"/>
  <c r="BH172" i="6"/>
  <c r="BW172" i="6" a="1"/>
  <c r="BW172" i="6" s="1"/>
  <c r="BL172" i="6"/>
  <c r="BC172" i="6"/>
  <c r="BY172" i="6" a="1"/>
  <c r="BY172" i="6" s="1"/>
  <c r="CE172" i="6" a="1"/>
  <c r="CE172" i="6" s="1"/>
  <c r="CA172" i="6" a="1"/>
  <c r="CA172" i="6" s="1"/>
  <c r="BV172" i="6" a="1"/>
  <c r="BV172" i="6" s="1"/>
  <c r="CB172" i="6" a="1"/>
  <c r="CB172" i="6" s="1"/>
  <c r="BX172" i="6" a="1"/>
  <c r="BX172" i="6" s="1"/>
  <c r="BJ172" i="6"/>
  <c r="BD172" i="6"/>
  <c r="BI172" i="6"/>
  <c r="BK172" i="6"/>
  <c r="CD172" i="6" a="1"/>
  <c r="CD172" i="6" s="1"/>
  <c r="L174" i="12" a="1"/>
  <c r="L174" i="12" s="1"/>
  <c r="J174" i="12" a="1"/>
  <c r="J174" i="12" s="1"/>
  <c r="A174" i="6"/>
  <c r="T173" i="5"/>
  <c r="G173" i="12" s="1" a="1"/>
  <c r="G173" i="12" s="1"/>
  <c r="BW173" i="6" a="1"/>
  <c r="BW173" i="6" s="1"/>
  <c r="BL173" i="6"/>
  <c r="BD173" i="6"/>
  <c r="CB173" i="6" a="1"/>
  <c r="CB173" i="6" s="1"/>
  <c r="BY173" i="6" a="1"/>
  <c r="BY173" i="6" s="1"/>
  <c r="BH173" i="6"/>
  <c r="CA173" i="6" a="1"/>
  <c r="CA173" i="6" s="1"/>
  <c r="BG173" i="6"/>
  <c r="BJ173" i="6"/>
  <c r="BV173" i="6" a="1"/>
  <c r="BV173" i="6" s="1"/>
  <c r="CE173" i="6" a="1"/>
  <c r="CE173" i="6" s="1"/>
  <c r="BC173" i="6"/>
  <c r="CD173" i="6" a="1"/>
  <c r="CD173" i="6" s="1"/>
  <c r="CC173" i="6" a="1"/>
  <c r="CC173" i="6" s="1"/>
  <c r="BX173" i="6" a="1"/>
  <c r="BX173" i="6" s="1"/>
  <c r="BI173" i="6"/>
  <c r="BF173" i="6"/>
  <c r="BK173" i="6"/>
  <c r="BZ173" i="6" a="1"/>
  <c r="BZ173" i="6" s="1"/>
  <c r="BE173" i="6"/>
  <c r="J175" i="5"/>
  <c r="K175" i="5"/>
  <c r="AE175" i="5" a="1"/>
  <c r="AE175" i="5" s="1"/>
  <c r="B175" i="6"/>
  <c r="F175" i="5"/>
  <c r="B175" i="5"/>
  <c r="H175" i="5"/>
  <c r="AD175" i="5"/>
  <c r="E175" i="5"/>
  <c r="N175" i="5"/>
  <c r="D175" i="6" s="1"/>
  <c r="A175" i="12"/>
  <c r="D175" i="5"/>
  <c r="B175" i="12" s="1"/>
  <c r="C176" i="5"/>
  <c r="G175" i="5"/>
  <c r="K173" i="12"/>
  <c r="H175" i="6" l="1" a="1"/>
  <c r="H175" i="6" s="1"/>
  <c r="T175" i="5" s="1"/>
  <c r="G175" i="12" s="1" a="1"/>
  <c r="G175" i="12" s="1"/>
  <c r="K174" i="12"/>
  <c r="N174" i="6"/>
  <c r="M174" i="6"/>
  <c r="K176" i="5"/>
  <c r="AE176" i="5" a="1"/>
  <c r="AE176" i="5" s="1"/>
  <c r="H176" i="5"/>
  <c r="B176" i="5"/>
  <c r="G176" i="5"/>
  <c r="D176" i="5"/>
  <c r="B176" i="12" s="1"/>
  <c r="N176" i="5"/>
  <c r="D176" i="6" s="1"/>
  <c r="F176" i="5"/>
  <c r="J176" i="5"/>
  <c r="AD176" i="5"/>
  <c r="A176" i="12"/>
  <c r="B176" i="6"/>
  <c r="E176" i="5"/>
  <c r="C177" i="5"/>
  <c r="J175" i="12" a="1"/>
  <c r="J175" i="12" s="1"/>
  <c r="L175" i="12" a="1"/>
  <c r="L175" i="12" s="1"/>
  <c r="A175" i="6"/>
  <c r="CL174" i="6" l="1" a="1"/>
  <c r="CL174" i="6" s="1"/>
  <c r="BS174" i="6"/>
  <c r="AV174" i="6"/>
  <c r="CK174" i="6" a="1"/>
  <c r="CK174" i="6" s="1"/>
  <c r="CF174" i="6" a="1"/>
  <c r="CF174" i="6" s="1"/>
  <c r="BR174" i="6"/>
  <c r="BN174" i="6"/>
  <c r="AY174" i="6"/>
  <c r="BM174" i="6"/>
  <c r="BT174" i="6"/>
  <c r="BQ174" i="6"/>
  <c r="BO174" i="6"/>
  <c r="CM174" i="6" a="1"/>
  <c r="CM174" i="6" s="1"/>
  <c r="CJ174" i="6" a="1"/>
  <c r="CJ174" i="6" s="1"/>
  <c r="BP174" i="6"/>
  <c r="AX174" i="6"/>
  <c r="CI174" i="6" a="1"/>
  <c r="CI174" i="6" s="1"/>
  <c r="CH174" i="6" a="1"/>
  <c r="CH174" i="6" s="1"/>
  <c r="AW174" i="6"/>
  <c r="CG174" i="6" a="1"/>
  <c r="CG174" i="6" s="1"/>
  <c r="AZ174" i="6"/>
  <c r="H176" i="6" a="1"/>
  <c r="H176" i="6" s="1"/>
  <c r="T176" i="5" s="1"/>
  <c r="G176" i="12" s="1" a="1"/>
  <c r="G176" i="12" s="1"/>
  <c r="BA174" i="6"/>
  <c r="K175" i="12"/>
  <c r="M175" i="6"/>
  <c r="N175" i="6"/>
  <c r="E177" i="5"/>
  <c r="F177" i="5"/>
  <c r="N177" i="5"/>
  <c r="D177" i="6" s="1"/>
  <c r="G177" i="5"/>
  <c r="AD177" i="5"/>
  <c r="AE177" i="5" a="1"/>
  <c r="AE177" i="5" s="1"/>
  <c r="C178" i="5"/>
  <c r="B177" i="6"/>
  <c r="A177" i="12"/>
  <c r="K177" i="5"/>
  <c r="B177" i="5"/>
  <c r="D177" i="5"/>
  <c r="B177" i="12" s="1"/>
  <c r="H177" i="5"/>
  <c r="J177" i="5"/>
  <c r="A176" i="6"/>
  <c r="J176" i="12" a="1"/>
  <c r="J176" i="12" s="1"/>
  <c r="L176" i="12" a="1"/>
  <c r="L176" i="12" s="1"/>
  <c r="CE174" i="6" a="1"/>
  <c r="CE174" i="6" s="1"/>
  <c r="BW174" i="6" a="1"/>
  <c r="BW174" i="6" s="1"/>
  <c r="BV174" i="6" a="1"/>
  <c r="BV174" i="6" s="1"/>
  <c r="BC174" i="6"/>
  <c r="CC174" i="6" a="1"/>
  <c r="CC174" i="6" s="1"/>
  <c r="CA174" i="6" a="1"/>
  <c r="CA174" i="6" s="1"/>
  <c r="BE174" i="6"/>
  <c r="BI174" i="6"/>
  <c r="BG174" i="6"/>
  <c r="CD174" i="6" a="1"/>
  <c r="CD174" i="6" s="1"/>
  <c r="BJ174" i="6"/>
  <c r="BY174" i="6" a="1"/>
  <c r="BY174" i="6" s="1"/>
  <c r="BH174" i="6"/>
  <c r="BL174" i="6"/>
  <c r="BD174" i="6"/>
  <c r="BX174" i="6" a="1"/>
  <c r="BX174" i="6" s="1"/>
  <c r="BF174" i="6"/>
  <c r="BK174" i="6"/>
  <c r="BZ174" i="6" a="1"/>
  <c r="BZ174" i="6" s="1"/>
  <c r="CB174" i="6" a="1"/>
  <c r="CB174" i="6" s="1"/>
  <c r="H177" i="6" l="1" a="1"/>
  <c r="H177" i="6" s="1"/>
  <c r="T177" i="5" s="1"/>
  <c r="G177" i="12" s="1" a="1"/>
  <c r="G177" i="12" s="1"/>
  <c r="BQ175" i="6"/>
  <c r="BO175" i="6"/>
  <c r="BN175" i="6"/>
  <c r="BP175" i="6"/>
  <c r="AX175" i="6"/>
  <c r="BR175" i="6"/>
  <c r="AV175" i="6"/>
  <c r="CM175" i="6" a="1"/>
  <c r="CM175" i="6" s="1"/>
  <c r="BM175" i="6"/>
  <c r="BT175" i="6"/>
  <c r="CH175" i="6" a="1"/>
  <c r="CH175" i="6" s="1"/>
  <c r="CG175" i="6" a="1"/>
  <c r="CG175" i="6" s="1"/>
  <c r="AY175" i="6"/>
  <c r="CL175" i="6" a="1"/>
  <c r="CL175" i="6" s="1"/>
  <c r="BS175" i="6"/>
  <c r="CK175" i="6" a="1"/>
  <c r="CK175" i="6" s="1"/>
  <c r="CJ175" i="6" a="1"/>
  <c r="CJ175" i="6" s="1"/>
  <c r="CF175" i="6" a="1"/>
  <c r="CF175" i="6" s="1"/>
  <c r="CI175" i="6" a="1"/>
  <c r="CI175" i="6" s="1"/>
  <c r="AW175" i="6"/>
  <c r="BA175" i="6"/>
  <c r="AZ175" i="6"/>
  <c r="K176" i="12"/>
  <c r="J177" i="12" a="1"/>
  <c r="J177" i="12" s="1"/>
  <c r="L177" i="12" a="1"/>
  <c r="L177" i="12" s="1"/>
  <c r="D178" i="5"/>
  <c r="B178" i="12" s="1"/>
  <c r="AD178" i="5"/>
  <c r="G178" i="5"/>
  <c r="J178" i="5"/>
  <c r="B178" i="5"/>
  <c r="N178" i="5"/>
  <c r="D178" i="6" s="1"/>
  <c r="K178" i="5"/>
  <c r="H178" i="5"/>
  <c r="B178" i="6"/>
  <c r="AE178" i="5" a="1"/>
  <c r="AE178" i="5" s="1"/>
  <c r="E178" i="5"/>
  <c r="A178" i="12"/>
  <c r="C179" i="5"/>
  <c r="F178" i="5"/>
  <c r="CE175" i="6" a="1"/>
  <c r="CE175" i="6" s="1"/>
  <c r="BF175" i="6"/>
  <c r="BY175" i="6" a="1"/>
  <c r="BY175" i="6" s="1"/>
  <c r="BI175" i="6"/>
  <c r="BV175" i="6" a="1"/>
  <c r="BV175" i="6" s="1"/>
  <c r="CB175" i="6" a="1"/>
  <c r="CB175" i="6" s="1"/>
  <c r="CA175" i="6" a="1"/>
  <c r="CA175" i="6" s="1"/>
  <c r="BD175" i="6"/>
  <c r="BZ175" i="6" a="1"/>
  <c r="BZ175" i="6" s="1"/>
  <c r="BW175" i="6" a="1"/>
  <c r="BW175" i="6" s="1"/>
  <c r="BE175" i="6"/>
  <c r="BG175" i="6"/>
  <c r="BH175" i="6"/>
  <c r="BC175" i="6"/>
  <c r="BL175" i="6"/>
  <c r="BX175" i="6" a="1"/>
  <c r="BX175" i="6" s="1"/>
  <c r="BJ175" i="6"/>
  <c r="CC175" i="6" a="1"/>
  <c r="CC175" i="6" s="1"/>
  <c r="CD175" i="6" a="1"/>
  <c r="CD175" i="6" s="1"/>
  <c r="BK175" i="6"/>
  <c r="M176" i="6"/>
  <c r="AV176" i="6" s="1"/>
  <c r="N176" i="6"/>
  <c r="A177" i="6"/>
  <c r="AZ176" i="6" l="1"/>
  <c r="BQ176" i="6"/>
  <c r="BN176" i="6"/>
  <c r="BP176" i="6"/>
  <c r="BM176" i="6"/>
  <c r="CH176" i="6" a="1"/>
  <c r="CH176" i="6" s="1"/>
  <c r="BR176" i="6"/>
  <c r="CG176" i="6" a="1"/>
  <c r="CG176" i="6" s="1"/>
  <c r="CK176" i="6" a="1"/>
  <c r="CK176" i="6" s="1"/>
  <c r="CJ176" i="6" a="1"/>
  <c r="CJ176" i="6" s="1"/>
  <c r="BO176" i="6"/>
  <c r="CM176" i="6" a="1"/>
  <c r="CM176" i="6" s="1"/>
  <c r="CI176" i="6" a="1"/>
  <c r="CI176" i="6" s="1"/>
  <c r="CL176" i="6" a="1"/>
  <c r="CL176" i="6" s="1"/>
  <c r="CF176" i="6" a="1"/>
  <c r="CF176" i="6" s="1"/>
  <c r="AX176" i="6"/>
  <c r="BT176" i="6"/>
  <c r="AW176" i="6"/>
  <c r="BS176" i="6"/>
  <c r="AY176" i="6"/>
  <c r="BA176" i="6"/>
  <c r="K177" i="12"/>
  <c r="G179" i="5"/>
  <c r="E179" i="5"/>
  <c r="D179" i="5"/>
  <c r="B179" i="12" s="1"/>
  <c r="A179" i="12"/>
  <c r="B179" i="6"/>
  <c r="B179" i="5"/>
  <c r="F179" i="5"/>
  <c r="K179" i="5"/>
  <c r="AD179" i="5"/>
  <c r="N179" i="5"/>
  <c r="D179" i="6" s="1"/>
  <c r="J179" i="5"/>
  <c r="H179" i="5"/>
  <c r="C180" i="5"/>
  <c r="AE179" i="5" a="1"/>
  <c r="AE179" i="5" s="1"/>
  <c r="L178" i="12" a="1"/>
  <c r="L178" i="12" s="1"/>
  <c r="J178" i="12" a="1"/>
  <c r="J178" i="12" s="1"/>
  <c r="H178" i="6" a="1"/>
  <c r="H178" i="6" s="1"/>
  <c r="N177" i="6"/>
  <c r="M177" i="6"/>
  <c r="BY176" i="6" a="1"/>
  <c r="BY176" i="6" s="1"/>
  <c r="BD176" i="6"/>
  <c r="BH176" i="6"/>
  <c r="BV176" i="6" a="1"/>
  <c r="BV176" i="6" s="1"/>
  <c r="BG176" i="6"/>
  <c r="CB176" i="6" a="1"/>
  <c r="CB176" i="6" s="1"/>
  <c r="BE176" i="6"/>
  <c r="BC176" i="6"/>
  <c r="CE176" i="6" a="1"/>
  <c r="CE176" i="6" s="1"/>
  <c r="BX176" i="6" a="1"/>
  <c r="BX176" i="6" s="1"/>
  <c r="BZ176" i="6" a="1"/>
  <c r="BZ176" i="6" s="1"/>
  <c r="BF176" i="6"/>
  <c r="CD176" i="6" a="1"/>
  <c r="CD176" i="6" s="1"/>
  <c r="BI176" i="6"/>
  <c r="BK176" i="6"/>
  <c r="CC176" i="6" a="1"/>
  <c r="CC176" i="6" s="1"/>
  <c r="BJ176" i="6"/>
  <c r="CA176" i="6" a="1"/>
  <c r="CA176" i="6" s="1"/>
  <c r="BW176" i="6" a="1"/>
  <c r="BW176" i="6" s="1"/>
  <c r="BL176" i="6"/>
  <c r="A178" i="6"/>
  <c r="N178" i="6" s="1"/>
  <c r="H179" i="6" l="1" a="1"/>
  <c r="H179" i="6" s="1"/>
  <c r="T179" i="5" s="1"/>
  <c r="G179" i="12" s="1" a="1"/>
  <c r="G179" i="12" s="1"/>
  <c r="BP177" i="6"/>
  <c r="BA177" i="6"/>
  <c r="BN177" i="6"/>
  <c r="CI177" i="6" a="1"/>
  <c r="CI177" i="6" s="1"/>
  <c r="BO177" i="6"/>
  <c r="BQ177" i="6"/>
  <c r="AZ177" i="6"/>
  <c r="CH177" i="6" a="1"/>
  <c r="CH177" i="6" s="1"/>
  <c r="AW177" i="6"/>
  <c r="CL177" i="6" a="1"/>
  <c r="CL177" i="6" s="1"/>
  <c r="BM177" i="6"/>
  <c r="CM177" i="6" a="1"/>
  <c r="CM177" i="6" s="1"/>
  <c r="BS177" i="6"/>
  <c r="CG177" i="6" a="1"/>
  <c r="CG177" i="6" s="1"/>
  <c r="AV177" i="6"/>
  <c r="CJ177" i="6" a="1"/>
  <c r="CJ177" i="6" s="1"/>
  <c r="BR177" i="6"/>
  <c r="CK177" i="6" a="1"/>
  <c r="CK177" i="6" s="1"/>
  <c r="CF177" i="6" a="1"/>
  <c r="CF177" i="6" s="1"/>
  <c r="AY177" i="6"/>
  <c r="BT177" i="6"/>
  <c r="AX177" i="6"/>
  <c r="BH177" i="6"/>
  <c r="BI177" i="6"/>
  <c r="BE177" i="6"/>
  <c r="CA177" i="6" a="1"/>
  <c r="CA177" i="6" s="1"/>
  <c r="BC177" i="6"/>
  <c r="BY177" i="6" a="1"/>
  <c r="BY177" i="6" s="1"/>
  <c r="BX177" i="6" a="1"/>
  <c r="BX177" i="6" s="1"/>
  <c r="BW177" i="6" a="1"/>
  <c r="BW177" i="6" s="1"/>
  <c r="CE177" i="6" a="1"/>
  <c r="CE177" i="6" s="1"/>
  <c r="BJ177" i="6"/>
  <c r="BD177" i="6"/>
  <c r="BZ177" i="6" a="1"/>
  <c r="BZ177" i="6" s="1"/>
  <c r="BF177" i="6"/>
  <c r="BG177" i="6"/>
  <c r="CD177" i="6" a="1"/>
  <c r="CD177" i="6" s="1"/>
  <c r="CB177" i="6" a="1"/>
  <c r="CB177" i="6" s="1"/>
  <c r="BK177" i="6"/>
  <c r="BV177" i="6" a="1"/>
  <c r="BV177" i="6" s="1"/>
  <c r="CC177" i="6" a="1"/>
  <c r="CC177" i="6" s="1"/>
  <c r="BL177" i="6"/>
  <c r="T178" i="5"/>
  <c r="G178" i="12" s="1" a="1"/>
  <c r="G178" i="12" s="1"/>
  <c r="K178" i="12"/>
  <c r="N180" i="5"/>
  <c r="D180" i="6" s="1"/>
  <c r="J180" i="5"/>
  <c r="K180" i="5"/>
  <c r="C181" i="5"/>
  <c r="D180" i="5"/>
  <c r="B180" i="12" s="1"/>
  <c r="AE180" i="5" a="1"/>
  <c r="AE180" i="5" s="1"/>
  <c r="F180" i="5"/>
  <c r="A180" i="12"/>
  <c r="H180" i="5"/>
  <c r="B180" i="6"/>
  <c r="G180" i="5"/>
  <c r="E180" i="5"/>
  <c r="B180" i="5"/>
  <c r="AD180" i="5"/>
  <c r="J179" i="12" a="1"/>
  <c r="J179" i="12" s="1"/>
  <c r="L179" i="12" a="1"/>
  <c r="L179" i="12" s="1"/>
  <c r="M178" i="6"/>
  <c r="AW178" i="6" s="1"/>
  <c r="A179" i="6"/>
  <c r="H180" i="6" l="1" a="1"/>
  <c r="H180" i="6" s="1"/>
  <c r="T180" i="5" s="1"/>
  <c r="G180" i="12" s="1" a="1"/>
  <c r="G180" i="12" s="1"/>
  <c r="AY178" i="6"/>
  <c r="AX178" i="6"/>
  <c r="CF178" i="6" a="1"/>
  <c r="CF178" i="6" s="1"/>
  <c r="BN178" i="6"/>
  <c r="CK178" i="6" a="1"/>
  <c r="CK178" i="6" s="1"/>
  <c r="BM178" i="6"/>
  <c r="CM178" i="6" a="1"/>
  <c r="CM178" i="6" s="1"/>
  <c r="CH178" i="6" a="1"/>
  <c r="CH178" i="6" s="1"/>
  <c r="CJ178" i="6" a="1"/>
  <c r="CJ178" i="6" s="1"/>
  <c r="CI178" i="6" a="1"/>
  <c r="CI178" i="6" s="1"/>
  <c r="BR178" i="6"/>
  <c r="BQ178" i="6"/>
  <c r="BP178" i="6"/>
  <c r="BO178" i="6"/>
  <c r="CG178" i="6" a="1"/>
  <c r="CG178" i="6" s="1"/>
  <c r="BT178" i="6"/>
  <c r="CL178" i="6" a="1"/>
  <c r="CL178" i="6" s="1"/>
  <c r="BS178" i="6"/>
  <c r="AZ178" i="6"/>
  <c r="AV178" i="6"/>
  <c r="BA178" i="6"/>
  <c r="K179" i="12"/>
  <c r="BE178" i="6"/>
  <c r="BG178" i="6"/>
  <c r="BZ178" i="6" a="1"/>
  <c r="BZ178" i="6" s="1"/>
  <c r="CC178" i="6" a="1"/>
  <c r="CC178" i="6" s="1"/>
  <c r="BW178" i="6" a="1"/>
  <c r="BW178" i="6" s="1"/>
  <c r="BL178" i="6"/>
  <c r="BJ178" i="6"/>
  <c r="BF178" i="6"/>
  <c r="BK178" i="6"/>
  <c r="BV178" i="6" a="1"/>
  <c r="BV178" i="6" s="1"/>
  <c r="BY178" i="6" a="1"/>
  <c r="BY178" i="6" s="1"/>
  <c r="CD178" i="6" a="1"/>
  <c r="CD178" i="6" s="1"/>
  <c r="BI178" i="6"/>
  <c r="CB178" i="6" a="1"/>
  <c r="CB178" i="6" s="1"/>
  <c r="BX178" i="6" a="1"/>
  <c r="BX178" i="6" s="1"/>
  <c r="BC178" i="6"/>
  <c r="CE178" i="6" a="1"/>
  <c r="CE178" i="6" s="1"/>
  <c r="CA178" i="6" a="1"/>
  <c r="CA178" i="6" s="1"/>
  <c r="BD178" i="6"/>
  <c r="BH178" i="6"/>
  <c r="N179" i="6"/>
  <c r="M179" i="6"/>
  <c r="BA179" i="6" s="1"/>
  <c r="A180" i="6"/>
  <c r="L180" i="12" a="1"/>
  <c r="L180" i="12" s="1"/>
  <c r="J180" i="12" a="1"/>
  <c r="J180" i="12" s="1"/>
  <c r="B181" i="5"/>
  <c r="B181" i="6"/>
  <c r="AE181" i="5" a="1"/>
  <c r="AE181" i="5" s="1"/>
  <c r="AD181" i="5"/>
  <c r="G181" i="5"/>
  <c r="H181" i="5"/>
  <c r="N181" i="5"/>
  <c r="D181" i="6" s="1"/>
  <c r="K181" i="5"/>
  <c r="F181" i="5"/>
  <c r="E181" i="5"/>
  <c r="A181" i="12"/>
  <c r="D181" i="5"/>
  <c r="B181" i="12" s="1"/>
  <c r="J181" i="5"/>
  <c r="C182" i="5"/>
  <c r="L190" i="6"/>
  <c r="C183" i="5" l="1"/>
  <c r="BQ179" i="6"/>
  <c r="BP179" i="6"/>
  <c r="CM179" i="6" a="1"/>
  <c r="CM179" i="6" s="1"/>
  <c r="BR179" i="6"/>
  <c r="CK179" i="6" a="1"/>
  <c r="CK179" i="6" s="1"/>
  <c r="CJ179" i="6" a="1"/>
  <c r="CJ179" i="6" s="1"/>
  <c r="CI179" i="6" a="1"/>
  <c r="CI179" i="6" s="1"/>
  <c r="BO179" i="6"/>
  <c r="CL179" i="6" a="1"/>
  <c r="CL179" i="6" s="1"/>
  <c r="CG179" i="6" a="1"/>
  <c r="CG179" i="6" s="1"/>
  <c r="CF179" i="6" a="1"/>
  <c r="CF179" i="6" s="1"/>
  <c r="BN179" i="6"/>
  <c r="CH179" i="6" a="1"/>
  <c r="CH179" i="6" s="1"/>
  <c r="BM179" i="6"/>
  <c r="BT179" i="6"/>
  <c r="BS179" i="6"/>
  <c r="AW179" i="6"/>
  <c r="AV179" i="6"/>
  <c r="AY179" i="6"/>
  <c r="H181" i="6" a="1"/>
  <c r="H181" i="6" s="1"/>
  <c r="T181" i="5" s="1"/>
  <c r="G181" i="12" s="1" a="1"/>
  <c r="G181" i="12" s="1"/>
  <c r="AZ179" i="6"/>
  <c r="AX179" i="6"/>
  <c r="J181" i="12" a="1"/>
  <c r="J181" i="12" s="1"/>
  <c r="L181" i="12" a="1"/>
  <c r="L181" i="12" s="1"/>
  <c r="K180" i="12"/>
  <c r="B182" i="6"/>
  <c r="D182" i="5"/>
  <c r="B182" i="12" s="1"/>
  <c r="H182" i="5"/>
  <c r="J182" i="5"/>
  <c r="AE182" i="5" a="1"/>
  <c r="AE182" i="5" s="1"/>
  <c r="A182" i="12"/>
  <c r="K182" i="5"/>
  <c r="AD182" i="5"/>
  <c r="G182" i="5"/>
  <c r="E182" i="5"/>
  <c r="N182" i="5"/>
  <c r="D182" i="6" s="1"/>
  <c r="F182" i="5"/>
  <c r="B182" i="5"/>
  <c r="A181" i="6"/>
  <c r="M180" i="6"/>
  <c r="BA180" i="6" s="1"/>
  <c r="N180" i="6"/>
  <c r="BG179" i="6"/>
  <c r="BL179" i="6"/>
  <c r="BW179" i="6" a="1"/>
  <c r="BW179" i="6" s="1"/>
  <c r="BH179" i="6"/>
  <c r="BC179" i="6"/>
  <c r="BF179" i="6"/>
  <c r="CC179" i="6" a="1"/>
  <c r="CC179" i="6" s="1"/>
  <c r="BY179" i="6" a="1"/>
  <c r="BY179" i="6" s="1"/>
  <c r="CD179" i="6" a="1"/>
  <c r="CD179" i="6" s="1"/>
  <c r="BI179" i="6"/>
  <c r="BJ179" i="6"/>
  <c r="BV179" i="6" a="1"/>
  <c r="BV179" i="6" s="1"/>
  <c r="BK179" i="6"/>
  <c r="BX179" i="6" a="1"/>
  <c r="BX179" i="6" s="1"/>
  <c r="CA179" i="6" a="1"/>
  <c r="CA179" i="6" s="1"/>
  <c r="BE179" i="6"/>
  <c r="BD179" i="6"/>
  <c r="BZ179" i="6" a="1"/>
  <c r="BZ179" i="6" s="1"/>
  <c r="CE179" i="6" a="1"/>
  <c r="CE179" i="6" s="1"/>
  <c r="CB179" i="6" a="1"/>
  <c r="CB179" i="6" s="1"/>
  <c r="J183" i="5" l="1"/>
  <c r="AE183" i="5" a="1"/>
  <c r="AE183" i="5" s="1"/>
  <c r="H183" i="5"/>
  <c r="C184" i="5"/>
  <c r="F183" i="5"/>
  <c r="A183" i="12"/>
  <c r="J183" i="12" s="1" a="1"/>
  <c r="J183" i="12" s="1"/>
  <c r="B183" i="5"/>
  <c r="E183" i="5"/>
  <c r="K183" i="5"/>
  <c r="B183" i="6"/>
  <c r="D183" i="5"/>
  <c r="B183" i="12" s="1"/>
  <c r="N183" i="5"/>
  <c r="D183" i="6" s="1"/>
  <c r="G183" i="5"/>
  <c r="AD183" i="5"/>
  <c r="AV180" i="6"/>
  <c r="AW180" i="6"/>
  <c r="BM180" i="6"/>
  <c r="BP180" i="6"/>
  <c r="BR180" i="6"/>
  <c r="BT180" i="6"/>
  <c r="AZ180" i="6"/>
  <c r="CI180" i="6" a="1"/>
  <c r="CI180" i="6" s="1"/>
  <c r="BO180" i="6"/>
  <c r="CL180" i="6" a="1"/>
  <c r="CL180" i="6" s="1"/>
  <c r="CH180" i="6" a="1"/>
  <c r="CH180" i="6" s="1"/>
  <c r="CM180" i="6" a="1"/>
  <c r="CM180" i="6" s="1"/>
  <c r="CK180" i="6" a="1"/>
  <c r="CK180" i="6" s="1"/>
  <c r="CG180" i="6" a="1"/>
  <c r="CG180" i="6" s="1"/>
  <c r="BS180" i="6"/>
  <c r="CJ180" i="6" a="1"/>
  <c r="CJ180" i="6" s="1"/>
  <c r="CF180" i="6" a="1"/>
  <c r="CF180" i="6" s="1"/>
  <c r="AY180" i="6"/>
  <c r="BN180" i="6"/>
  <c r="BQ180" i="6"/>
  <c r="H182" i="6" a="1"/>
  <c r="H182" i="6" s="1"/>
  <c r="T182" i="5" s="1"/>
  <c r="G182" i="12" s="1" a="1"/>
  <c r="G182" i="12" s="1"/>
  <c r="AX180" i="6"/>
  <c r="K181" i="12"/>
  <c r="M181" i="6"/>
  <c r="BA181" i="6" s="1"/>
  <c r="N181" i="6"/>
  <c r="L182" i="12" a="1"/>
  <c r="L182" i="12" s="1"/>
  <c r="J182" i="12" a="1"/>
  <c r="J182" i="12" s="1"/>
  <c r="BX180" i="6" a="1"/>
  <c r="BX180" i="6" s="1"/>
  <c r="CE180" i="6" a="1"/>
  <c r="CE180" i="6" s="1"/>
  <c r="BK180" i="6"/>
  <c r="BF180" i="6"/>
  <c r="BW180" i="6" a="1"/>
  <c r="BW180" i="6" s="1"/>
  <c r="BD180" i="6"/>
  <c r="BL180" i="6"/>
  <c r="CC180" i="6" a="1"/>
  <c r="CC180" i="6" s="1"/>
  <c r="BZ180" i="6" a="1"/>
  <c r="BZ180" i="6" s="1"/>
  <c r="BG180" i="6"/>
  <c r="BE180" i="6"/>
  <c r="CD180" i="6" a="1"/>
  <c r="CD180" i="6" s="1"/>
  <c r="BV180" i="6" a="1"/>
  <c r="BV180" i="6" s="1"/>
  <c r="BH180" i="6"/>
  <c r="BC180" i="6"/>
  <c r="BJ180" i="6"/>
  <c r="BI180" i="6"/>
  <c r="CA180" i="6" a="1"/>
  <c r="CA180" i="6" s="1"/>
  <c r="CB180" i="6" a="1"/>
  <c r="CB180" i="6" s="1"/>
  <c r="BY180" i="6" a="1"/>
  <c r="BY180" i="6" s="1"/>
  <c r="A182" i="6"/>
  <c r="L183" i="12" l="1" a="1"/>
  <c r="L183" i="12" s="1"/>
  <c r="C185" i="5"/>
  <c r="AD185" i="5" s="1"/>
  <c r="A184" i="12"/>
  <c r="J184" i="12" s="1" a="1"/>
  <c r="J184" i="12" s="1"/>
  <c r="G184" i="5"/>
  <c r="H184" i="5"/>
  <c r="D184" i="5"/>
  <c r="B184" i="12" s="1"/>
  <c r="B184" i="5"/>
  <c r="AE184" i="5" a="1"/>
  <c r="AE184" i="5" s="1"/>
  <c r="AD184" i="5"/>
  <c r="J184" i="5"/>
  <c r="B184" i="6"/>
  <c r="K184" i="5"/>
  <c r="E184" i="5"/>
  <c r="N184" i="5"/>
  <c r="D184" i="6" s="1"/>
  <c r="H184" i="6" s="1" a="1"/>
  <c r="H184" i="6" s="1"/>
  <c r="F184" i="5"/>
  <c r="B185" i="6"/>
  <c r="D185" i="5"/>
  <c r="B185" i="12" s="1"/>
  <c r="BQ181" i="6"/>
  <c r="BP181" i="6"/>
  <c r="BO181" i="6"/>
  <c r="AX181" i="6"/>
  <c r="CM181" i="6" a="1"/>
  <c r="CM181" i="6" s="1"/>
  <c r="BM181" i="6"/>
  <c r="CH181" i="6" a="1"/>
  <c r="CH181" i="6" s="1"/>
  <c r="CG181" i="6" a="1"/>
  <c r="CG181" i="6" s="1"/>
  <c r="BT181" i="6"/>
  <c r="CL181" i="6" a="1"/>
  <c r="CL181" i="6" s="1"/>
  <c r="BS181" i="6"/>
  <c r="AY181" i="6"/>
  <c r="CF181" i="6" a="1"/>
  <c r="CF181" i="6" s="1"/>
  <c r="CK181" i="6" a="1"/>
  <c r="CK181" i="6" s="1"/>
  <c r="CJ181" i="6" a="1"/>
  <c r="CJ181" i="6" s="1"/>
  <c r="CI181" i="6" a="1"/>
  <c r="CI181" i="6" s="1"/>
  <c r="BN181" i="6"/>
  <c r="BR181" i="6"/>
  <c r="AW181" i="6"/>
  <c r="AZ181" i="6"/>
  <c r="AV181" i="6"/>
  <c r="A183" i="6"/>
  <c r="M183" i="6" s="1"/>
  <c r="CE183" i="6" s="1" a="1"/>
  <c r="CE183" i="6" s="1"/>
  <c r="B185" i="5"/>
  <c r="C186" i="5" s="1"/>
  <c r="H183" i="6" a="1"/>
  <c r="H183" i="6" s="1"/>
  <c r="K183" i="12"/>
  <c r="K182" i="12"/>
  <c r="M182" i="6"/>
  <c r="N182" i="6"/>
  <c r="BV181" i="6" a="1"/>
  <c r="BV181" i="6" s="1"/>
  <c r="CB181" i="6" a="1"/>
  <c r="CB181" i="6" s="1"/>
  <c r="BJ181" i="6"/>
  <c r="BH181" i="6"/>
  <c r="CC181" i="6" a="1"/>
  <c r="CC181" i="6" s="1"/>
  <c r="BK181" i="6"/>
  <c r="CE181" i="6" a="1"/>
  <c r="CE181" i="6" s="1"/>
  <c r="BZ181" i="6" a="1"/>
  <c r="BZ181" i="6" s="1"/>
  <c r="BG181" i="6"/>
  <c r="BE181" i="6"/>
  <c r="BX181" i="6" a="1"/>
  <c r="BX181" i="6" s="1"/>
  <c r="BL181" i="6"/>
  <c r="CD181" i="6" a="1"/>
  <c r="CD181" i="6" s="1"/>
  <c r="BW181" i="6" a="1"/>
  <c r="BW181" i="6" s="1"/>
  <c r="BF181" i="6"/>
  <c r="BC181" i="6"/>
  <c r="CA181" i="6" a="1"/>
  <c r="CA181" i="6" s="1"/>
  <c r="BY181" i="6" a="1"/>
  <c r="BY181" i="6" s="1"/>
  <c r="BD181" i="6"/>
  <c r="BI181" i="6"/>
  <c r="L184" i="12" a="1"/>
  <c r="L184" i="12" s="1"/>
  <c r="G185" i="5" l="1"/>
  <c r="A185" i="12"/>
  <c r="J185" i="12" s="1" a="1"/>
  <c r="J185" i="12" s="1"/>
  <c r="F185" i="5"/>
  <c r="J185" i="5"/>
  <c r="K185" i="5"/>
  <c r="AE185" i="5" a="1"/>
  <c r="AE185" i="5" s="1"/>
  <c r="H185" i="5"/>
  <c r="E185" i="5"/>
  <c r="E186" i="5" s="1"/>
  <c r="N185" i="5"/>
  <c r="D185" i="6" s="1"/>
  <c r="L185" i="12" a="1"/>
  <c r="L185" i="12" s="1"/>
  <c r="CF183" i="6" a="1"/>
  <c r="CF183" i="6" s="1"/>
  <c r="AX183" i="6"/>
  <c r="CK183" i="6" a="1"/>
  <c r="CK183" i="6" s="1"/>
  <c r="CL183" i="6" a="1"/>
  <c r="CL183" i="6" s="1"/>
  <c r="BR183" i="6"/>
  <c r="BS183" i="6"/>
  <c r="BM183" i="6"/>
  <c r="BN183" i="6"/>
  <c r="AY183" i="6"/>
  <c r="CK182" i="6" a="1"/>
  <c r="CK182" i="6" s="1"/>
  <c r="BR182" i="6"/>
  <c r="CJ182" i="6" a="1"/>
  <c r="CJ182" i="6" s="1"/>
  <c r="BO182" i="6"/>
  <c r="CG182" i="6" a="1"/>
  <c r="CG182" i="6" s="1"/>
  <c r="BS182" i="6"/>
  <c r="CI182" i="6" a="1"/>
  <c r="CI182" i="6" s="1"/>
  <c r="BN182" i="6"/>
  <c r="CL182" i="6" a="1"/>
  <c r="CL182" i="6" s="1"/>
  <c r="BM182" i="6"/>
  <c r="AZ182" i="6"/>
  <c r="AW182" i="6"/>
  <c r="CF182" i="6" a="1"/>
  <c r="CF182" i="6" s="1"/>
  <c r="CM182" i="6" a="1"/>
  <c r="CM182" i="6" s="1"/>
  <c r="CH182" i="6" a="1"/>
  <c r="CH182" i="6" s="1"/>
  <c r="BT182" i="6"/>
  <c r="AY182" i="6"/>
  <c r="BP182" i="6"/>
  <c r="BQ182" i="6"/>
  <c r="CJ183" i="6" a="1"/>
  <c r="CJ183" i="6" s="1"/>
  <c r="CG183" i="6" a="1"/>
  <c r="CG183" i="6" s="1"/>
  <c r="AV183" i="6"/>
  <c r="CM183" i="6" a="1"/>
  <c r="CM183" i="6" s="1"/>
  <c r="BA182" i="6"/>
  <c r="AV182" i="6"/>
  <c r="AZ183" i="6"/>
  <c r="AW183" i="6"/>
  <c r="BA183" i="6"/>
  <c r="CH183" i="6" a="1"/>
  <c r="CH183" i="6" s="1"/>
  <c r="BO183" i="6"/>
  <c r="CI183" i="6" a="1"/>
  <c r="CI183" i="6" s="1"/>
  <c r="BQ183" i="6"/>
  <c r="BP183" i="6"/>
  <c r="AX182" i="6"/>
  <c r="BT183" i="6"/>
  <c r="N183" i="6"/>
  <c r="AF186" i="5" a="1"/>
  <c r="AF186" i="5" s="1"/>
  <c r="AG186" i="5" s="1" a="1"/>
  <c r="AG186" i="5" s="1"/>
  <c r="U186" i="5" s="1"/>
  <c r="AN186" i="5" s="1" a="1"/>
  <c r="AN186" i="5" s="1"/>
  <c r="F186" i="5"/>
  <c r="B186" i="5"/>
  <c r="A184" i="6"/>
  <c r="N184" i="6" s="1"/>
  <c r="AD186" i="5"/>
  <c r="H186" i="5"/>
  <c r="H185" i="6" a="1"/>
  <c r="H185" i="6" s="1"/>
  <c r="G186" i="5"/>
  <c r="B186" i="6"/>
  <c r="J186" i="6" s="1" a="1"/>
  <c r="J186" i="6" s="1"/>
  <c r="I186" i="5"/>
  <c r="AE186" i="5" a="1"/>
  <c r="AE186" i="5" s="1"/>
  <c r="N186" i="5"/>
  <c r="D186" i="6" s="1"/>
  <c r="W186" i="5" a="1"/>
  <c r="W186" i="5" s="1"/>
  <c r="H186" i="12" s="1" a="1"/>
  <c r="H186" i="12" s="1"/>
  <c r="K185" i="12"/>
  <c r="C187" i="5"/>
  <c r="A186" i="12"/>
  <c r="BF183" i="6"/>
  <c r="BY183" i="6" a="1"/>
  <c r="BY183" i="6" s="1"/>
  <c r="CD183" i="6" a="1"/>
  <c r="CD183" i="6" s="1"/>
  <c r="BH183" i="6"/>
  <c r="T183" i="5"/>
  <c r="BG183" i="6"/>
  <c r="BC183" i="6"/>
  <c r="BX183" i="6" a="1"/>
  <c r="BX183" i="6" s="1"/>
  <c r="BE183" i="6"/>
  <c r="BW183" i="6" a="1"/>
  <c r="BW183" i="6" s="1"/>
  <c r="BK183" i="6"/>
  <c r="CB183" i="6" a="1"/>
  <c r="CB183" i="6" s="1"/>
  <c r="BD183" i="6"/>
  <c r="BV183" i="6" a="1"/>
  <c r="BV183" i="6" s="1"/>
  <c r="CA183" i="6" a="1"/>
  <c r="CA183" i="6" s="1"/>
  <c r="CC183" i="6" a="1"/>
  <c r="CC183" i="6" s="1"/>
  <c r="BL183" i="6"/>
  <c r="BI183" i="6"/>
  <c r="BJ183" i="6"/>
  <c r="BZ183" i="6" a="1"/>
  <c r="BZ183" i="6" s="1"/>
  <c r="K184" i="12"/>
  <c r="T184" i="5"/>
  <c r="G184" i="12" s="1" a="1"/>
  <c r="G184" i="12" s="1"/>
  <c r="BE182" i="6"/>
  <c r="CA182" i="6" a="1"/>
  <c r="CA182" i="6" s="1"/>
  <c r="CB182" i="6" a="1"/>
  <c r="CB182" i="6" s="1"/>
  <c r="BF182" i="6"/>
  <c r="BG182" i="6"/>
  <c r="BZ182" i="6" a="1"/>
  <c r="BZ182" i="6" s="1"/>
  <c r="BC182" i="6"/>
  <c r="BX182" i="6" a="1"/>
  <c r="BX182" i="6" s="1"/>
  <c r="BL182" i="6"/>
  <c r="CC182" i="6" a="1"/>
  <c r="CC182" i="6" s="1"/>
  <c r="BW182" i="6" a="1"/>
  <c r="BW182" i="6" s="1"/>
  <c r="BI182" i="6"/>
  <c r="BH182" i="6"/>
  <c r="BV182" i="6" a="1"/>
  <c r="BV182" i="6" s="1"/>
  <c r="BK182" i="6"/>
  <c r="BY182" i="6" a="1"/>
  <c r="BY182" i="6" s="1"/>
  <c r="BJ182" i="6"/>
  <c r="BD182" i="6"/>
  <c r="CD182" i="6" a="1"/>
  <c r="CD182" i="6" s="1"/>
  <c r="CE182" i="6" a="1"/>
  <c r="CE182" i="6" s="1"/>
  <c r="N186" i="6" l="1"/>
  <c r="G186" i="6"/>
  <c r="F187" i="5"/>
  <c r="AE187" i="5" a="1"/>
  <c r="AE187" i="5" s="1"/>
  <c r="B187" i="6"/>
  <c r="D187" i="5"/>
  <c r="B187" i="12" s="1"/>
  <c r="H186" i="6" a="1"/>
  <c r="H186" i="6" s="1"/>
  <c r="M186" i="6"/>
  <c r="CB186" i="6" s="1" a="1"/>
  <c r="CB186" i="6" s="1"/>
  <c r="E187" i="5"/>
  <c r="N187" i="5"/>
  <c r="D187" i="6" s="1"/>
  <c r="T185" i="5"/>
  <c r="AD187" i="5"/>
  <c r="J187" i="5"/>
  <c r="K187" i="5"/>
  <c r="B187" i="5"/>
  <c r="C188" i="5" s="1"/>
  <c r="H187" i="5"/>
  <c r="G187" i="5"/>
  <c r="A187" i="12"/>
  <c r="L187" i="12" s="1" a="1"/>
  <c r="L187" i="12" s="1"/>
  <c r="M184" i="6"/>
  <c r="A185" i="6"/>
  <c r="G183" i="12" a="1"/>
  <c r="G183" i="12" s="1"/>
  <c r="AD188" i="5" l="1"/>
  <c r="AX186" i="6"/>
  <c r="CK186" i="6" a="1"/>
  <c r="CK186" i="6" s="1"/>
  <c r="AZ186" i="6"/>
  <c r="AT186" i="6"/>
  <c r="BN186" i="6"/>
  <c r="CF186" i="6" a="1"/>
  <c r="CF186" i="6" s="1"/>
  <c r="AY186" i="6"/>
  <c r="BM186" i="6"/>
  <c r="BQ186" i="6"/>
  <c r="CJ186" i="6" a="1"/>
  <c r="CJ186" i="6" s="1"/>
  <c r="BS186" i="6"/>
  <c r="CM186" i="6" a="1"/>
  <c r="CM186" i="6" s="1"/>
  <c r="AU186" i="6"/>
  <c r="AW186" i="6"/>
  <c r="CH186" i="6" a="1"/>
  <c r="CH186" i="6" s="1"/>
  <c r="BQ184" i="6"/>
  <c r="CH184" i="6" a="1"/>
  <c r="CH184" i="6" s="1"/>
  <c r="AX184" i="6"/>
  <c r="BP184" i="6"/>
  <c r="BO184" i="6"/>
  <c r="BN184" i="6"/>
  <c r="CJ184" i="6" a="1"/>
  <c r="CJ184" i="6" s="1"/>
  <c r="CM184" i="6" a="1"/>
  <c r="CM184" i="6" s="1"/>
  <c r="BM184" i="6"/>
  <c r="CG184" i="6" a="1"/>
  <c r="CG184" i="6" s="1"/>
  <c r="BT184" i="6"/>
  <c r="CL184" i="6" a="1"/>
  <c r="CL184" i="6" s="1"/>
  <c r="BS184" i="6"/>
  <c r="CF184" i="6" a="1"/>
  <c r="CF184" i="6" s="1"/>
  <c r="CK184" i="6" a="1"/>
  <c r="CK184" i="6" s="1"/>
  <c r="AZ184" i="6"/>
  <c r="AY184" i="6"/>
  <c r="CI184" i="6" a="1"/>
  <c r="CI184" i="6" s="1"/>
  <c r="AW184" i="6"/>
  <c r="BR184" i="6"/>
  <c r="AV184" i="6"/>
  <c r="BA184" i="6"/>
  <c r="CL186" i="6" a="1"/>
  <c r="CL186" i="6" s="1"/>
  <c r="BR186" i="6"/>
  <c r="CI186" i="6" a="1"/>
  <c r="CI186" i="6" s="1"/>
  <c r="H187" i="6" a="1"/>
  <c r="H187" i="6" s="1"/>
  <c r="T187" i="5" s="1"/>
  <c r="G187" i="12" s="1" a="1"/>
  <c r="G187" i="12" s="1"/>
  <c r="AV186" i="6"/>
  <c r="CG186" i="6" a="1"/>
  <c r="CG186" i="6" s="1"/>
  <c r="BO186" i="6"/>
  <c r="BA186" i="6"/>
  <c r="BP186" i="6"/>
  <c r="BT186" i="6"/>
  <c r="BZ186" i="6" a="1"/>
  <c r="BZ186" i="6" s="1"/>
  <c r="AP186" i="6"/>
  <c r="B188" i="6"/>
  <c r="AE188" i="5" a="1"/>
  <c r="AE188" i="5" s="1"/>
  <c r="AM186" i="6"/>
  <c r="BY186" i="6" a="1"/>
  <c r="BY186" i="6" s="1"/>
  <c r="BG186" i="6"/>
  <c r="AL186" i="6"/>
  <c r="BV186" i="6" a="1"/>
  <c r="BV186" i="6" s="1"/>
  <c r="AJ186" i="6"/>
  <c r="AS186" i="6"/>
  <c r="AO186" i="6"/>
  <c r="H188" i="5"/>
  <c r="CD186" i="6" a="1"/>
  <c r="CD186" i="6" s="1"/>
  <c r="BX186" i="6" a="1"/>
  <c r="BX186" i="6" s="1"/>
  <c r="AN186" i="6"/>
  <c r="BH186" i="6"/>
  <c r="BI186" i="6"/>
  <c r="BD186" i="6"/>
  <c r="AQ186" i="6"/>
  <c r="BJ186" i="6"/>
  <c r="BL186" i="6"/>
  <c r="CE186" i="6" a="1"/>
  <c r="CE186" i="6" s="1"/>
  <c r="CA186" i="6" a="1"/>
  <c r="CA186" i="6" s="1"/>
  <c r="BW186" i="6" a="1"/>
  <c r="BW186" i="6" s="1"/>
  <c r="BE186" i="6"/>
  <c r="BC186" i="6"/>
  <c r="AK186" i="6"/>
  <c r="N188" i="5"/>
  <c r="D188" i="6" s="1"/>
  <c r="BF186" i="6"/>
  <c r="T186" i="5"/>
  <c r="G186" i="12" s="1" a="1"/>
  <c r="G186" i="12" s="1"/>
  <c r="AR186" i="6"/>
  <c r="G188" i="5"/>
  <c r="CC186" i="6" a="1"/>
  <c r="CC186" i="6" s="1"/>
  <c r="BK186" i="6"/>
  <c r="G185" i="12" a="1"/>
  <c r="G185" i="12" s="1"/>
  <c r="M185" i="6"/>
  <c r="N185" i="6"/>
  <c r="BI184" i="6"/>
  <c r="BL184" i="6"/>
  <c r="CD184" i="6" a="1"/>
  <c r="CD184" i="6" s="1"/>
  <c r="BE184" i="6"/>
  <c r="BX184" i="6" a="1"/>
  <c r="BX184" i="6" s="1"/>
  <c r="BF184" i="6"/>
  <c r="BD184" i="6"/>
  <c r="CA184" i="6" a="1"/>
  <c r="CA184" i="6" s="1"/>
  <c r="BC184" i="6"/>
  <c r="BK184" i="6"/>
  <c r="BH184" i="6"/>
  <c r="CB184" i="6" a="1"/>
  <c r="CB184" i="6" s="1"/>
  <c r="BW184" i="6" a="1"/>
  <c r="BW184" i="6" s="1"/>
  <c r="BY184" i="6" a="1"/>
  <c r="BY184" i="6" s="1"/>
  <c r="BV184" i="6" a="1"/>
  <c r="BV184" i="6" s="1"/>
  <c r="BJ184" i="6"/>
  <c r="CC184" i="6" a="1"/>
  <c r="CC184" i="6" s="1"/>
  <c r="BZ184" i="6" a="1"/>
  <c r="BZ184" i="6" s="1"/>
  <c r="CE184" i="6" a="1"/>
  <c r="CE184" i="6" s="1"/>
  <c r="BG184" i="6"/>
  <c r="J188" i="5"/>
  <c r="A188" i="12"/>
  <c r="E188" i="5"/>
  <c r="J187" i="12" a="1"/>
  <c r="J187" i="12" s="1"/>
  <c r="K187" i="12" s="1"/>
  <c r="C189" i="5"/>
  <c r="K188" i="5"/>
  <c r="D188" i="5" s="1"/>
  <c r="B188" i="12" s="1"/>
  <c r="B188" i="5"/>
  <c r="F188" i="5"/>
  <c r="A186" i="6"/>
  <c r="A187" i="6" s="1"/>
  <c r="J76" i="5"/>
  <c r="K76" i="5"/>
  <c r="D76" i="5" s="1"/>
  <c r="K75" i="5"/>
  <c r="AE189" i="5" l="1" a="1"/>
  <c r="AE189" i="5" s="1"/>
  <c r="CI185" i="6" a="1"/>
  <c r="CI185" i="6" s="1"/>
  <c r="BO185" i="6"/>
  <c r="CL185" i="6" a="1"/>
  <c r="CL185" i="6" s="1"/>
  <c r="AZ185" i="6"/>
  <c r="CF185" i="6" a="1"/>
  <c r="CF185" i="6" s="1"/>
  <c r="AV185" i="6"/>
  <c r="CG185" i="6" a="1"/>
  <c r="CG185" i="6" s="1"/>
  <c r="AX185" i="6"/>
  <c r="BM185" i="6"/>
  <c r="BP185" i="6"/>
  <c r="CM185" i="6" a="1"/>
  <c r="CM185" i="6" s="1"/>
  <c r="BQ185" i="6"/>
  <c r="CH185" i="6" a="1"/>
  <c r="CH185" i="6" s="1"/>
  <c r="AW185" i="6"/>
  <c r="BT185" i="6"/>
  <c r="BS185" i="6"/>
  <c r="BN185" i="6"/>
  <c r="AY185" i="6"/>
  <c r="CK185" i="6" a="1"/>
  <c r="CK185" i="6" s="1"/>
  <c r="BR185" i="6"/>
  <c r="CJ185" i="6" a="1"/>
  <c r="CJ185" i="6" s="1"/>
  <c r="BA185" i="6"/>
  <c r="H188" i="6" a="1"/>
  <c r="H188" i="6" s="1"/>
  <c r="T188" i="5" s="1"/>
  <c r="G188" i="12" s="1" a="1"/>
  <c r="G188" i="12" s="1"/>
  <c r="M187" i="6"/>
  <c r="N187" i="6"/>
  <c r="A188" i="6"/>
  <c r="N188" i="6" s="1"/>
  <c r="B189" i="5"/>
  <c r="C190" i="5"/>
  <c r="A189" i="12"/>
  <c r="N189" i="5"/>
  <c r="D189" i="6" s="1"/>
  <c r="G189" i="5"/>
  <c r="H189" i="5"/>
  <c r="K189" i="5"/>
  <c r="D189" i="5" s="1"/>
  <c r="B189" i="12" s="1"/>
  <c r="AD189" i="5"/>
  <c r="CD185" i="6" a="1"/>
  <c r="CD185" i="6" s="1"/>
  <c r="BW185" i="6" a="1"/>
  <c r="BW185" i="6" s="1"/>
  <c r="BG185" i="6"/>
  <c r="BK185" i="6"/>
  <c r="BF185" i="6"/>
  <c r="CE185" i="6" a="1"/>
  <c r="CE185" i="6" s="1"/>
  <c r="BV185" i="6" a="1"/>
  <c r="BV185" i="6" s="1"/>
  <c r="BZ185" i="6" a="1"/>
  <c r="BZ185" i="6" s="1"/>
  <c r="BJ185" i="6"/>
  <c r="BD185" i="6"/>
  <c r="BX185" i="6" a="1"/>
  <c r="BX185" i="6" s="1"/>
  <c r="BY185" i="6" a="1"/>
  <c r="BY185" i="6" s="1"/>
  <c r="CA185" i="6" a="1"/>
  <c r="CA185" i="6" s="1"/>
  <c r="BL185" i="6"/>
  <c r="BE185" i="6"/>
  <c r="CB185" i="6" a="1"/>
  <c r="CB185" i="6" s="1"/>
  <c r="CC185" i="6" a="1"/>
  <c r="CC185" i="6" s="1"/>
  <c r="BI185" i="6"/>
  <c r="BH185" i="6"/>
  <c r="BC185" i="6"/>
  <c r="F189" i="5"/>
  <c r="J189" i="5"/>
  <c r="E189" i="5"/>
  <c r="B189" i="6"/>
  <c r="B76" i="12"/>
  <c r="J190" i="5" l="1"/>
  <c r="H189" i="6" a="1"/>
  <c r="H189" i="6" s="1"/>
  <c r="T189" i="5" s="1"/>
  <c r="G189" i="12" s="1" a="1"/>
  <c r="G189" i="12" s="1"/>
  <c r="BO187" i="6"/>
  <c r="BM187" i="6"/>
  <c r="CM187" i="6" a="1"/>
  <c r="CM187" i="6" s="1"/>
  <c r="CG187" i="6" a="1"/>
  <c r="CG187" i="6" s="1"/>
  <c r="BT187" i="6"/>
  <c r="CL187" i="6" a="1"/>
  <c r="CL187" i="6" s="1"/>
  <c r="BS187" i="6"/>
  <c r="CF187" i="6" a="1"/>
  <c r="CF187" i="6" s="1"/>
  <c r="BN187" i="6"/>
  <c r="CK187" i="6" a="1"/>
  <c r="CK187" i="6" s="1"/>
  <c r="BA187" i="6"/>
  <c r="AW187" i="6"/>
  <c r="CH187" i="6" a="1"/>
  <c r="CH187" i="6" s="1"/>
  <c r="AZ187" i="6"/>
  <c r="CJ187" i="6" a="1"/>
  <c r="CJ187" i="6" s="1"/>
  <c r="AY187" i="6"/>
  <c r="CI187" i="6" a="1"/>
  <c r="CI187" i="6" s="1"/>
  <c r="AX187" i="6"/>
  <c r="BR187" i="6"/>
  <c r="BQ187" i="6"/>
  <c r="AV187" i="6"/>
  <c r="BP187" i="6"/>
  <c r="BF187" i="6"/>
  <c r="BC187" i="6"/>
  <c r="CB187" i="6" a="1"/>
  <c r="CB187" i="6" s="1"/>
  <c r="BV187" i="6" a="1"/>
  <c r="BV187" i="6" s="1"/>
  <c r="CA187" i="6" a="1"/>
  <c r="CA187" i="6" s="1"/>
  <c r="BW187" i="6" a="1"/>
  <c r="BW187" i="6" s="1"/>
  <c r="BY187" i="6" a="1"/>
  <c r="BY187" i="6" s="1"/>
  <c r="BD187" i="6"/>
  <c r="BJ187" i="6"/>
  <c r="BL187" i="6"/>
  <c r="CD187" i="6" a="1"/>
  <c r="CD187" i="6" s="1"/>
  <c r="BK187" i="6"/>
  <c r="CC187" i="6" a="1"/>
  <c r="CC187" i="6" s="1"/>
  <c r="BE187" i="6"/>
  <c r="BZ187" i="6" a="1"/>
  <c r="BZ187" i="6" s="1"/>
  <c r="BH187" i="6"/>
  <c r="CE187" i="6" a="1"/>
  <c r="CE187" i="6" s="1"/>
  <c r="BX187" i="6" a="1"/>
  <c r="BX187" i="6" s="1"/>
  <c r="BG187" i="6"/>
  <c r="BI187" i="6"/>
  <c r="M188" i="6"/>
  <c r="AE190" i="5" a="1"/>
  <c r="AE190" i="5" s="1"/>
  <c r="D190" i="5"/>
  <c r="B190" i="12" s="1"/>
  <c r="B190" i="5"/>
  <c r="A189" i="6"/>
  <c r="M189" i="6" s="1"/>
  <c r="BX189" i="6" s="1" a="1"/>
  <c r="BX189" i="6" s="1"/>
  <c r="G190" i="5"/>
  <c r="F190" i="5"/>
  <c r="J75" i="5" s="1"/>
  <c r="D75" i="5" s="1"/>
  <c r="B75" i="12" s="1"/>
  <c r="K190" i="5"/>
  <c r="AD190" i="5"/>
  <c r="F89" i="8" s="1" a="1"/>
  <c r="F89" i="8" s="1"/>
  <c r="E190" i="5"/>
  <c r="H190" i="5"/>
  <c r="B190" i="6"/>
  <c r="A190" i="12"/>
  <c r="J190" i="12" s="1" a="1"/>
  <c r="J190" i="12" s="1"/>
  <c r="N190" i="5"/>
  <c r="D190" i="6" s="1"/>
  <c r="K38" i="5"/>
  <c r="K42" i="5"/>
  <c r="K154" i="5"/>
  <c r="K166" i="5"/>
  <c r="K109" i="5"/>
  <c r="K111" i="5"/>
  <c r="K105" i="5"/>
  <c r="K39" i="5"/>
  <c r="D39" i="5" s="1"/>
  <c r="B39" i="12" s="1"/>
  <c r="K91" i="5"/>
  <c r="J39" i="12" a="1"/>
  <c r="J39" i="12" s="1"/>
  <c r="L39" i="12" a="1"/>
  <c r="L39" i="12" s="1"/>
  <c r="F35" i="8" l="1" a="1"/>
  <c r="F35" i="8" s="1"/>
  <c r="F36" i="8" s="1"/>
  <c r="F38" i="8" a="1"/>
  <c r="F38" i="8" s="1"/>
  <c r="F39" i="8" s="1"/>
  <c r="F41" i="8" a="1"/>
  <c r="F41" i="8" s="1"/>
  <c r="F42" i="8" s="1"/>
  <c r="F44" i="8" a="1"/>
  <c r="F44" i="8" s="1"/>
  <c r="F45" i="8" s="1"/>
  <c r="F50" i="8" a="1"/>
  <c r="F50" i="8" s="1"/>
  <c r="F51" i="8" s="1"/>
  <c r="F47" i="8" a="1"/>
  <c r="F47" i="8" s="1"/>
  <c r="F48" i="8" s="1"/>
  <c r="F53" i="8" a="1"/>
  <c r="F53" i="8" s="1"/>
  <c r="F54" i="8" s="1"/>
  <c r="F62" i="8" a="1"/>
  <c r="F62" i="8" s="1"/>
  <c r="F63" i="8" s="1"/>
  <c r="F59" i="8" a="1"/>
  <c r="F59" i="8" s="1"/>
  <c r="F60" i="8" s="1"/>
  <c r="F56" i="8" a="1"/>
  <c r="F56" i="8" s="1"/>
  <c r="F57" i="8" s="1"/>
  <c r="F68" i="8" a="1"/>
  <c r="F68" i="8" s="1"/>
  <c r="F69" i="8" s="1"/>
  <c r="F65" i="8" a="1"/>
  <c r="F65" i="8" s="1"/>
  <c r="F66" i="8" s="1"/>
  <c r="F86" i="8" a="1"/>
  <c r="F86" i="8" s="1"/>
  <c r="F87" i="8" s="1"/>
  <c r="F71" i="8" a="1"/>
  <c r="F71" i="8" s="1"/>
  <c r="F72" i="8" s="1"/>
  <c r="F74" i="8" a="1"/>
  <c r="F74" i="8" s="1"/>
  <c r="F75" i="8" s="1"/>
  <c r="F83" i="8" a="1"/>
  <c r="F83" i="8" s="1"/>
  <c r="F84" i="8" s="1"/>
  <c r="F80" i="8" a="1"/>
  <c r="F80" i="8" s="1"/>
  <c r="F81" i="8" s="1"/>
  <c r="F77" i="8" a="1"/>
  <c r="F77" i="8" s="1"/>
  <c r="F78" i="8" s="1"/>
  <c r="CK189" i="6" a="1"/>
  <c r="CK189" i="6" s="1"/>
  <c r="AY189" i="6"/>
  <c r="BA189" i="6"/>
  <c r="BN189" i="6"/>
  <c r="BR189" i="6"/>
  <c r="BT189" i="6"/>
  <c r="H190" i="6" a="1"/>
  <c r="H190" i="6" s="1"/>
  <c r="T190" i="5" s="1"/>
  <c r="G190" i="12" s="1" a="1"/>
  <c r="G190" i="12" s="1"/>
  <c r="AX189" i="6"/>
  <c r="BM189" i="6"/>
  <c r="AZ189" i="6"/>
  <c r="CF189" i="6" a="1"/>
  <c r="CF189" i="6" s="1"/>
  <c r="BS189" i="6"/>
  <c r="CL189" i="6" a="1"/>
  <c r="CL189" i="6" s="1"/>
  <c r="CJ189" i="6" a="1"/>
  <c r="CJ189" i="6" s="1"/>
  <c r="BP188" i="6"/>
  <c r="CK188" i="6" a="1"/>
  <c r="CK188" i="6" s="1"/>
  <c r="AZ188" i="6"/>
  <c r="CM188" i="6" a="1"/>
  <c r="CM188" i="6" s="1"/>
  <c r="BA188" i="6"/>
  <c r="CJ188" i="6" a="1"/>
  <c r="CJ188" i="6" s="1"/>
  <c r="CI188" i="6" a="1"/>
  <c r="CI188" i="6" s="1"/>
  <c r="BO188" i="6"/>
  <c r="BR188" i="6"/>
  <c r="CL188" i="6" a="1"/>
  <c r="CL188" i="6" s="1"/>
  <c r="AV188" i="6"/>
  <c r="BT188" i="6"/>
  <c r="CF188" i="6" a="1"/>
  <c r="CF188" i="6" s="1"/>
  <c r="BN188" i="6"/>
  <c r="CG188" i="6" a="1"/>
  <c r="CG188" i="6" s="1"/>
  <c r="AY188" i="6"/>
  <c r="CH188" i="6" a="1"/>
  <c r="CH188" i="6" s="1"/>
  <c r="AX188" i="6"/>
  <c r="BS188" i="6"/>
  <c r="AW188" i="6"/>
  <c r="BQ188" i="6"/>
  <c r="BM188" i="6"/>
  <c r="CG189" i="6" a="1"/>
  <c r="CG189" i="6" s="1"/>
  <c r="AV189" i="6"/>
  <c r="CM189" i="6" a="1"/>
  <c r="CM189" i="6" s="1"/>
  <c r="AW189" i="6"/>
  <c r="CH189" i="6" a="1"/>
  <c r="CH189" i="6" s="1"/>
  <c r="BO189" i="6"/>
  <c r="CI189" i="6" a="1"/>
  <c r="CI189" i="6" s="1"/>
  <c r="BQ189" i="6"/>
  <c r="BP189" i="6"/>
  <c r="J22" i="5"/>
  <c r="K22" i="5"/>
  <c r="BK188" i="6"/>
  <c r="BJ188" i="6"/>
  <c r="BG188" i="6"/>
  <c r="CB188" i="6" a="1"/>
  <c r="CB188" i="6" s="1"/>
  <c r="BD188" i="6"/>
  <c r="CA188" i="6" a="1"/>
  <c r="CA188" i="6" s="1"/>
  <c r="BW188" i="6" a="1"/>
  <c r="BW188" i="6" s="1"/>
  <c r="BE188" i="6"/>
  <c r="BF188" i="6"/>
  <c r="BX188" i="6" a="1"/>
  <c r="BX188" i="6" s="1"/>
  <c r="CD188" i="6" a="1"/>
  <c r="CD188" i="6" s="1"/>
  <c r="BL188" i="6"/>
  <c r="BY188" i="6" a="1"/>
  <c r="BY188" i="6" s="1"/>
  <c r="BH188" i="6"/>
  <c r="CE188" i="6" a="1"/>
  <c r="CE188" i="6" s="1"/>
  <c r="BC188" i="6"/>
  <c r="BV188" i="6" a="1"/>
  <c r="BV188" i="6" s="1"/>
  <c r="BI188" i="6"/>
  <c r="CC188" i="6" a="1"/>
  <c r="CC188" i="6" s="1"/>
  <c r="BZ188" i="6" a="1"/>
  <c r="BZ188" i="6" s="1"/>
  <c r="BJ189" i="6"/>
  <c r="BK189" i="6"/>
  <c r="BE189" i="6"/>
  <c r="BH189" i="6"/>
  <c r="BY189" i="6" a="1"/>
  <c r="BY189" i="6" s="1"/>
  <c r="BW189" i="6" a="1"/>
  <c r="BW189" i="6" s="1"/>
  <c r="BL189" i="6"/>
  <c r="BG189" i="6"/>
  <c r="L190" i="12" a="1"/>
  <c r="L190" i="12" s="1"/>
  <c r="K190" i="12" s="1"/>
  <c r="BZ189" i="6" a="1"/>
  <c r="BZ189" i="6" s="1"/>
  <c r="CC189" i="6" a="1"/>
  <c r="CC189" i="6" s="1"/>
  <c r="CE189" i="6" a="1"/>
  <c r="CE189" i="6" s="1"/>
  <c r="BV189" i="6" a="1"/>
  <c r="BV189" i="6" s="1"/>
  <c r="BD189" i="6"/>
  <c r="BC189" i="6"/>
  <c r="CA189" i="6" a="1"/>
  <c r="CA189" i="6" s="1"/>
  <c r="BI189" i="6"/>
  <c r="CB189" i="6" a="1"/>
  <c r="CB189" i="6" s="1"/>
  <c r="BF189" i="6"/>
  <c r="CD189" i="6" a="1"/>
  <c r="CD189" i="6" s="1"/>
  <c r="A190" i="6"/>
  <c r="M190" i="6" s="1"/>
  <c r="CF190" i="6" s="1" a="1"/>
  <c r="CF190" i="6" s="1"/>
  <c r="K39" i="12"/>
  <c r="J76" i="12" a="1"/>
  <c r="J76" i="12" s="1"/>
  <c r="L76" i="12" a="1"/>
  <c r="L76" i="12" s="1"/>
  <c r="L189" i="12" a="1"/>
  <c r="L189" i="12" s="1"/>
  <c r="J189" i="12" a="1"/>
  <c r="J189" i="12" s="1"/>
  <c r="M62" i="8" l="1"/>
  <c r="Q62" i="8" s="1"/>
  <c r="J62" i="8"/>
  <c r="J77" i="8"/>
  <c r="M77" i="8"/>
  <c r="M47" i="8"/>
  <c r="J47" i="8"/>
  <c r="M68" i="8"/>
  <c r="J68" i="8"/>
  <c r="M53" i="8"/>
  <c r="P53" i="8" s="1"/>
  <c r="J53" i="8"/>
  <c r="M80" i="8"/>
  <c r="Q80" i="8" s="1"/>
  <c r="J80" i="8"/>
  <c r="M50" i="8"/>
  <c r="J50" i="8"/>
  <c r="J65" i="8"/>
  <c r="M65" i="8"/>
  <c r="Q65" i="8" s="1"/>
  <c r="J59" i="8"/>
  <c r="M59" i="8"/>
  <c r="M83" i="8"/>
  <c r="P83" i="8" s="1"/>
  <c r="J83" i="8"/>
  <c r="J44" i="8"/>
  <c r="M44" i="8"/>
  <c r="Q44" i="8" s="1"/>
  <c r="M74" i="8"/>
  <c r="J74" i="8"/>
  <c r="J41" i="8"/>
  <c r="M41" i="8"/>
  <c r="Q41" i="8" s="1"/>
  <c r="M56" i="8"/>
  <c r="J56" i="8"/>
  <c r="M71" i="8"/>
  <c r="Q71" i="8" s="1"/>
  <c r="J71" i="8"/>
  <c r="M38" i="8"/>
  <c r="Q38" i="8" s="1"/>
  <c r="J38" i="8"/>
  <c r="M86" i="8"/>
  <c r="Q86" i="8" s="1"/>
  <c r="J86" i="8"/>
  <c r="M35" i="8"/>
  <c r="J35" i="8"/>
  <c r="V17" i="7" a="1"/>
  <c r="V17" i="7" s="1"/>
  <c r="U17" i="7" a="1"/>
  <c r="U17" i="7" s="1"/>
  <c r="S17" i="7" a="1"/>
  <c r="S17" i="7" s="1"/>
  <c r="W17" i="7" a="1"/>
  <c r="W17" i="7" s="1"/>
  <c r="Y17" i="7" a="1"/>
  <c r="Y17" i="7" s="1"/>
  <c r="T17" i="7" a="1"/>
  <c r="T17" i="7" s="1"/>
  <c r="X17" i="7" a="1"/>
  <c r="X17" i="7" s="1"/>
  <c r="BA190" i="6"/>
  <c r="CJ190" i="6" a="1"/>
  <c r="CJ190" i="6" s="1"/>
  <c r="AY190" i="6"/>
  <c r="AZ190" i="6"/>
  <c r="CH190" i="6" a="1"/>
  <c r="CH190" i="6" s="1"/>
  <c r="CK190" i="6" a="1"/>
  <c r="CK190" i="6" s="1"/>
  <c r="AV190" i="6"/>
  <c r="AX190" i="6"/>
  <c r="AW190" i="6"/>
  <c r="BR190" i="6"/>
  <c r="BN190" i="6"/>
  <c r="CI190" i="6" a="1"/>
  <c r="CI190" i="6" s="1"/>
  <c r="CL190" i="6" a="1"/>
  <c r="CL190" i="6" s="1"/>
  <c r="BS190" i="6"/>
  <c r="BT190" i="6"/>
  <c r="CG190" i="6" a="1"/>
  <c r="CG190" i="6" s="1"/>
  <c r="BM190" i="6"/>
  <c r="CM190" i="6" a="1"/>
  <c r="CM190" i="6" s="1"/>
  <c r="BO190" i="6"/>
  <c r="BP190" i="6"/>
  <c r="BQ190" i="6"/>
  <c r="Y44" i="7" a="1"/>
  <c r="Y44" i="7" s="1"/>
  <c r="U44" i="7" a="1"/>
  <c r="U44" i="7" s="1"/>
  <c r="V44" i="7" a="1"/>
  <c r="V44" i="7" s="1"/>
  <c r="X44" i="7" a="1"/>
  <c r="X44" i="7" s="1"/>
  <c r="T44" i="7" a="1"/>
  <c r="T44" i="7" s="1"/>
  <c r="X45" i="7" a="1"/>
  <c r="X45" i="7" s="1"/>
  <c r="T45" i="7" a="1"/>
  <c r="T45" i="7" s="1"/>
  <c r="W44" i="7" a="1"/>
  <c r="W44" i="7" s="1"/>
  <c r="V45" i="7" a="1"/>
  <c r="V45" i="7" s="1"/>
  <c r="U45" i="7" a="1"/>
  <c r="U45" i="7" s="1"/>
  <c r="W45" i="7" a="1"/>
  <c r="W45" i="7" s="1"/>
  <c r="Y45" i="7" a="1"/>
  <c r="Y45" i="7" s="1"/>
  <c r="W41" i="7" a="1"/>
  <c r="W41" i="7" s="1"/>
  <c r="X43" i="7" a="1"/>
  <c r="X43" i="7" s="1"/>
  <c r="V43" i="7" a="1"/>
  <c r="V43" i="7" s="1"/>
  <c r="Y43" i="7" a="1"/>
  <c r="Y43" i="7" s="1"/>
  <c r="W43" i="7" a="1"/>
  <c r="W43" i="7" s="1"/>
  <c r="T43" i="7" a="1"/>
  <c r="T43" i="7" s="1"/>
  <c r="U43" i="7" a="1"/>
  <c r="U43" i="7" s="1"/>
  <c r="U41" i="7" a="1"/>
  <c r="U41" i="7" s="1"/>
  <c r="T39" i="7" a="1"/>
  <c r="T39" i="7" s="1"/>
  <c r="X40" i="7" a="1"/>
  <c r="X40" i="7" s="1"/>
  <c r="V41" i="7" a="1"/>
  <c r="V41" i="7" s="1"/>
  <c r="X42" i="7" a="1"/>
  <c r="X42" i="7" s="1"/>
  <c r="W42" i="7" a="1"/>
  <c r="W42" i="7" s="1"/>
  <c r="W39" i="7" a="1"/>
  <c r="W39" i="7" s="1"/>
  <c r="T42" i="7" a="1"/>
  <c r="T42" i="7" s="1"/>
  <c r="Y41" i="7" a="1"/>
  <c r="Y41" i="7" s="1"/>
  <c r="V38" i="7" a="1"/>
  <c r="V38" i="7" s="1"/>
  <c r="T40" i="7" a="1"/>
  <c r="T40" i="7" s="1"/>
  <c r="W40" i="7" a="1"/>
  <c r="W40" i="7" s="1"/>
  <c r="W38" i="7" a="1"/>
  <c r="W38" i="7" s="1"/>
  <c r="U38" i="7" a="1"/>
  <c r="U38" i="7" s="1"/>
  <c r="V40" i="7" a="1"/>
  <c r="V40" i="7" s="1"/>
  <c r="T41" i="7" a="1"/>
  <c r="T41" i="7" s="1"/>
  <c r="X39" i="7" a="1"/>
  <c r="X39" i="7" s="1"/>
  <c r="V39" i="7" a="1"/>
  <c r="V39" i="7" s="1"/>
  <c r="V42" i="7" a="1"/>
  <c r="V42" i="7" s="1"/>
  <c r="Y40" i="7" a="1"/>
  <c r="Y40" i="7" s="1"/>
  <c r="Y38" i="7" a="1"/>
  <c r="Y38" i="7" s="1"/>
  <c r="Y42" i="7" a="1"/>
  <c r="Y42" i="7" s="1"/>
  <c r="Y39" i="7" a="1"/>
  <c r="Y39" i="7" s="1"/>
  <c r="U40" i="7" a="1"/>
  <c r="U40" i="7" s="1"/>
  <c r="U39" i="7" a="1"/>
  <c r="U39" i="7" s="1"/>
  <c r="U42" i="7" a="1"/>
  <c r="U42" i="7" s="1"/>
  <c r="X41" i="7" a="1"/>
  <c r="X41" i="7" s="1"/>
  <c r="X38" i="7" a="1"/>
  <c r="X38" i="7" s="1"/>
  <c r="T38" i="7" a="1"/>
  <c r="T38" i="7" s="1"/>
  <c r="W26" i="7" a="1"/>
  <c r="W26" i="7" s="1"/>
  <c r="T25" i="7" a="1"/>
  <c r="T25" i="7" s="1"/>
  <c r="X23" i="7" a="1"/>
  <c r="X23" i="7" s="1"/>
  <c r="Y24" i="7" a="1"/>
  <c r="Y24" i="7" s="1"/>
  <c r="Y27" i="7" a="1"/>
  <c r="Y27" i="7" s="1"/>
  <c r="W27" i="7" a="1"/>
  <c r="W27" i="7" s="1"/>
  <c r="V23" i="7" a="1"/>
  <c r="V23" i="7" s="1"/>
  <c r="T24" i="7" a="1"/>
  <c r="T24" i="7" s="1"/>
  <c r="W24" i="7" a="1"/>
  <c r="W24" i="7" s="1"/>
  <c r="T26" i="7" a="1"/>
  <c r="T26" i="7" s="1"/>
  <c r="T23" i="7" a="1"/>
  <c r="T23" i="7" s="1"/>
  <c r="T27" i="7" a="1"/>
  <c r="T27" i="7" s="1"/>
  <c r="U27" i="7" a="1"/>
  <c r="U27" i="7" s="1"/>
  <c r="Y26" i="7" a="1"/>
  <c r="Y26" i="7" s="1"/>
  <c r="V25" i="7" a="1"/>
  <c r="V25" i="7" s="1"/>
  <c r="X27" i="7" a="1"/>
  <c r="X27" i="7" s="1"/>
  <c r="W25" i="7" a="1"/>
  <c r="W25" i="7" s="1"/>
  <c r="X25" i="7" a="1"/>
  <c r="X25" i="7" s="1"/>
  <c r="U26" i="7" a="1"/>
  <c r="U26" i="7" s="1"/>
  <c r="U24" i="7" a="1"/>
  <c r="U24" i="7" s="1"/>
  <c r="V27" i="7" a="1"/>
  <c r="V27" i="7" s="1"/>
  <c r="Y23" i="7" a="1"/>
  <c r="Y23" i="7" s="1"/>
  <c r="X26" i="7" a="1"/>
  <c r="X26" i="7" s="1"/>
  <c r="W23" i="7" a="1"/>
  <c r="W23" i="7" s="1"/>
  <c r="U35" i="7" a="1"/>
  <c r="U35" i="7" s="1"/>
  <c r="U25" i="7" a="1"/>
  <c r="U25" i="7" s="1"/>
  <c r="V24" i="7" a="1"/>
  <c r="V24" i="7" s="1"/>
  <c r="U23" i="7" a="1"/>
  <c r="U23" i="7" s="1"/>
  <c r="X24" i="7" a="1"/>
  <c r="X24" i="7" s="1"/>
  <c r="Y25" i="7" a="1"/>
  <c r="Y25" i="7" s="1"/>
  <c r="V26" i="7" a="1"/>
  <c r="V26" i="7" s="1"/>
  <c r="W33" i="7" a="1"/>
  <c r="W33" i="7" s="1"/>
  <c r="X33" i="7" a="1"/>
  <c r="X33" i="7" s="1"/>
  <c r="V35" i="7" a="1"/>
  <c r="V35" i="7" s="1"/>
  <c r="U37" i="7" a="1"/>
  <c r="U37" i="7" s="1"/>
  <c r="X34" i="7" a="1"/>
  <c r="X34" i="7" s="1"/>
  <c r="Y35" i="7" a="1"/>
  <c r="Y35" i="7" s="1"/>
  <c r="T37" i="7" a="1"/>
  <c r="T37" i="7" s="1"/>
  <c r="V37" i="7" a="1"/>
  <c r="V37" i="7" s="1"/>
  <c r="V33" i="7" a="1"/>
  <c r="V33" i="7" s="1"/>
  <c r="U33" i="7" a="1"/>
  <c r="U33" i="7" s="1"/>
  <c r="V36" i="7" a="1"/>
  <c r="V36" i="7" s="1"/>
  <c r="W34" i="7" a="1"/>
  <c r="W34" i="7" s="1"/>
  <c r="X35" i="7" a="1"/>
  <c r="X35" i="7" s="1"/>
  <c r="Y37" i="7" a="1"/>
  <c r="Y37" i="7" s="1"/>
  <c r="W36" i="7" a="1"/>
  <c r="W36" i="7" s="1"/>
  <c r="Y36" i="7" a="1"/>
  <c r="Y36" i="7" s="1"/>
  <c r="X36" i="7" a="1"/>
  <c r="X36" i="7" s="1"/>
  <c r="T33" i="7" a="1"/>
  <c r="T33" i="7" s="1"/>
  <c r="Y34" i="7" a="1"/>
  <c r="Y34" i="7" s="1"/>
  <c r="T35" i="7" a="1"/>
  <c r="T35" i="7" s="1"/>
  <c r="V34" i="7" a="1"/>
  <c r="V34" i="7" s="1"/>
  <c r="U34" i="7" a="1"/>
  <c r="U34" i="7" s="1"/>
  <c r="W37" i="7" a="1"/>
  <c r="W37" i="7" s="1"/>
  <c r="T34" i="7" a="1"/>
  <c r="T34" i="7" s="1"/>
  <c r="W35" i="7" a="1"/>
  <c r="W35" i="7" s="1"/>
  <c r="X29" i="7" a="1"/>
  <c r="X29" i="7" s="1"/>
  <c r="T36" i="7" a="1"/>
  <c r="T36" i="7" s="1"/>
  <c r="X37" i="7" a="1"/>
  <c r="X37" i="7" s="1"/>
  <c r="U36" i="7" a="1"/>
  <c r="U36" i="7" s="1"/>
  <c r="Y33" i="7" a="1"/>
  <c r="Y33" i="7" s="1"/>
  <c r="W31" i="7" a="1"/>
  <c r="W31" i="7" s="1"/>
  <c r="X30" i="7" a="1"/>
  <c r="X30" i="7" s="1"/>
  <c r="U29" i="7" a="1"/>
  <c r="U29" i="7" s="1"/>
  <c r="V29" i="7" a="1"/>
  <c r="V29" i="7" s="1"/>
  <c r="V30" i="7" a="1"/>
  <c r="V30" i="7" s="1"/>
  <c r="V28" i="7" a="1"/>
  <c r="V28" i="7" s="1"/>
  <c r="T28" i="7" a="1"/>
  <c r="T28" i="7" s="1"/>
  <c r="U19" i="7" a="1"/>
  <c r="U19" i="7" s="1"/>
  <c r="Y31" i="7" a="1"/>
  <c r="Y31" i="7" s="1"/>
  <c r="W28" i="7" a="1"/>
  <c r="W28" i="7" s="1"/>
  <c r="Y32" i="7" a="1"/>
  <c r="Y32" i="7" s="1"/>
  <c r="Y30" i="7" a="1"/>
  <c r="Y30" i="7" s="1"/>
  <c r="T29" i="7" a="1"/>
  <c r="T29" i="7" s="1"/>
  <c r="X32" i="7" a="1"/>
  <c r="X32" i="7" s="1"/>
  <c r="Y29" i="7" a="1"/>
  <c r="Y29" i="7" s="1"/>
  <c r="T32" i="7" a="1"/>
  <c r="T32" i="7" s="1"/>
  <c r="W30" i="7" a="1"/>
  <c r="W30" i="7" s="1"/>
  <c r="V31" i="7" a="1"/>
  <c r="V31" i="7" s="1"/>
  <c r="U28" i="7" a="1"/>
  <c r="U28" i="7" s="1"/>
  <c r="W29" i="7" a="1"/>
  <c r="W29" i="7" s="1"/>
  <c r="Y28" i="7" a="1"/>
  <c r="Y28" i="7" s="1"/>
  <c r="V32" i="7" a="1"/>
  <c r="V32" i="7" s="1"/>
  <c r="T30" i="7" a="1"/>
  <c r="T30" i="7" s="1"/>
  <c r="X28" i="7" a="1"/>
  <c r="X28" i="7" s="1"/>
  <c r="U30" i="7" a="1"/>
  <c r="U30" i="7" s="1"/>
  <c r="U31" i="7" a="1"/>
  <c r="U31" i="7" s="1"/>
  <c r="T31" i="7" a="1"/>
  <c r="T31" i="7" s="1"/>
  <c r="X31" i="7" a="1"/>
  <c r="X31" i="7" s="1"/>
  <c r="W32" i="7" a="1"/>
  <c r="W32" i="7" s="1"/>
  <c r="U32" i="7" a="1"/>
  <c r="U32" i="7" s="1"/>
  <c r="W19" i="7" a="1"/>
  <c r="W19" i="7" s="1"/>
  <c r="X19" i="7" a="1"/>
  <c r="X19" i="7" s="1"/>
  <c r="V20" i="7" a="1"/>
  <c r="V20" i="7" s="1"/>
  <c r="Y19" i="7" a="1"/>
  <c r="Y19" i="7" s="1"/>
  <c r="W16" i="7" a="1"/>
  <c r="W16" i="7" s="1"/>
  <c r="Y16" i="7" a="1"/>
  <c r="Y16" i="7" s="1"/>
  <c r="V22" i="7" a="1"/>
  <c r="V22" i="7" s="1"/>
  <c r="V18" i="7" a="1"/>
  <c r="V18" i="7" s="1"/>
  <c r="CC190" i="6" a="1"/>
  <c r="CC190" i="6" s="1"/>
  <c r="A10" i="9"/>
  <c r="Y20" i="7" a="1"/>
  <c r="Y20" i="7" s="1"/>
  <c r="W20" i="7" a="1"/>
  <c r="W20" i="7" s="1"/>
  <c r="W18" i="7" a="1"/>
  <c r="W18" i="7" s="1"/>
  <c r="V19" i="7" a="1"/>
  <c r="V19" i="7" s="1"/>
  <c r="T19" i="7" a="1"/>
  <c r="T19" i="7" s="1"/>
  <c r="Y18" i="7" a="1"/>
  <c r="Y18" i="7" s="1"/>
  <c r="X16" i="7" a="1"/>
  <c r="X16" i="7" s="1"/>
  <c r="U22" i="7" a="1"/>
  <c r="U22" i="7" s="1"/>
  <c r="U18" i="7" a="1"/>
  <c r="U18" i="7" s="1"/>
  <c r="U21" i="7" a="1"/>
  <c r="U21" i="7" s="1"/>
  <c r="X22" i="7" a="1"/>
  <c r="X22" i="7" s="1"/>
  <c r="W22" i="7" a="1"/>
  <c r="W22" i="7" s="1"/>
  <c r="Y21" i="7" a="1"/>
  <c r="Y21" i="7" s="1"/>
  <c r="T18" i="7" a="1"/>
  <c r="T18" i="7" s="1"/>
  <c r="T16" i="7" a="1"/>
  <c r="T16" i="7" s="1"/>
  <c r="T20" i="7" a="1"/>
  <c r="T20" i="7" s="1"/>
  <c r="T21" i="7" a="1"/>
  <c r="T21" i="7" s="1"/>
  <c r="U16" i="7" a="1"/>
  <c r="U16" i="7" s="1"/>
  <c r="W21" i="7" a="1"/>
  <c r="W21" i="7" s="1"/>
  <c r="V21" i="7" a="1"/>
  <c r="V21" i="7" s="1"/>
  <c r="T22" i="7" a="1"/>
  <c r="T22" i="7" s="1"/>
  <c r="X18" i="7" a="1"/>
  <c r="X18" i="7" s="1"/>
  <c r="U20" i="7" a="1"/>
  <c r="U20" i="7" s="1"/>
  <c r="X21" i="7" a="1"/>
  <c r="X21" i="7" s="1"/>
  <c r="X20" i="7" a="1"/>
  <c r="X20" i="7" s="1"/>
  <c r="Y22" i="7" a="1"/>
  <c r="Y22" i="7" s="1"/>
  <c r="V16" i="7" a="1"/>
  <c r="V16" i="7" s="1"/>
  <c r="D22" i="5"/>
  <c r="CD190" i="6" a="1"/>
  <c r="CD190" i="6" s="1"/>
  <c r="BZ190" i="6" a="1"/>
  <c r="BZ190" i="6" s="1"/>
  <c r="BE190" i="6"/>
  <c r="BK190" i="6"/>
  <c r="BV190" i="6" a="1"/>
  <c r="BV190" i="6" s="1"/>
  <c r="BY190" i="6" a="1"/>
  <c r="BY190" i="6" s="1"/>
  <c r="BD190" i="6"/>
  <c r="BC190" i="6"/>
  <c r="BI190" i="6"/>
  <c r="BH190" i="6"/>
  <c r="CA190" i="6" a="1"/>
  <c r="CA190" i="6" s="1"/>
  <c r="BW190" i="6" a="1"/>
  <c r="BW190" i="6" s="1"/>
  <c r="CB190" i="6" a="1"/>
  <c r="CB190" i="6" s="1"/>
  <c r="BG190" i="6"/>
  <c r="CE190" i="6" a="1"/>
  <c r="CE190" i="6" s="1"/>
  <c r="BX190" i="6" a="1"/>
  <c r="BX190" i="6" s="1"/>
  <c r="BJ190" i="6"/>
  <c r="BL190" i="6"/>
  <c r="BF190" i="6"/>
  <c r="K76" i="12"/>
  <c r="K189" i="12"/>
  <c r="L188" i="12" a="1"/>
  <c r="L188" i="12" s="1"/>
  <c r="J188" i="12" a="1"/>
  <c r="J188" i="12" s="1"/>
  <c r="O47" i="8" l="1"/>
  <c r="O68" i="8"/>
  <c r="Q47" i="8"/>
  <c r="Q83" i="8"/>
  <c r="P62" i="8"/>
  <c r="P86" i="8"/>
  <c r="O50" i="8"/>
  <c r="P38" i="8"/>
  <c r="P65" i="8"/>
  <c r="P50" i="8"/>
  <c r="Q50" i="8"/>
  <c r="O35" i="8"/>
  <c r="P71" i="8"/>
  <c r="O56" i="8"/>
  <c r="P68" i="8"/>
  <c r="O38" i="8"/>
  <c r="O65" i="8"/>
  <c r="O80" i="8"/>
  <c r="P80" i="8"/>
  <c r="O77" i="8"/>
  <c r="Q35" i="8"/>
  <c r="P35" i="8"/>
  <c r="O44" i="8"/>
  <c r="P44" i="8"/>
  <c r="O71" i="8"/>
  <c r="O53" i="8"/>
  <c r="S76" i="8"/>
  <c r="S61" i="8"/>
  <c r="O41" i="8"/>
  <c r="S49" i="8"/>
  <c r="P41" i="8"/>
  <c r="O74" i="8"/>
  <c r="Q53" i="8"/>
  <c r="Q77" i="8"/>
  <c r="S88" i="8"/>
  <c r="S40" i="8"/>
  <c r="P74" i="8"/>
  <c r="S85" i="8"/>
  <c r="S70" i="8"/>
  <c r="Q74" i="8"/>
  <c r="O59" i="8"/>
  <c r="Q68" i="8"/>
  <c r="P77" i="8"/>
  <c r="S58" i="8"/>
  <c r="S37" i="8"/>
  <c r="P56" i="8"/>
  <c r="S46" i="8"/>
  <c r="O83" i="8"/>
  <c r="P59" i="8"/>
  <c r="S43" i="8"/>
  <c r="S67" i="8"/>
  <c r="O62" i="8"/>
  <c r="Q56" i="8"/>
  <c r="Q59" i="8"/>
  <c r="S52" i="8"/>
  <c r="S82" i="8"/>
  <c r="S79" i="8"/>
  <c r="S64" i="8"/>
  <c r="S73" i="8"/>
  <c r="S55" i="8"/>
  <c r="P47" i="8"/>
  <c r="W14" i="7"/>
  <c r="V14" i="7"/>
  <c r="Y14" i="7"/>
  <c r="U14" i="7"/>
  <c r="X14" i="7"/>
  <c r="T14" i="7"/>
  <c r="B22" i="12"/>
  <c r="K188" i="12"/>
  <c r="L191" i="6" l="1"/>
  <c r="A5" i="5" l="1"/>
  <c r="A18" i="13" l="1"/>
  <c r="B18" i="11"/>
  <c r="A22" i="13"/>
  <c r="A23" i="13"/>
  <c r="A19" i="13"/>
  <c r="A20" i="13"/>
  <c r="B17" i="11"/>
  <c r="B22" i="11"/>
  <c r="B15" i="11"/>
  <c r="B20" i="11"/>
  <c r="K16" i="5"/>
  <c r="A17" i="13"/>
  <c r="B21" i="11"/>
  <c r="B16" i="11"/>
  <c r="B23" i="11"/>
  <c r="A21" i="13"/>
  <c r="A16" i="13"/>
  <c r="A15" i="13"/>
  <c r="B19" i="11"/>
  <c r="J16" i="5"/>
  <c r="B12" i="11"/>
  <c r="A12" i="13"/>
  <c r="J17" i="5"/>
  <c r="K17" i="5"/>
  <c r="K27" i="5"/>
  <c r="J27" i="5"/>
  <c r="J38" i="5"/>
  <c r="D38" i="5" s="1"/>
  <c r="J42" i="5"/>
  <c r="D42" i="5" s="1"/>
  <c r="K44" i="5"/>
  <c r="J44" i="5"/>
  <c r="K51" i="5"/>
  <c r="J51" i="5"/>
  <c r="J64" i="5"/>
  <c r="K64" i="5"/>
  <c r="J83" i="5"/>
  <c r="K83" i="5"/>
  <c r="J91" i="5"/>
  <c r="D91" i="5" s="1"/>
  <c r="J98" i="5"/>
  <c r="K98" i="5"/>
  <c r="J105" i="5"/>
  <c r="D105" i="5" s="1"/>
  <c r="J109" i="5"/>
  <c r="D109" i="5" s="1"/>
  <c r="J111" i="5"/>
  <c r="D111" i="5" s="1"/>
  <c r="J114" i="5"/>
  <c r="K114" i="5"/>
  <c r="K141" i="5"/>
  <c r="K145" i="5"/>
  <c r="J141" i="5"/>
  <c r="J145" i="5"/>
  <c r="J154" i="5"/>
  <c r="D154" i="5" s="1"/>
  <c r="J156" i="5"/>
  <c r="K156" i="5"/>
  <c r="J166" i="5"/>
  <c r="D166" i="5" s="1"/>
  <c r="K170" i="5"/>
  <c r="J170" i="5"/>
  <c r="K186" i="5"/>
  <c r="J186" i="5"/>
  <c r="J32" i="5"/>
  <c r="K32" i="5"/>
  <c r="F23" i="8" a="1"/>
  <c r="F23" i="8" s="1"/>
  <c r="F24" i="8" s="1"/>
  <c r="F20" i="8" a="1"/>
  <c r="F20" i="8" s="1"/>
  <c r="F21" i="8" s="1"/>
  <c r="F14" i="8" a="1"/>
  <c r="F14" i="8" s="1"/>
  <c r="F15" i="8" s="1"/>
  <c r="F17" i="8" a="1"/>
  <c r="F17" i="8" s="1"/>
  <c r="F18" i="8" s="1"/>
  <c r="F26" i="8" a="1"/>
  <c r="F26" i="8" s="1"/>
  <c r="F27" i="8" s="1"/>
  <c r="F29" i="8" a="1"/>
  <c r="F29" i="8" s="1"/>
  <c r="F32" i="8" a="1"/>
  <c r="F32" i="8" s="1"/>
  <c r="F1" i="8" a="1"/>
  <c r="F1" i="8" s="1"/>
  <c r="F2" i="8" s="1"/>
  <c r="D64" i="5" l="1"/>
  <c r="D32" i="5"/>
  <c r="D98" i="5"/>
  <c r="D27" i="5"/>
  <c r="J17" i="8"/>
  <c r="M17" i="8"/>
  <c r="P17" i="8" s="1"/>
  <c r="J20" i="8"/>
  <c r="M20" i="8"/>
  <c r="B166" i="12"/>
  <c r="D145" i="5"/>
  <c r="B109" i="12"/>
  <c r="B91" i="12"/>
  <c r="B42" i="12"/>
  <c r="B38" i="12"/>
  <c r="B12" i="13"/>
  <c r="AM12" i="13" s="1" a="1"/>
  <c r="AM12" i="13" s="1"/>
  <c r="B15" i="13"/>
  <c r="B21" i="13"/>
  <c r="C16" i="13"/>
  <c r="AB16" i="11" a="1"/>
  <c r="AB16" i="11" s="1"/>
  <c r="N16" i="11" s="1"/>
  <c r="K16" i="11" a="1"/>
  <c r="K16" i="11" s="1"/>
  <c r="J16" i="13" s="1"/>
  <c r="G16" i="11"/>
  <c r="F16" i="13" s="1"/>
  <c r="O16" i="11" a="1"/>
  <c r="O16" i="11" s="1"/>
  <c r="B17" i="13"/>
  <c r="C20" i="13"/>
  <c r="AB20" i="11" a="1"/>
  <c r="AB20" i="11" s="1"/>
  <c r="N20" i="11" s="1"/>
  <c r="AA20" i="11" a="1"/>
  <c r="AA20" i="11" s="1"/>
  <c r="K20" i="11" a="1"/>
  <c r="K20" i="11" s="1"/>
  <c r="J20" i="13" s="1"/>
  <c r="G20" i="11"/>
  <c r="F20" i="13" s="1"/>
  <c r="O20" i="11" a="1"/>
  <c r="O20" i="11" s="1"/>
  <c r="C22" i="13"/>
  <c r="AB22" i="11" a="1"/>
  <c r="AB22" i="11" s="1"/>
  <c r="N22" i="11" s="1"/>
  <c r="AA22" i="11" a="1"/>
  <c r="AA22" i="11" s="1"/>
  <c r="K22" i="11" a="1"/>
  <c r="K22" i="11" s="1"/>
  <c r="J22" i="13" s="1"/>
  <c r="G22" i="11"/>
  <c r="F22" i="13" s="1"/>
  <c r="O22" i="11" a="1"/>
  <c r="O22" i="11" s="1"/>
  <c r="B20" i="13"/>
  <c r="B23" i="13"/>
  <c r="C18" i="13"/>
  <c r="AB18" i="11" a="1"/>
  <c r="AB18" i="11" s="1"/>
  <c r="N18" i="11" s="1"/>
  <c r="AA18" i="11" a="1"/>
  <c r="AA18" i="11" s="1"/>
  <c r="K18" i="11" a="1"/>
  <c r="K18" i="11" s="1"/>
  <c r="J18" i="13" s="1"/>
  <c r="G18" i="11"/>
  <c r="F18" i="13" s="1"/>
  <c r="O18" i="11" a="1"/>
  <c r="O18" i="11" s="1"/>
  <c r="O1" i="8"/>
  <c r="M1" i="8"/>
  <c r="Q1" i="8"/>
  <c r="P1" i="8"/>
  <c r="S1" i="8"/>
  <c r="G1" i="8" s="1"/>
  <c r="G2" i="8" s="1" a="1"/>
  <c r="G2" i="8" s="1"/>
  <c r="N1" i="8"/>
  <c r="J1" i="8"/>
  <c r="I1" i="8"/>
  <c r="J26" i="8"/>
  <c r="M26" i="8"/>
  <c r="J14" i="8"/>
  <c r="M14" i="8"/>
  <c r="J23" i="8"/>
  <c r="M23" i="8"/>
  <c r="D186" i="5"/>
  <c r="D170" i="5"/>
  <c r="D156" i="5"/>
  <c r="B154" i="12"/>
  <c r="D141" i="5"/>
  <c r="D114" i="5"/>
  <c r="B111" i="12"/>
  <c r="B105" i="12"/>
  <c r="D83" i="5"/>
  <c r="D51" i="5"/>
  <c r="D44" i="5"/>
  <c r="D17" i="5"/>
  <c r="C12" i="13"/>
  <c r="K12" i="11" a="1"/>
  <c r="K12" i="11" s="1"/>
  <c r="J12" i="13" s="1"/>
  <c r="O12" i="11" a="1"/>
  <c r="O12" i="11" s="1"/>
  <c r="AB12" i="11" a="1"/>
  <c r="AB12" i="11" s="1"/>
  <c r="N12" i="11" s="1"/>
  <c r="G12" i="11"/>
  <c r="F12" i="13" s="1"/>
  <c r="AA12" i="11" a="1"/>
  <c r="AA12" i="11" s="1"/>
  <c r="C19" i="13"/>
  <c r="AB19" i="11" a="1"/>
  <c r="AB19" i="11" s="1"/>
  <c r="N19" i="11" s="1"/>
  <c r="AA19" i="11" a="1"/>
  <c r="AA19" i="11" s="1"/>
  <c r="K19" i="11" a="1"/>
  <c r="K19" i="11" s="1"/>
  <c r="J19" i="13" s="1"/>
  <c r="G19" i="11"/>
  <c r="F19" i="13" s="1"/>
  <c r="O19" i="11" a="1"/>
  <c r="O19" i="11" s="1"/>
  <c r="B16" i="13"/>
  <c r="C23" i="13"/>
  <c r="AB23" i="11" a="1"/>
  <c r="AB23" i="11" s="1"/>
  <c r="N23" i="11" s="1"/>
  <c r="AA23" i="11" a="1"/>
  <c r="AA23" i="11" s="1"/>
  <c r="K23" i="11" a="1"/>
  <c r="K23" i="11" s="1"/>
  <c r="J23" i="13" s="1"/>
  <c r="G23" i="11"/>
  <c r="F23" i="13" s="1"/>
  <c r="O23" i="11" a="1"/>
  <c r="O23" i="11" s="1"/>
  <c r="C21" i="13"/>
  <c r="AB21" i="11" a="1"/>
  <c r="AB21" i="11" s="1"/>
  <c r="N21" i="11" s="1"/>
  <c r="AA21" i="11" a="1"/>
  <c r="AA21" i="11" s="1"/>
  <c r="K21" i="11" a="1"/>
  <c r="K21" i="11" s="1"/>
  <c r="J21" i="13" s="1"/>
  <c r="G21" i="11"/>
  <c r="F21" i="13" s="1"/>
  <c r="O21" i="11" a="1"/>
  <c r="O21" i="11" s="1"/>
  <c r="D16" i="5"/>
  <c r="C15" i="13"/>
  <c r="AB15" i="11" a="1"/>
  <c r="AB15" i="11" s="1"/>
  <c r="N15" i="11" s="1"/>
  <c r="K15" i="11" a="1"/>
  <c r="K15" i="11" s="1"/>
  <c r="J15" i="13" s="1"/>
  <c r="O15" i="11" a="1"/>
  <c r="O15" i="11" s="1"/>
  <c r="F10" i="8" a="1"/>
  <c r="F10" i="8" s="1"/>
  <c r="C17" i="13"/>
  <c r="AB17" i="11" a="1"/>
  <c r="AB17" i="11" s="1"/>
  <c r="N17" i="11" s="1"/>
  <c r="AA17" i="11" a="1"/>
  <c r="AA17" i="11" s="1"/>
  <c r="K17" i="11" a="1"/>
  <c r="K17" i="11" s="1"/>
  <c r="J17" i="13" s="1"/>
  <c r="G17" i="11"/>
  <c r="F17" i="13" s="1"/>
  <c r="O17" i="11" a="1"/>
  <c r="O17" i="11" s="1"/>
  <c r="B19" i="13"/>
  <c r="B22" i="13"/>
  <c r="B18" i="13"/>
  <c r="P14" i="8" l="1"/>
  <c r="B98" i="12"/>
  <c r="F30" i="8"/>
  <c r="B32" i="12"/>
  <c r="B64" i="12"/>
  <c r="B27" i="12"/>
  <c r="AE12" i="13"/>
  <c r="AH20" i="13"/>
  <c r="AH12" i="13"/>
  <c r="AH22" i="13"/>
  <c r="AH19" i="13"/>
  <c r="AH16" i="13"/>
  <c r="AE16" i="13"/>
  <c r="O14" i="8"/>
  <c r="AE19" i="13"/>
  <c r="AE20" i="13"/>
  <c r="AH17" i="13"/>
  <c r="AE21" i="13"/>
  <c r="AE23" i="13"/>
  <c r="AH21" i="13"/>
  <c r="AH15" i="13"/>
  <c r="AH18" i="13"/>
  <c r="AE18" i="13"/>
  <c r="C16" i="9"/>
  <c r="F16" i="9" s="1"/>
  <c r="C18" i="9"/>
  <c r="F18" i="9" s="1"/>
  <c r="C20" i="9"/>
  <c r="F20" i="9" s="1"/>
  <c r="C19" i="9"/>
  <c r="F19" i="9" s="1"/>
  <c r="C22" i="9"/>
  <c r="F22" i="9" s="1"/>
  <c r="C21" i="9"/>
  <c r="F21" i="9" s="1"/>
  <c r="C16" i="10"/>
  <c r="A16" i="10" s="1"/>
  <c r="C18" i="10"/>
  <c r="A18" i="10" s="1"/>
  <c r="C19" i="10"/>
  <c r="A19" i="10" s="1"/>
  <c r="C20" i="10"/>
  <c r="A20" i="10" s="1"/>
  <c r="C22" i="10"/>
  <c r="A22" i="10" s="1"/>
  <c r="C21" i="10"/>
  <c r="A21" i="10" s="1"/>
  <c r="A15" i="9"/>
  <c r="M12" i="6" a="1"/>
  <c r="M12" i="6" s="1"/>
  <c r="C1" i="9"/>
  <c r="F1" i="9" s="1"/>
  <c r="C1" i="10"/>
  <c r="A1" i="10" s="1"/>
  <c r="L17" i="13"/>
  <c r="C17" i="11"/>
  <c r="Z17" i="11"/>
  <c r="P17" i="11"/>
  <c r="T21" i="13"/>
  <c r="R21" i="13"/>
  <c r="O21" i="13"/>
  <c r="M21" i="13"/>
  <c r="U21" i="13"/>
  <c r="S21" i="13"/>
  <c r="K21" i="13" a="1"/>
  <c r="K21" i="13" s="1"/>
  <c r="T23" i="13"/>
  <c r="R23" i="13"/>
  <c r="O23" i="13"/>
  <c r="M23" i="13"/>
  <c r="U23" i="13"/>
  <c r="S23" i="13"/>
  <c r="K23" i="13" a="1"/>
  <c r="K23" i="13" s="1"/>
  <c r="B17" i="12"/>
  <c r="B186" i="12"/>
  <c r="S25" i="8"/>
  <c r="Q23" i="8"/>
  <c r="S28" i="8"/>
  <c r="Q26" i="8"/>
  <c r="H1" i="8" a="1"/>
  <c r="H1" i="8" s="1"/>
  <c r="J2" i="8" s="1"/>
  <c r="H2" i="8" a="1"/>
  <c r="H2" i="8" s="1"/>
  <c r="L18" i="13"/>
  <c r="C18" i="11"/>
  <c r="Z18" i="11"/>
  <c r="P18" i="11"/>
  <c r="L22" i="13"/>
  <c r="C22" i="11"/>
  <c r="Z22" i="11"/>
  <c r="P22" i="11"/>
  <c r="L20" i="13"/>
  <c r="C20" i="11"/>
  <c r="Z20" i="11"/>
  <c r="P20" i="11"/>
  <c r="U16" i="13"/>
  <c r="S16" i="13"/>
  <c r="K16" i="13" a="1"/>
  <c r="K16" i="13" s="1"/>
  <c r="O16" i="13"/>
  <c r="M16" i="13"/>
  <c r="B145" i="12"/>
  <c r="S22" i="8"/>
  <c r="Q20" i="8"/>
  <c r="O17" i="8"/>
  <c r="L15" i="13"/>
  <c r="C15" i="11"/>
  <c r="P15" i="11"/>
  <c r="B16" i="12"/>
  <c r="B14" i="13"/>
  <c r="D15" i="5"/>
  <c r="L19" i="13"/>
  <c r="C19" i="11"/>
  <c r="Z19" i="11"/>
  <c r="P19" i="11"/>
  <c r="B44" i="12"/>
  <c r="B83" i="12"/>
  <c r="AE22" i="13"/>
  <c r="U17" i="13"/>
  <c r="S17" i="13"/>
  <c r="K17" i="13" a="1"/>
  <c r="K17" i="13" s="1"/>
  <c r="T17" i="13"/>
  <c r="O17" i="13"/>
  <c r="R17" i="13"/>
  <c r="M17" i="13"/>
  <c r="U15" i="13"/>
  <c r="S15" i="13"/>
  <c r="K15" i="13" a="1"/>
  <c r="K15" i="13" s="1"/>
  <c r="O15" i="13"/>
  <c r="L21" i="13"/>
  <c r="C21" i="11"/>
  <c r="Z21" i="11"/>
  <c r="P21" i="11"/>
  <c r="L23" i="13"/>
  <c r="C23" i="11"/>
  <c r="Z23" i="11"/>
  <c r="P23" i="11"/>
  <c r="U19" i="13"/>
  <c r="S19" i="13"/>
  <c r="K19" i="13" a="1"/>
  <c r="K19" i="13" s="1"/>
  <c r="T19" i="13"/>
  <c r="O19" i="13"/>
  <c r="R19" i="13"/>
  <c r="M19" i="13"/>
  <c r="P12" i="11"/>
  <c r="C12" i="11"/>
  <c r="Z12" i="11"/>
  <c r="L12" i="13"/>
  <c r="K12" i="13" a="1"/>
  <c r="K12" i="13" s="1"/>
  <c r="S12" i="13"/>
  <c r="U12" i="13"/>
  <c r="O12" i="13"/>
  <c r="R12" i="13"/>
  <c r="M12" i="13"/>
  <c r="T12" i="13"/>
  <c r="B51" i="12"/>
  <c r="B114" i="12"/>
  <c r="B141" i="12"/>
  <c r="B156" i="12"/>
  <c r="B170" i="12"/>
  <c r="O23" i="8"/>
  <c r="P23" i="8"/>
  <c r="A14" i="8"/>
  <c r="S16" i="8"/>
  <c r="Q14" i="8"/>
  <c r="P26" i="8"/>
  <c r="S3" i="8"/>
  <c r="R1" i="8"/>
  <c r="A1" i="8"/>
  <c r="U18" i="13"/>
  <c r="S18" i="13"/>
  <c r="K18" i="13" a="1"/>
  <c r="K18" i="13" s="1"/>
  <c r="T18" i="13"/>
  <c r="O18" i="13"/>
  <c r="R18" i="13"/>
  <c r="M18" i="13"/>
  <c r="AH23" i="13"/>
  <c r="T22" i="13"/>
  <c r="R22" i="13"/>
  <c r="O22" i="13"/>
  <c r="M22" i="13"/>
  <c r="U22" i="13"/>
  <c r="K22" i="13" a="1"/>
  <c r="K22" i="13" s="1"/>
  <c r="S22" i="13"/>
  <c r="T20" i="13"/>
  <c r="R20" i="13"/>
  <c r="O20" i="13"/>
  <c r="M20" i="13"/>
  <c r="U20" i="13"/>
  <c r="K20" i="13" a="1"/>
  <c r="K20" i="13" s="1"/>
  <c r="S20" i="13"/>
  <c r="AE17" i="13"/>
  <c r="L16" i="13"/>
  <c r="C16" i="11"/>
  <c r="P16" i="11"/>
  <c r="AE15" i="13"/>
  <c r="M15" i="13" s="1"/>
  <c r="O20" i="8"/>
  <c r="P20" i="8"/>
  <c r="S19" i="8"/>
  <c r="Q17" i="8"/>
  <c r="D8" i="9" l="1"/>
  <c r="F103" i="8" s="1"/>
  <c r="M29" i="8"/>
  <c r="P20" i="13"/>
  <c r="N20" i="13"/>
  <c r="P22" i="13"/>
  <c r="N22" i="13"/>
  <c r="P18" i="13"/>
  <c r="N18" i="13"/>
  <c r="AD1" i="8" a="1"/>
  <c r="AD1" i="8" s="1"/>
  <c r="U3" i="8" a="1"/>
  <c r="U3" i="8" s="1"/>
  <c r="V1" i="8" a="1"/>
  <c r="V1" i="8" s="1"/>
  <c r="V3" i="8" a="1"/>
  <c r="V3" i="8" s="1"/>
  <c r="E1" i="8" a="1"/>
  <c r="E1" i="8" s="1"/>
  <c r="U1" i="8" a="1"/>
  <c r="U1" i="8" s="1"/>
  <c r="AB3" i="8" a="1"/>
  <c r="AB3" i="8" s="1"/>
  <c r="E3" i="8" a="1"/>
  <c r="E3" i="8" s="1"/>
  <c r="AE1" i="8" a="1"/>
  <c r="AE1" i="8" s="1"/>
  <c r="F3" i="8"/>
  <c r="Y3" i="8" a="1"/>
  <c r="Y3" i="8" s="1"/>
  <c r="AF3" i="8" a="1"/>
  <c r="AF3" i="8" s="1"/>
  <c r="W1" i="8" a="1"/>
  <c r="W1" i="8" s="1"/>
  <c r="AC1" i="8" a="1"/>
  <c r="AC1" i="8" s="1"/>
  <c r="AE3" i="8" a="1"/>
  <c r="AE3" i="8" s="1"/>
  <c r="X3" i="8" a="1"/>
  <c r="X3" i="8" s="1"/>
  <c r="D1" i="8"/>
  <c r="Z1" i="8" a="1"/>
  <c r="Z1" i="8" s="1"/>
  <c r="X1" i="8" a="1"/>
  <c r="X1" i="8" s="1"/>
  <c r="AB1" i="8" a="1"/>
  <c r="AB1" i="8" s="1"/>
  <c r="AD3" i="8" a="1"/>
  <c r="AD3" i="8" s="1"/>
  <c r="Y1" i="8" a="1"/>
  <c r="Y1" i="8" s="1"/>
  <c r="Z3" i="8" a="1"/>
  <c r="Z3" i="8" s="1"/>
  <c r="AA3" i="8" a="1"/>
  <c r="AA3" i="8" s="1"/>
  <c r="C1" i="8"/>
  <c r="W3" i="8" a="1"/>
  <c r="W3" i="8" s="1"/>
  <c r="AC3" i="8" a="1"/>
  <c r="AC3" i="8" s="1"/>
  <c r="AF1" i="8" a="1"/>
  <c r="AF1" i="8" s="1"/>
  <c r="AA1" i="8" a="1"/>
  <c r="AA1" i="8" s="1"/>
  <c r="P12" i="13"/>
  <c r="N12" i="13"/>
  <c r="D23" i="13"/>
  <c r="D21" i="13"/>
  <c r="D20" i="13"/>
  <c r="D22" i="13"/>
  <c r="D18" i="13"/>
  <c r="P23" i="13"/>
  <c r="N23" i="13"/>
  <c r="P21" i="13"/>
  <c r="N21" i="13"/>
  <c r="D16" i="13"/>
  <c r="V12" i="13"/>
  <c r="D12" i="13"/>
  <c r="P19" i="13"/>
  <c r="N19" i="13"/>
  <c r="P15" i="13"/>
  <c r="N15" i="13"/>
  <c r="P17" i="13"/>
  <c r="N17" i="13"/>
  <c r="D19" i="13"/>
  <c r="D15" i="13"/>
  <c r="P16" i="13"/>
  <c r="N16" i="13"/>
  <c r="D17" i="13"/>
  <c r="S31" i="8" l="1"/>
  <c r="P29" i="8"/>
  <c r="F33" i="8"/>
  <c r="Q29" i="8"/>
  <c r="J75" i="6" a="1"/>
  <c r="J75" i="6" s="1"/>
  <c r="M32" i="8" l="1"/>
  <c r="Q32" i="8" l="1"/>
  <c r="F90" i="8"/>
  <c r="P32" i="8"/>
  <c r="S34" i="8"/>
  <c r="S89" i="8" l="1"/>
  <c r="G89" i="8" s="1"/>
  <c r="M89" i="8"/>
  <c r="N89" i="8" s="1"/>
  <c r="I89" i="8"/>
  <c r="N32" i="8"/>
  <c r="N17" i="8" l="1"/>
  <c r="R17" i="8" s="1"/>
  <c r="N29" i="8"/>
  <c r="S91" i="8"/>
  <c r="A89" i="8"/>
  <c r="R89" i="8"/>
  <c r="N65" i="8"/>
  <c r="R65" i="8" s="1"/>
  <c r="N35" i="8"/>
  <c r="R35" i="8" s="1"/>
  <c r="N77" i="8"/>
  <c r="R77" i="8" s="1"/>
  <c r="N38" i="8"/>
  <c r="R38" i="8" s="1"/>
  <c r="N71" i="8"/>
  <c r="R71" i="8" s="1"/>
  <c r="N86" i="8"/>
  <c r="N53" i="8"/>
  <c r="R53" i="8" s="1"/>
  <c r="N74" i="8"/>
  <c r="R74" i="8" s="1"/>
  <c r="N50" i="8"/>
  <c r="R50" i="8" s="1"/>
  <c r="N80" i="8"/>
  <c r="R80" i="8" s="1"/>
  <c r="N44" i="8"/>
  <c r="R44" i="8" s="1"/>
  <c r="N62" i="8"/>
  <c r="R62" i="8" s="1"/>
  <c r="N83" i="8"/>
  <c r="R83" i="8" s="1"/>
  <c r="O86" i="8"/>
  <c r="N41" i="8"/>
  <c r="R41" i="8" s="1"/>
  <c r="N56" i="8"/>
  <c r="R56" i="8" s="1"/>
  <c r="N68" i="8"/>
  <c r="R68" i="8" s="1"/>
  <c r="N59" i="8"/>
  <c r="R59" i="8" s="1"/>
  <c r="N47" i="8"/>
  <c r="R47" i="8" s="1"/>
  <c r="H90" i="8" a="1"/>
  <c r="H90" i="8" s="1"/>
  <c r="N14" i="8"/>
  <c r="R14" i="8" s="1"/>
  <c r="D14" i="8" s="1"/>
  <c r="N20" i="8"/>
  <c r="R20" i="8" s="1"/>
  <c r="F22" i="8" s="1"/>
  <c r="AE22" i="8" s="1" a="1"/>
  <c r="AE22" i="8" s="1"/>
  <c r="O89" i="8"/>
  <c r="N26" i="8"/>
  <c r="P89" i="8"/>
  <c r="N23" i="8"/>
  <c r="R23" i="8" s="1"/>
  <c r="F25" i="8" s="1"/>
  <c r="Q89" i="8"/>
  <c r="F19" i="8"/>
  <c r="Z19" i="8" s="1" a="1"/>
  <c r="Z19" i="8" s="1"/>
  <c r="R86" i="8" l="1"/>
  <c r="C14" i="8"/>
  <c r="F16" i="8"/>
  <c r="F52" i="8"/>
  <c r="AC52" i="8" s="1" a="1"/>
  <c r="AC52" i="8" s="1"/>
  <c r="AA52" i="8" a="1"/>
  <c r="AA52" i="8" s="1"/>
  <c r="F76" i="8"/>
  <c r="Z76" i="8" s="1" a="1"/>
  <c r="Z76" i="8" s="1"/>
  <c r="F55" i="8"/>
  <c r="V55" i="8" s="1" a="1"/>
  <c r="V55" i="8" s="1"/>
  <c r="F61" i="8"/>
  <c r="Z61" i="8" s="1" a="1"/>
  <c r="Z61" i="8" s="1"/>
  <c r="F58" i="8"/>
  <c r="E58" i="8" s="1" a="1"/>
  <c r="E58" i="8" s="1"/>
  <c r="F43" i="8"/>
  <c r="V43" i="8" s="1" a="1"/>
  <c r="V43" i="8" s="1"/>
  <c r="F79" i="8"/>
  <c r="Z79" i="8" s="1" a="1"/>
  <c r="Z79" i="8" s="1"/>
  <c r="F88" i="8"/>
  <c r="X88" i="8" s="1" a="1"/>
  <c r="X88" i="8" s="1"/>
  <c r="F37" i="8"/>
  <c r="AE37" i="8" s="1" a="1"/>
  <c r="AE37" i="8" s="1"/>
  <c r="F49" i="8"/>
  <c r="V49" i="8" s="1" a="1"/>
  <c r="V49" i="8" s="1"/>
  <c r="F40" i="8"/>
  <c r="Y40" i="8" s="1" a="1"/>
  <c r="Y40" i="8" s="1"/>
  <c r="F85" i="8"/>
  <c r="E85" i="8" s="1" a="1"/>
  <c r="E85" i="8" s="1"/>
  <c r="F67" i="8"/>
  <c r="U67" i="8" s="1" a="1"/>
  <c r="U67" i="8" s="1"/>
  <c r="F70" i="8"/>
  <c r="AE70" i="8" s="1" a="1"/>
  <c r="AE70" i="8" s="1"/>
  <c r="F64" i="8"/>
  <c r="AF64" i="8" s="1" a="1"/>
  <c r="AF64" i="8" s="1"/>
  <c r="AF91" i="8" a="1"/>
  <c r="AF91" i="8" s="1"/>
  <c r="AF89" i="8" s="1" a="1"/>
  <c r="AF89" i="8" s="1"/>
  <c r="Z91" i="8" a="1"/>
  <c r="Z91" i="8" s="1"/>
  <c r="Z89" i="8" s="1" a="1"/>
  <c r="Z89" i="8" s="1"/>
  <c r="F91" i="8"/>
  <c r="D89" i="8"/>
  <c r="AC91" i="8" a="1"/>
  <c r="AC91" i="8" s="1"/>
  <c r="AC89" i="8" s="1" a="1"/>
  <c r="AC89" i="8" s="1"/>
  <c r="AB91" i="8" a="1"/>
  <c r="AB91" i="8" s="1"/>
  <c r="AB89" i="8" s="1" a="1"/>
  <c r="AB89" i="8" s="1"/>
  <c r="V91" i="8" a="1"/>
  <c r="V91" i="8" s="1"/>
  <c r="V89" i="8" s="1" a="1"/>
  <c r="V89" i="8" s="1"/>
  <c r="U91" i="8" a="1"/>
  <c r="U91" i="8" s="1"/>
  <c r="U89" i="8" s="1" a="1"/>
  <c r="U89" i="8" s="1"/>
  <c r="AE91" i="8" a="1"/>
  <c r="AE91" i="8" s="1"/>
  <c r="AE89" i="8" s="1" a="1"/>
  <c r="AE89" i="8" s="1"/>
  <c r="Y91" i="8" a="1"/>
  <c r="Y91" i="8" s="1"/>
  <c r="Y89" i="8" s="1" a="1"/>
  <c r="Y89" i="8" s="1"/>
  <c r="E91" i="8" a="1"/>
  <c r="E91" i="8" s="1"/>
  <c r="E89" i="8" s="1" a="1"/>
  <c r="E89" i="8" s="1"/>
  <c r="W91" i="8" a="1"/>
  <c r="W91" i="8" s="1"/>
  <c r="W89" i="8" s="1" a="1"/>
  <c r="W89" i="8" s="1"/>
  <c r="AD91" i="8" a="1"/>
  <c r="AD91" i="8" s="1"/>
  <c r="AD89" i="8" s="1" a="1"/>
  <c r="AD89" i="8" s="1"/>
  <c r="X91" i="8" a="1"/>
  <c r="X91" i="8" s="1"/>
  <c r="X89" i="8" s="1" a="1"/>
  <c r="X89" i="8" s="1"/>
  <c r="AA91" i="8" a="1"/>
  <c r="AA91" i="8" s="1"/>
  <c r="AA89" i="8" s="1" a="1"/>
  <c r="AA89" i="8" s="1"/>
  <c r="F46" i="8"/>
  <c r="AB46" i="8" s="1" a="1"/>
  <c r="AB46" i="8" s="1"/>
  <c r="F73" i="8"/>
  <c r="W73" i="8" s="1" a="1"/>
  <c r="W73" i="8" s="1"/>
  <c r="F82" i="8"/>
  <c r="Z82" i="8" s="1" a="1"/>
  <c r="Z82" i="8" s="1"/>
  <c r="A11" i="12"/>
  <c r="E19" i="8" a="1"/>
  <c r="E19" i="8" s="1"/>
  <c r="AC19" i="8" a="1"/>
  <c r="AC19" i="8" s="1"/>
  <c r="AA19" i="8" a="1"/>
  <c r="AA19" i="8" s="1"/>
  <c r="Y19" i="8" a="1"/>
  <c r="Y19" i="8" s="1"/>
  <c r="E25" i="8" a="1"/>
  <c r="E25" i="8" s="1"/>
  <c r="X19" i="8" a="1"/>
  <c r="X19" i="8" s="1"/>
  <c r="AC22" i="8" a="1"/>
  <c r="AC22" i="8" s="1"/>
  <c r="U25" i="8" a="1"/>
  <c r="U25" i="8" s="1"/>
  <c r="U19" i="8" a="1"/>
  <c r="U19" i="8" s="1"/>
  <c r="AE19" i="8" a="1"/>
  <c r="AE19" i="8" s="1"/>
  <c r="AB19" i="8" a="1"/>
  <c r="AB19" i="8" s="1"/>
  <c r="AF19" i="8" a="1"/>
  <c r="AF19" i="8" s="1"/>
  <c r="Z52" i="8" l="1" a="1"/>
  <c r="Z52" i="8" s="1"/>
  <c r="X52" i="8" a="1"/>
  <c r="X52" i="8" s="1"/>
  <c r="W52" i="8" a="1"/>
  <c r="W52" i="8" s="1"/>
  <c r="V52" i="8" a="1"/>
  <c r="V52" i="8" s="1"/>
  <c r="AB52" i="8" a="1"/>
  <c r="AB52" i="8" s="1"/>
  <c r="AD52" i="8" a="1"/>
  <c r="AD52" i="8" s="1"/>
  <c r="U52" i="8" a="1"/>
  <c r="U52" i="8" s="1"/>
  <c r="E73" i="8" a="1"/>
  <c r="E73" i="8" s="1"/>
  <c r="AF49" i="8" a="1"/>
  <c r="AF49" i="8" s="1"/>
  <c r="AC43" i="8" a="1"/>
  <c r="AC43" i="8" s="1"/>
  <c r="AC76" i="8" a="1"/>
  <c r="AC76" i="8" s="1"/>
  <c r="U76" i="8" a="1"/>
  <c r="U76" i="8" s="1"/>
  <c r="AA76" i="8" a="1"/>
  <c r="AA76" i="8" s="1"/>
  <c r="AB76" i="8" a="1"/>
  <c r="AB76" i="8" s="1"/>
  <c r="AF76" i="8" a="1"/>
  <c r="AF76" i="8" s="1"/>
  <c r="AD76" i="8" a="1"/>
  <c r="AD76" i="8" s="1"/>
  <c r="X76" i="8" a="1"/>
  <c r="X76" i="8" s="1"/>
  <c r="W76" i="8" a="1"/>
  <c r="W76" i="8" s="1"/>
  <c r="V76" i="8" a="1"/>
  <c r="V76" i="8" s="1"/>
  <c r="V70" i="8" a="1"/>
  <c r="V70" i="8" s="1"/>
  <c r="E76" i="8" a="1"/>
  <c r="E76" i="8" s="1"/>
  <c r="E52" i="8" a="1"/>
  <c r="E52" i="8" s="1"/>
  <c r="E67" i="8" a="1"/>
  <c r="E67" i="8" s="1"/>
  <c r="Y67" i="8" a="1"/>
  <c r="Y67" i="8" s="1"/>
  <c r="AD67" i="8" a="1"/>
  <c r="AD67" i="8" s="1"/>
  <c r="W67" i="8" a="1"/>
  <c r="W67" i="8" s="1"/>
  <c r="AF67" i="8" a="1"/>
  <c r="AF67" i="8" s="1"/>
  <c r="V67" i="8" a="1"/>
  <c r="V67" i="8" s="1"/>
  <c r="X67" i="8" a="1"/>
  <c r="X67" i="8" s="1"/>
  <c r="AE67" i="8" a="1"/>
  <c r="AE67" i="8" s="1"/>
  <c r="AB67" i="8" a="1"/>
  <c r="AB67" i="8" s="1"/>
  <c r="Z67" i="8" a="1"/>
  <c r="Z67" i="8" s="1"/>
  <c r="AC82" i="8" a="1"/>
  <c r="AC82" i="8" s="1"/>
  <c r="E79" i="8" a="1"/>
  <c r="E79" i="8" s="1"/>
  <c r="U85" i="8" a="1"/>
  <c r="U85" i="8" s="1"/>
  <c r="E49" i="8" a="1"/>
  <c r="E49" i="8" s="1"/>
  <c r="AD82" i="8" a="1"/>
  <c r="AD82" i="8" s="1"/>
  <c r="X82" i="8" a="1"/>
  <c r="X82" i="8" s="1"/>
  <c r="E40" i="8" a="1"/>
  <c r="E40" i="8" s="1"/>
  <c r="AF70" i="8" a="1"/>
  <c r="AF70" i="8" s="1"/>
  <c r="W82" i="8" a="1"/>
  <c r="W82" i="8" s="1"/>
  <c r="AC70" i="8" a="1"/>
  <c r="AC70" i="8" s="1"/>
  <c r="V40" i="8" a="1"/>
  <c r="V40" i="8" s="1"/>
  <c r="W70" i="8" a="1"/>
  <c r="W70" i="8" s="1"/>
  <c r="E55" i="8" a="1"/>
  <c r="E55" i="8" s="1"/>
  <c r="Z70" i="8" a="1"/>
  <c r="Z70" i="8" s="1"/>
  <c r="AF55" i="8" a="1"/>
  <c r="AF55" i="8" s="1"/>
  <c r="AB70" i="8" a="1"/>
  <c r="AB70" i="8" s="1"/>
  <c r="W55" i="8" a="1"/>
  <c r="W55" i="8" s="1"/>
  <c r="U55" i="8" a="1"/>
  <c r="U55" i="8" s="1"/>
  <c r="E70" i="8" a="1"/>
  <c r="E70" i="8" s="1"/>
  <c r="AE55" i="8" a="1"/>
  <c r="AE55" i="8" s="1"/>
  <c r="AA70" i="8" a="1"/>
  <c r="AA70" i="8" s="1"/>
  <c r="U70" i="8" a="1"/>
  <c r="U70" i="8" s="1"/>
  <c r="Y82" i="8" a="1"/>
  <c r="Y82" i="8" s="1"/>
  <c r="V73" i="8" a="1"/>
  <c r="V73" i="8" s="1"/>
  <c r="U40" i="8" a="1"/>
  <c r="U40" i="8" s="1"/>
  <c r="AB73" i="8" a="1"/>
  <c r="AB73" i="8" s="1"/>
  <c r="Z73" i="8" a="1"/>
  <c r="Z73" i="8" s="1"/>
  <c r="AA82" i="8" a="1"/>
  <c r="AA82" i="8" s="1"/>
  <c r="AA73" i="8" a="1"/>
  <c r="AA73" i="8" s="1"/>
  <c r="U82" i="8" a="1"/>
  <c r="U82" i="8" s="1"/>
  <c r="AF73" i="8" a="1"/>
  <c r="AF73" i="8" s="1"/>
  <c r="V82" i="8" a="1"/>
  <c r="V82" i="8" s="1"/>
  <c r="E82" i="8" a="1"/>
  <c r="E82" i="8" s="1"/>
  <c r="X73" i="8" a="1"/>
  <c r="X73" i="8" s="1"/>
  <c r="AB82" i="8" a="1"/>
  <c r="AB82" i="8" s="1"/>
  <c r="AC73" i="8" a="1"/>
  <c r="AC73" i="8" s="1"/>
  <c r="W40" i="8" a="1"/>
  <c r="W40" i="8" s="1"/>
  <c r="U43" i="8" a="1"/>
  <c r="U43" i="8" s="1"/>
  <c r="AF52" i="8" a="1"/>
  <c r="AF52" i="8" s="1"/>
  <c r="V46" i="8" a="1"/>
  <c r="V46" i="8" s="1"/>
  <c r="V64" i="8" a="1"/>
  <c r="V64" i="8" s="1"/>
  <c r="AA61" i="8" a="1"/>
  <c r="AA61" i="8" s="1"/>
  <c r="H89" i="8" a="1"/>
  <c r="H89" i="8" s="1"/>
  <c r="J90" i="8" s="1"/>
  <c r="E64" i="8" a="1"/>
  <c r="E64" i="8" s="1"/>
  <c r="AA88" i="8" a="1"/>
  <c r="AA88" i="8" s="1"/>
  <c r="W61" i="8" a="1"/>
  <c r="W61" i="8" s="1"/>
  <c r="Y73" i="8" a="1"/>
  <c r="Y73" i="8" s="1"/>
  <c r="AE64" i="8" a="1"/>
  <c r="AE64" i="8" s="1"/>
  <c r="AE43" i="8" a="1"/>
  <c r="AE43" i="8" s="1"/>
  <c r="W64" i="8" a="1"/>
  <c r="W64" i="8" s="1"/>
  <c r="AD64" i="8" a="1"/>
  <c r="AD64" i="8" s="1"/>
  <c r="AA64" i="8" a="1"/>
  <c r="AA64" i="8" s="1"/>
  <c r="U64" i="8" a="1"/>
  <c r="U64" i="8" s="1"/>
  <c r="Z58" i="8" a="1"/>
  <c r="Z58" i="8" s="1"/>
  <c r="U46" i="8" a="1"/>
  <c r="U46" i="8" s="1"/>
  <c r="Y64" i="8" a="1"/>
  <c r="Y64" i="8" s="1"/>
  <c r="AD37" i="8" a="1"/>
  <c r="AD37" i="8" s="1"/>
  <c r="X64" i="8" a="1"/>
  <c r="X64" i="8" s="1"/>
  <c r="E46" i="8" a="1"/>
  <c r="E46" i="8" s="1"/>
  <c r="Z64" i="8" a="1"/>
  <c r="Z64" i="8" s="1"/>
  <c r="V37" i="8" a="1"/>
  <c r="V37" i="8" s="1"/>
  <c r="AE61" i="8" a="1"/>
  <c r="AE61" i="8" s="1"/>
  <c r="AB85" i="8" a="1"/>
  <c r="AB85" i="8" s="1"/>
  <c r="U49" i="8" a="1"/>
  <c r="U49" i="8" s="1"/>
  <c r="AF37" i="8" a="1"/>
  <c r="AF37" i="8" s="1"/>
  <c r="Z88" i="8" a="1"/>
  <c r="Z88" i="8" s="1"/>
  <c r="AE79" i="8" a="1"/>
  <c r="AE79" i="8" s="1"/>
  <c r="Y43" i="8" a="1"/>
  <c r="Y43" i="8" s="1"/>
  <c r="AD58" i="8" a="1"/>
  <c r="AD58" i="8" s="1"/>
  <c r="U61" i="8" a="1"/>
  <c r="U61" i="8" s="1"/>
  <c r="W85" i="8" a="1"/>
  <c r="W85" i="8" s="1"/>
  <c r="W49" i="8" a="1"/>
  <c r="W49" i="8" s="1"/>
  <c r="AA37" i="8" a="1"/>
  <c r="AA37" i="8" s="1"/>
  <c r="AE88" i="8" a="1"/>
  <c r="AE88" i="8" s="1"/>
  <c r="AB79" i="8" a="1"/>
  <c r="AB79" i="8" s="1"/>
  <c r="E43" i="8" a="1"/>
  <c r="E43" i="8" s="1"/>
  <c r="U58" i="8" a="1"/>
  <c r="U58" i="8" s="1"/>
  <c r="V61" i="8" a="1"/>
  <c r="V61" i="8" s="1"/>
  <c r="Z37" i="8" a="1"/>
  <c r="Z37" i="8" s="1"/>
  <c r="Y79" i="8" a="1"/>
  <c r="Y79" i="8" s="1"/>
  <c r="W43" i="8" a="1"/>
  <c r="W43" i="8" s="1"/>
  <c r="Y58" i="8" a="1"/>
  <c r="Y58" i="8" s="1"/>
  <c r="AD61" i="8" a="1"/>
  <c r="AD61" i="8" s="1"/>
  <c r="AE82" i="8" a="1"/>
  <c r="AE82" i="8" s="1"/>
  <c r="U73" i="8" a="1"/>
  <c r="U73" i="8" s="1"/>
  <c r="AB64" i="8" a="1"/>
  <c r="AB64" i="8" s="1"/>
  <c r="Y70" i="8" a="1"/>
  <c r="Y70" i="8" s="1"/>
  <c r="AA67" i="8" a="1"/>
  <c r="AA67" i="8" s="1"/>
  <c r="E37" i="8" a="1"/>
  <c r="E37" i="8" s="1"/>
  <c r="AD88" i="8" a="1"/>
  <c r="AD88" i="8" s="1"/>
  <c r="AF79" i="8" a="1"/>
  <c r="AF79" i="8" s="1"/>
  <c r="AD43" i="8" a="1"/>
  <c r="AD43" i="8" s="1"/>
  <c r="AC58" i="8" a="1"/>
  <c r="AC58" i="8" s="1"/>
  <c r="AF61" i="8" a="1"/>
  <c r="AF61" i="8" s="1"/>
  <c r="AC88" i="8" a="1"/>
  <c r="AC88" i="8" s="1"/>
  <c r="AB37" i="8" a="1"/>
  <c r="AB37" i="8" s="1"/>
  <c r="W88" i="8" a="1"/>
  <c r="W88" i="8" s="1"/>
  <c r="V79" i="8" a="1"/>
  <c r="V79" i="8" s="1"/>
  <c r="AF43" i="8" a="1"/>
  <c r="AF43" i="8" s="1"/>
  <c r="AF58" i="8" a="1"/>
  <c r="AF58" i="8" s="1"/>
  <c r="E61" i="8" a="1"/>
  <c r="E61" i="8" s="1"/>
  <c r="Y37" i="8" a="1"/>
  <c r="Y37" i="8" s="1"/>
  <c r="Y88" i="8" a="1"/>
  <c r="Y88" i="8" s="1"/>
  <c r="X79" i="8" a="1"/>
  <c r="X79" i="8" s="1"/>
  <c r="AB43" i="8" a="1"/>
  <c r="AB43" i="8" s="1"/>
  <c r="V58" i="8" a="1"/>
  <c r="V58" i="8" s="1"/>
  <c r="AB61" i="8" a="1"/>
  <c r="AB61" i="8" s="1"/>
  <c r="Y85" i="8" a="1"/>
  <c r="Y85" i="8" s="1"/>
  <c r="U37" i="8" a="1"/>
  <c r="U37" i="8" s="1"/>
  <c r="AF88" i="8" a="1"/>
  <c r="AF88" i="8" s="1"/>
  <c r="AA79" i="8" a="1"/>
  <c r="AA79" i="8" s="1"/>
  <c r="Z43" i="8" a="1"/>
  <c r="Z43" i="8" s="1"/>
  <c r="X58" i="8" a="1"/>
  <c r="X58" i="8" s="1"/>
  <c r="X61" i="8" a="1"/>
  <c r="X61" i="8" s="1"/>
  <c r="V85" i="8" a="1"/>
  <c r="V85" i="8" s="1"/>
  <c r="AE49" i="8" a="1"/>
  <c r="AE49" i="8" s="1"/>
  <c r="X37" i="8" a="1"/>
  <c r="X37" i="8" s="1"/>
  <c r="AB88" i="8" a="1"/>
  <c r="AB88" i="8" s="1"/>
  <c r="AD79" i="8" a="1"/>
  <c r="AD79" i="8" s="1"/>
  <c r="X43" i="8" a="1"/>
  <c r="X43" i="8" s="1"/>
  <c r="W58" i="8" a="1"/>
  <c r="W58" i="8" s="1"/>
  <c r="Y61" i="8" a="1"/>
  <c r="Y61" i="8" s="1"/>
  <c r="U79" i="8" a="1"/>
  <c r="U79" i="8" s="1"/>
  <c r="W46" i="8" a="1"/>
  <c r="W46" i="8" s="1"/>
  <c r="G15" i="11" l="1"/>
  <c r="J89" i="8" s="1"/>
  <c r="J29" i="8" l="1"/>
  <c r="J32" i="8"/>
  <c r="F15" i="13"/>
  <c r="N189" i="6"/>
  <c r="N190" i="6"/>
  <c r="O29" i="8" l="1"/>
  <c r="R29" i="8" s="1"/>
  <c r="O32" i="8"/>
  <c r="R32" i="8" s="1"/>
  <c r="O26" i="8"/>
  <c r="R26" i="8" s="1"/>
  <c r="F31" i="8" l="1"/>
  <c r="AF31" i="8" s="1" a="1"/>
  <c r="AF31" i="8" s="1"/>
  <c r="F34" i="8"/>
  <c r="V34" i="8" s="1" a="1"/>
  <c r="V34" i="8" s="1"/>
  <c r="F28" i="8"/>
  <c r="AF28" i="8" s="1" a="1"/>
  <c r="AF28" i="8" s="1"/>
  <c r="E31" i="8" l="1" a="1"/>
  <c r="E31" i="8" s="1"/>
  <c r="AC31" i="8" a="1"/>
  <c r="AC31" i="8" s="1"/>
  <c r="AE34" i="8" a="1"/>
  <c r="AE34" i="8" s="1"/>
  <c r="V31" i="8" a="1"/>
  <c r="V31" i="8" s="1"/>
  <c r="U31" i="8" a="1"/>
  <c r="U31" i="8" s="1"/>
  <c r="Z34" i="8" a="1"/>
  <c r="Z34" i="8" s="1"/>
  <c r="E34" i="8" a="1"/>
  <c r="E34" i="8" s="1"/>
  <c r="AF34" i="8" a="1"/>
  <c r="AF34" i="8" s="1"/>
  <c r="Y34" i="8" a="1"/>
  <c r="Y34" i="8" s="1"/>
  <c r="X34" i="8" a="1"/>
  <c r="X34" i="8" s="1"/>
  <c r="AA34" i="8" a="1"/>
  <c r="AA34" i="8" s="1"/>
  <c r="U34" i="8" a="1"/>
  <c r="U34" i="8" s="1"/>
  <c r="AB34" i="8" a="1"/>
  <c r="AB34" i="8" s="1"/>
  <c r="V28" i="8" a="1"/>
  <c r="V28" i="8" s="1"/>
  <c r="AE28" i="8" a="1"/>
  <c r="AE28" i="8" s="1"/>
  <c r="E28" i="8" a="1"/>
  <c r="E28" i="8" s="1"/>
  <c r="U28" i="8" a="1"/>
  <c r="U28" i="8" s="1"/>
  <c r="I22" i="5" l="1"/>
  <c r="J22" i="6" l="1" a="1"/>
  <c r="J22" i="6" s="1"/>
  <c r="AD34" i="8" l="1" a="1"/>
  <c r="AD34" i="8" s="1"/>
  <c r="I54" i="10" a="1"/>
  <c r="I54" i="10" s="1"/>
  <c r="I52" i="10" s="1" a="1"/>
  <c r="I52" i="10" s="1"/>
  <c r="K54" i="10" a="1"/>
  <c r="K54" i="10" s="1"/>
  <c r="AE54" i="10" a="1"/>
  <c r="AE54" i="10" s="1"/>
  <c r="AE14" i="13"/>
  <c r="M14" i="13" s="1"/>
  <c r="M28" i="13" s="1"/>
  <c r="W54" i="10" a="1"/>
  <c r="W54" i="10" s="1"/>
  <c r="AA54" i="10" a="1"/>
  <c r="AA54" i="10" s="1"/>
  <c r="AH14" i="13"/>
  <c r="O14" i="13" s="1"/>
  <c r="O54" i="10" a="1"/>
  <c r="O54" i="10" s="1"/>
  <c r="Y54" i="10" a="1"/>
  <c r="Y54" i="10" s="1"/>
  <c r="AC54" i="10" a="1"/>
  <c r="AC54" i="10" s="1"/>
  <c r="Q54" i="10" a="1"/>
  <c r="Q54" i="10" s="1"/>
  <c r="U54" i="10" a="1"/>
  <c r="U54" i="10" s="1"/>
  <c r="M54" i="10" a="1"/>
  <c r="M54" i="10" s="1"/>
  <c r="S54" i="10" a="1"/>
  <c r="S54" i="10" s="1"/>
  <c r="W52" i="10" l="1"/>
  <c r="AC52" i="10"/>
  <c r="O52" i="10"/>
  <c r="K52" i="10"/>
  <c r="Q52" i="10"/>
  <c r="Y52" i="10"/>
  <c r="AA52" i="10"/>
  <c r="O28" i="13"/>
  <c r="N14" i="13"/>
  <c r="AE52" i="10"/>
  <c r="S52" i="10"/>
  <c r="M52" i="10"/>
  <c r="U52" i="10"/>
  <c r="D52" i="2" l="1" a="1"/>
  <c r="D52" i="2" s="1"/>
  <c r="D48" i="2" a="1"/>
  <c r="D48" i="2" s="1"/>
  <c r="D47" i="2" a="1"/>
  <c r="D47" i="2" s="1"/>
  <c r="N28" i="13"/>
  <c r="E33" i="14" s="1"/>
  <c r="AD6" i="13"/>
  <c r="AE6" i="13" s="1"/>
  <c r="F33" i="14"/>
  <c r="D54" i="2" a="1"/>
  <c r="D54" i="2" s="1"/>
  <c r="D51" i="2" a="1"/>
  <c r="D51" i="2" s="1"/>
  <c r="D53" i="2" a="1"/>
  <c r="D53" i="2" s="1"/>
  <c r="D46" i="2" l="1"/>
  <c r="D50" i="2"/>
  <c r="D1" i="2" l="1"/>
  <c r="J201" i="12"/>
  <c r="S58" i="10"/>
  <c r="AN171" i="5" l="1" a="1"/>
  <c r="AN171" i="5" s="1"/>
  <c r="W171" i="5" a="1"/>
  <c r="W171" i="5" s="1"/>
  <c r="AU171" i="6" s="1"/>
  <c r="AN176" i="5" a="1"/>
  <c r="AN176" i="5" s="1"/>
  <c r="W176" i="5" a="1"/>
  <c r="W176" i="5" s="1"/>
  <c r="AU176" i="6" s="1"/>
  <c r="W178" i="5" a="1"/>
  <c r="W178" i="5" s="1"/>
  <c r="AU178" i="6" s="1"/>
  <c r="AN178" i="5" a="1"/>
  <c r="AN178" i="5" s="1"/>
  <c r="AN180" i="5" a="1"/>
  <c r="AN180" i="5" s="1"/>
  <c r="W180" i="5" a="1"/>
  <c r="W180" i="5" s="1"/>
  <c r="AU180" i="6" s="1"/>
  <c r="AN173" i="5" a="1"/>
  <c r="AN173" i="5" s="1"/>
  <c r="W173" i="5" a="1"/>
  <c r="W173" i="5" s="1"/>
  <c r="AU173" i="6" s="1"/>
  <c r="W172" i="5" a="1"/>
  <c r="W172" i="5" s="1"/>
  <c r="AU172" i="6" s="1"/>
  <c r="AN172" i="5" a="1"/>
  <c r="AN172" i="5" s="1"/>
  <c r="AN185" i="5" a="1"/>
  <c r="AN185" i="5" s="1"/>
  <c r="W185" i="5" a="1"/>
  <c r="W185" i="5" s="1"/>
  <c r="AU185" i="6" s="1"/>
  <c r="AN181" i="5" a="1"/>
  <c r="AN181" i="5" s="1"/>
  <c r="W181" i="5" a="1"/>
  <c r="W181" i="5" s="1"/>
  <c r="AU181" i="6" s="1"/>
  <c r="W183" i="5" a="1"/>
  <c r="W183" i="5" s="1"/>
  <c r="AU183" i="6" s="1"/>
  <c r="AN183" i="5" a="1"/>
  <c r="AN183" i="5" s="1"/>
  <c r="AN182" i="5" a="1"/>
  <c r="AN182" i="5" s="1"/>
  <c r="W182" i="5" a="1"/>
  <c r="W182" i="5" s="1"/>
  <c r="AU182" i="6" s="1"/>
  <c r="W175" i="5" a="1"/>
  <c r="W175" i="5" s="1"/>
  <c r="AU175" i="6" s="1"/>
  <c r="AN175" i="5" a="1"/>
  <c r="AN175" i="5" s="1"/>
  <c r="AN174" i="5" a="1"/>
  <c r="AN174" i="5" s="1"/>
  <c r="W174" i="5" a="1"/>
  <c r="W174" i="5" s="1"/>
  <c r="AU174" i="6" s="1"/>
  <c r="AN184" i="5" a="1"/>
  <c r="AN184" i="5" s="1"/>
  <c r="W184" i="5" a="1"/>
  <c r="W184" i="5" s="1"/>
  <c r="AU184" i="6" s="1"/>
  <c r="AN177" i="5" a="1"/>
  <c r="AN177" i="5" s="1"/>
  <c r="W177" i="5" a="1"/>
  <c r="W177" i="5" s="1"/>
  <c r="AU177" i="6" s="1"/>
  <c r="W179" i="5" a="1"/>
  <c r="W179" i="5" s="1"/>
  <c r="AU179" i="6" s="1"/>
  <c r="AN179" i="5" a="1"/>
  <c r="AN179" i="5" s="1"/>
  <c r="AS172" i="6" l="1"/>
  <c r="AT172" i="6"/>
  <c r="AS182" i="6"/>
  <c r="AT182" i="6"/>
  <c r="AS174" i="6"/>
  <c r="AT174" i="6"/>
  <c r="AS180" i="6"/>
  <c r="AT180" i="6"/>
  <c r="AS179" i="6"/>
  <c r="AT179" i="6"/>
  <c r="AS183" i="6"/>
  <c r="AT183" i="6"/>
  <c r="AS178" i="6"/>
  <c r="AT178" i="6"/>
  <c r="AS175" i="6"/>
  <c r="AT175" i="6"/>
  <c r="AS181" i="6"/>
  <c r="AT181" i="6"/>
  <c r="AS176" i="6"/>
  <c r="AT176" i="6"/>
  <c r="AS173" i="6"/>
  <c r="AT173" i="6"/>
  <c r="AS177" i="6"/>
  <c r="AT177" i="6"/>
  <c r="AS184" i="6"/>
  <c r="AT184" i="6"/>
  <c r="AS171" i="6"/>
  <c r="AT171" i="6"/>
  <c r="AS185" i="6"/>
  <c r="AT185" i="6"/>
  <c r="AQ172" i="6"/>
  <c r="AR172" i="6"/>
  <c r="AQ180" i="6"/>
  <c r="AR180" i="6"/>
  <c r="AQ175" i="6"/>
  <c r="AR175" i="6"/>
  <c r="AQ183" i="6"/>
  <c r="AR183" i="6"/>
  <c r="AQ178" i="6"/>
  <c r="AR178" i="6"/>
  <c r="AQ181" i="6"/>
  <c r="AR181" i="6"/>
  <c r="AQ176" i="6"/>
  <c r="AR176" i="6"/>
  <c r="AQ174" i="6"/>
  <c r="AR174" i="6"/>
  <c r="AQ182" i="6"/>
  <c r="AR182" i="6"/>
  <c r="AQ177" i="6"/>
  <c r="AR177" i="6"/>
  <c r="AQ184" i="6"/>
  <c r="AR184" i="6"/>
  <c r="AQ185" i="6"/>
  <c r="AR185" i="6"/>
  <c r="AQ171" i="6"/>
  <c r="AR171" i="6"/>
  <c r="AQ173" i="6"/>
  <c r="AR173" i="6"/>
  <c r="AQ179" i="6"/>
  <c r="AR179" i="6"/>
  <c r="AM182" i="6"/>
  <c r="AN182" i="6"/>
  <c r="AO182" i="6"/>
  <c r="H182" i="12" a="1"/>
  <c r="H182" i="12" s="1"/>
  <c r="AP182" i="6"/>
  <c r="AK182" i="6"/>
  <c r="AL182" i="6"/>
  <c r="AJ182" i="6"/>
  <c r="AL177" i="6"/>
  <c r="AO177" i="6"/>
  <c r="AM177" i="6"/>
  <c r="H177" i="12" a="1"/>
  <c r="H177" i="12" s="1"/>
  <c r="AK177" i="6"/>
  <c r="AP177" i="6"/>
  <c r="AJ177" i="6"/>
  <c r="AN177" i="6"/>
  <c r="AP175" i="6"/>
  <c r="AM175" i="6"/>
  <c r="AN175" i="6"/>
  <c r="AJ175" i="6"/>
  <c r="AL175" i="6"/>
  <c r="H175" i="12" a="1"/>
  <c r="H175" i="12" s="1"/>
  <c r="AO175" i="6"/>
  <c r="AK175" i="6"/>
  <c r="AL184" i="6"/>
  <c r="AN184" i="6"/>
  <c r="AK184" i="6"/>
  <c r="AJ184" i="6"/>
  <c r="AO184" i="6"/>
  <c r="AM184" i="6"/>
  <c r="H184" i="12" a="1"/>
  <c r="H184" i="12" s="1"/>
  <c r="AP184" i="6"/>
  <c r="AN185" i="6"/>
  <c r="AM185" i="6"/>
  <c r="H185" i="12" a="1"/>
  <c r="H185" i="12" s="1"/>
  <c r="AK185" i="6"/>
  <c r="AJ185" i="6"/>
  <c r="AL185" i="6"/>
  <c r="AO185" i="6"/>
  <c r="AP185" i="6"/>
  <c r="AP171" i="6"/>
  <c r="H171" i="12" a="1"/>
  <c r="H171" i="12" s="1"/>
  <c r="AJ171" i="6"/>
  <c r="AN171" i="6"/>
  <c r="AL171" i="6"/>
  <c r="AK171" i="6"/>
  <c r="AO171" i="6"/>
  <c r="AM171" i="6"/>
  <c r="AL176" i="6"/>
  <c r="AM176" i="6"/>
  <c r="AO176" i="6"/>
  <c r="AP176" i="6"/>
  <c r="AK176" i="6"/>
  <c r="AN176" i="6"/>
  <c r="H176" i="12" a="1"/>
  <c r="H176" i="12" s="1"/>
  <c r="AJ176" i="6"/>
  <c r="AM181" i="6"/>
  <c r="AN181" i="6"/>
  <c r="AJ181" i="6"/>
  <c r="AO181" i="6"/>
  <c r="AP181" i="6"/>
  <c r="AF85" i="8" s="1" a="1"/>
  <c r="AF85" i="8" s="1"/>
  <c r="AK181" i="6"/>
  <c r="H181" i="12" a="1"/>
  <c r="H181" i="12" s="1"/>
  <c r="AL181" i="6"/>
  <c r="AJ178" i="6"/>
  <c r="H178" i="12" a="1"/>
  <c r="H178" i="12" s="1"/>
  <c r="AN178" i="6"/>
  <c r="AL178" i="6"/>
  <c r="AP178" i="6"/>
  <c r="AK178" i="6"/>
  <c r="AO178" i="6"/>
  <c r="AM178" i="6"/>
  <c r="AP180" i="6"/>
  <c r="AO180" i="6"/>
  <c r="H180" i="12" a="1"/>
  <c r="H180" i="12" s="1"/>
  <c r="AL180" i="6"/>
  <c r="AN180" i="6"/>
  <c r="AM180" i="6"/>
  <c r="AK180" i="6"/>
  <c r="AJ180" i="6"/>
  <c r="AJ179" i="6"/>
  <c r="AK179" i="6"/>
  <c r="AN179" i="6"/>
  <c r="AP179" i="6"/>
  <c r="AO179" i="6"/>
  <c r="H179" i="12" a="1"/>
  <c r="H179" i="12" s="1"/>
  <c r="AM179" i="6"/>
  <c r="AL179" i="6"/>
  <c r="X85" i="8" s="1" a="1"/>
  <c r="X85" i="8" s="1"/>
  <c r="AK174" i="6"/>
  <c r="AL174" i="6"/>
  <c r="AP174" i="6"/>
  <c r="AN174" i="6"/>
  <c r="AJ174" i="6"/>
  <c r="AO174" i="6"/>
  <c r="AM174" i="6"/>
  <c r="H174" i="12" a="1"/>
  <c r="H174" i="12" s="1"/>
  <c r="AM173" i="6"/>
  <c r="AL173" i="6"/>
  <c r="AJ173" i="6"/>
  <c r="AK173" i="6"/>
  <c r="AN173" i="6"/>
  <c r="AO173" i="6"/>
  <c r="H173" i="12" a="1"/>
  <c r="H173" i="12" s="1"/>
  <c r="AP173" i="6"/>
  <c r="AK183" i="6"/>
  <c r="AJ183" i="6"/>
  <c r="AN183" i="6"/>
  <c r="H183" i="12" a="1"/>
  <c r="H183" i="12" s="1"/>
  <c r="AL183" i="6"/>
  <c r="AP183" i="6"/>
  <c r="AO183" i="6"/>
  <c r="AM183" i="6"/>
  <c r="AK172" i="6"/>
  <c r="AP172" i="6"/>
  <c r="AJ172" i="6"/>
  <c r="H172" i="12" a="1"/>
  <c r="H172" i="12" s="1"/>
  <c r="AM172" i="6"/>
  <c r="AN172" i="6"/>
  <c r="AO172" i="6"/>
  <c r="AL172" i="6"/>
  <c r="Z85" i="8" l="1" a="1"/>
  <c r="Z85" i="8" s="1"/>
  <c r="AD85" i="8" a="1"/>
  <c r="AD85" i="8" s="1"/>
  <c r="AE85" i="8" a="1"/>
  <c r="AE85" i="8" s="1"/>
  <c r="AC85" i="8" a="1"/>
  <c r="AC85" i="8" s="1"/>
  <c r="AA85" i="8" a="1"/>
  <c r="AA85" i="8" s="1"/>
  <c r="X177" i="5" a="1"/>
  <c r="X177" i="5" s="1"/>
  <c r="I177" i="12" s="1"/>
  <c r="X172" i="5" a="1"/>
  <c r="X172" i="5" s="1"/>
  <c r="X173" i="5" a="1"/>
  <c r="X173" i="5" s="1"/>
  <c r="X175" i="5" a="1"/>
  <c r="X175" i="5" s="1"/>
  <c r="X179" i="5" a="1"/>
  <c r="X179" i="5" s="1"/>
  <c r="X178" i="5" a="1"/>
  <c r="X178" i="5" s="1"/>
  <c r="X185" i="5" a="1"/>
  <c r="X185" i="5" s="1"/>
  <c r="X183" i="5" a="1"/>
  <c r="X183" i="5" s="1"/>
  <c r="X184" i="5" a="1"/>
  <c r="X184" i="5" s="1"/>
  <c r="X182" i="5" a="1"/>
  <c r="X182" i="5" s="1"/>
  <c r="X174" i="5" a="1"/>
  <c r="X174" i="5" s="1"/>
  <c r="X180" i="5" a="1"/>
  <c r="X180" i="5" s="1"/>
  <c r="X176" i="5" a="1"/>
  <c r="X176" i="5" s="1"/>
  <c r="X181" i="5" a="1"/>
  <c r="X181" i="5" s="1"/>
  <c r="X171" i="5" a="1"/>
  <c r="X171" i="5" s="1"/>
  <c r="L177" i="5" l="1"/>
  <c r="C177" i="6" s="1"/>
  <c r="Z177" i="5"/>
  <c r="AB177" i="5" s="1" a="1"/>
  <c r="AB177" i="5" s="1"/>
  <c r="AM177" i="5"/>
  <c r="Z174" i="5"/>
  <c r="I174" i="12"/>
  <c r="AM174" i="5"/>
  <c r="L174" i="5"/>
  <c r="AM185" i="5"/>
  <c r="Z185" i="5"/>
  <c r="I185" i="12"/>
  <c r="L185" i="5"/>
  <c r="I179" i="12"/>
  <c r="Z179" i="5"/>
  <c r="L179" i="5"/>
  <c r="AM179" i="5"/>
  <c r="L182" i="5"/>
  <c r="Z182" i="5"/>
  <c r="I182" i="12"/>
  <c r="AM182" i="5"/>
  <c r="I175" i="12"/>
  <c r="Z175" i="5"/>
  <c r="AM175" i="5"/>
  <c r="L175" i="5"/>
  <c r="I178" i="12"/>
  <c r="Z178" i="5"/>
  <c r="L178" i="5"/>
  <c r="AM178" i="5"/>
  <c r="I173" i="12"/>
  <c r="L173" i="5"/>
  <c r="AM173" i="5"/>
  <c r="Z173" i="5"/>
  <c r="I171" i="12"/>
  <c r="I171" i="5"/>
  <c r="I172" i="5" s="1"/>
  <c r="I173" i="5" s="1"/>
  <c r="I174" i="5" s="1"/>
  <c r="I175" i="5" s="1"/>
  <c r="I176" i="5" s="1"/>
  <c r="I177" i="5" s="1"/>
  <c r="I178" i="5" s="1"/>
  <c r="I179" i="5" s="1"/>
  <c r="I180" i="5" s="1"/>
  <c r="I181" i="5" s="1"/>
  <c r="I182" i="5" s="1"/>
  <c r="I183" i="5" s="1"/>
  <c r="I184" i="5" s="1"/>
  <c r="I185" i="5" s="1"/>
  <c r="Z171" i="5"/>
  <c r="L171" i="5"/>
  <c r="AM171" i="5"/>
  <c r="X170" i="5" a="1"/>
  <c r="X170" i="5" s="1"/>
  <c r="S83" i="8" s="1"/>
  <c r="AM176" i="5"/>
  <c r="I176" i="12"/>
  <c r="L176" i="5"/>
  <c r="Z176" i="5"/>
  <c r="AM181" i="5"/>
  <c r="Z181" i="5"/>
  <c r="I181" i="12"/>
  <c r="L181" i="5"/>
  <c r="AM183" i="5"/>
  <c r="L183" i="5"/>
  <c r="I183" i="12"/>
  <c r="Z183" i="5"/>
  <c r="O177" i="12" a="1"/>
  <c r="O177" i="12" s="1"/>
  <c r="AO177" i="12" a="1"/>
  <c r="AO177" i="12" s="1"/>
  <c r="C177" i="12"/>
  <c r="M177" i="12" a="1"/>
  <c r="M177" i="12" s="1"/>
  <c r="Z180" i="5"/>
  <c r="AM180" i="5"/>
  <c r="I180" i="12"/>
  <c r="L180" i="5"/>
  <c r="AM184" i="5"/>
  <c r="Z184" i="5"/>
  <c r="I184" i="12"/>
  <c r="L184" i="5"/>
  <c r="L172" i="5"/>
  <c r="Z172" i="5"/>
  <c r="AM172" i="5"/>
  <c r="I172" i="12"/>
  <c r="H84" i="8" l="1" a="1"/>
  <c r="H84" i="8" s="1"/>
  <c r="H83" i="8" a="1"/>
  <c r="H83" i="8" s="1"/>
  <c r="J84" i="8" s="1"/>
  <c r="G83" i="8"/>
  <c r="E83" i="8" a="1"/>
  <c r="E83" i="8" s="1"/>
  <c r="AB83" i="8" a="1"/>
  <c r="AB83" i="8" s="1"/>
  <c r="W83" i="8" a="1"/>
  <c r="W83" i="8" s="1"/>
  <c r="V83" i="8" a="1"/>
  <c r="V83" i="8" s="1"/>
  <c r="Y83" i="8" a="1"/>
  <c r="Y83" i="8" s="1"/>
  <c r="U83" i="8" a="1"/>
  <c r="U83" i="8" s="1"/>
  <c r="Z83" i="8" a="1"/>
  <c r="Z83" i="8" s="1"/>
  <c r="AD83" i="8" a="1"/>
  <c r="AD83" i="8" s="1"/>
  <c r="X83" i="8" a="1"/>
  <c r="X83" i="8" s="1"/>
  <c r="AF83" i="8" a="1"/>
  <c r="AF83" i="8" s="1"/>
  <c r="AA83" i="8" a="1"/>
  <c r="AA83" i="8" s="1"/>
  <c r="AE83" i="8" a="1"/>
  <c r="AE83" i="8" s="1"/>
  <c r="AC83" i="8" a="1"/>
  <c r="AC83" i="8" s="1"/>
  <c r="Y177" i="12"/>
  <c r="X177" i="12" s="1" a="1"/>
  <c r="X177" i="12" s="1"/>
  <c r="O177" i="5"/>
  <c r="D177" i="12" s="1"/>
  <c r="O185" i="5"/>
  <c r="E185" i="6" s="1"/>
  <c r="C173" i="6"/>
  <c r="O173" i="5"/>
  <c r="C178" i="12"/>
  <c r="AO178" i="12" a="1"/>
  <c r="AO178" i="12" s="1"/>
  <c r="M178" i="12" a="1"/>
  <c r="M178" i="12" s="1"/>
  <c r="O178" i="12" a="1"/>
  <c r="O178" i="12" s="1"/>
  <c r="AB182" i="5" a="1"/>
  <c r="AB182" i="5" s="1"/>
  <c r="AB174" i="5" a="1"/>
  <c r="AB174" i="5" s="1"/>
  <c r="O173" i="12" a="1"/>
  <c r="O173" i="12" s="1"/>
  <c r="M173" i="12" a="1"/>
  <c r="M173" i="12" s="1"/>
  <c r="AO173" i="12" a="1"/>
  <c r="AO173" i="12" s="1"/>
  <c r="C173" i="12"/>
  <c r="C182" i="6"/>
  <c r="O182" i="5"/>
  <c r="C179" i="6"/>
  <c r="O179" i="5"/>
  <c r="AB183" i="5" a="1"/>
  <c r="AB183" i="5" s="1"/>
  <c r="AB179" i="5" a="1"/>
  <c r="AB179" i="5" s="1"/>
  <c r="C172" i="12"/>
  <c r="O172" i="12" a="1"/>
  <c r="O172" i="12" s="1"/>
  <c r="AO172" i="12" a="1"/>
  <c r="AO172" i="12" s="1"/>
  <c r="M172" i="12" a="1"/>
  <c r="M172" i="12" s="1"/>
  <c r="AO183" i="12" a="1"/>
  <c r="AO183" i="12" s="1"/>
  <c r="M183" i="12" a="1"/>
  <c r="M183" i="12" s="1"/>
  <c r="O183" i="12" a="1"/>
  <c r="O183" i="12" s="1"/>
  <c r="C183" i="12"/>
  <c r="C179" i="12"/>
  <c r="O179" i="12" a="1"/>
  <c r="O179" i="12" s="1"/>
  <c r="M179" i="12" a="1"/>
  <c r="M179" i="12" s="1"/>
  <c r="AO179" i="12" a="1"/>
  <c r="AO179" i="12" s="1"/>
  <c r="C183" i="6"/>
  <c r="O183" i="5"/>
  <c r="O175" i="5"/>
  <c r="C175" i="6"/>
  <c r="AB172" i="5" a="1"/>
  <c r="AB172" i="5" s="1"/>
  <c r="N177" i="12"/>
  <c r="C172" i="6"/>
  <c r="O172" i="5"/>
  <c r="C184" i="6"/>
  <c r="O184" i="5"/>
  <c r="C180" i="6"/>
  <c r="O180" i="5"/>
  <c r="C181" i="6"/>
  <c r="O181" i="5"/>
  <c r="AM170" i="5"/>
  <c r="I170" i="12"/>
  <c r="L170" i="5"/>
  <c r="Z170" i="5"/>
  <c r="AB175" i="5" a="1"/>
  <c r="AB175" i="5" s="1"/>
  <c r="M184" i="12" a="1"/>
  <c r="M184" i="12" s="1"/>
  <c r="O184" i="12" a="1"/>
  <c r="O184" i="12" s="1"/>
  <c r="AO184" i="12" a="1"/>
  <c r="AO184" i="12" s="1"/>
  <c r="C184" i="12"/>
  <c r="M180" i="12" a="1"/>
  <c r="M180" i="12" s="1"/>
  <c r="AO180" i="12" a="1"/>
  <c r="AO180" i="12" s="1"/>
  <c r="C180" i="12"/>
  <c r="O180" i="12" a="1"/>
  <c r="O180" i="12" s="1"/>
  <c r="O181" i="12" a="1"/>
  <c r="O181" i="12" s="1"/>
  <c r="C181" i="12"/>
  <c r="AO181" i="12" a="1"/>
  <c r="AO181" i="12" s="1"/>
  <c r="M181" i="12" a="1"/>
  <c r="M181" i="12" s="1"/>
  <c r="AO175" i="12" a="1"/>
  <c r="AO175" i="12" s="1"/>
  <c r="C175" i="12"/>
  <c r="O175" i="12" a="1"/>
  <c r="O175" i="12" s="1"/>
  <c r="M175" i="12" a="1"/>
  <c r="M175" i="12" s="1"/>
  <c r="AB184" i="5" a="1"/>
  <c r="AB184" i="5" s="1"/>
  <c r="AB181" i="5" a="1"/>
  <c r="AB181" i="5" s="1"/>
  <c r="AB176" i="5" a="1"/>
  <c r="AB176" i="5" s="1"/>
  <c r="O171" i="5"/>
  <c r="C171" i="6"/>
  <c r="AB180" i="5" a="1"/>
  <c r="AB180" i="5" s="1"/>
  <c r="O176" i="5"/>
  <c r="C176" i="6"/>
  <c r="AB171" i="5" a="1"/>
  <c r="AB171" i="5" s="1"/>
  <c r="C185" i="6"/>
  <c r="C174" i="6"/>
  <c r="O174" i="5"/>
  <c r="M176" i="12" a="1"/>
  <c r="M176" i="12" s="1"/>
  <c r="O176" i="12" a="1"/>
  <c r="O176" i="12" s="1"/>
  <c r="AO176" i="12" a="1"/>
  <c r="AO176" i="12" s="1"/>
  <c r="C176" i="12"/>
  <c r="AB173" i="5" a="1"/>
  <c r="AB173" i="5" s="1"/>
  <c r="O178" i="5"/>
  <c r="C178" i="6"/>
  <c r="M185" i="12" a="1"/>
  <c r="M185" i="12" s="1"/>
  <c r="C185" i="12"/>
  <c r="AO185" i="12" a="1"/>
  <c r="AO185" i="12" s="1"/>
  <c r="O185" i="12" a="1"/>
  <c r="O185" i="12" s="1"/>
  <c r="M171" i="12" a="1"/>
  <c r="M171" i="12" s="1"/>
  <c r="AO171" i="12" a="1"/>
  <c r="AO171" i="12" s="1"/>
  <c r="C171" i="12"/>
  <c r="O171" i="12" a="1"/>
  <c r="O171" i="12" s="1"/>
  <c r="AB178" i="5" a="1"/>
  <c r="AB178" i="5" s="1"/>
  <c r="M182" i="12" a="1"/>
  <c r="M182" i="12" s="1"/>
  <c r="C182" i="12"/>
  <c r="AO182" i="12" a="1"/>
  <c r="AO182" i="12" s="1"/>
  <c r="O182" i="12" a="1"/>
  <c r="O182" i="12" s="1"/>
  <c r="AB185" i="5" a="1"/>
  <c r="AB185" i="5" s="1"/>
  <c r="C174" i="12"/>
  <c r="M174" i="12" a="1"/>
  <c r="M174" i="12" s="1"/>
  <c r="AO174" i="12" a="1"/>
  <c r="AO174" i="12" s="1"/>
  <c r="O174" i="12" a="1"/>
  <c r="O174" i="12" s="1"/>
  <c r="W177" i="12" l="1" a="1"/>
  <c r="W177" i="12" s="1"/>
  <c r="V177" i="12" s="1" a="1"/>
  <c r="V177" i="12" s="1"/>
  <c r="D185" i="12"/>
  <c r="N175" i="12"/>
  <c r="N182" i="12"/>
  <c r="Y172" i="12"/>
  <c r="X172" i="12" s="1" a="1"/>
  <c r="X172" i="12" s="1"/>
  <c r="Y184" i="12"/>
  <c r="X184" i="12" s="1" a="1"/>
  <c r="X184" i="12" s="1"/>
  <c r="N176" i="12"/>
  <c r="M170" i="12" a="1"/>
  <c r="M170" i="12" s="1"/>
  <c r="Y178" i="12"/>
  <c r="W178" i="12" s="1" a="1"/>
  <c r="W178" i="12" s="1"/>
  <c r="N185" i="12"/>
  <c r="Y183" i="12"/>
  <c r="X183" i="12" s="1" a="1"/>
  <c r="X183" i="12" s="1"/>
  <c r="Y173" i="12"/>
  <c r="W173" i="12" s="1" a="1"/>
  <c r="W173" i="12" s="1"/>
  <c r="E177" i="6"/>
  <c r="N180" i="12"/>
  <c r="N173" i="12"/>
  <c r="N179" i="12"/>
  <c r="Y176" i="12"/>
  <c r="X176" i="12" s="1" a="1"/>
  <c r="X176" i="12" s="1"/>
  <c r="E176" i="6"/>
  <c r="D176" i="12"/>
  <c r="N181" i="12"/>
  <c r="D184" i="12"/>
  <c r="E184" i="6"/>
  <c r="D179" i="12"/>
  <c r="E179" i="6"/>
  <c r="Y182" i="12"/>
  <c r="Y185" i="12"/>
  <c r="D178" i="12"/>
  <c r="E178" i="6"/>
  <c r="AB170" i="5" a="1"/>
  <c r="AB170" i="5" s="1"/>
  <c r="D83" i="8" s="1"/>
  <c r="Y175" i="12"/>
  <c r="N184" i="12"/>
  <c r="E174" i="6"/>
  <c r="D174" i="12"/>
  <c r="E175" i="6"/>
  <c r="D175" i="12"/>
  <c r="Y179" i="12"/>
  <c r="AC170" i="5" a="1"/>
  <c r="AC170" i="5" s="1"/>
  <c r="C170" i="6"/>
  <c r="O170" i="5"/>
  <c r="I83" i="8" s="1"/>
  <c r="A83" i="8" s="1"/>
  <c r="D182" i="12"/>
  <c r="E182" i="6"/>
  <c r="J170" i="12" a="1"/>
  <c r="J170" i="12" s="1"/>
  <c r="C170" i="12"/>
  <c r="L170" i="12" a="1"/>
  <c r="L170" i="12" s="1"/>
  <c r="N171" i="12"/>
  <c r="O170" i="12" a="1"/>
  <c r="O170" i="12" s="1"/>
  <c r="D183" i="12"/>
  <c r="E183" i="6"/>
  <c r="N178" i="12"/>
  <c r="E172" i="6"/>
  <c r="D172" i="12"/>
  <c r="N183" i="12"/>
  <c r="Y171" i="12"/>
  <c r="AO170" i="12" a="1"/>
  <c r="AO170" i="12" s="1"/>
  <c r="D181" i="12"/>
  <c r="E181" i="6"/>
  <c r="E180" i="6"/>
  <c r="D180" i="12"/>
  <c r="D173" i="12"/>
  <c r="E173" i="6"/>
  <c r="N174" i="12"/>
  <c r="Y181" i="12"/>
  <c r="Y180" i="12"/>
  <c r="Y174" i="12"/>
  <c r="E171" i="6"/>
  <c r="D171" i="12"/>
  <c r="N172" i="12"/>
  <c r="T177" i="12" l="1"/>
  <c r="U177" i="12"/>
  <c r="X173" i="12" a="1"/>
  <c r="X173" i="12" s="1"/>
  <c r="W172" i="12" a="1"/>
  <c r="W172" i="12" s="1"/>
  <c r="V172" i="12" s="1" a="1"/>
  <c r="V172" i="12" s="1"/>
  <c r="W184" i="12" a="1"/>
  <c r="W184" i="12" s="1"/>
  <c r="V184" i="12" s="1" a="1"/>
  <c r="V184" i="12" s="1"/>
  <c r="W176" i="12" a="1"/>
  <c r="W176" i="12" s="1"/>
  <c r="V176" i="12" s="1" a="1"/>
  <c r="V176" i="12" s="1"/>
  <c r="W183" i="12" a="1"/>
  <c r="W183" i="12" s="1"/>
  <c r="T183" i="12" s="1"/>
  <c r="Y170" i="12"/>
  <c r="W170" i="12" s="1" a="1"/>
  <c r="W170" i="12" s="1"/>
  <c r="N170" i="12"/>
  <c r="X178" i="12" a="1"/>
  <c r="X178" i="12" s="1"/>
  <c r="X175" i="12" a="1"/>
  <c r="X175" i="12" s="1"/>
  <c r="W175" i="12" a="1"/>
  <c r="W175" i="12" s="1"/>
  <c r="W185" i="12" a="1"/>
  <c r="W185" i="12" s="1"/>
  <c r="X185" i="12" a="1"/>
  <c r="X185" i="12" s="1"/>
  <c r="X182" i="12" a="1"/>
  <c r="X182" i="12" s="1"/>
  <c r="W182" i="12" a="1"/>
  <c r="W182" i="12" s="1"/>
  <c r="T173" i="12"/>
  <c r="V173" i="12" a="1"/>
  <c r="V173" i="12" s="1"/>
  <c r="U173" i="12"/>
  <c r="W180" i="12" a="1"/>
  <c r="W180" i="12" s="1"/>
  <c r="X180" i="12" a="1"/>
  <c r="X180" i="12" s="1"/>
  <c r="W171" i="12" a="1"/>
  <c r="W171" i="12" s="1"/>
  <c r="X171" i="12" a="1"/>
  <c r="X171" i="12" s="1"/>
  <c r="X174" i="12" a="1"/>
  <c r="X174" i="12" s="1"/>
  <c r="W174" i="12" a="1"/>
  <c r="W174" i="12" s="1"/>
  <c r="K170" i="12"/>
  <c r="T178" i="12"/>
  <c r="V178" i="12" a="1"/>
  <c r="V178" i="12" s="1"/>
  <c r="U178" i="12"/>
  <c r="X181" i="12" a="1"/>
  <c r="X181" i="12" s="1"/>
  <c r="W181" i="12" a="1"/>
  <c r="W181" i="12" s="1"/>
  <c r="D170" i="12"/>
  <c r="E170" i="6"/>
  <c r="X179" i="12" a="1"/>
  <c r="X179" i="12" s="1"/>
  <c r="W179" i="12" a="1"/>
  <c r="W179" i="12" s="1"/>
  <c r="T184" i="12" l="1"/>
  <c r="T176" i="12"/>
  <c r="T172" i="12"/>
  <c r="U176" i="12"/>
  <c r="U184" i="12"/>
  <c r="U172" i="12"/>
  <c r="X170" i="12" a="1"/>
  <c r="X170" i="12" s="1"/>
  <c r="V183" i="12" a="1"/>
  <c r="V183" i="12" s="1"/>
  <c r="U183" i="12"/>
  <c r="T174" i="12"/>
  <c r="U174" i="12"/>
  <c r="V174" i="12" a="1"/>
  <c r="V174" i="12" s="1"/>
  <c r="T185" i="12"/>
  <c r="V185" i="12" a="1"/>
  <c r="V185" i="12" s="1"/>
  <c r="U185" i="12"/>
  <c r="V179" i="12" a="1"/>
  <c r="V179" i="12" s="1"/>
  <c r="T179" i="12"/>
  <c r="U179" i="12"/>
  <c r="V181" i="12" a="1"/>
  <c r="V181" i="12" s="1"/>
  <c r="U181" i="12"/>
  <c r="T181" i="12"/>
  <c r="V171" i="12" a="1"/>
  <c r="V171" i="12" s="1"/>
  <c r="U171" i="12"/>
  <c r="T171" i="12"/>
  <c r="T175" i="12"/>
  <c r="V175" i="12" a="1"/>
  <c r="V175" i="12" s="1"/>
  <c r="U175" i="12"/>
  <c r="T180" i="12"/>
  <c r="U180" i="12"/>
  <c r="V180" i="12" a="1"/>
  <c r="V180" i="12" s="1"/>
  <c r="V182" i="12" a="1"/>
  <c r="V182" i="12" s="1"/>
  <c r="T182" i="12"/>
  <c r="U182" i="12"/>
  <c r="V170" i="12" a="1"/>
  <c r="V170" i="12" s="1"/>
  <c r="T170" i="12"/>
  <c r="U170" i="12"/>
  <c r="P11" i="12" l="1"/>
  <c r="O11" i="12" s="1"/>
  <c r="E22" i="8" l="1" a="1"/>
  <c r="E22" i="8" s="1"/>
  <c r="U22" i="8" a="1"/>
  <c r="U22" i="8" s="1"/>
  <c r="V22" i="8" a="1"/>
  <c r="V22" i="8" s="1"/>
  <c r="W34" i="8" a="1"/>
  <c r="W34" i="8" s="1"/>
  <c r="W22" i="8" a="1"/>
  <c r="W22" i="8" s="1"/>
  <c r="W31" i="8" a="1"/>
  <c r="W31" i="8" s="1"/>
  <c r="V19" i="8" a="1"/>
  <c r="V19" i="8" s="1"/>
  <c r="W28" i="8" a="1"/>
  <c r="W28" i="8" s="1"/>
  <c r="V25" i="8" a="1"/>
  <c r="V25" i="8" s="1"/>
  <c r="X31" i="8" a="1"/>
  <c r="X31" i="8" s="1"/>
  <c r="AA22" i="8" a="1"/>
  <c r="AA22" i="8" s="1"/>
  <c r="AU67" i="6" l="1"/>
  <c r="AU169" i="6"/>
  <c r="AU50" i="6"/>
  <c r="G97" i="6" l="1"/>
  <c r="F97" i="12" a="1"/>
  <c r="F97" i="12" s="1"/>
  <c r="AU40" i="6"/>
  <c r="AU137" i="6"/>
  <c r="AU142" i="6"/>
  <c r="AU118" i="6"/>
  <c r="AU30" i="6"/>
  <c r="AU48" i="6"/>
  <c r="AU81" i="6"/>
  <c r="AU78" i="6"/>
  <c r="AU89" i="6"/>
  <c r="AU187" i="6"/>
  <c r="AU72" i="6"/>
  <c r="AU106" i="6"/>
  <c r="AU151" i="6"/>
  <c r="AU59" i="6"/>
  <c r="AU138" i="6"/>
  <c r="AU163" i="6"/>
  <c r="AU124" i="6"/>
  <c r="AU25" i="6"/>
  <c r="AU134" i="6"/>
  <c r="AU18" i="6"/>
  <c r="AU164" i="6"/>
  <c r="AU94" i="6"/>
  <c r="AU85" i="6"/>
  <c r="AU88" i="6"/>
  <c r="AU23" i="6"/>
  <c r="AU126" i="6"/>
  <c r="AU157" i="6"/>
  <c r="AU35" i="6"/>
  <c r="AU144" i="6"/>
  <c r="AU52" i="6"/>
  <c r="AU34" i="6"/>
  <c r="AU100" i="6"/>
  <c r="AU90" i="6"/>
  <c r="AU135" i="6"/>
  <c r="AU161" i="6"/>
  <c r="AU21" i="6"/>
  <c r="AU132" i="6"/>
  <c r="AU46" i="6"/>
  <c r="AU128" i="6"/>
  <c r="AU69" i="6"/>
  <c r="AU86" i="6"/>
  <c r="AU84" i="6"/>
  <c r="AU110" i="6"/>
  <c r="AU159" i="6"/>
  <c r="AU127" i="6"/>
  <c r="AU129" i="6"/>
  <c r="AU117" i="6"/>
  <c r="AU47" i="6"/>
  <c r="AU146" i="6"/>
  <c r="AU57" i="6"/>
  <c r="AU112" i="6"/>
  <c r="AU103" i="6"/>
  <c r="AU148" i="6"/>
  <c r="AU130" i="6"/>
  <c r="AU29" i="6"/>
  <c r="AU123" i="6"/>
  <c r="AU133" i="6"/>
  <c r="AU95" i="6"/>
  <c r="AU136" i="6"/>
  <c r="AU190" i="6"/>
  <c r="AU99" i="6"/>
  <c r="AU68" i="6"/>
  <c r="AU121" i="6"/>
  <c r="AU189" i="6"/>
  <c r="AU61" i="6"/>
  <c r="AU102" i="6"/>
  <c r="AU49" i="6"/>
  <c r="AU119" i="6"/>
  <c r="AU20" i="6"/>
  <c r="AU60" i="6"/>
  <c r="AU79" i="6"/>
  <c r="AU73" i="6"/>
  <c r="AU162" i="6"/>
  <c r="AU143" i="6"/>
  <c r="AU125" i="6"/>
  <c r="AU188" i="6"/>
  <c r="AU97" i="6"/>
  <c r="AU70" i="6"/>
  <c r="AU65" i="6"/>
  <c r="AU39" i="6"/>
  <c r="AU153" i="6"/>
  <c r="AU140" i="6"/>
  <c r="AU87" i="6"/>
  <c r="AU93" i="6"/>
  <c r="AU122" i="6"/>
  <c r="AU31" i="6"/>
  <c r="AU53" i="6"/>
  <c r="AU101" i="6"/>
  <c r="AU80" i="6"/>
  <c r="AU158" i="6"/>
  <c r="AU116" i="6"/>
  <c r="AU96" i="6"/>
  <c r="AU24" i="6"/>
  <c r="AU26" i="6"/>
  <c r="AU62" i="6"/>
  <c r="AU36" i="6"/>
  <c r="AU37" i="6"/>
  <c r="AU113" i="6"/>
  <c r="AU104" i="6"/>
  <c r="AU155" i="6"/>
  <c r="AU92" i="6"/>
  <c r="AU82" i="6"/>
  <c r="AU19" i="6"/>
  <c r="AU43" i="6"/>
  <c r="AU56" i="6"/>
  <c r="AU54" i="6"/>
  <c r="AU139" i="6"/>
  <c r="AU131" i="6"/>
  <c r="AU152" i="6"/>
  <c r="AU66" i="6"/>
  <c r="AU55" i="6"/>
  <c r="AU115" i="6"/>
  <c r="AU45" i="6"/>
  <c r="AU41" i="6"/>
  <c r="AU168" i="6"/>
  <c r="AU108" i="6"/>
  <c r="AU167" i="6"/>
  <c r="AU71" i="6"/>
  <c r="AU120" i="6"/>
  <c r="AU76" i="6"/>
  <c r="AU150" i="6"/>
  <c r="AU107" i="6"/>
  <c r="AU149" i="6"/>
  <c r="AU63" i="6"/>
  <c r="AU58" i="6"/>
  <c r="AU77" i="6"/>
  <c r="AU147" i="6"/>
  <c r="AU160" i="6"/>
  <c r="AU33" i="6"/>
  <c r="S1" i="7" l="1" a="1"/>
  <c r="S1" i="7" s="1"/>
  <c r="S22" i="7" a="1"/>
  <c r="S22" i="7" s="1"/>
  <c r="S33" i="7" a="1"/>
  <c r="S33" i="7" s="1"/>
  <c r="S45" i="7" a="1"/>
  <c r="S45" i="7" s="1"/>
  <c r="S28" i="7" a="1"/>
  <c r="S28" i="7" s="1"/>
  <c r="S21" i="7" a="1"/>
  <c r="S21" i="7" s="1"/>
  <c r="S24" i="7" a="1"/>
  <c r="S24" i="7" s="1"/>
  <c r="S40" i="7" a="1"/>
  <c r="S40" i="7" s="1"/>
  <c r="S27" i="7" a="1"/>
  <c r="S27" i="7" s="1"/>
  <c r="S34" i="7" a="1"/>
  <c r="S34" i="7" s="1"/>
  <c r="S35" i="7" a="1"/>
  <c r="S35" i="7" s="1"/>
  <c r="S29" i="7" a="1"/>
  <c r="S29" i="7" s="1"/>
  <c r="S43" i="7" a="1"/>
  <c r="S43" i="7" s="1"/>
  <c r="S25" i="7" a="1"/>
  <c r="S25" i="7" s="1"/>
  <c r="S31" i="7" a="1"/>
  <c r="S31" i="7" s="1"/>
  <c r="S19" i="7" a="1"/>
  <c r="S19" i="7" s="1"/>
  <c r="S39" i="7" a="1"/>
  <c r="S39" i="7" s="1"/>
  <c r="S26" i="7" a="1"/>
  <c r="S26" i="7" s="1"/>
  <c r="S37" i="7" a="1"/>
  <c r="S37" i="7" s="1"/>
  <c r="S32" i="7" a="1"/>
  <c r="S32" i="7" s="1"/>
  <c r="S23" i="7" a="1"/>
  <c r="S23" i="7" s="1"/>
  <c r="S30" i="7" a="1"/>
  <c r="S30" i="7" s="1"/>
  <c r="S20" i="7" a="1"/>
  <c r="S20" i="7" s="1"/>
  <c r="S16" i="7" a="1"/>
  <c r="S16" i="7" s="1"/>
  <c r="S41" i="7" a="1"/>
  <c r="S41" i="7" s="1"/>
  <c r="S38" i="7" a="1"/>
  <c r="S38" i="7" s="1"/>
  <c r="S18" i="7" a="1"/>
  <c r="S18" i="7" s="1"/>
  <c r="S42" i="7" a="1"/>
  <c r="S42" i="7" s="1"/>
  <c r="S36" i="7" a="1"/>
  <c r="S36" i="7" s="1"/>
  <c r="S44" i="7" a="1"/>
  <c r="S44" i="7" s="1"/>
  <c r="S14" i="7" l="1"/>
  <c r="C11" i="10" l="1" a="1"/>
  <c r="C11" i="10"/>
  <c r="H28" i="6" a="1"/>
  <c r="H28" i="6" s="1"/>
  <c r="T28" i="5" l="1"/>
  <c r="G28" i="12" s="1" a="1"/>
  <c r="G28" i="12" s="1"/>
  <c r="AZ28" i="6"/>
  <c r="AZ15" i="6" s="1"/>
  <c r="AG15" i="6" s="1"/>
  <c r="AG11" i="6" s="1"/>
  <c r="AW28" i="6"/>
  <c r="AW15" i="6" s="1"/>
  <c r="AD15" i="6" s="1"/>
  <c r="AD11" i="6" s="1"/>
  <c r="BA28" i="6"/>
  <c r="BA15" i="6" s="1"/>
  <c r="AH15" i="6" s="1"/>
  <c r="AH11" i="6" s="1"/>
  <c r="AY28" i="6"/>
  <c r="AY15" i="6" s="1"/>
  <c r="AF15" i="6" s="1"/>
  <c r="AF11" i="6" s="1"/>
  <c r="AV28" i="6"/>
  <c r="AV15" i="6" s="1"/>
  <c r="AC15" i="6" s="1"/>
  <c r="AC11" i="6" s="1"/>
  <c r="AU28" i="6"/>
  <c r="AX28" i="6"/>
  <c r="AX15" i="6" s="1"/>
  <c r="AE15" i="6" s="1"/>
  <c r="AE11" i="6" s="1"/>
  <c r="AA15" i="11" l="1" a="1"/>
  <c r="AA15" i="11" s="1"/>
  <c r="Z15" i="11" s="1"/>
  <c r="R15" i="13" l="1"/>
  <c r="AA16" i="11" a="1"/>
  <c r="AA16" i="11" s="1"/>
  <c r="T16" i="13" s="1"/>
  <c r="T15" i="13"/>
  <c r="R16" i="13" l="1"/>
  <c r="Z16" i="11"/>
  <c r="C89" i="8" l="1"/>
  <c r="AF169" i="5" l="1" a="1"/>
  <c r="AF167" i="5" a="1"/>
  <c r="AF140" i="5" a="1"/>
  <c r="AF149" i="5" a="1"/>
  <c r="AF34" i="5" a="1"/>
  <c r="AF130" i="5" a="1"/>
  <c r="AF103" i="5" a="1"/>
  <c r="AF86" i="5" a="1"/>
  <c r="AF148" i="5" a="1"/>
  <c r="AF71" i="5" a="1"/>
  <c r="AF107" i="5" a="1"/>
  <c r="AF153" i="5" a="1"/>
  <c r="AF97" i="5" a="1"/>
  <c r="AF190" i="5" a="1"/>
  <c r="AF171" i="5" a="1"/>
  <c r="AF93" i="5" a="1"/>
  <c r="AF90" i="5" a="1"/>
  <c r="AF62" i="5" a="1"/>
  <c r="AF120" i="5" a="1"/>
  <c r="AF134" i="5" a="1"/>
  <c r="AF165" i="5" a="1"/>
  <c r="AF144" i="5" a="1"/>
  <c r="AF18" i="5" a="1"/>
  <c r="AF178" i="5" a="1"/>
  <c r="AF73" i="5" a="1"/>
  <c r="AF46" i="5" a="1"/>
  <c r="AF155" i="5" a="1"/>
  <c r="AF76" i="5" a="1"/>
  <c r="AF69" i="5" a="1"/>
  <c r="AF131" i="5" a="1"/>
  <c r="AF173" i="5" a="1"/>
  <c r="AF102" i="5" a="1"/>
  <c r="AF96" i="5" a="1"/>
  <c r="AF136" i="5" a="1"/>
  <c r="AF23" i="5" a="1"/>
  <c r="AF50" i="5" a="1"/>
  <c r="AF183" i="5" a="1"/>
  <c r="AF163" i="5" a="1"/>
  <c r="AF26" i="5" a="1"/>
  <c r="AF168" i="5" a="1"/>
  <c r="AF132" i="5" a="1"/>
  <c r="AF126" i="5" a="1"/>
  <c r="AF31" i="5" a="1"/>
  <c r="AF112" i="5" a="1"/>
  <c r="AF147" i="5" a="1"/>
  <c r="AF104" i="5" a="1"/>
  <c r="AF106" i="5" a="1"/>
  <c r="AF188" i="5" a="1"/>
  <c r="AF47" i="5" a="1"/>
  <c r="AF129" i="5" a="1"/>
  <c r="AF135" i="5" a="1"/>
  <c r="AF88" i="5" a="1"/>
  <c r="AF139" i="5" a="1"/>
  <c r="AF57" i="5" a="1"/>
  <c r="AF30" i="5" a="1"/>
  <c r="AF84" i="5" a="1"/>
  <c r="AF72" i="5" a="1"/>
  <c r="AF133" i="5" a="1"/>
  <c r="AF40" i="5" a="1"/>
  <c r="AF79" i="5" a="1"/>
  <c r="AF65" i="5" a="1"/>
  <c r="AF80" i="5" a="1"/>
  <c r="AF119" i="5" a="1"/>
  <c r="AF19" i="5" a="1"/>
  <c r="AF100" i="5" a="1"/>
  <c r="AF123" i="5" a="1"/>
  <c r="AF89" i="5" a="1"/>
  <c r="AF20" i="5" a="1"/>
  <c r="AF117" i="5" a="1"/>
  <c r="AF58" i="5" a="1"/>
  <c r="AF70" i="5" a="1"/>
  <c r="AF137" i="5" a="1"/>
  <c r="AF48" i="5" a="1"/>
  <c r="AF180" i="5" a="1"/>
  <c r="AF39" i="5" a="1"/>
  <c r="AF25" i="5" a="1"/>
  <c r="AF95" i="5" a="1"/>
  <c r="AF158" i="5" a="1"/>
  <c r="AF81" i="5" a="1"/>
  <c r="AF110" i="5" a="1"/>
  <c r="AF63" i="5" a="1"/>
  <c r="AF74" i="5" a="1"/>
  <c r="AF121" i="5" a="1"/>
  <c r="AF142" i="5" a="1"/>
  <c r="AF78" i="5" a="1"/>
  <c r="AF181" i="5" a="1"/>
  <c r="AF150" i="5" a="1"/>
  <c r="AF59" i="5" a="1"/>
  <c r="AF55" i="5" a="1"/>
  <c r="AF24" i="5" a="1"/>
  <c r="AF157" i="5" a="1"/>
  <c r="AF49" i="5" a="1"/>
  <c r="AF116" i="5" a="1"/>
  <c r="AF108" i="5" a="1"/>
  <c r="AF159" i="5" a="1"/>
  <c r="AF87" i="5" a="1"/>
  <c r="AF189" i="5" a="1"/>
  <c r="AF29" i="5" a="1"/>
  <c r="AF175" i="5" a="1"/>
  <c r="AF77" i="5" a="1"/>
  <c r="AF127" i="5" a="1"/>
  <c r="AF52" i="5" a="1"/>
  <c r="AF179" i="5" a="1"/>
  <c r="AF36" i="5" a="1"/>
  <c r="AF41" i="5" a="1"/>
  <c r="AF35" i="5" a="1"/>
  <c r="AF61" i="5" a="1"/>
  <c r="AF151" i="5" a="1"/>
  <c r="AF28" i="5" a="1"/>
  <c r="AF146" i="5" a="1"/>
  <c r="AF92" i="5" a="1"/>
  <c r="AF113" i="5" a="1"/>
  <c r="AF37" i="5" a="1"/>
  <c r="AF143" i="5" a="1"/>
  <c r="AF185" i="5" a="1"/>
  <c r="AF94" i="5" a="1"/>
  <c r="AF177" i="5" a="1"/>
  <c r="AF67" i="5" a="1"/>
  <c r="AF164" i="5" a="1"/>
  <c r="AF33" i="5" a="1"/>
  <c r="AF118" i="5" a="1"/>
  <c r="AF187" i="5" a="1"/>
  <c r="AF60" i="5" a="1"/>
  <c r="AF182" i="5" a="1"/>
  <c r="AF162" i="5" a="1"/>
  <c r="AF124" i="5" a="1"/>
  <c r="AF99" i="5" a="1"/>
  <c r="AF53" i="5" a="1"/>
  <c r="AF82" i="5" a="1"/>
  <c r="AF45" i="5" a="1"/>
  <c r="AF85" i="5" a="1"/>
  <c r="AF161" i="5" a="1"/>
  <c r="AF56" i="5" a="1"/>
  <c r="AF160" i="5" a="1"/>
  <c r="AF101" i="5" a="1"/>
  <c r="AF115" i="5" a="1"/>
  <c r="AF21" i="5" a="1"/>
  <c r="AF184" i="5" a="1"/>
  <c r="AF138" i="5" a="1"/>
  <c r="AF43" i="5" a="1"/>
  <c r="AF66" i="5" a="1"/>
  <c r="AF152" i="5" a="1"/>
  <c r="AF68" i="5" a="1"/>
  <c r="AF54" i="5" a="1"/>
  <c r="AF176" i="5" a="1"/>
  <c r="AF172" i="5" a="1"/>
  <c r="AF125" i="5" a="1"/>
  <c r="AF122" i="5" a="1"/>
  <c r="AF128" i="5" a="1"/>
  <c r="AF174" i="5" a="1"/>
  <c r="AF174" i="5" l="1"/>
  <c r="AF128" i="5"/>
  <c r="AF122" i="5"/>
  <c r="AF125" i="5"/>
  <c r="AF172" i="5"/>
  <c r="AF176" i="5"/>
  <c r="AF54" i="5"/>
  <c r="AF68" i="5"/>
  <c r="AF152" i="5"/>
  <c r="AF66" i="5"/>
  <c r="AF43" i="5"/>
  <c r="AF138" i="5"/>
  <c r="AF184" i="5"/>
  <c r="AF21" i="5"/>
  <c r="AF115" i="5"/>
  <c r="AF101" i="5"/>
  <c r="AF160" i="5"/>
  <c r="AF56" i="5"/>
  <c r="AF161" i="5"/>
  <c r="AF85" i="5"/>
  <c r="AF45" i="5"/>
  <c r="AF82" i="5"/>
  <c r="AF53" i="5"/>
  <c r="AF99" i="5"/>
  <c r="AF124" i="5"/>
  <c r="AF162" i="5"/>
  <c r="AF182" i="5"/>
  <c r="AF60" i="5"/>
  <c r="AF187" i="5"/>
  <c r="AF118" i="5"/>
  <c r="AF33" i="5"/>
  <c r="AF164" i="5"/>
  <c r="AF67" i="5"/>
  <c r="AF177" i="5"/>
  <c r="AF94" i="5"/>
  <c r="AF185" i="5"/>
  <c r="AF143" i="5"/>
  <c r="AF37" i="5"/>
  <c r="AF113" i="5"/>
  <c r="AF92" i="5"/>
  <c r="AF146" i="5"/>
  <c r="AF28" i="5"/>
  <c r="AF151" i="5"/>
  <c r="AF61" i="5"/>
  <c r="AF35" i="5"/>
  <c r="AF41" i="5"/>
  <c r="AF36" i="5"/>
  <c r="AF179" i="5"/>
  <c r="AF52" i="5"/>
  <c r="AF127" i="5"/>
  <c r="AF77" i="5"/>
  <c r="AF175" i="5"/>
  <c r="AF29" i="5"/>
  <c r="AF189" i="5"/>
  <c r="AF87" i="5"/>
  <c r="AF159" i="5"/>
  <c r="AF108" i="5"/>
  <c r="AF116" i="5"/>
  <c r="AF49" i="5"/>
  <c r="AF157" i="5"/>
  <c r="AF24" i="5"/>
  <c r="AF55" i="5"/>
  <c r="AF59" i="5"/>
  <c r="AF150" i="5"/>
  <c r="AF181" i="5"/>
  <c r="AF78" i="5"/>
  <c r="AF142" i="5"/>
  <c r="AF121" i="5"/>
  <c r="AF74" i="5"/>
  <c r="AF63" i="5"/>
  <c r="AF110" i="5"/>
  <c r="AF81" i="5"/>
  <c r="AF158" i="5"/>
  <c r="AF95" i="5"/>
  <c r="AF25" i="5"/>
  <c r="AF39" i="5"/>
  <c r="AF180" i="5"/>
  <c r="AF48" i="5"/>
  <c r="AF137" i="5"/>
  <c r="AF70" i="5"/>
  <c r="AF58" i="5"/>
  <c r="AF117" i="5"/>
  <c r="AF20" i="5"/>
  <c r="AF89" i="5"/>
  <c r="AF123" i="5"/>
  <c r="AF100" i="5"/>
  <c r="AF19" i="5"/>
  <c r="AF119" i="5"/>
  <c r="AF80" i="5"/>
  <c r="AF65" i="5"/>
  <c r="AF79" i="5"/>
  <c r="AF40" i="5"/>
  <c r="AF133" i="5"/>
  <c r="AF72" i="5"/>
  <c r="AF84" i="5"/>
  <c r="AF30" i="5"/>
  <c r="AF57" i="5"/>
  <c r="AF139" i="5"/>
  <c r="AF88" i="5"/>
  <c r="AF135" i="5"/>
  <c r="AF129" i="5"/>
  <c r="AF47" i="5"/>
  <c r="AF188" i="5"/>
  <c r="AF106" i="5"/>
  <c r="AF104" i="5"/>
  <c r="AF147" i="5"/>
  <c r="AF112" i="5"/>
  <c r="AF31" i="5"/>
  <c r="AF126" i="5"/>
  <c r="AF132" i="5"/>
  <c r="AF168" i="5"/>
  <c r="AF26" i="5"/>
  <c r="AF163" i="5"/>
  <c r="AF183" i="5"/>
  <c r="AF50" i="5"/>
  <c r="AF23" i="5"/>
  <c r="AF136" i="5"/>
  <c r="AF96" i="5"/>
  <c r="AF102" i="5"/>
  <c r="AF173" i="5"/>
  <c r="AF131" i="5"/>
  <c r="AF69" i="5"/>
  <c r="AF76" i="5"/>
  <c r="AF155" i="5"/>
  <c r="AF46" i="5"/>
  <c r="AF73" i="5"/>
  <c r="AF178" i="5"/>
  <c r="AF18" i="5"/>
  <c r="AF144" i="5"/>
  <c r="AF165" i="5"/>
  <c r="AF134" i="5"/>
  <c r="AF120" i="5"/>
  <c r="AF62" i="5"/>
  <c r="AF90" i="5"/>
  <c r="AF93" i="5"/>
  <c r="AF171" i="5"/>
  <c r="AF190" i="5"/>
  <c r="AF97" i="5"/>
  <c r="AF153" i="5"/>
  <c r="AF107" i="5"/>
  <c r="AF71" i="5"/>
  <c r="AF148" i="5"/>
  <c r="AF86" i="5"/>
  <c r="AF103" i="5"/>
  <c r="AF130" i="5"/>
  <c r="AF34" i="5"/>
  <c r="AF149" i="5"/>
  <c r="AF140" i="5"/>
  <c r="AF167" i="5"/>
  <c r="AF169" i="5"/>
  <c r="AG169" i="5" l="1" a="1"/>
  <c r="R169" i="5" a="1"/>
  <c r="R140" i="5" a="1"/>
  <c r="S34" i="5" a="1"/>
  <c r="AG34" i="5" a="1"/>
  <c r="S103" i="5" a="1"/>
  <c r="S148" i="5" a="1"/>
  <c r="AG148" i="5" a="1"/>
  <c r="R107" i="5" a="1"/>
  <c r="AG97" i="5" a="1"/>
  <c r="S171" i="5" a="1"/>
  <c r="R171" i="5" a="1"/>
  <c r="AG90" i="5" a="1"/>
  <c r="S120" i="5" a="1"/>
  <c r="R120" i="5" a="1"/>
  <c r="R165" i="5" a="1"/>
  <c r="R18" i="5" a="1"/>
  <c r="AG18" i="5" a="1"/>
  <c r="S73" i="5" a="1"/>
  <c r="S155" i="5" a="1"/>
  <c r="R69" i="5" a="1"/>
  <c r="S173" i="5" a="1"/>
  <c r="AG173" i="5" a="1"/>
  <c r="R96" i="5" a="1"/>
  <c r="S23" i="5" a="1"/>
  <c r="R23" i="5" a="1"/>
  <c r="S183" i="5" a="1"/>
  <c r="R26" i="5" a="1"/>
  <c r="AG26" i="5" a="1"/>
  <c r="R132" i="5" a="1"/>
  <c r="R31" i="5" a="1"/>
  <c r="AG31" i="5" a="1"/>
  <c r="AG147" i="5" a="1"/>
  <c r="R106" i="5" a="1"/>
  <c r="AG106" i="5" a="1"/>
  <c r="S47" i="5" a="1"/>
  <c r="R135" i="5" a="1"/>
  <c r="AG135" i="5" a="1"/>
  <c r="R139" i="5" a="1"/>
  <c r="S30" i="5" a="1"/>
  <c r="R30" i="5" a="1"/>
  <c r="S72" i="5" a="1"/>
  <c r="S40" i="5" a="1"/>
  <c r="AG40" i="5" a="1"/>
  <c r="AG65" i="5" a="1"/>
  <c r="R119" i="5" a="1"/>
  <c r="AG119" i="5" a="1"/>
  <c r="AG100" i="5" a="1"/>
  <c r="S89" i="5" a="1"/>
  <c r="AG89" i="5" a="1"/>
  <c r="S117" i="5" a="1"/>
  <c r="S70" i="5" a="1"/>
  <c r="AG70" i="5" a="1"/>
  <c r="S48" i="5" a="1"/>
  <c r="R39" i="5" a="1"/>
  <c r="AG39" i="5" a="1"/>
  <c r="R95" i="5" a="1"/>
  <c r="R81" i="5" a="1"/>
  <c r="S81" i="5" a="1"/>
  <c r="R63" i="5" a="1"/>
  <c r="S121" i="5" a="1"/>
  <c r="AG121" i="5" a="1"/>
  <c r="R78" i="5" a="1"/>
  <c r="R150" i="5" a="1"/>
  <c r="AG150" i="5" a="1"/>
  <c r="S55" i="5" a="1"/>
  <c r="S157" i="5" a="1"/>
  <c r="AG157" i="5" a="1"/>
  <c r="R116" i="5" a="1"/>
  <c r="S159" i="5" a="1"/>
  <c r="R159" i="5" a="1"/>
  <c r="AG189" i="5" a="1"/>
  <c r="S175" i="5" a="1"/>
  <c r="AG175" i="5" a="1"/>
  <c r="R127" i="5" a="1"/>
  <c r="S179" i="5" a="1"/>
  <c r="AG179" i="5" a="1"/>
  <c r="S41" i="5" a="1"/>
  <c r="S61" i="5" a="1"/>
  <c r="AG61" i="5" a="1"/>
  <c r="R28" i="5" a="1"/>
  <c r="R92" i="5" a="1"/>
  <c r="S92" i="5" a="1"/>
  <c r="S37" i="5" a="1"/>
  <c r="S185" i="5" a="1"/>
  <c r="R185" i="5" a="1"/>
  <c r="AG177" i="5" a="1"/>
  <c r="R164" i="5" a="1"/>
  <c r="AG164" i="5" a="1"/>
  <c r="S118" i="5" a="1"/>
  <c r="S60" i="5" a="1"/>
  <c r="R60" i="5" a="1"/>
  <c r="S162" i="5" a="1"/>
  <c r="R99" i="5" a="1"/>
  <c r="AG99" i="5" a="1"/>
  <c r="R82" i="5" a="1"/>
  <c r="R85" i="5" a="1"/>
  <c r="S85" i="5" a="1"/>
  <c r="AG56" i="5" a="1"/>
  <c r="S101" i="5" a="1"/>
  <c r="AG101" i="5" a="1"/>
  <c r="S21" i="5" a="1"/>
  <c r="R138" i="5" a="1"/>
  <c r="S138" i="5" a="1"/>
  <c r="R66" i="5" a="1"/>
  <c r="R68" i="5" a="1"/>
  <c r="AG68" i="5" a="1"/>
  <c r="S176" i="5" a="1"/>
  <c r="S125" i="5" a="1"/>
  <c r="AG125" i="5" a="1"/>
  <c r="R128" i="5" a="1"/>
  <c r="R167" i="5" a="1"/>
  <c r="AG167" i="5" a="1"/>
  <c r="R149" i="5" a="1"/>
  <c r="S130" i="5" a="1"/>
  <c r="AG130" i="5" a="1"/>
  <c r="AG86" i="5" a="1"/>
  <c r="R71" i="5" a="1"/>
  <c r="AG71" i="5" a="1"/>
  <c r="S153" i="5" a="1"/>
  <c r="S190" i="5" a="1"/>
  <c r="AG190" i="5" a="1"/>
  <c r="S93" i="5" a="1"/>
  <c r="S62" i="5" a="1"/>
  <c r="AG62" i="5" a="1"/>
  <c r="R134" i="5" a="1"/>
  <c r="S144" i="5" a="1"/>
  <c r="AG144" i="5" a="1"/>
  <c r="R178" i="5" a="1"/>
  <c r="S46" i="5" a="1"/>
  <c r="AG46" i="5" a="1"/>
  <c r="R76" i="5" a="1"/>
  <c r="S131" i="5" a="1"/>
  <c r="AG131" i="5" a="1"/>
  <c r="R102" i="5" a="1"/>
  <c r="S136" i="5" a="1"/>
  <c r="AG136" i="5" a="1"/>
  <c r="R50" i="5" a="1"/>
  <c r="R163" i="5" a="1"/>
  <c r="AG163" i="5" a="1"/>
  <c r="AG168" i="5" a="1"/>
  <c r="S126" i="5" a="1"/>
  <c r="R126" i="5" a="1"/>
  <c r="R112" i="5" a="1"/>
  <c r="R104" i="5" a="1"/>
  <c r="S104" i="5" a="1"/>
  <c r="R188" i="5" a="1"/>
  <c r="R129" i="5" a="1"/>
  <c r="S129" i="5" a="1"/>
  <c r="S88" i="5" a="1"/>
  <c r="R57" i="5" a="1"/>
  <c r="AG57" i="5" a="1"/>
  <c r="AG84" i="5" a="1"/>
  <c r="S133" i="5" a="1"/>
  <c r="AG133" i="5" a="1"/>
  <c r="S79" i="5" a="1"/>
  <c r="AG80" i="5" a="1"/>
  <c r="R80" i="5" a="1"/>
  <c r="R19" i="5" a="1"/>
  <c r="S123" i="5" a="1"/>
  <c r="AG123" i="5" a="1"/>
  <c r="R20" i="5" a="1"/>
  <c r="S58" i="5" a="1"/>
  <c r="AG58" i="5" a="1"/>
  <c r="R137" i="5" a="1"/>
  <c r="R180" i="5" a="1"/>
  <c r="S180" i="5" a="1"/>
  <c r="R25" i="5" a="1"/>
  <c r="R158" i="5" a="1"/>
  <c r="S158" i="5" a="1"/>
  <c r="AG110" i="5" a="1"/>
  <c r="R74" i="5" a="1"/>
  <c r="S74" i="5" a="1"/>
  <c r="R142" i="5" a="1"/>
  <c r="S181" i="5" a="1"/>
  <c r="AG181" i="5" a="1"/>
  <c r="R59" i="5" a="1"/>
  <c r="S24" i="5" a="1"/>
  <c r="AG24" i="5" a="1"/>
  <c r="AG49" i="5" a="1"/>
  <c r="R108" i="5" a="1"/>
  <c r="S108" i="5" a="1"/>
  <c r="R87" i="5" a="1"/>
  <c r="S29" i="5" a="1"/>
  <c r="AG29" i="5" a="1"/>
  <c r="R77" i="5" a="1"/>
  <c r="S52" i="5" a="1"/>
  <c r="AG52" i="5" a="1"/>
  <c r="R36" i="5" a="1"/>
  <c r="AG35" i="5" a="1"/>
  <c r="R35" i="5" a="1"/>
  <c r="S151" i="5" a="1"/>
  <c r="S146" i="5" a="1"/>
  <c r="AG146" i="5" a="1"/>
  <c r="R113" i="5" a="1"/>
  <c r="S143" i="5" a="1"/>
  <c r="R143" i="5" a="1"/>
  <c r="R94" i="5" a="1"/>
  <c r="AG67" i="5" a="1"/>
  <c r="S67" i="5" a="1"/>
  <c r="R33" i="5" a="1"/>
  <c r="R187" i="5" a="1"/>
  <c r="AG187" i="5" a="1"/>
  <c r="R182" i="5" a="1"/>
  <c r="S124" i="5" a="1"/>
  <c r="R124" i="5" a="1"/>
  <c r="S53" i="5" a="1"/>
  <c r="R45" i="5" a="1"/>
  <c r="S45" i="5" a="1"/>
  <c r="S161" i="5" a="1"/>
  <c r="R160" i="5" a="1"/>
  <c r="AG160" i="5" a="1"/>
  <c r="R115" i="5" a="1"/>
  <c r="AG184" i="5" a="1"/>
  <c r="R184" i="5" a="1"/>
  <c r="R43" i="5" a="1"/>
  <c r="S152" i="5" a="1"/>
  <c r="R152" i="5" a="1"/>
  <c r="R54" i="5" a="1"/>
  <c r="S172" i="5" a="1"/>
  <c r="AG172" i="5" a="1"/>
  <c r="R122" i="5" a="1"/>
  <c r="R174" i="5" a="1"/>
  <c r="S174" i="5" a="1"/>
  <c r="S169" i="5" a="1"/>
  <c r="S140" i="5" a="1"/>
  <c r="AG140" i="5" a="1"/>
  <c r="R34" i="5" a="1"/>
  <c r="R103" i="5" a="1"/>
  <c r="AG103" i="5" a="1"/>
  <c r="R148" i="5" a="1"/>
  <c r="S107" i="5" a="1"/>
  <c r="AG107" i="5" a="1"/>
  <c r="R97" i="5" a="1"/>
  <c r="AG171" i="5" a="1"/>
  <c r="R90" i="5" a="1"/>
  <c r="S90" i="5" a="1"/>
  <c r="AG120" i="5" a="1"/>
  <c r="S165" i="5" a="1"/>
  <c r="S18" i="5" a="1"/>
  <c r="R73" i="5" a="1"/>
  <c r="AG73" i="5" a="1"/>
  <c r="R155" i="5" a="1"/>
  <c r="S69" i="5" a="1"/>
  <c r="AG69" i="5" a="1"/>
  <c r="R173" i="5" a="1"/>
  <c r="S96" i="5" a="1"/>
  <c r="AG96" i="5" a="1"/>
  <c r="AG23" i="5" a="1"/>
  <c r="R183" i="5" a="1"/>
  <c r="AG183" i="5" a="1"/>
  <c r="S26" i="5" a="1"/>
  <c r="S132" i="5" a="1"/>
  <c r="AG132" i="5" a="1"/>
  <c r="S31" i="5" a="1"/>
  <c r="R147" i="5" a="1"/>
  <c r="S147" i="5" a="1"/>
  <c r="S106" i="5" a="1"/>
  <c r="AG47" i="5" a="1"/>
  <c r="R47" i="5" a="1"/>
  <c r="S135" i="5" a="1"/>
  <c r="S139" i="5" a="1"/>
  <c r="AG139" i="5" a="1"/>
  <c r="AG30" i="5" a="1"/>
  <c r="R72" i="5" a="1"/>
  <c r="AG72" i="5" a="1"/>
  <c r="R40" i="5" a="1"/>
  <c r="S65" i="5" a="1"/>
  <c r="R65" i="5" a="1"/>
  <c r="S119" i="5" a="1"/>
  <c r="S100" i="5" a="1"/>
  <c r="R100" i="5" a="1"/>
  <c r="R89" i="5" a="1"/>
  <c r="AG117" i="5" a="1"/>
  <c r="R117" i="5" a="1"/>
  <c r="R70" i="5" a="1"/>
  <c r="R48" i="5" a="1"/>
  <c r="AG48" i="5" a="1"/>
  <c r="S39" i="5" a="1"/>
  <c r="S95" i="5" a="1"/>
  <c r="AG95" i="5" a="1"/>
  <c r="AG81" i="5" a="1"/>
  <c r="S63" i="5" a="1"/>
  <c r="AG63" i="5" a="1"/>
  <c r="R121" i="5" a="1"/>
  <c r="S78" i="5" a="1"/>
  <c r="AG78" i="5" a="1"/>
  <c r="S150" i="5" a="1"/>
  <c r="R55" i="5" a="1"/>
  <c r="AG55" i="5" a="1"/>
  <c r="R157" i="5" a="1"/>
  <c r="S116" i="5" a="1"/>
  <c r="AG116" i="5" a="1"/>
  <c r="AG159" i="5" a="1"/>
  <c r="S189" i="5" a="1"/>
  <c r="R189" i="5" a="1"/>
  <c r="R175" i="5" a="1"/>
  <c r="S127" i="5" a="1"/>
  <c r="AG127" i="5" a="1"/>
  <c r="R179" i="5" a="1"/>
  <c r="R41" i="5" a="1"/>
  <c r="AG41" i="5" a="1"/>
  <c r="R61" i="5" a="1"/>
  <c r="S28" i="5" a="1"/>
  <c r="AG28" i="5" a="1"/>
  <c r="AG92" i="5" a="1"/>
  <c r="R37" i="5" a="1"/>
  <c r="AG37" i="5" a="1"/>
  <c r="AG185" i="5" a="1"/>
  <c r="R177" i="5" a="1"/>
  <c r="S177" i="5" a="1"/>
  <c r="S164" i="5" a="1"/>
  <c r="R118" i="5" a="1"/>
  <c r="AG118" i="5" a="1"/>
  <c r="AG60" i="5" a="1"/>
  <c r="R162" i="5" a="1"/>
  <c r="AG162" i="5" a="1"/>
  <c r="S99" i="5" a="1"/>
  <c r="S82" i="5" a="1"/>
  <c r="AG82" i="5" a="1"/>
  <c r="AG85" i="5" a="1"/>
  <c r="R56" i="5" a="1"/>
  <c r="S56" i="5" a="1"/>
  <c r="R101" i="5" a="1"/>
  <c r="AG21" i="5" a="1"/>
  <c r="R21" i="5" a="1"/>
  <c r="AG138" i="5" a="1"/>
  <c r="S66" i="5" a="1"/>
  <c r="AG66" i="5" a="1"/>
  <c r="S68" i="5" a="1"/>
  <c r="R176" i="5" a="1"/>
  <c r="AG176" i="5" a="1"/>
  <c r="R125" i="5" a="1"/>
  <c r="S128" i="5" a="1"/>
  <c r="AG128" i="5" a="1"/>
  <c r="S167" i="5" a="1"/>
  <c r="S149" i="5" a="1"/>
  <c r="AG149" i="5" a="1"/>
  <c r="R130" i="5" a="1"/>
  <c r="S86" i="5" a="1"/>
  <c r="R86" i="5" a="1"/>
  <c r="S71" i="5" a="1"/>
  <c r="R153" i="5" a="1"/>
  <c r="AG153" i="5" a="1"/>
  <c r="R190" i="5" a="1"/>
  <c r="R93" i="5" a="1"/>
  <c r="AG93" i="5" a="1"/>
  <c r="R62" i="5" a="1"/>
  <c r="S134" i="5" a="1"/>
  <c r="AG134" i="5" a="1"/>
  <c r="R144" i="5" a="1"/>
  <c r="S178" i="5" a="1"/>
  <c r="AG178" i="5" a="1"/>
  <c r="R46" i="5" a="1"/>
  <c r="S76" i="5" a="1"/>
  <c r="AG76" i="5" a="1"/>
  <c r="R131" i="5" a="1"/>
  <c r="S102" i="5" a="1"/>
  <c r="AG102" i="5" a="1"/>
  <c r="R136" i="5" a="1"/>
  <c r="AG50" i="5" a="1"/>
  <c r="S50" i="5" a="1"/>
  <c r="S163" i="5" a="1"/>
  <c r="S168" i="5" a="1"/>
  <c r="R168" i="5" a="1"/>
  <c r="AG126" i="5" a="1"/>
  <c r="S112" i="5" a="1"/>
  <c r="AG112" i="5" a="1"/>
  <c r="AG104" i="5" a="1"/>
  <c r="S188" i="5" a="1"/>
  <c r="AG188" i="5" a="1"/>
  <c r="AG129" i="5" a="1"/>
  <c r="R88" i="5" a="1"/>
  <c r="AG88" i="5" a="1"/>
  <c r="S57" i="5" a="1"/>
  <c r="R84" i="5" a="1"/>
  <c r="S84" i="5" a="1"/>
  <c r="R133" i="5" a="1"/>
  <c r="R79" i="5" a="1"/>
  <c r="AG79" i="5" a="1"/>
  <c r="S80" i="5" a="1"/>
  <c r="S19" i="5" a="1"/>
  <c r="AG19" i="5" a="1"/>
  <c r="R123" i="5" a="1"/>
  <c r="S20" i="5" a="1"/>
  <c r="AG20" i="5" a="1"/>
  <c r="R58" i="5" a="1"/>
  <c r="S137" i="5" a="1"/>
  <c r="AG137" i="5" a="1"/>
  <c r="AG180" i="5" a="1"/>
  <c r="S25" i="5" a="1"/>
  <c r="AG25" i="5" a="1"/>
  <c r="AG158" i="5" a="1"/>
  <c r="R110" i="5" a="1"/>
  <c r="S110" i="5" a="1"/>
  <c r="S142" i="5" a="1"/>
  <c r="AG142" i="5" a="1"/>
  <c r="R181" i="5" a="1"/>
  <c r="S59" i="5" a="1"/>
  <c r="AG59" i="5" a="1"/>
  <c r="R24" i="5" a="1"/>
  <c r="S49" i="5" a="1"/>
  <c r="R49" i="5" a="1"/>
  <c r="AG108" i="5" a="1"/>
  <c r="S87" i="5" a="1"/>
  <c r="AG87" i="5" a="1"/>
  <c r="R29" i="5" a="1"/>
  <c r="S77" i="5" a="1"/>
  <c r="AG77" i="5" a="1"/>
  <c r="R52" i="5" a="1"/>
  <c r="S36" i="5" a="1"/>
  <c r="AG36" i="5" a="1"/>
  <c r="S35" i="5" a="1"/>
  <c r="R151" i="5" a="1"/>
  <c r="AG151" i="5" a="1"/>
  <c r="R146" i="5" a="1"/>
  <c r="S113" i="5" a="1"/>
  <c r="AG113" i="5" a="1"/>
  <c r="AG143" i="5" a="1"/>
  <c r="S94" i="5" a="1"/>
  <c r="AG94" i="5" a="1"/>
  <c r="R67" i="5" a="1"/>
  <c r="S33" i="5" a="1"/>
  <c r="AG33" i="5" a="1"/>
  <c r="S187" i="5" a="1"/>
  <c r="S182" i="5" a="1"/>
  <c r="AG182" i="5" a="1"/>
  <c r="AG124" i="5" a="1"/>
  <c r="R53" i="5" a="1"/>
  <c r="AG53" i="5" a="1"/>
  <c r="AG45" i="5" a="1"/>
  <c r="R161" i="5" a="1"/>
  <c r="AG161" i="5" a="1"/>
  <c r="S160" i="5" a="1"/>
  <c r="S115" i="5" a="1"/>
  <c r="AG115" i="5" a="1"/>
  <c r="S184" i="5" a="1"/>
  <c r="S43" i="5" a="1"/>
  <c r="AG43" i="5" a="1"/>
  <c r="AG152" i="5" a="1"/>
  <c r="S54" i="5" a="1"/>
  <c r="AG54" i="5" a="1"/>
  <c r="R172" i="5" a="1"/>
  <c r="S122" i="5" a="1"/>
  <c r="AG122" i="5" a="1"/>
  <c r="AG174" i="5" a="1"/>
  <c r="AG174" i="5" l="1"/>
  <c r="AG122" i="5"/>
  <c r="U122" i="5" s="1"/>
  <c r="S122" i="5"/>
  <c r="R172" i="5"/>
  <c r="AG54" i="5"/>
  <c r="U54" i="5" s="1"/>
  <c r="S54" i="5"/>
  <c r="AG152" i="5"/>
  <c r="U152" i="5" s="1"/>
  <c r="AG43" i="5"/>
  <c r="U43" i="5" s="1"/>
  <c r="S43" i="5"/>
  <c r="S184" i="5"/>
  <c r="AG115" i="5"/>
  <c r="U115" i="5" s="1"/>
  <c r="S115" i="5"/>
  <c r="S160" i="5"/>
  <c r="AG161" i="5"/>
  <c r="U161" i="5" s="1"/>
  <c r="R161" i="5"/>
  <c r="AG45" i="5"/>
  <c r="U45" i="5" s="1"/>
  <c r="AG53" i="5"/>
  <c r="U53" i="5" s="1"/>
  <c r="R53" i="5"/>
  <c r="AG124" i="5"/>
  <c r="U124" i="5" s="1"/>
  <c r="AG182" i="5"/>
  <c r="S182" i="5"/>
  <c r="S187" i="5"/>
  <c r="AG33" i="5"/>
  <c r="U33" i="5" s="1"/>
  <c r="S33" i="5"/>
  <c r="R67" i="5"/>
  <c r="AG94" i="5"/>
  <c r="U94" i="5" s="1"/>
  <c r="S94" i="5"/>
  <c r="AG143" i="5"/>
  <c r="U143" i="5" s="1"/>
  <c r="AG113" i="5"/>
  <c r="U113" i="5" s="1"/>
  <c r="S113" i="5"/>
  <c r="R146" i="5"/>
  <c r="AG151" i="5"/>
  <c r="U151" i="5" s="1"/>
  <c r="R151" i="5"/>
  <c r="S35" i="5"/>
  <c r="AG36" i="5"/>
  <c r="U36" i="5" s="1"/>
  <c r="S36" i="5"/>
  <c r="R52" i="5"/>
  <c r="AG77" i="5"/>
  <c r="U77" i="5" s="1"/>
  <c r="S77" i="5"/>
  <c r="R29" i="5"/>
  <c r="AG87" i="5"/>
  <c r="U87" i="5" s="1"/>
  <c r="S87" i="5"/>
  <c r="AG108" i="5"/>
  <c r="U108" i="5" s="1"/>
  <c r="R49" i="5"/>
  <c r="S49" i="5"/>
  <c r="R24" i="5"/>
  <c r="AG59" i="5"/>
  <c r="U59" i="5" s="1"/>
  <c r="S59" i="5"/>
  <c r="R181" i="5"/>
  <c r="AG142" i="5"/>
  <c r="U142" i="5" s="1"/>
  <c r="S142" i="5"/>
  <c r="S110" i="5"/>
  <c r="R110" i="5"/>
  <c r="AG158" i="5"/>
  <c r="U158" i="5" s="1"/>
  <c r="AG25" i="5"/>
  <c r="U25" i="5" s="1"/>
  <c r="S25" i="5"/>
  <c r="AG180" i="5"/>
  <c r="AG137" i="5"/>
  <c r="U137" i="5" s="1"/>
  <c r="S137" i="5"/>
  <c r="R58" i="5"/>
  <c r="AG20" i="5"/>
  <c r="U20" i="5" s="1"/>
  <c r="S20" i="5"/>
  <c r="R123" i="5"/>
  <c r="AG19" i="5"/>
  <c r="U19" i="5" s="1"/>
  <c r="S19" i="5"/>
  <c r="S80" i="5"/>
  <c r="AG79" i="5"/>
  <c r="U79" i="5" s="1"/>
  <c r="R79" i="5"/>
  <c r="R133" i="5"/>
  <c r="S84" i="5"/>
  <c r="R84" i="5"/>
  <c r="S57" i="5"/>
  <c r="AG88" i="5"/>
  <c r="U88" i="5" s="1"/>
  <c r="R88" i="5"/>
  <c r="AG129" i="5"/>
  <c r="U129" i="5" s="1"/>
  <c r="AG188" i="5"/>
  <c r="U188" i="5" s="1"/>
  <c r="S188" i="5"/>
  <c r="AG104" i="5"/>
  <c r="U104" i="5" s="1"/>
  <c r="AG112" i="5"/>
  <c r="U112" i="5" s="1"/>
  <c r="S112" i="5"/>
  <c r="AG126" i="5"/>
  <c r="U126" i="5" s="1"/>
  <c r="R168" i="5"/>
  <c r="S168" i="5"/>
  <c r="S163" i="5"/>
  <c r="S50" i="5"/>
  <c r="AG50" i="5"/>
  <c r="U50" i="5" s="1"/>
  <c r="R136" i="5"/>
  <c r="AG102" i="5"/>
  <c r="U102" i="5" s="1"/>
  <c r="S102" i="5"/>
  <c r="R131" i="5"/>
  <c r="AG76" i="5"/>
  <c r="U76" i="5" s="1"/>
  <c r="S76" i="5"/>
  <c r="R46" i="5"/>
  <c r="AG178" i="5"/>
  <c r="S178" i="5"/>
  <c r="R144" i="5"/>
  <c r="AG134" i="5"/>
  <c r="U134" i="5" s="1"/>
  <c r="S134" i="5"/>
  <c r="R62" i="5"/>
  <c r="AG93" i="5"/>
  <c r="U93" i="5" s="1"/>
  <c r="R93" i="5"/>
  <c r="R190" i="5"/>
  <c r="AG153" i="5"/>
  <c r="U153" i="5" s="1"/>
  <c r="R153" i="5"/>
  <c r="S71" i="5"/>
  <c r="R86" i="5"/>
  <c r="S86" i="5"/>
  <c r="R130" i="5"/>
  <c r="AG149" i="5"/>
  <c r="U149" i="5" s="1"/>
  <c r="S149" i="5"/>
  <c r="S167" i="5"/>
  <c r="AG128" i="5"/>
  <c r="U128" i="5" s="1"/>
  <c r="S128" i="5"/>
  <c r="R125" i="5"/>
  <c r="AG176" i="5"/>
  <c r="R176" i="5"/>
  <c r="S68" i="5"/>
  <c r="AG66" i="5"/>
  <c r="U66" i="5" s="1"/>
  <c r="S66" i="5"/>
  <c r="AG138" i="5"/>
  <c r="U138" i="5" s="1"/>
  <c r="R21" i="5"/>
  <c r="AG21" i="5"/>
  <c r="U21" i="5" s="1"/>
  <c r="R101" i="5"/>
  <c r="S56" i="5"/>
  <c r="R56" i="5"/>
  <c r="AG85" i="5"/>
  <c r="U85" i="5" s="1"/>
  <c r="AG82" i="5"/>
  <c r="U82" i="5" s="1"/>
  <c r="S82" i="5"/>
  <c r="S99" i="5"/>
  <c r="AG162" i="5"/>
  <c r="U162" i="5" s="1"/>
  <c r="R162" i="5"/>
  <c r="AG60" i="5"/>
  <c r="U60" i="5" s="1"/>
  <c r="AG118" i="5"/>
  <c r="U118" i="5" s="1"/>
  <c r="R118" i="5"/>
  <c r="S164" i="5"/>
  <c r="S177" i="5"/>
  <c r="R177" i="5"/>
  <c r="AG185" i="5"/>
  <c r="AG37" i="5"/>
  <c r="U37" i="5" s="1"/>
  <c r="R37" i="5"/>
  <c r="AG92" i="5"/>
  <c r="U92" i="5" s="1"/>
  <c r="AG28" i="5"/>
  <c r="U28" i="5" s="1"/>
  <c r="S28" i="5"/>
  <c r="R61" i="5"/>
  <c r="AG41" i="5"/>
  <c r="U41" i="5" s="1"/>
  <c r="R41" i="5"/>
  <c r="R179" i="5"/>
  <c r="AG127" i="5"/>
  <c r="U127" i="5" s="1"/>
  <c r="S127" i="5"/>
  <c r="R175" i="5"/>
  <c r="R189" i="5"/>
  <c r="S189" i="5"/>
  <c r="AG159" i="5"/>
  <c r="U159" i="5" s="1"/>
  <c r="AG116" i="5"/>
  <c r="U116" i="5" s="1"/>
  <c r="S116" i="5"/>
  <c r="R157" i="5"/>
  <c r="AG55" i="5"/>
  <c r="U55" i="5" s="1"/>
  <c r="R55" i="5"/>
  <c r="S150" i="5"/>
  <c r="AG78" i="5"/>
  <c r="U78" i="5" s="1"/>
  <c r="S78" i="5"/>
  <c r="R121" i="5"/>
  <c r="AG63" i="5"/>
  <c r="U63" i="5" s="1"/>
  <c r="S63" i="5"/>
  <c r="AG81" i="5"/>
  <c r="U81" i="5" s="1"/>
  <c r="AG95" i="5"/>
  <c r="U95" i="5" s="1"/>
  <c r="S95" i="5"/>
  <c r="S39" i="5"/>
  <c r="AG48" i="5"/>
  <c r="U48" i="5" s="1"/>
  <c r="R48" i="5"/>
  <c r="R70" i="5"/>
  <c r="R117" i="5"/>
  <c r="AG117" i="5"/>
  <c r="U117" i="5" s="1"/>
  <c r="R89" i="5"/>
  <c r="R100" i="5"/>
  <c r="S100" i="5"/>
  <c r="S119" i="5"/>
  <c r="R65" i="5"/>
  <c r="S65" i="5"/>
  <c r="R40" i="5"/>
  <c r="AG72" i="5"/>
  <c r="U72" i="5" s="1"/>
  <c r="R72" i="5"/>
  <c r="AG30" i="5"/>
  <c r="U30" i="5" s="1"/>
  <c r="AG139" i="5"/>
  <c r="U139" i="5" s="1"/>
  <c r="S139" i="5"/>
  <c r="S135" i="5"/>
  <c r="R47" i="5"/>
  <c r="AG47" i="5"/>
  <c r="U47" i="5" s="1"/>
  <c r="S106" i="5"/>
  <c r="S147" i="5"/>
  <c r="R147" i="5"/>
  <c r="S31" i="5"/>
  <c r="AG132" i="5"/>
  <c r="U132" i="5" s="1"/>
  <c r="S132" i="5"/>
  <c r="S26" i="5"/>
  <c r="AG183" i="5"/>
  <c r="R183" i="5"/>
  <c r="AG23" i="5"/>
  <c r="U23" i="5" s="1"/>
  <c r="AG96" i="5"/>
  <c r="U96" i="5" s="1"/>
  <c r="S96" i="5"/>
  <c r="R173" i="5"/>
  <c r="AG69" i="5"/>
  <c r="U69" i="5" s="1"/>
  <c r="S69" i="5"/>
  <c r="R155" i="5"/>
  <c r="AG73" i="5"/>
  <c r="U73" i="5" s="1"/>
  <c r="R73" i="5"/>
  <c r="S18" i="5"/>
  <c r="S165" i="5"/>
  <c r="AG120" i="5"/>
  <c r="U120" i="5" s="1"/>
  <c r="S90" i="5"/>
  <c r="R90" i="5"/>
  <c r="AG171" i="5"/>
  <c r="R97" i="5"/>
  <c r="AG107" i="5"/>
  <c r="U107" i="5" s="1"/>
  <c r="S107" i="5"/>
  <c r="R148" i="5"/>
  <c r="AG103" i="5"/>
  <c r="U103" i="5" s="1"/>
  <c r="R103" i="5"/>
  <c r="R34" i="5"/>
  <c r="AG140" i="5"/>
  <c r="U140" i="5" s="1"/>
  <c r="S140" i="5"/>
  <c r="S169" i="5"/>
  <c r="S174" i="5"/>
  <c r="R174" i="5"/>
  <c r="R122" i="5"/>
  <c r="AG172" i="5"/>
  <c r="S172" i="5"/>
  <c r="R54" i="5"/>
  <c r="R152" i="5"/>
  <c r="S152" i="5"/>
  <c r="R43" i="5"/>
  <c r="R184" i="5"/>
  <c r="AG184" i="5"/>
  <c r="R115" i="5"/>
  <c r="AG160" i="5"/>
  <c r="U160" i="5" s="1"/>
  <c r="R160" i="5"/>
  <c r="S161" i="5"/>
  <c r="S45" i="5"/>
  <c r="R45" i="5"/>
  <c r="S53" i="5"/>
  <c r="R124" i="5"/>
  <c r="S124" i="5"/>
  <c r="R182" i="5"/>
  <c r="AG187" i="5"/>
  <c r="U187" i="5" s="1"/>
  <c r="R187" i="5"/>
  <c r="R33" i="5"/>
  <c r="S67" i="5"/>
  <c r="AG67" i="5"/>
  <c r="U67" i="5" s="1"/>
  <c r="R94" i="5"/>
  <c r="R143" i="5"/>
  <c r="S143" i="5"/>
  <c r="R113" i="5"/>
  <c r="AG146" i="5"/>
  <c r="U146" i="5" s="1"/>
  <c r="S146" i="5"/>
  <c r="S151" i="5"/>
  <c r="R35" i="5"/>
  <c r="AG35" i="5"/>
  <c r="U35" i="5" s="1"/>
  <c r="R36" i="5"/>
  <c r="AG52" i="5"/>
  <c r="U52" i="5" s="1"/>
  <c r="S52" i="5"/>
  <c r="R77" i="5"/>
  <c r="AG29" i="5"/>
  <c r="U29" i="5" s="1"/>
  <c r="S29" i="5"/>
  <c r="R87" i="5"/>
  <c r="S108" i="5"/>
  <c r="R108" i="5"/>
  <c r="AG49" i="5"/>
  <c r="U49" i="5" s="1"/>
  <c r="AG24" i="5"/>
  <c r="U24" i="5" s="1"/>
  <c r="S24" i="5"/>
  <c r="R59" i="5"/>
  <c r="AG181" i="5"/>
  <c r="S181" i="5"/>
  <c r="R142" i="5"/>
  <c r="S74" i="5"/>
  <c r="R74" i="5"/>
  <c r="AG110" i="5"/>
  <c r="U110" i="5" s="1"/>
  <c r="S158" i="5"/>
  <c r="R158" i="5"/>
  <c r="R25" i="5"/>
  <c r="S180" i="5"/>
  <c r="R180" i="5"/>
  <c r="R137" i="5"/>
  <c r="AG58" i="5"/>
  <c r="U58" i="5" s="1"/>
  <c r="S58" i="5"/>
  <c r="R20" i="5"/>
  <c r="AG123" i="5"/>
  <c r="U123" i="5" s="1"/>
  <c r="S123" i="5"/>
  <c r="R19" i="5"/>
  <c r="R80" i="5"/>
  <c r="AG80" i="5"/>
  <c r="U80" i="5" s="1"/>
  <c r="S79" i="5"/>
  <c r="AG133" i="5"/>
  <c r="U133" i="5" s="1"/>
  <c r="S133" i="5"/>
  <c r="AG84" i="5"/>
  <c r="U84" i="5" s="1"/>
  <c r="AG57" i="5"/>
  <c r="U57" i="5" s="1"/>
  <c r="R57" i="5"/>
  <c r="S88" i="5"/>
  <c r="S129" i="5"/>
  <c r="R129" i="5"/>
  <c r="R188" i="5"/>
  <c r="S104" i="5"/>
  <c r="R104" i="5"/>
  <c r="R112" i="5"/>
  <c r="R126" i="5"/>
  <c r="S126" i="5"/>
  <c r="AG168" i="5"/>
  <c r="U168" i="5" s="1"/>
  <c r="AG163" i="5"/>
  <c r="U163" i="5" s="1"/>
  <c r="R163" i="5"/>
  <c r="R50" i="5"/>
  <c r="AG136" i="5"/>
  <c r="U136" i="5" s="1"/>
  <c r="S136" i="5"/>
  <c r="R102" i="5"/>
  <c r="AG131" i="5"/>
  <c r="U131" i="5" s="1"/>
  <c r="S131" i="5"/>
  <c r="R76" i="5"/>
  <c r="AG46" i="5"/>
  <c r="U46" i="5" s="1"/>
  <c r="S46" i="5"/>
  <c r="R178" i="5"/>
  <c r="AG144" i="5"/>
  <c r="U144" i="5" s="1"/>
  <c r="S144" i="5"/>
  <c r="R134" i="5"/>
  <c r="AG62" i="5"/>
  <c r="U62" i="5" s="1"/>
  <c r="S62" i="5"/>
  <c r="S93" i="5"/>
  <c r="AG190" i="5"/>
  <c r="U190" i="5" s="1"/>
  <c r="S190" i="5"/>
  <c r="S153" i="5"/>
  <c r="AG71" i="5"/>
  <c r="U71" i="5" s="1"/>
  <c r="R71" i="5"/>
  <c r="AG86" i="5"/>
  <c r="U86" i="5" s="1"/>
  <c r="AG130" i="5"/>
  <c r="U130" i="5" s="1"/>
  <c r="S130" i="5"/>
  <c r="R149" i="5"/>
  <c r="AG167" i="5"/>
  <c r="U167" i="5" s="1"/>
  <c r="R167" i="5"/>
  <c r="R128" i="5"/>
  <c r="AG125" i="5"/>
  <c r="U125" i="5" s="1"/>
  <c r="S125" i="5"/>
  <c r="S176" i="5"/>
  <c r="AG68" i="5"/>
  <c r="U68" i="5" s="1"/>
  <c r="R68" i="5"/>
  <c r="R66" i="5"/>
  <c r="S138" i="5"/>
  <c r="R138" i="5"/>
  <c r="S21" i="5"/>
  <c r="AG101" i="5"/>
  <c r="U101" i="5" s="1"/>
  <c r="S101" i="5"/>
  <c r="AG56" i="5"/>
  <c r="U56" i="5" s="1"/>
  <c r="S85" i="5"/>
  <c r="R85" i="5"/>
  <c r="R82" i="5"/>
  <c r="AG99" i="5"/>
  <c r="U99" i="5" s="1"/>
  <c r="R99" i="5"/>
  <c r="S162" i="5"/>
  <c r="R60" i="5"/>
  <c r="S60" i="5"/>
  <c r="S118" i="5"/>
  <c r="AG164" i="5"/>
  <c r="U164" i="5" s="1"/>
  <c r="R164" i="5"/>
  <c r="AG177" i="5"/>
  <c r="R185" i="5"/>
  <c r="S185" i="5"/>
  <c r="S37" i="5"/>
  <c r="S92" i="5"/>
  <c r="R92" i="5"/>
  <c r="R28" i="5"/>
  <c r="AG61" i="5"/>
  <c r="U61" i="5" s="1"/>
  <c r="S61" i="5"/>
  <c r="S41" i="5"/>
  <c r="AG179" i="5"/>
  <c r="S179" i="5"/>
  <c r="R127" i="5"/>
  <c r="AG175" i="5"/>
  <c r="S175" i="5"/>
  <c r="AG189" i="5"/>
  <c r="U189" i="5" s="1"/>
  <c r="R159" i="5"/>
  <c r="S159" i="5"/>
  <c r="R116" i="5"/>
  <c r="AG157" i="5"/>
  <c r="U157" i="5" s="1"/>
  <c r="S157" i="5"/>
  <c r="S55" i="5"/>
  <c r="AG150" i="5"/>
  <c r="U150" i="5" s="1"/>
  <c r="R150" i="5"/>
  <c r="R78" i="5"/>
  <c r="AG121" i="5"/>
  <c r="U121" i="5" s="1"/>
  <c r="S121" i="5"/>
  <c r="R63" i="5"/>
  <c r="S81" i="5"/>
  <c r="R81" i="5"/>
  <c r="R95" i="5"/>
  <c r="AG39" i="5"/>
  <c r="U39" i="5" s="1"/>
  <c r="R39" i="5"/>
  <c r="S48" i="5"/>
  <c r="AG70" i="5"/>
  <c r="U70" i="5" s="1"/>
  <c r="S70" i="5"/>
  <c r="S117" i="5"/>
  <c r="AG89" i="5"/>
  <c r="U89" i="5" s="1"/>
  <c r="S89" i="5"/>
  <c r="AG100" i="5"/>
  <c r="U100" i="5" s="1"/>
  <c r="AG119" i="5"/>
  <c r="U119" i="5" s="1"/>
  <c r="R119" i="5"/>
  <c r="AG65" i="5"/>
  <c r="U65" i="5" s="1"/>
  <c r="AG40" i="5"/>
  <c r="U40" i="5" s="1"/>
  <c r="S40" i="5"/>
  <c r="S72" i="5"/>
  <c r="R30" i="5"/>
  <c r="S30" i="5"/>
  <c r="R139" i="5"/>
  <c r="AG135" i="5"/>
  <c r="U135" i="5" s="1"/>
  <c r="R135" i="5"/>
  <c r="S47" i="5"/>
  <c r="AG106" i="5"/>
  <c r="U106" i="5" s="1"/>
  <c r="R106" i="5"/>
  <c r="AG147" i="5"/>
  <c r="U147" i="5" s="1"/>
  <c r="AG31" i="5"/>
  <c r="U31" i="5" s="1"/>
  <c r="R31" i="5"/>
  <c r="R132" i="5"/>
  <c r="AG26" i="5"/>
  <c r="U26" i="5" s="1"/>
  <c r="R26" i="5"/>
  <c r="S183" i="5"/>
  <c r="R23" i="5"/>
  <c r="S23" i="5"/>
  <c r="R96" i="5"/>
  <c r="AG173" i="5"/>
  <c r="S173" i="5"/>
  <c r="R69" i="5"/>
  <c r="S155" i="5"/>
  <c r="S73" i="5"/>
  <c r="AG18" i="5"/>
  <c r="U18" i="5" s="1"/>
  <c r="R18" i="5"/>
  <c r="R165" i="5"/>
  <c r="R120" i="5"/>
  <c r="S120" i="5"/>
  <c r="AG90" i="5"/>
  <c r="U90" i="5" s="1"/>
  <c r="R171" i="5"/>
  <c r="S171" i="5"/>
  <c r="AG97" i="5"/>
  <c r="U97" i="5" s="1"/>
  <c r="R107" i="5"/>
  <c r="AG148" i="5"/>
  <c r="U148" i="5" s="1"/>
  <c r="S148" i="5"/>
  <c r="S103" i="5"/>
  <c r="AG34" i="5"/>
  <c r="U34" i="5" s="1"/>
  <c r="S34" i="5"/>
  <c r="R140" i="5"/>
  <c r="R169" i="5"/>
  <c r="AG169" i="5"/>
  <c r="U169" i="5" s="1"/>
  <c r="AN169" i="5" l="1" a="1"/>
  <c r="AN169" i="5" s="1"/>
  <c r="W169" i="5" a="1"/>
  <c r="W169" i="5" s="1"/>
  <c r="E140" i="12"/>
  <c r="F140" i="6"/>
  <c r="AN34" i="5" a="1"/>
  <c r="AN34" i="5" s="1"/>
  <c r="W34" i="5" a="1"/>
  <c r="W34" i="5" s="1"/>
  <c r="G148" i="6"/>
  <c r="F148" i="12" a="1"/>
  <c r="F148" i="12" s="1"/>
  <c r="F107" i="6"/>
  <c r="E107" i="12"/>
  <c r="G171" i="6"/>
  <c r="F171" i="12" a="1"/>
  <c r="F171" i="12" s="1"/>
  <c r="W90" i="5" a="1"/>
  <c r="W90" i="5" s="1"/>
  <c r="AN90" i="5" a="1"/>
  <c r="AN90" i="5" s="1"/>
  <c r="E120" i="12"/>
  <c r="F120" i="6"/>
  <c r="F18" i="6"/>
  <c r="E18" i="12"/>
  <c r="F73" i="12" a="1"/>
  <c r="F73" i="12" s="1"/>
  <c r="G73" i="6"/>
  <c r="F69" i="6"/>
  <c r="E69" i="12"/>
  <c r="F23" i="12" a="1"/>
  <c r="F23" i="12" s="1"/>
  <c r="G23" i="6"/>
  <c r="F183" i="12" a="1"/>
  <c r="F183" i="12" s="1"/>
  <c r="G183" i="6"/>
  <c r="AN26" i="5" a="1"/>
  <c r="AN26" i="5" s="1"/>
  <c r="W26" i="5" a="1"/>
  <c r="W26" i="5" s="1"/>
  <c r="F31" i="6"/>
  <c r="E31" i="12"/>
  <c r="AN147" i="5" a="1"/>
  <c r="AN147" i="5" s="1"/>
  <c r="W147" i="5" a="1"/>
  <c r="W147" i="5" s="1"/>
  <c r="W106" i="5" a="1"/>
  <c r="W106" i="5" s="1"/>
  <c r="AN106" i="5" a="1"/>
  <c r="AN106" i="5" s="1"/>
  <c r="F135" i="6"/>
  <c r="E135" i="12"/>
  <c r="F139" i="6"/>
  <c r="E139" i="12"/>
  <c r="F30" i="6"/>
  <c r="E30" i="12"/>
  <c r="F40" i="12" a="1"/>
  <c r="F40" i="12" s="1"/>
  <c r="G40" i="6"/>
  <c r="AN65" i="5" a="1"/>
  <c r="AN65" i="5" s="1"/>
  <c r="W65" i="5" a="1"/>
  <c r="W65" i="5" s="1"/>
  <c r="AN119" i="5" a="1"/>
  <c r="AN119" i="5" s="1"/>
  <c r="W119" i="5" a="1"/>
  <c r="W119" i="5" s="1"/>
  <c r="G89" i="6"/>
  <c r="F89" i="12" a="1"/>
  <c r="F89" i="12" s="1"/>
  <c r="F117" i="12" a="1"/>
  <c r="F117" i="12" s="1"/>
  <c r="G117" i="6"/>
  <c r="AN70" i="5" a="1"/>
  <c r="AN70" i="5" s="1"/>
  <c r="W70" i="5" a="1"/>
  <c r="W70" i="5" s="1"/>
  <c r="F39" i="6"/>
  <c r="E39" i="12"/>
  <c r="F95" i="6"/>
  <c r="E95" i="12"/>
  <c r="F81" i="12" a="1"/>
  <c r="F81" i="12" s="1"/>
  <c r="G81" i="6"/>
  <c r="G121" i="6"/>
  <c r="F121" i="12" a="1"/>
  <c r="F121" i="12" s="1"/>
  <c r="F78" i="6"/>
  <c r="E78" i="12"/>
  <c r="W150" i="5" a="1"/>
  <c r="W150" i="5" s="1"/>
  <c r="AN150" i="5" a="1"/>
  <c r="AN150" i="5" s="1"/>
  <c r="F157" i="12" a="1"/>
  <c r="F157" i="12" s="1"/>
  <c r="G157" i="6"/>
  <c r="F116" i="6"/>
  <c r="E116" i="12"/>
  <c r="F159" i="6"/>
  <c r="E159" i="12"/>
  <c r="G175" i="6"/>
  <c r="F175" i="12" a="1"/>
  <c r="F175" i="12" s="1"/>
  <c r="E127" i="12"/>
  <c r="F127" i="6"/>
  <c r="G61" i="6"/>
  <c r="F61" i="12" a="1"/>
  <c r="F61" i="12" s="1"/>
  <c r="E28" i="12"/>
  <c r="F28" i="6"/>
  <c r="G92" i="6"/>
  <c r="F92" i="12" a="1"/>
  <c r="F92" i="12" s="1"/>
  <c r="G185" i="6"/>
  <c r="F185" i="12" a="1"/>
  <c r="F185" i="12" s="1"/>
  <c r="W164" i="5" a="1"/>
  <c r="W164" i="5" s="1"/>
  <c r="AN164" i="5" a="1"/>
  <c r="AN164" i="5" s="1"/>
  <c r="F60" i="12" a="1"/>
  <c r="F60" i="12" s="1"/>
  <c r="G60" i="6"/>
  <c r="G162" i="6"/>
  <c r="F162" i="12" a="1"/>
  <c r="F162" i="12" s="1"/>
  <c r="AN99" i="5" a="1"/>
  <c r="AN99" i="5" s="1"/>
  <c r="W99" i="5" a="1"/>
  <c r="W99" i="5" s="1"/>
  <c r="F85" i="6"/>
  <c r="E85" i="12"/>
  <c r="AN56" i="5" a="1"/>
  <c r="AN56" i="5" s="1"/>
  <c r="W56" i="5" a="1"/>
  <c r="W56" i="5" s="1"/>
  <c r="W101" i="5" a="1"/>
  <c r="W101" i="5" s="1"/>
  <c r="AN101" i="5" a="1"/>
  <c r="AN101" i="5" s="1"/>
  <c r="F138" i="6"/>
  <c r="E138" i="12"/>
  <c r="F66" i="6"/>
  <c r="E66" i="12"/>
  <c r="W68" i="5" a="1"/>
  <c r="W68" i="5" s="1"/>
  <c r="AN68" i="5" a="1"/>
  <c r="AN68" i="5" s="1"/>
  <c r="F125" i="12" a="1"/>
  <c r="F125" i="12" s="1"/>
  <c r="G125" i="6"/>
  <c r="E128" i="12"/>
  <c r="F128" i="6"/>
  <c r="W167" i="5" a="1"/>
  <c r="W167" i="5" s="1"/>
  <c r="AN167" i="5" a="1"/>
  <c r="AN167" i="5" s="1"/>
  <c r="G130" i="6"/>
  <c r="F130" i="12" a="1"/>
  <c r="F130" i="12" s="1"/>
  <c r="AN86" i="5" a="1"/>
  <c r="AN86" i="5" s="1"/>
  <c r="W86" i="5" a="1"/>
  <c r="W86" i="5" s="1"/>
  <c r="AN71" i="5" a="1"/>
  <c r="AN71" i="5" s="1"/>
  <c r="W71" i="5" a="1"/>
  <c r="W71" i="5" s="1"/>
  <c r="G190" i="6"/>
  <c r="F190" i="12" a="1"/>
  <c r="F190" i="12" s="1"/>
  <c r="G93" i="6"/>
  <c r="F93" i="12" a="1"/>
  <c r="F93" i="12" s="1"/>
  <c r="W62" i="5" a="1"/>
  <c r="W62" i="5" s="1"/>
  <c r="AN62" i="5" a="1"/>
  <c r="AN62" i="5" s="1"/>
  <c r="G144" i="6"/>
  <c r="F144" i="12" a="1"/>
  <c r="F144" i="12" s="1"/>
  <c r="F178" i="6"/>
  <c r="E178" i="12"/>
  <c r="AC178" i="5" a="1"/>
  <c r="AC178" i="5" s="1"/>
  <c r="W46" i="5" a="1"/>
  <c r="W46" i="5" s="1"/>
  <c r="AN46" i="5" a="1"/>
  <c r="AN46" i="5" s="1"/>
  <c r="G131" i="6"/>
  <c r="F131" i="12" a="1"/>
  <c r="F131" i="12" s="1"/>
  <c r="F102" i="6"/>
  <c r="E102" i="12"/>
  <c r="AN136" i="5" a="1"/>
  <c r="AN136" i="5" s="1"/>
  <c r="W136" i="5" a="1"/>
  <c r="W136" i="5" s="1"/>
  <c r="F163" i="6"/>
  <c r="E163" i="12"/>
  <c r="AN168" i="5" a="1"/>
  <c r="AN168" i="5" s="1"/>
  <c r="W168" i="5" a="1"/>
  <c r="W168" i="5" s="1"/>
  <c r="F126" i="6"/>
  <c r="E126" i="12"/>
  <c r="F104" i="6"/>
  <c r="E104" i="12"/>
  <c r="E188" i="12"/>
  <c r="F188" i="6"/>
  <c r="F129" i="12" a="1"/>
  <c r="F129" i="12" s="1"/>
  <c r="G129" i="6"/>
  <c r="F57" i="6"/>
  <c r="E57" i="12"/>
  <c r="W84" i="5" a="1"/>
  <c r="W84" i="5" s="1"/>
  <c r="AN84" i="5" a="1"/>
  <c r="AN84" i="5" s="1"/>
  <c r="AN133" i="5" a="1"/>
  <c r="AN133" i="5" s="1"/>
  <c r="W133" i="5" a="1"/>
  <c r="W133" i="5" s="1"/>
  <c r="W80" i="5" a="1"/>
  <c r="W80" i="5" s="1"/>
  <c r="AN80" i="5" a="1"/>
  <c r="AN80" i="5" s="1"/>
  <c r="F19" i="6"/>
  <c r="E19" i="12"/>
  <c r="AN123" i="5" a="1"/>
  <c r="AN123" i="5" s="1"/>
  <c r="W123" i="5" a="1"/>
  <c r="W123" i="5" s="1"/>
  <c r="G58" i="6"/>
  <c r="F58" i="12" a="1"/>
  <c r="F58" i="12" s="1"/>
  <c r="F137" i="6"/>
  <c r="E137" i="12"/>
  <c r="F180" i="12" a="1"/>
  <c r="F180" i="12" s="1"/>
  <c r="G180" i="6"/>
  <c r="F158" i="6"/>
  <c r="E158" i="12"/>
  <c r="AN110" i="5" a="1"/>
  <c r="AN110" i="5" s="1"/>
  <c r="W110" i="5" a="1"/>
  <c r="W110" i="5" s="1"/>
  <c r="F74" i="12" a="1"/>
  <c r="F74" i="12" s="1"/>
  <c r="G74" i="6"/>
  <c r="F181" i="12" a="1"/>
  <c r="F181" i="12" s="1"/>
  <c r="G181" i="6"/>
  <c r="E59" i="12"/>
  <c r="F59" i="6"/>
  <c r="AN24" i="5" a="1"/>
  <c r="AN24" i="5" s="1"/>
  <c r="W24" i="5" a="1"/>
  <c r="W24" i="5" s="1"/>
  <c r="F108" i="6"/>
  <c r="E108" i="12"/>
  <c r="F87" i="6"/>
  <c r="E87" i="12"/>
  <c r="AN29" i="5" a="1"/>
  <c r="AN29" i="5" s="1"/>
  <c r="W29" i="5" a="1"/>
  <c r="W29" i="5" s="1"/>
  <c r="F52" i="12" a="1"/>
  <c r="F52" i="12" s="1"/>
  <c r="G52" i="6"/>
  <c r="E36" i="12"/>
  <c r="F36" i="6"/>
  <c r="F35" i="6"/>
  <c r="E35" i="12"/>
  <c r="G146" i="6"/>
  <c r="F146" i="12" a="1"/>
  <c r="F146" i="12" s="1"/>
  <c r="F113" i="6"/>
  <c r="E113" i="12"/>
  <c r="E143" i="12"/>
  <c r="F143" i="6"/>
  <c r="AN67" i="5" a="1"/>
  <c r="AN67" i="5" s="1"/>
  <c r="W67" i="5" a="1"/>
  <c r="W67" i="5" s="1"/>
  <c r="F33" i="6"/>
  <c r="E33" i="12"/>
  <c r="AN187" i="5" a="1"/>
  <c r="AN187" i="5" s="1"/>
  <c r="W187" i="5" a="1"/>
  <c r="W187" i="5" s="1"/>
  <c r="G124" i="6"/>
  <c r="F124" i="12" a="1"/>
  <c r="F124" i="12" s="1"/>
  <c r="G53" i="6"/>
  <c r="F53" i="12" a="1"/>
  <c r="F53" i="12" s="1"/>
  <c r="G45" i="6"/>
  <c r="F45" i="12" a="1"/>
  <c r="F45" i="12" s="1"/>
  <c r="E160" i="12"/>
  <c r="F160" i="6"/>
  <c r="F115" i="6"/>
  <c r="E115" i="12"/>
  <c r="F184" i="6"/>
  <c r="E184" i="12"/>
  <c r="AC184" i="5" a="1"/>
  <c r="AC184" i="5" s="1"/>
  <c r="F152" i="12" a="1"/>
  <c r="F152" i="12" s="1"/>
  <c r="G152" i="6"/>
  <c r="E54" i="12"/>
  <c r="F54" i="6"/>
  <c r="F174" i="6"/>
  <c r="AC174" i="5" a="1"/>
  <c r="AC174" i="5" s="1"/>
  <c r="E174" i="12"/>
  <c r="F169" i="12" a="1"/>
  <c r="F169" i="12" s="1"/>
  <c r="G169" i="6"/>
  <c r="W140" i="5" a="1"/>
  <c r="W140" i="5" s="1"/>
  <c r="AN140" i="5" a="1"/>
  <c r="AN140" i="5" s="1"/>
  <c r="E103" i="12"/>
  <c r="F103" i="6"/>
  <c r="E148" i="12"/>
  <c r="F148" i="6"/>
  <c r="W107" i="5" a="1"/>
  <c r="W107" i="5" s="1"/>
  <c r="AN107" i="5" a="1"/>
  <c r="AN107" i="5" s="1"/>
  <c r="F90" i="12" a="1"/>
  <c r="F90" i="12" s="1"/>
  <c r="G90" i="6"/>
  <c r="G165" i="6"/>
  <c r="F165" i="12" a="1"/>
  <c r="F165" i="12" s="1"/>
  <c r="E73" i="12"/>
  <c r="F73" i="6"/>
  <c r="F155" i="6"/>
  <c r="E155" i="12"/>
  <c r="W69" i="5" a="1"/>
  <c r="W69" i="5" s="1"/>
  <c r="AN69" i="5" a="1"/>
  <c r="AN69" i="5" s="1"/>
  <c r="G96" i="6"/>
  <c r="F96" i="12" a="1"/>
  <c r="F96" i="12" s="1"/>
  <c r="W23" i="5" a="1"/>
  <c r="W23" i="5" s="1"/>
  <c r="AN23" i="5" a="1"/>
  <c r="AN23" i="5" s="1"/>
  <c r="G132" i="6"/>
  <c r="F132" i="12" a="1"/>
  <c r="F132" i="12" s="1"/>
  <c r="G31" i="6"/>
  <c r="F31" i="12" a="1"/>
  <c r="F31" i="12" s="1"/>
  <c r="F147" i="12" a="1"/>
  <c r="F147" i="12" s="1"/>
  <c r="G147" i="6"/>
  <c r="W47" i="5" a="1"/>
  <c r="W47" i="5" s="1"/>
  <c r="AN47" i="5" a="1"/>
  <c r="AN47" i="5" s="1"/>
  <c r="G135" i="6"/>
  <c r="F135" i="12" a="1"/>
  <c r="F135" i="12" s="1"/>
  <c r="AN139" i="5" a="1"/>
  <c r="AN139" i="5" s="1"/>
  <c r="W139" i="5" a="1"/>
  <c r="W139" i="5" s="1"/>
  <c r="F72" i="6"/>
  <c r="E72" i="12"/>
  <c r="E40" i="12"/>
  <c r="F40" i="6"/>
  <c r="E65" i="12"/>
  <c r="F65" i="6"/>
  <c r="F100" i="12" a="1"/>
  <c r="F100" i="12" s="1"/>
  <c r="G100" i="6"/>
  <c r="F89" i="6"/>
  <c r="E89" i="12"/>
  <c r="E117" i="12"/>
  <c r="F117" i="6"/>
  <c r="F48" i="6"/>
  <c r="E48" i="12"/>
  <c r="G39" i="6"/>
  <c r="F39" i="12" a="1"/>
  <c r="F39" i="12" s="1"/>
  <c r="W95" i="5" a="1"/>
  <c r="W95" i="5" s="1"/>
  <c r="AN95" i="5" a="1"/>
  <c r="AN95" i="5" s="1"/>
  <c r="G63" i="6"/>
  <c r="F63" i="12" a="1"/>
  <c r="F63" i="12" s="1"/>
  <c r="E121" i="12"/>
  <c r="F121" i="6"/>
  <c r="W78" i="5" a="1"/>
  <c r="W78" i="5" s="1"/>
  <c r="AN78" i="5" a="1"/>
  <c r="AN78" i="5" s="1"/>
  <c r="F55" i="6"/>
  <c r="E55" i="12"/>
  <c r="F157" i="6"/>
  <c r="E157" i="12"/>
  <c r="W116" i="5" a="1"/>
  <c r="W116" i="5" s="1"/>
  <c r="AN116" i="5" a="1"/>
  <c r="AN116" i="5" s="1"/>
  <c r="F189" i="12" a="1"/>
  <c r="F189" i="12" s="1"/>
  <c r="G189" i="6"/>
  <c r="F175" i="6"/>
  <c r="E175" i="12"/>
  <c r="AC175" i="5" a="1"/>
  <c r="AC175" i="5" s="1"/>
  <c r="AN127" i="5" a="1"/>
  <c r="AN127" i="5" s="1"/>
  <c r="W127" i="5" a="1"/>
  <c r="W127" i="5" s="1"/>
  <c r="F41" i="6"/>
  <c r="E41" i="12"/>
  <c r="E61" i="12"/>
  <c r="F61" i="6"/>
  <c r="W28" i="5" a="1"/>
  <c r="W28" i="5" s="1"/>
  <c r="AN28" i="5" a="1"/>
  <c r="AN28" i="5" s="1"/>
  <c r="E37" i="12"/>
  <c r="F37" i="6"/>
  <c r="G177" i="6"/>
  <c r="F177" i="12" a="1"/>
  <c r="F177" i="12" s="1"/>
  <c r="F118" i="6"/>
  <c r="E118" i="12"/>
  <c r="AN60" i="5" a="1"/>
  <c r="AN60" i="5" s="1"/>
  <c r="W60" i="5" a="1"/>
  <c r="W60" i="5" s="1"/>
  <c r="AN162" i="5" a="1"/>
  <c r="AN162" i="5" s="1"/>
  <c r="W162" i="5" a="1"/>
  <c r="W162" i="5" s="1"/>
  <c r="G82" i="6"/>
  <c r="F82" i="12" a="1"/>
  <c r="F82" i="12" s="1"/>
  <c r="W85" i="5" a="1"/>
  <c r="W85" i="5" s="1"/>
  <c r="AN85" i="5" a="1"/>
  <c r="AN85" i="5" s="1"/>
  <c r="G56" i="6"/>
  <c r="F56" i="12" a="1"/>
  <c r="F56" i="12" s="1"/>
  <c r="W21" i="5" a="1"/>
  <c r="W21" i="5" s="1"/>
  <c r="AN21" i="5" a="1"/>
  <c r="AN21" i="5" s="1"/>
  <c r="AN138" i="5" a="1"/>
  <c r="AN138" i="5" s="1"/>
  <c r="W138" i="5" a="1"/>
  <c r="W138" i="5" s="1"/>
  <c r="AN66" i="5" a="1"/>
  <c r="AN66" i="5" s="1"/>
  <c r="W66" i="5" a="1"/>
  <c r="W66" i="5" s="1"/>
  <c r="E176" i="12"/>
  <c r="AC176" i="5" a="1"/>
  <c r="AC176" i="5" s="1"/>
  <c r="F176" i="6"/>
  <c r="F125" i="6"/>
  <c r="E125" i="12"/>
  <c r="AN128" i="5" a="1"/>
  <c r="AN128" i="5" s="1"/>
  <c r="W128" i="5" a="1"/>
  <c r="W128" i="5" s="1"/>
  <c r="F149" i="12" a="1"/>
  <c r="F149" i="12" s="1"/>
  <c r="G149" i="6"/>
  <c r="F130" i="6"/>
  <c r="E130" i="12"/>
  <c r="E86" i="12"/>
  <c r="F86" i="6"/>
  <c r="E153" i="12"/>
  <c r="F153" i="6"/>
  <c r="F190" i="6"/>
  <c r="E190" i="12"/>
  <c r="AN93" i="5" a="1"/>
  <c r="AN93" i="5" s="1"/>
  <c r="W93" i="5" a="1"/>
  <c r="W93" i="5" s="1"/>
  <c r="F134" i="12" a="1"/>
  <c r="F134" i="12" s="1"/>
  <c r="G134" i="6"/>
  <c r="F144" i="6"/>
  <c r="E144" i="12"/>
  <c r="G76" i="6"/>
  <c r="F76" i="12" a="1"/>
  <c r="F76" i="12" s="1"/>
  <c r="F131" i="6"/>
  <c r="E131" i="12"/>
  <c r="W102" i="5" a="1"/>
  <c r="W102" i="5" s="1"/>
  <c r="AN102" i="5" a="1"/>
  <c r="AN102" i="5" s="1"/>
  <c r="AN50" i="5" a="1"/>
  <c r="AN50" i="5" s="1"/>
  <c r="W50" i="5" a="1"/>
  <c r="W50" i="5" s="1"/>
  <c r="G163" i="6"/>
  <c r="F163" i="12" a="1"/>
  <c r="F163" i="12" s="1"/>
  <c r="F168" i="6"/>
  <c r="E168" i="12"/>
  <c r="G112" i="6"/>
  <c r="F112" i="12" a="1"/>
  <c r="F112" i="12" s="1"/>
  <c r="AN104" i="5" a="1"/>
  <c r="AN104" i="5" s="1"/>
  <c r="W104" i="5" a="1"/>
  <c r="W104" i="5" s="1"/>
  <c r="AN188" i="5" a="1"/>
  <c r="AN188" i="5" s="1"/>
  <c r="W188" i="5" a="1"/>
  <c r="W188" i="5" s="1"/>
  <c r="F88" i="6"/>
  <c r="E88" i="12"/>
  <c r="G57" i="6"/>
  <c r="F57" i="12" a="1"/>
  <c r="F57" i="12" s="1"/>
  <c r="F84" i="12" a="1"/>
  <c r="F84" i="12" s="1"/>
  <c r="G84" i="6"/>
  <c r="F79" i="6"/>
  <c r="E79" i="12"/>
  <c r="F80" i="12" a="1"/>
  <c r="F80" i="12" s="1"/>
  <c r="G80" i="6"/>
  <c r="AN19" i="5" a="1"/>
  <c r="AN19" i="5" s="1"/>
  <c r="W19" i="5" a="1"/>
  <c r="W19" i="5" s="1"/>
  <c r="G20" i="6"/>
  <c r="F20" i="12" a="1"/>
  <c r="F20" i="12" s="1"/>
  <c r="F58" i="6"/>
  <c r="E58" i="12"/>
  <c r="W137" i="5" a="1"/>
  <c r="W137" i="5" s="1"/>
  <c r="AN137" i="5" a="1"/>
  <c r="AN137" i="5" s="1"/>
  <c r="G25" i="6"/>
  <c r="F25" i="12" a="1"/>
  <c r="F25" i="12" s="1"/>
  <c r="W158" i="5" a="1"/>
  <c r="W158" i="5" s="1"/>
  <c r="AN158" i="5" a="1"/>
  <c r="AN158" i="5" s="1"/>
  <c r="G110" i="6"/>
  <c r="F110" i="12" a="1"/>
  <c r="F110" i="12" s="1"/>
  <c r="AN142" i="5" a="1"/>
  <c r="AN142" i="5" s="1"/>
  <c r="W142" i="5" a="1"/>
  <c r="W142" i="5" s="1"/>
  <c r="G59" i="6"/>
  <c r="F59" i="12" a="1"/>
  <c r="F59" i="12" s="1"/>
  <c r="F24" i="6"/>
  <c r="E24" i="12"/>
  <c r="F49" i="6"/>
  <c r="E49" i="12"/>
  <c r="F87" i="12" a="1"/>
  <c r="F87" i="12" s="1"/>
  <c r="G87" i="6"/>
  <c r="F29" i="6"/>
  <c r="E29" i="12"/>
  <c r="W77" i="5" a="1"/>
  <c r="W77" i="5" s="1"/>
  <c r="AN77" i="5" a="1"/>
  <c r="AN77" i="5" s="1"/>
  <c r="F36" i="12" a="1"/>
  <c r="F36" i="12" s="1"/>
  <c r="G36" i="6"/>
  <c r="G35" i="6"/>
  <c r="F35" i="12" a="1"/>
  <c r="F35" i="12" s="1"/>
  <c r="AN151" i="5" a="1"/>
  <c r="AN151" i="5" s="1"/>
  <c r="W151" i="5" a="1"/>
  <c r="W151" i="5" s="1"/>
  <c r="F113" i="12" a="1"/>
  <c r="F113" i="12" s="1"/>
  <c r="G113" i="6"/>
  <c r="AN143" i="5" a="1"/>
  <c r="AN143" i="5" s="1"/>
  <c r="W143" i="5" a="1"/>
  <c r="W143" i="5" s="1"/>
  <c r="AN94" i="5" a="1"/>
  <c r="AN94" i="5" s="1"/>
  <c r="W94" i="5" a="1"/>
  <c r="W94" i="5" s="1"/>
  <c r="F33" i="12" a="1"/>
  <c r="F33" i="12" s="1"/>
  <c r="G33" i="6"/>
  <c r="G187" i="6"/>
  <c r="F187" i="12" a="1"/>
  <c r="F187" i="12" s="1"/>
  <c r="E53" i="12"/>
  <c r="F53" i="6"/>
  <c r="W45" i="5" a="1"/>
  <c r="W45" i="5" s="1"/>
  <c r="AN45" i="5" a="1"/>
  <c r="AN45" i="5" s="1"/>
  <c r="W161" i="5" a="1"/>
  <c r="W161" i="5" s="1"/>
  <c r="AN161" i="5" a="1"/>
  <c r="AN161" i="5" s="1"/>
  <c r="G115" i="6"/>
  <c r="F115" i="12" a="1"/>
  <c r="F115" i="12" s="1"/>
  <c r="G184" i="6"/>
  <c r="F184" i="12" a="1"/>
  <c r="F184" i="12" s="1"/>
  <c r="AN43" i="5" a="1"/>
  <c r="AN43" i="5" s="1"/>
  <c r="W43" i="5" a="1"/>
  <c r="W43" i="5" s="1"/>
  <c r="F54" i="12" a="1"/>
  <c r="F54" i="12" s="1"/>
  <c r="G54" i="6"/>
  <c r="E172" i="12"/>
  <c r="F172" i="6"/>
  <c r="AC172" i="5" a="1"/>
  <c r="AC172" i="5" s="1"/>
  <c r="AN122" i="5" a="1"/>
  <c r="AN122" i="5" s="1"/>
  <c r="W122" i="5" a="1"/>
  <c r="W122" i="5" s="1"/>
  <c r="E169" i="12"/>
  <c r="F169" i="6"/>
  <c r="G34" i="6"/>
  <c r="F34" i="12" a="1"/>
  <c r="F34" i="12" s="1"/>
  <c r="G103" i="6"/>
  <c r="F103" i="12" a="1"/>
  <c r="F103" i="12" s="1"/>
  <c r="AN148" i="5" a="1"/>
  <c r="AN148" i="5" s="1"/>
  <c r="W148" i="5" a="1"/>
  <c r="W148" i="5" s="1"/>
  <c r="W97" i="5" a="1"/>
  <c r="W97" i="5" s="1"/>
  <c r="AN97" i="5" a="1"/>
  <c r="AN97" i="5" s="1"/>
  <c r="F171" i="6"/>
  <c r="E171" i="12"/>
  <c r="AC171" i="5" a="1"/>
  <c r="AC171" i="5" s="1"/>
  <c r="F120" i="12" a="1"/>
  <c r="F120" i="12" s="1"/>
  <c r="G120" i="6"/>
  <c r="E165" i="12"/>
  <c r="F165" i="6"/>
  <c r="W18" i="5" a="1"/>
  <c r="W18" i="5" s="1"/>
  <c r="AN18" i="5" a="1"/>
  <c r="AN18" i="5" s="1"/>
  <c r="G155" i="6"/>
  <c r="F155" i="12" a="1"/>
  <c r="F155" i="12" s="1"/>
  <c r="G173" i="6"/>
  <c r="F173" i="12" a="1"/>
  <c r="F173" i="12" s="1"/>
  <c r="E96" i="12"/>
  <c r="F96" i="6"/>
  <c r="E23" i="12"/>
  <c r="F23" i="6"/>
  <c r="F26" i="6"/>
  <c r="E26" i="12"/>
  <c r="E132" i="12"/>
  <c r="F132" i="6"/>
  <c r="AN31" i="5" a="1"/>
  <c r="AN31" i="5" s="1"/>
  <c r="W31" i="5" a="1"/>
  <c r="W31" i="5" s="1"/>
  <c r="E106" i="12"/>
  <c r="F106" i="6"/>
  <c r="G47" i="6"/>
  <c r="F47" i="12" a="1"/>
  <c r="F47" i="12" s="1"/>
  <c r="W135" i="5" a="1"/>
  <c r="W135" i="5" s="1"/>
  <c r="AN135" i="5" a="1"/>
  <c r="AN135" i="5" s="1"/>
  <c r="G30" i="6"/>
  <c r="F30" i="12" a="1"/>
  <c r="F30" i="12" s="1"/>
  <c r="F72" i="12" a="1"/>
  <c r="F72" i="12" s="1"/>
  <c r="G72" i="6"/>
  <c r="W40" i="5" a="1"/>
  <c r="W40" i="5" s="1"/>
  <c r="AN40" i="5" a="1"/>
  <c r="AN40" i="5" s="1"/>
  <c r="F119" i="6"/>
  <c r="E119" i="12"/>
  <c r="W100" i="5" a="1"/>
  <c r="W100" i="5" s="1"/>
  <c r="AN100" i="5" a="1"/>
  <c r="AN100" i="5" s="1"/>
  <c r="AN89" i="5" a="1"/>
  <c r="AN89" i="5" s="1"/>
  <c r="W89" i="5" a="1"/>
  <c r="W89" i="5" s="1"/>
  <c r="G70" i="6"/>
  <c r="F70" i="12" a="1"/>
  <c r="F70" i="12" s="1"/>
  <c r="G48" i="6"/>
  <c r="F48" i="12" a="1"/>
  <c r="F48" i="12" s="1"/>
  <c r="AN39" i="5" a="1"/>
  <c r="AN39" i="5" s="1"/>
  <c r="W39" i="5" a="1"/>
  <c r="W39" i="5" s="1"/>
  <c r="F81" i="6"/>
  <c r="E81" i="12"/>
  <c r="E63" i="12"/>
  <c r="F63" i="6"/>
  <c r="AN121" i="5" a="1"/>
  <c r="AN121" i="5" s="1"/>
  <c r="W121" i="5" a="1"/>
  <c r="W121" i="5" s="1"/>
  <c r="E150" i="12"/>
  <c r="F150" i="6"/>
  <c r="G55" i="6"/>
  <c r="F55" i="12" a="1"/>
  <c r="F55" i="12" s="1"/>
  <c r="W157" i="5" a="1"/>
  <c r="W157" i="5" s="1"/>
  <c r="AN157" i="5" a="1"/>
  <c r="AN157" i="5" s="1"/>
  <c r="G159" i="6"/>
  <c r="F159" i="12" a="1"/>
  <c r="F159" i="12" s="1"/>
  <c r="W189" i="5" a="1"/>
  <c r="W189" i="5" s="1"/>
  <c r="AN189" i="5" a="1"/>
  <c r="AN189" i="5" s="1"/>
  <c r="F179" i="12" a="1"/>
  <c r="F179" i="12" s="1"/>
  <c r="G179" i="6"/>
  <c r="F41" i="12" a="1"/>
  <c r="F41" i="12" s="1"/>
  <c r="G41" i="6"/>
  <c r="W61" i="5" a="1"/>
  <c r="W61" i="5" s="1"/>
  <c r="AN61" i="5" a="1"/>
  <c r="AN61" i="5" s="1"/>
  <c r="E92" i="12"/>
  <c r="F92" i="6"/>
  <c r="G37" i="6"/>
  <c r="F37" i="12" a="1"/>
  <c r="F37" i="12" s="1"/>
  <c r="E185" i="12"/>
  <c r="AC185" i="5" a="1"/>
  <c r="AC185" i="5" s="1"/>
  <c r="F185" i="6"/>
  <c r="E164" i="12"/>
  <c r="F164" i="6"/>
  <c r="F118" i="12" a="1"/>
  <c r="F118" i="12" s="1"/>
  <c r="G118" i="6"/>
  <c r="E60" i="12"/>
  <c r="F60" i="6"/>
  <c r="E99" i="12"/>
  <c r="F99" i="6"/>
  <c r="F82" i="6"/>
  <c r="E82" i="12"/>
  <c r="F85" i="12" a="1"/>
  <c r="F85" i="12" s="1"/>
  <c r="G85" i="6"/>
  <c r="F101" i="12" a="1"/>
  <c r="F101" i="12" s="1"/>
  <c r="G101" i="6"/>
  <c r="F21" i="12" a="1"/>
  <c r="F21" i="12" s="1"/>
  <c r="G21" i="6"/>
  <c r="F138" i="12" a="1"/>
  <c r="F138" i="12" s="1"/>
  <c r="G138" i="6"/>
  <c r="E68" i="12"/>
  <c r="F68" i="6"/>
  <c r="F176" i="12" a="1"/>
  <c r="F176" i="12" s="1"/>
  <c r="G176" i="6"/>
  <c r="W125" i="5" a="1"/>
  <c r="W125" i="5" s="1"/>
  <c r="AN125" i="5" a="1"/>
  <c r="AN125" i="5" s="1"/>
  <c r="F167" i="6"/>
  <c r="E167" i="12"/>
  <c r="E149" i="12"/>
  <c r="F149" i="6"/>
  <c r="AN130" i="5" a="1"/>
  <c r="AN130" i="5" s="1"/>
  <c r="W130" i="5" a="1"/>
  <c r="W130" i="5" s="1"/>
  <c r="F71" i="6"/>
  <c r="E71" i="12"/>
  <c r="F153" i="12" a="1"/>
  <c r="F153" i="12" s="1"/>
  <c r="G153" i="6"/>
  <c r="W190" i="5" a="1"/>
  <c r="W190" i="5" s="1"/>
  <c r="AN190" i="5" a="1"/>
  <c r="AN190" i="5" s="1"/>
  <c r="G62" i="6"/>
  <c r="F62" i="12" a="1"/>
  <c r="F62" i="12" s="1"/>
  <c r="E134" i="12"/>
  <c r="F134" i="6"/>
  <c r="AN144" i="5" a="1"/>
  <c r="AN144" i="5" s="1"/>
  <c r="W144" i="5" a="1"/>
  <c r="W144" i="5" s="1"/>
  <c r="G46" i="6"/>
  <c r="F46" i="12" a="1"/>
  <c r="F46" i="12" s="1"/>
  <c r="F76" i="6"/>
  <c r="E76" i="12"/>
  <c r="W131" i="5" a="1"/>
  <c r="W131" i="5" s="1"/>
  <c r="AN131" i="5" a="1"/>
  <c r="AN131" i="5" s="1"/>
  <c r="F136" i="12" a="1"/>
  <c r="F136" i="12" s="1"/>
  <c r="G136" i="6"/>
  <c r="F50" i="6"/>
  <c r="E50" i="12"/>
  <c r="AN163" i="5" a="1"/>
  <c r="AN163" i="5" s="1"/>
  <c r="W163" i="5" a="1"/>
  <c r="W163" i="5" s="1"/>
  <c r="F126" i="12" a="1"/>
  <c r="F126" i="12" s="1"/>
  <c r="G126" i="6"/>
  <c r="E112" i="12"/>
  <c r="F112" i="6"/>
  <c r="G104" i="6"/>
  <c r="F104" i="12" a="1"/>
  <c r="F104" i="12" s="1"/>
  <c r="F129" i="6"/>
  <c r="E129" i="12"/>
  <c r="G88" i="6"/>
  <c r="F88" i="12" a="1"/>
  <c r="F88" i="12" s="1"/>
  <c r="W57" i="5" a="1"/>
  <c r="W57" i="5" s="1"/>
  <c r="AN57" i="5" a="1"/>
  <c r="AN57" i="5" s="1"/>
  <c r="F133" i="12" a="1"/>
  <c r="F133" i="12" s="1"/>
  <c r="G133" i="6"/>
  <c r="F79" i="12" a="1"/>
  <c r="F79" i="12" s="1"/>
  <c r="G79" i="6"/>
  <c r="E80" i="12"/>
  <c r="F80" i="6"/>
  <c r="G123" i="6"/>
  <c r="F123" i="12" a="1"/>
  <c r="F123" i="12" s="1"/>
  <c r="E20" i="12"/>
  <c r="F20" i="6"/>
  <c r="AN58" i="5" a="1"/>
  <c r="AN58" i="5" s="1"/>
  <c r="W58" i="5" a="1"/>
  <c r="W58" i="5" s="1"/>
  <c r="F180" i="6"/>
  <c r="E180" i="12"/>
  <c r="AC180" i="5" a="1"/>
  <c r="AC180" i="5" s="1"/>
  <c r="E25" i="12"/>
  <c r="F25" i="6"/>
  <c r="G158" i="6"/>
  <c r="F158" i="12" a="1"/>
  <c r="F158" i="12" s="1"/>
  <c r="E74" i="12"/>
  <c r="F74" i="6"/>
  <c r="F142" i="6"/>
  <c r="E142" i="12"/>
  <c r="F24" i="12" a="1"/>
  <c r="F24" i="12" s="1"/>
  <c r="G24" i="6"/>
  <c r="AN49" i="5" a="1"/>
  <c r="AN49" i="5" s="1"/>
  <c r="W49" i="5" a="1"/>
  <c r="W49" i="5" s="1"/>
  <c r="F108" i="12" a="1"/>
  <c r="F108" i="12" s="1"/>
  <c r="G108" i="6"/>
  <c r="G29" i="6"/>
  <c r="F29" i="12" a="1"/>
  <c r="F29" i="12" s="1"/>
  <c r="E77" i="12"/>
  <c r="F77" i="6"/>
  <c r="W52" i="5" a="1"/>
  <c r="W52" i="5" s="1"/>
  <c r="AN52" i="5" a="1"/>
  <c r="AN52" i="5" s="1"/>
  <c r="W35" i="5" a="1"/>
  <c r="W35" i="5" s="1"/>
  <c r="AN35" i="5" a="1"/>
  <c r="AN35" i="5" s="1"/>
  <c r="G151" i="6"/>
  <c r="F151" i="12" a="1"/>
  <c r="F151" i="12" s="1"/>
  <c r="AN146" i="5" a="1"/>
  <c r="AN146" i="5" s="1"/>
  <c r="W146" i="5" a="1"/>
  <c r="W146" i="5" s="1"/>
  <c r="G143" i="6"/>
  <c r="F143" i="12" a="1"/>
  <c r="F143" i="12" s="1"/>
  <c r="E94" i="12"/>
  <c r="F94" i="6"/>
  <c r="F67" i="12" a="1"/>
  <c r="F67" i="12" s="1"/>
  <c r="G67" i="6"/>
  <c r="E187" i="12"/>
  <c r="F187" i="6"/>
  <c r="F182" i="6"/>
  <c r="E182" i="12"/>
  <c r="AC182" i="5" a="1"/>
  <c r="AC182" i="5" s="1"/>
  <c r="E124" i="12"/>
  <c r="F124" i="6"/>
  <c r="E45" i="12"/>
  <c r="F45" i="6"/>
  <c r="G161" i="6"/>
  <c r="F161" i="12" a="1"/>
  <c r="F161" i="12" s="1"/>
  <c r="W160" i="5" a="1"/>
  <c r="W160" i="5" s="1"/>
  <c r="AN160" i="5" a="1"/>
  <c r="AN160" i="5" s="1"/>
  <c r="E43" i="12"/>
  <c r="F43" i="6"/>
  <c r="E152" i="12"/>
  <c r="F152" i="6"/>
  <c r="G172" i="6"/>
  <c r="F172" i="12" a="1"/>
  <c r="F172" i="12" s="1"/>
  <c r="F122" i="6"/>
  <c r="E122" i="12"/>
  <c r="G174" i="6"/>
  <c r="F174" i="12" a="1"/>
  <c r="F174" i="12" s="1"/>
  <c r="F140" i="12" a="1"/>
  <c r="F140" i="12" s="1"/>
  <c r="G140" i="6"/>
  <c r="E34" i="12"/>
  <c r="F34" i="6"/>
  <c r="W103" i="5" a="1"/>
  <c r="W103" i="5" s="1"/>
  <c r="AN103" i="5" a="1"/>
  <c r="AN103" i="5" s="1"/>
  <c r="F107" i="12" a="1"/>
  <c r="F107" i="12" s="1"/>
  <c r="G107" i="6"/>
  <c r="E97" i="12"/>
  <c r="F97" i="6"/>
  <c r="E90" i="12"/>
  <c r="F90" i="6"/>
  <c r="AN120" i="5" a="1"/>
  <c r="AN120" i="5" s="1"/>
  <c r="W120" i="5" a="1"/>
  <c r="W120" i="5" s="1"/>
  <c r="F18" i="12" a="1"/>
  <c r="F18" i="12" s="1"/>
  <c r="G18" i="6"/>
  <c r="AN73" i="5" a="1"/>
  <c r="AN73" i="5" s="1"/>
  <c r="W73" i="5" a="1"/>
  <c r="W73" i="5" s="1"/>
  <c r="F69" i="12" a="1"/>
  <c r="F69" i="12" s="1"/>
  <c r="G69" i="6"/>
  <c r="E173" i="12"/>
  <c r="F173" i="6"/>
  <c r="AC173" i="5" a="1"/>
  <c r="AC173" i="5" s="1"/>
  <c r="W96" i="5" a="1"/>
  <c r="W96" i="5" s="1"/>
  <c r="AN96" i="5" a="1"/>
  <c r="AN96" i="5" s="1"/>
  <c r="F183" i="6"/>
  <c r="AC183" i="5" a="1"/>
  <c r="AC183" i="5" s="1"/>
  <c r="E183" i="12"/>
  <c r="F26" i="12" a="1"/>
  <c r="F26" i="12" s="1"/>
  <c r="G26" i="6"/>
  <c r="AN132" i="5" a="1"/>
  <c r="AN132" i="5" s="1"/>
  <c r="W132" i="5" a="1"/>
  <c r="W132" i="5" s="1"/>
  <c r="F147" i="6"/>
  <c r="E147" i="12"/>
  <c r="G106" i="6"/>
  <c r="F106" i="12" a="1"/>
  <c r="F106" i="12" s="1"/>
  <c r="F47" i="6"/>
  <c r="E47" i="12"/>
  <c r="F139" i="12" a="1"/>
  <c r="F139" i="12" s="1"/>
  <c r="G139" i="6"/>
  <c r="W30" i="5" a="1"/>
  <c r="W30" i="5" s="1"/>
  <c r="AN30" i="5" a="1"/>
  <c r="AN30" i="5" s="1"/>
  <c r="AN72" i="5" a="1"/>
  <c r="AN72" i="5" s="1"/>
  <c r="W72" i="5" a="1"/>
  <c r="W72" i="5" s="1"/>
  <c r="G65" i="6"/>
  <c r="F65" i="12" a="1"/>
  <c r="F65" i="12" s="1"/>
  <c r="F119" i="12" a="1"/>
  <c r="F119" i="12" s="1"/>
  <c r="G119" i="6"/>
  <c r="F100" i="6"/>
  <c r="E100" i="12"/>
  <c r="AN117" i="5" a="1"/>
  <c r="AN117" i="5" s="1"/>
  <c r="W117" i="5" a="1"/>
  <c r="W117" i="5" s="1"/>
  <c r="E70" i="12"/>
  <c r="F70" i="6"/>
  <c r="W48" i="5" a="1"/>
  <c r="W48" i="5" s="1"/>
  <c r="AN48" i="5" a="1"/>
  <c r="AN48" i="5" s="1"/>
  <c r="G95" i="6"/>
  <c r="F95" i="12" a="1"/>
  <c r="F95" i="12" s="1"/>
  <c r="AN81" i="5" a="1"/>
  <c r="AN81" i="5" s="1"/>
  <c r="W81" i="5" a="1"/>
  <c r="W81" i="5" s="1"/>
  <c r="W63" i="5" a="1"/>
  <c r="W63" i="5" s="1"/>
  <c r="AN63" i="5" a="1"/>
  <c r="AN63" i="5" s="1"/>
  <c r="F78" i="12" a="1"/>
  <c r="F78" i="12" s="1"/>
  <c r="G78" i="6"/>
  <c r="G150" i="6"/>
  <c r="F150" i="12" a="1"/>
  <c r="F150" i="12" s="1"/>
  <c r="W55" i="5" a="1"/>
  <c r="W55" i="5" s="1"/>
  <c r="AN55" i="5" a="1"/>
  <c r="AN55" i="5" s="1"/>
  <c r="F116" i="12" a="1"/>
  <c r="F116" i="12" s="1"/>
  <c r="G116" i="6"/>
  <c r="AN159" i="5" a="1"/>
  <c r="AN159" i="5" s="1"/>
  <c r="W159" i="5" a="1"/>
  <c r="W159" i="5" s="1"/>
  <c r="F189" i="6"/>
  <c r="E189" i="12"/>
  <c r="F127" i="12" a="1"/>
  <c r="F127" i="12" s="1"/>
  <c r="G127" i="6"/>
  <c r="F179" i="6"/>
  <c r="AC179" i="5" a="1"/>
  <c r="AC179" i="5" s="1"/>
  <c r="E179" i="12"/>
  <c r="W41" i="5" a="1"/>
  <c r="W41" i="5" s="1"/>
  <c r="AN41" i="5" a="1"/>
  <c r="AN41" i="5" s="1"/>
  <c r="F28" i="12" a="1"/>
  <c r="F28" i="12" s="1"/>
  <c r="G28" i="6"/>
  <c r="AN92" i="5" a="1"/>
  <c r="AN92" i="5" s="1"/>
  <c r="W92" i="5" a="1"/>
  <c r="W92" i="5" s="1"/>
  <c r="W37" i="5" a="1"/>
  <c r="W37" i="5" s="1"/>
  <c r="AN37" i="5" a="1"/>
  <c r="AN37" i="5" s="1"/>
  <c r="F177" i="6"/>
  <c r="E177" i="12"/>
  <c r="AC177" i="5" a="1"/>
  <c r="AC177" i="5" s="1"/>
  <c r="G164" i="6"/>
  <c r="F164" i="12" a="1"/>
  <c r="F164" i="12" s="1"/>
  <c r="W118" i="5" a="1"/>
  <c r="W118" i="5" s="1"/>
  <c r="AN118" i="5" a="1"/>
  <c r="AN118" i="5" s="1"/>
  <c r="F162" i="6"/>
  <c r="E162" i="12"/>
  <c r="G99" i="6"/>
  <c r="F99" i="12" a="1"/>
  <c r="F99" i="12" s="1"/>
  <c r="W82" i="5" a="1"/>
  <c r="W82" i="5" s="1"/>
  <c r="AN82" i="5" a="1"/>
  <c r="AN82" i="5" s="1"/>
  <c r="E56" i="12"/>
  <c r="F56" i="6"/>
  <c r="F101" i="6"/>
  <c r="E101" i="12"/>
  <c r="E21" i="12"/>
  <c r="F21" i="6"/>
  <c r="G66" i="6"/>
  <c r="F66" i="12" a="1"/>
  <c r="F66" i="12" s="1"/>
  <c r="F68" i="12" a="1"/>
  <c r="F68" i="12" s="1"/>
  <c r="G68" i="6"/>
  <c r="F128" i="12" a="1"/>
  <c r="F128" i="12" s="1"/>
  <c r="G128" i="6"/>
  <c r="F167" i="12" a="1"/>
  <c r="F167" i="12" s="1"/>
  <c r="G167" i="6"/>
  <c r="AN149" i="5" a="1"/>
  <c r="AN149" i="5" s="1"/>
  <c r="W149" i="5" a="1"/>
  <c r="W149" i="5" s="1"/>
  <c r="G86" i="6"/>
  <c r="F86" i="12" a="1"/>
  <c r="F86" i="12" s="1"/>
  <c r="G71" i="6"/>
  <c r="F71" i="12" a="1"/>
  <c r="F71" i="12" s="1"/>
  <c r="AN153" i="5" a="1"/>
  <c r="AN153" i="5" s="1"/>
  <c r="W153" i="5" a="1"/>
  <c r="W153" i="5" s="1"/>
  <c r="E93" i="12"/>
  <c r="F93" i="6"/>
  <c r="E62" i="12"/>
  <c r="F62" i="6"/>
  <c r="W134" i="5" a="1"/>
  <c r="W134" i="5" s="1"/>
  <c r="AN134" i="5" a="1"/>
  <c r="AN134" i="5" s="1"/>
  <c r="F178" i="12" a="1"/>
  <c r="F178" i="12" s="1"/>
  <c r="G178" i="6"/>
  <c r="F46" i="6"/>
  <c r="E46" i="12"/>
  <c r="W76" i="5" a="1"/>
  <c r="W76" i="5" s="1"/>
  <c r="AN76" i="5" a="1"/>
  <c r="AN76" i="5" s="1"/>
  <c r="G102" i="6"/>
  <c r="F102" i="12" a="1"/>
  <c r="F102" i="12" s="1"/>
  <c r="E136" i="12"/>
  <c r="F136" i="6"/>
  <c r="F50" i="12" a="1"/>
  <c r="F50" i="12" s="1"/>
  <c r="G50" i="6"/>
  <c r="F168" i="12" a="1"/>
  <c r="F168" i="12" s="1"/>
  <c r="G168" i="6"/>
  <c r="AN126" i="5" a="1"/>
  <c r="AN126" i="5" s="1"/>
  <c r="W126" i="5" a="1"/>
  <c r="W126" i="5" s="1"/>
  <c r="AN112" i="5" a="1"/>
  <c r="AN112" i="5" s="1"/>
  <c r="W112" i="5" a="1"/>
  <c r="W112" i="5" s="1"/>
  <c r="G188" i="6"/>
  <c r="F188" i="12" a="1"/>
  <c r="F188" i="12" s="1"/>
  <c r="AN129" i="5" a="1"/>
  <c r="AN129" i="5" s="1"/>
  <c r="W129" i="5" a="1"/>
  <c r="W129" i="5" s="1"/>
  <c r="AN88" i="5" a="1"/>
  <c r="AN88" i="5" s="1"/>
  <c r="W88" i="5" a="1"/>
  <c r="W88" i="5" s="1"/>
  <c r="F84" i="6"/>
  <c r="E84" i="12"/>
  <c r="F133" i="6"/>
  <c r="E133" i="12"/>
  <c r="AN79" i="5" a="1"/>
  <c r="AN79" i="5" s="1"/>
  <c r="W79" i="5" a="1"/>
  <c r="W79" i="5" s="1"/>
  <c r="G19" i="6"/>
  <c r="F19" i="12" a="1"/>
  <c r="F19" i="12" s="1"/>
  <c r="E123" i="12"/>
  <c r="F123" i="6"/>
  <c r="AN20" i="5" a="1"/>
  <c r="AN20" i="5" s="1"/>
  <c r="W20" i="5" a="1"/>
  <c r="W20" i="5" s="1"/>
  <c r="F137" i="12" a="1"/>
  <c r="F137" i="12" s="1"/>
  <c r="G137" i="6"/>
  <c r="W25" i="5" a="1"/>
  <c r="W25" i="5" s="1"/>
  <c r="AN25" i="5" a="1"/>
  <c r="AN25" i="5" s="1"/>
  <c r="E110" i="12"/>
  <c r="F110" i="6"/>
  <c r="G142" i="6"/>
  <c r="F142" i="12" a="1"/>
  <c r="F142" i="12" s="1"/>
  <c r="F181" i="6"/>
  <c r="E181" i="12"/>
  <c r="AC181" i="5" a="1"/>
  <c r="AC181" i="5" s="1"/>
  <c r="W59" i="5" a="1"/>
  <c r="W59" i="5" s="1"/>
  <c r="AN59" i="5" a="1"/>
  <c r="AN59" i="5" s="1"/>
  <c r="G49" i="6"/>
  <c r="F49" i="12" a="1"/>
  <c r="F49" i="12" s="1"/>
  <c r="AN108" i="5" a="1"/>
  <c r="AN108" i="5" s="1"/>
  <c r="W108" i="5" a="1"/>
  <c r="W108" i="5" s="1"/>
  <c r="W87" i="5" a="1"/>
  <c r="W87" i="5" s="1"/>
  <c r="AN87" i="5" a="1"/>
  <c r="AN87" i="5" s="1"/>
  <c r="G77" i="6"/>
  <c r="F77" i="12" a="1"/>
  <c r="F77" i="12" s="1"/>
  <c r="F52" i="6"/>
  <c r="E52" i="12"/>
  <c r="W36" i="5" a="1"/>
  <c r="W36" i="5" s="1"/>
  <c r="AN36" i="5" a="1"/>
  <c r="AN36" i="5" s="1"/>
  <c r="E151" i="12"/>
  <c r="F151" i="6"/>
  <c r="F146" i="6"/>
  <c r="E146" i="12"/>
  <c r="AN113" i="5" a="1"/>
  <c r="AN113" i="5" s="1"/>
  <c r="W113" i="5" a="1"/>
  <c r="W113" i="5" s="1"/>
  <c r="F94" i="12" a="1"/>
  <c r="F94" i="12" s="1"/>
  <c r="G94" i="6"/>
  <c r="F67" i="6"/>
  <c r="E67" i="12"/>
  <c r="W33" i="5" a="1"/>
  <c r="W33" i="5" s="1"/>
  <c r="AN33" i="5" a="1"/>
  <c r="AN33" i="5" s="1"/>
  <c r="G182" i="6"/>
  <c r="F182" i="12" a="1"/>
  <c r="F182" i="12" s="1"/>
  <c r="AN124" i="5" a="1"/>
  <c r="AN124" i="5" s="1"/>
  <c r="W124" i="5" a="1"/>
  <c r="W124" i="5" s="1"/>
  <c r="AN53" i="5" a="1"/>
  <c r="AN53" i="5" s="1"/>
  <c r="W53" i="5" a="1"/>
  <c r="W53" i="5" s="1"/>
  <c r="E161" i="12"/>
  <c r="F161" i="6"/>
  <c r="G160" i="6"/>
  <c r="F160" i="12" a="1"/>
  <c r="F160" i="12" s="1"/>
  <c r="AN115" i="5" a="1"/>
  <c r="AN115" i="5" s="1"/>
  <c r="W115" i="5" a="1"/>
  <c r="W115" i="5" s="1"/>
  <c r="G43" i="6"/>
  <c r="F43" i="12" a="1"/>
  <c r="F43" i="12" s="1"/>
  <c r="W152" i="5" a="1"/>
  <c r="W152" i="5" s="1"/>
  <c r="AN152" i="5" a="1"/>
  <c r="AN152" i="5" s="1"/>
  <c r="AN54" i="5" a="1"/>
  <c r="AN54" i="5" s="1"/>
  <c r="W54" i="5" a="1"/>
  <c r="W54" i="5" s="1"/>
  <c r="G122" i="6"/>
  <c r="F122" i="12" a="1"/>
  <c r="F122" i="12" s="1"/>
  <c r="AG155" i="5" a="1"/>
  <c r="AG155" i="5" l="1"/>
  <c r="U155" i="5" s="1"/>
  <c r="AO115" i="6"/>
  <c r="AR115" i="6"/>
  <c r="AM115" i="6"/>
  <c r="AJ115" i="6"/>
  <c r="H115" i="12" a="1"/>
  <c r="H115" i="12" s="1"/>
  <c r="AK115" i="6"/>
  <c r="AN115" i="6"/>
  <c r="AQ115" i="6"/>
  <c r="AT115" i="6"/>
  <c r="AS115" i="6"/>
  <c r="AP115" i="6"/>
  <c r="AL115" i="6"/>
  <c r="AR25" i="6"/>
  <c r="AP25" i="6"/>
  <c r="H25" i="12" a="1"/>
  <c r="H25" i="12" s="1"/>
  <c r="AO25" i="6"/>
  <c r="AJ25" i="6"/>
  <c r="AM25" i="6"/>
  <c r="AS25" i="6"/>
  <c r="AK25" i="6"/>
  <c r="AN25" i="6"/>
  <c r="AQ25" i="6"/>
  <c r="AT25" i="6"/>
  <c r="AL25" i="6"/>
  <c r="AQ76" i="6"/>
  <c r="AS76" i="6"/>
  <c r="AN76" i="6"/>
  <c r="AJ76" i="6"/>
  <c r="AK76" i="6"/>
  <c r="AP76" i="6"/>
  <c r="AR76" i="6"/>
  <c r="AL76" i="6"/>
  <c r="AO76" i="6"/>
  <c r="AT76" i="6"/>
  <c r="H76" i="12" a="1"/>
  <c r="H76" i="12" s="1"/>
  <c r="AM76" i="6"/>
  <c r="H134" i="12" a="1"/>
  <c r="H134" i="12" s="1"/>
  <c r="AN134" i="6"/>
  <c r="AQ134" i="6"/>
  <c r="AJ134" i="6"/>
  <c r="AL134" i="6"/>
  <c r="AM134" i="6"/>
  <c r="AP134" i="6"/>
  <c r="AR134" i="6"/>
  <c r="AS134" i="6"/>
  <c r="AK134" i="6"/>
  <c r="AO134" i="6"/>
  <c r="AT134" i="6"/>
  <c r="AS82" i="6"/>
  <c r="H82" i="12" a="1"/>
  <c r="H82" i="12" s="1"/>
  <c r="AQ82" i="6"/>
  <c r="AR82" i="6"/>
  <c r="AL82" i="6"/>
  <c r="AK82" i="6"/>
  <c r="AT82" i="6"/>
  <c r="AO82" i="6"/>
  <c r="AP82" i="6"/>
  <c r="AM82" i="6"/>
  <c r="AN82" i="6"/>
  <c r="AJ82" i="6"/>
  <c r="AT118" i="6"/>
  <c r="AJ118" i="6"/>
  <c r="AR118" i="6"/>
  <c r="AM118" i="6"/>
  <c r="AL118" i="6"/>
  <c r="AP118" i="6"/>
  <c r="AQ118" i="6"/>
  <c r="H118" i="12" a="1"/>
  <c r="H118" i="12" s="1"/>
  <c r="AK118" i="6"/>
  <c r="AS118" i="6"/>
  <c r="AN118" i="6"/>
  <c r="AO118" i="6"/>
  <c r="AO92" i="6"/>
  <c r="AQ92" i="6"/>
  <c r="AM92" i="6"/>
  <c r="AL92" i="6"/>
  <c r="AP92" i="6"/>
  <c r="AJ92" i="6"/>
  <c r="AR92" i="6"/>
  <c r="AN92" i="6"/>
  <c r="AK92" i="6"/>
  <c r="AT92" i="6"/>
  <c r="AS92" i="6"/>
  <c r="H92" i="12" a="1"/>
  <c r="H92" i="12" s="1"/>
  <c r="AQ55" i="6"/>
  <c r="AR55" i="6"/>
  <c r="AO55" i="6"/>
  <c r="AJ55" i="6"/>
  <c r="AP55" i="6"/>
  <c r="H55" i="12" a="1"/>
  <c r="H55" i="12" s="1"/>
  <c r="AT55" i="6"/>
  <c r="AL55" i="6"/>
  <c r="AM55" i="6"/>
  <c r="AS55" i="6"/>
  <c r="AK55" i="6"/>
  <c r="AN55" i="6"/>
  <c r="AN63" i="6"/>
  <c r="AQ63" i="6"/>
  <c r="AR63" i="6"/>
  <c r="AP63" i="6"/>
  <c r="AJ63" i="6"/>
  <c r="AT63" i="6"/>
  <c r="AO63" i="6"/>
  <c r="H63" i="12" a="1"/>
  <c r="H63" i="12" s="1"/>
  <c r="AS63" i="6"/>
  <c r="AK63" i="6"/>
  <c r="AL63" i="6"/>
  <c r="AM63" i="6"/>
  <c r="AN48" i="6"/>
  <c r="AL48" i="6"/>
  <c r="AS48" i="6"/>
  <c r="AJ48" i="6"/>
  <c r="H48" i="12" a="1"/>
  <c r="H48" i="12" s="1"/>
  <c r="AP48" i="6"/>
  <c r="AM48" i="6"/>
  <c r="AQ48" i="6"/>
  <c r="AT48" i="6"/>
  <c r="AK48" i="6"/>
  <c r="AO48" i="6"/>
  <c r="AR48" i="6"/>
  <c r="AM30" i="6"/>
  <c r="AL30" i="6"/>
  <c r="AK30" i="6"/>
  <c r="AP30" i="6"/>
  <c r="AN30" i="6"/>
  <c r="AO30" i="6"/>
  <c r="AQ30" i="6"/>
  <c r="AS30" i="6"/>
  <c r="H30" i="12" a="1"/>
  <c r="H30" i="12" s="1"/>
  <c r="AR30" i="6"/>
  <c r="AJ30" i="6"/>
  <c r="AT30" i="6"/>
  <c r="AQ103" i="6"/>
  <c r="AR103" i="6"/>
  <c r="AJ103" i="6"/>
  <c r="AS103" i="6"/>
  <c r="AP103" i="6"/>
  <c r="AM103" i="6"/>
  <c r="AO103" i="6"/>
  <c r="AL103" i="6"/>
  <c r="AK103" i="6"/>
  <c r="AN103" i="6"/>
  <c r="H103" i="12" a="1"/>
  <c r="H103" i="12" s="1"/>
  <c r="AT103" i="6"/>
  <c r="AS160" i="6"/>
  <c r="AO160" i="6"/>
  <c r="AJ160" i="6"/>
  <c r="AP160" i="6"/>
  <c r="AN160" i="6"/>
  <c r="H160" i="12" a="1"/>
  <c r="H160" i="12" s="1"/>
  <c r="AT160" i="6"/>
  <c r="AQ160" i="6"/>
  <c r="AL160" i="6"/>
  <c r="AM160" i="6"/>
  <c r="AR160" i="6"/>
  <c r="AK160" i="6"/>
  <c r="AO146" i="6"/>
  <c r="AQ146" i="6"/>
  <c r="AT146" i="6"/>
  <c r="H146" i="12" a="1"/>
  <c r="H146" i="12" s="1"/>
  <c r="AN146" i="6"/>
  <c r="AL146" i="6"/>
  <c r="AS146" i="6"/>
  <c r="AK146" i="6"/>
  <c r="AR146" i="6"/>
  <c r="AM146" i="6"/>
  <c r="AJ146" i="6"/>
  <c r="AP146" i="6"/>
  <c r="AL49" i="6"/>
  <c r="AR49" i="6"/>
  <c r="AM49" i="6"/>
  <c r="H49" i="12" a="1"/>
  <c r="H49" i="12" s="1"/>
  <c r="AJ49" i="6"/>
  <c r="AS49" i="6"/>
  <c r="AP49" i="6"/>
  <c r="AT49" i="6"/>
  <c r="AQ49" i="6"/>
  <c r="AO49" i="6"/>
  <c r="AN49" i="6"/>
  <c r="AK49" i="6"/>
  <c r="AQ58" i="6"/>
  <c r="AJ58" i="6"/>
  <c r="AK58" i="6"/>
  <c r="AL58" i="6"/>
  <c r="AO58" i="6"/>
  <c r="AM58" i="6"/>
  <c r="AR58" i="6"/>
  <c r="AP58" i="6"/>
  <c r="H58" i="12" a="1"/>
  <c r="H58" i="12" s="1"/>
  <c r="AN58" i="6"/>
  <c r="AS58" i="6"/>
  <c r="AT58" i="6"/>
  <c r="AS57" i="6"/>
  <c r="AT57" i="6"/>
  <c r="AL57" i="6"/>
  <c r="AM57" i="6"/>
  <c r="AN57" i="6"/>
  <c r="AO57" i="6"/>
  <c r="AQ57" i="6"/>
  <c r="AJ57" i="6"/>
  <c r="AP57" i="6"/>
  <c r="H57" i="12" a="1"/>
  <c r="H57" i="12" s="1"/>
  <c r="AR57" i="6"/>
  <c r="AK57" i="6"/>
  <c r="AM144" i="6"/>
  <c r="AS144" i="6"/>
  <c r="AK144" i="6"/>
  <c r="AL144" i="6"/>
  <c r="AO144" i="6"/>
  <c r="H144" i="12" a="1"/>
  <c r="H144" i="12" s="1"/>
  <c r="AT144" i="6"/>
  <c r="AJ144" i="6"/>
  <c r="AN144" i="6"/>
  <c r="AP144" i="6"/>
  <c r="AQ144" i="6"/>
  <c r="AR144" i="6"/>
  <c r="H130" i="12" a="1"/>
  <c r="H130" i="12" s="1"/>
  <c r="AN130" i="6"/>
  <c r="AR130" i="6"/>
  <c r="AS130" i="6"/>
  <c r="AO130" i="6"/>
  <c r="AK130" i="6"/>
  <c r="AP130" i="6"/>
  <c r="AQ130" i="6"/>
  <c r="AT130" i="6"/>
  <c r="AJ130" i="6"/>
  <c r="AM130" i="6"/>
  <c r="AL130" i="6"/>
  <c r="AR61" i="6"/>
  <c r="AT61" i="6"/>
  <c r="AO61" i="6"/>
  <c r="AM61" i="6"/>
  <c r="AL61" i="6"/>
  <c r="AJ61" i="6"/>
  <c r="AS61" i="6"/>
  <c r="H61" i="12" a="1"/>
  <c r="H61" i="12" s="1"/>
  <c r="AK61" i="6"/>
  <c r="AQ61" i="6"/>
  <c r="AP61" i="6"/>
  <c r="AN61" i="6"/>
  <c r="AS189" i="6"/>
  <c r="AQ189" i="6"/>
  <c r="AM189" i="6"/>
  <c r="AN189" i="6"/>
  <c r="AO189" i="6"/>
  <c r="AJ189" i="6"/>
  <c r="AT189" i="6"/>
  <c r="AR189" i="6"/>
  <c r="H189" i="12" a="1"/>
  <c r="H189" i="12" s="1"/>
  <c r="AK189" i="6"/>
  <c r="AL189" i="6"/>
  <c r="AP189" i="6"/>
  <c r="H157" i="12" a="1"/>
  <c r="H157" i="12" s="1"/>
  <c r="AT157" i="6"/>
  <c r="AQ157" i="6"/>
  <c r="AO157" i="6"/>
  <c r="AM157" i="6"/>
  <c r="AP157" i="6"/>
  <c r="AS157" i="6"/>
  <c r="AR157" i="6"/>
  <c r="AL157" i="6"/>
  <c r="AK157" i="6"/>
  <c r="AN157" i="6"/>
  <c r="AJ157" i="6"/>
  <c r="AR100" i="6"/>
  <c r="AT100" i="6"/>
  <c r="H100" i="12" a="1"/>
  <c r="H100" i="12" s="1"/>
  <c r="AK100" i="6"/>
  <c r="AO100" i="6"/>
  <c r="AP100" i="6"/>
  <c r="AS100" i="6"/>
  <c r="AN100" i="6"/>
  <c r="AB55" i="8" s="1" a="1"/>
  <c r="AB55" i="8" s="1"/>
  <c r="AM100" i="6"/>
  <c r="AQ100" i="6"/>
  <c r="AJ100" i="6"/>
  <c r="AL100" i="6"/>
  <c r="Y55" i="8" s="1" a="1"/>
  <c r="Y55" i="8" s="1"/>
  <c r="AS40" i="6"/>
  <c r="AM40" i="6"/>
  <c r="AR40" i="6"/>
  <c r="H40" i="12" a="1"/>
  <c r="H40" i="12" s="1"/>
  <c r="AJ40" i="6"/>
  <c r="AO40" i="6"/>
  <c r="AT40" i="6"/>
  <c r="AK40" i="6"/>
  <c r="AP40" i="6"/>
  <c r="AQ40" i="6"/>
  <c r="AN40" i="6"/>
  <c r="AL40" i="6"/>
  <c r="AQ135" i="6"/>
  <c r="AR135" i="6"/>
  <c r="AT135" i="6"/>
  <c r="AK135" i="6"/>
  <c r="AO135" i="6"/>
  <c r="AP135" i="6"/>
  <c r="AM135" i="6"/>
  <c r="AN135" i="6"/>
  <c r="H135" i="12" a="1"/>
  <c r="H135" i="12" s="1"/>
  <c r="AS135" i="6"/>
  <c r="AL135" i="6"/>
  <c r="AJ135" i="6"/>
  <c r="AT18" i="6"/>
  <c r="AM18" i="6"/>
  <c r="AQ18" i="6"/>
  <c r="AP18" i="6"/>
  <c r="AK18" i="6"/>
  <c r="AJ18" i="6"/>
  <c r="AN18" i="6"/>
  <c r="AR18" i="6"/>
  <c r="AO18" i="6"/>
  <c r="AS18" i="6"/>
  <c r="H18" i="12" a="1"/>
  <c r="H18" i="12" s="1"/>
  <c r="AL18" i="6"/>
  <c r="AR97" i="6"/>
  <c r="AP97" i="6"/>
  <c r="AN97" i="6"/>
  <c r="H97" i="12" a="1"/>
  <c r="H97" i="12" s="1"/>
  <c r="AJ97" i="6"/>
  <c r="AT97" i="6"/>
  <c r="AO97" i="6"/>
  <c r="AK97" i="6"/>
  <c r="AS97" i="6"/>
  <c r="AQ97" i="6"/>
  <c r="AM97" i="6"/>
  <c r="AL97" i="6"/>
  <c r="AN122" i="6"/>
  <c r="AP122" i="6"/>
  <c r="AQ122" i="6"/>
  <c r="AM122" i="6"/>
  <c r="AK122" i="6"/>
  <c r="AJ122" i="6"/>
  <c r="AO122" i="6"/>
  <c r="AL122" i="6"/>
  <c r="AR122" i="6"/>
  <c r="AT122" i="6"/>
  <c r="AS122" i="6"/>
  <c r="H122" i="12" a="1"/>
  <c r="H122" i="12" s="1"/>
  <c r="AS161" i="6"/>
  <c r="AQ161" i="6"/>
  <c r="AK161" i="6"/>
  <c r="H161" i="12" a="1"/>
  <c r="H161" i="12" s="1"/>
  <c r="AJ161" i="6"/>
  <c r="AL161" i="6"/>
  <c r="AT161" i="6"/>
  <c r="AR161" i="6"/>
  <c r="AO161" i="6"/>
  <c r="AP161" i="6"/>
  <c r="AM161" i="6"/>
  <c r="AN161" i="6"/>
  <c r="AS45" i="6"/>
  <c r="AT45" i="6"/>
  <c r="AJ45" i="6"/>
  <c r="AL45" i="6"/>
  <c r="H45" i="12" a="1"/>
  <c r="H45" i="12" s="1"/>
  <c r="AR45" i="6"/>
  <c r="AO45" i="6"/>
  <c r="AQ45" i="6"/>
  <c r="AM45" i="6"/>
  <c r="AN45" i="6"/>
  <c r="AP45" i="6"/>
  <c r="AK45" i="6"/>
  <c r="AS77" i="6"/>
  <c r="AT77" i="6"/>
  <c r="AK77" i="6"/>
  <c r="AN77" i="6"/>
  <c r="AJ77" i="6"/>
  <c r="AO77" i="6"/>
  <c r="AQ77" i="6"/>
  <c r="AL77" i="6"/>
  <c r="AP77" i="6"/>
  <c r="AR77" i="6"/>
  <c r="AM77" i="6"/>
  <c r="H77" i="12" a="1"/>
  <c r="H77" i="12" s="1"/>
  <c r="AR142" i="6"/>
  <c r="AK142" i="6"/>
  <c r="AS142" i="6"/>
  <c r="H142" i="12" a="1"/>
  <c r="H142" i="12" s="1"/>
  <c r="AQ142" i="6"/>
  <c r="AO142" i="6"/>
  <c r="AT142" i="6"/>
  <c r="AP142" i="6"/>
  <c r="AM142" i="6"/>
  <c r="AL142" i="6"/>
  <c r="AN142" i="6"/>
  <c r="AJ142" i="6"/>
  <c r="AM19" i="6"/>
  <c r="H19" i="12" a="1"/>
  <c r="H19" i="12" s="1"/>
  <c r="AT19" i="6"/>
  <c r="AO19" i="6"/>
  <c r="AJ19" i="6"/>
  <c r="AP19" i="6"/>
  <c r="AK19" i="6"/>
  <c r="AS19" i="6"/>
  <c r="AN19" i="6"/>
  <c r="AQ19" i="6"/>
  <c r="AR19" i="6"/>
  <c r="AL19" i="6"/>
  <c r="AM188" i="6"/>
  <c r="AO188" i="6"/>
  <c r="AR188" i="6"/>
  <c r="AQ188" i="6"/>
  <c r="AJ188" i="6"/>
  <c r="H188" i="12" a="1"/>
  <c r="H188" i="12" s="1"/>
  <c r="AP188" i="6"/>
  <c r="AN188" i="6"/>
  <c r="AL188" i="6"/>
  <c r="AK188" i="6"/>
  <c r="AS188" i="6"/>
  <c r="AT188" i="6"/>
  <c r="AN104" i="6"/>
  <c r="H104" i="12" a="1"/>
  <c r="H104" i="12" s="1"/>
  <c r="AK104" i="6"/>
  <c r="AL104" i="6"/>
  <c r="AP104" i="6"/>
  <c r="AO104" i="6"/>
  <c r="AM104" i="6"/>
  <c r="AT104" i="6"/>
  <c r="AJ104" i="6"/>
  <c r="AS104" i="6"/>
  <c r="AQ104" i="6"/>
  <c r="AR104" i="6"/>
  <c r="H50" i="12" a="1"/>
  <c r="H50" i="12" s="1"/>
  <c r="AL50" i="6"/>
  <c r="AQ50" i="6"/>
  <c r="AO50" i="6"/>
  <c r="AM50" i="6"/>
  <c r="AN50" i="6"/>
  <c r="AT50" i="6"/>
  <c r="AS50" i="6"/>
  <c r="AK50" i="6"/>
  <c r="AJ50" i="6"/>
  <c r="AP50" i="6"/>
  <c r="AR50" i="6"/>
  <c r="AM93" i="6"/>
  <c r="AR93" i="6"/>
  <c r="H93" i="12" a="1"/>
  <c r="H93" i="12" s="1"/>
  <c r="AS93" i="6"/>
  <c r="AK93" i="6"/>
  <c r="AO93" i="6"/>
  <c r="AT93" i="6"/>
  <c r="AP93" i="6"/>
  <c r="AQ93" i="6"/>
  <c r="AJ93" i="6"/>
  <c r="AN93" i="6"/>
  <c r="AL93" i="6"/>
  <c r="AP66" i="6"/>
  <c r="AM66" i="6"/>
  <c r="AL66" i="6"/>
  <c r="AR66" i="6"/>
  <c r="AQ66" i="6"/>
  <c r="AT66" i="6"/>
  <c r="AO66" i="6"/>
  <c r="AN66" i="6"/>
  <c r="AS66" i="6"/>
  <c r="AK66" i="6"/>
  <c r="H66" i="12" a="1"/>
  <c r="H66" i="12" s="1"/>
  <c r="AJ66" i="6"/>
  <c r="AM138" i="6"/>
  <c r="AO138" i="6"/>
  <c r="AL138" i="6"/>
  <c r="AR138" i="6"/>
  <c r="AQ138" i="6"/>
  <c r="H138" i="12" a="1"/>
  <c r="H138" i="12" s="1"/>
  <c r="AP138" i="6"/>
  <c r="AN138" i="6"/>
  <c r="AS138" i="6"/>
  <c r="AJ138" i="6"/>
  <c r="AT138" i="6"/>
  <c r="AK138" i="6"/>
  <c r="AJ162" i="6"/>
  <c r="AO162" i="6"/>
  <c r="AK162" i="6"/>
  <c r="AR162" i="6"/>
  <c r="AQ162" i="6"/>
  <c r="AL162" i="6"/>
  <c r="AP162" i="6"/>
  <c r="H162" i="12" a="1"/>
  <c r="H162" i="12" s="1"/>
  <c r="AN162" i="6"/>
  <c r="AM162" i="6"/>
  <c r="AT162" i="6"/>
  <c r="AS162" i="6"/>
  <c r="AO60" i="6"/>
  <c r="AM60" i="6"/>
  <c r="AS60" i="6"/>
  <c r="AP60" i="6"/>
  <c r="AK60" i="6"/>
  <c r="AQ60" i="6"/>
  <c r="AN60" i="6"/>
  <c r="AR60" i="6"/>
  <c r="AJ60" i="6"/>
  <c r="AL60" i="6"/>
  <c r="AT60" i="6"/>
  <c r="H60" i="12" a="1"/>
  <c r="H60" i="12" s="1"/>
  <c r="AQ127" i="6"/>
  <c r="AN127" i="6"/>
  <c r="AJ127" i="6"/>
  <c r="AR127" i="6"/>
  <c r="AM127" i="6"/>
  <c r="AK127" i="6"/>
  <c r="AL127" i="6"/>
  <c r="AO127" i="6"/>
  <c r="H127" i="12" a="1"/>
  <c r="H127" i="12" s="1"/>
  <c r="AP127" i="6"/>
  <c r="AT127" i="6"/>
  <c r="AS127" i="6"/>
  <c r="AT116" i="6"/>
  <c r="AQ116" i="6"/>
  <c r="AO116" i="6"/>
  <c r="H116" i="12" a="1"/>
  <c r="H116" i="12" s="1"/>
  <c r="AK116" i="6"/>
  <c r="AJ116" i="6"/>
  <c r="AM116" i="6"/>
  <c r="AL116" i="6"/>
  <c r="AP116" i="6"/>
  <c r="AS116" i="6"/>
  <c r="AR116" i="6"/>
  <c r="AN116" i="6"/>
  <c r="H78" i="12" a="1"/>
  <c r="H78" i="12" s="1"/>
  <c r="AK78" i="6"/>
  <c r="AN78" i="6"/>
  <c r="AL78" i="6"/>
  <c r="AQ78" i="6"/>
  <c r="AO78" i="6"/>
  <c r="AP78" i="6"/>
  <c r="AF46" i="8" s="1" a="1"/>
  <c r="AF46" i="8" s="1"/>
  <c r="AT78" i="6"/>
  <c r="AR78" i="6"/>
  <c r="AJ78" i="6"/>
  <c r="AS78" i="6"/>
  <c r="AM78" i="6"/>
  <c r="AT95" i="6"/>
  <c r="AO95" i="6"/>
  <c r="AN95" i="6"/>
  <c r="AM95" i="6"/>
  <c r="AJ95" i="6"/>
  <c r="H95" i="12" a="1"/>
  <c r="H95" i="12" s="1"/>
  <c r="AS95" i="6"/>
  <c r="AK95" i="6"/>
  <c r="AR95" i="6"/>
  <c r="AQ95" i="6"/>
  <c r="AP95" i="6"/>
  <c r="AL95" i="6"/>
  <c r="AR139" i="6"/>
  <c r="AT139" i="6"/>
  <c r="AQ139" i="6"/>
  <c r="AP139" i="6"/>
  <c r="AS139" i="6"/>
  <c r="AO139" i="6"/>
  <c r="AJ139" i="6"/>
  <c r="H139" i="12" a="1"/>
  <c r="H139" i="12" s="1"/>
  <c r="AM139" i="6"/>
  <c r="AN139" i="6"/>
  <c r="AK139" i="6"/>
  <c r="AL139" i="6"/>
  <c r="AS107" i="6"/>
  <c r="AN107" i="6"/>
  <c r="AO107" i="6"/>
  <c r="AJ107" i="6"/>
  <c r="H107" i="12" a="1"/>
  <c r="H107" i="12" s="1"/>
  <c r="AQ107" i="6"/>
  <c r="AT107" i="6"/>
  <c r="AP107" i="6"/>
  <c r="AK107" i="6"/>
  <c r="AM107" i="6"/>
  <c r="AL107" i="6"/>
  <c r="AR107" i="6"/>
  <c r="AP140" i="6"/>
  <c r="AR140" i="6"/>
  <c r="AS140" i="6"/>
  <c r="AK140" i="6"/>
  <c r="AT140" i="6"/>
  <c r="AJ140" i="6"/>
  <c r="AQ140" i="6"/>
  <c r="AO140" i="6"/>
  <c r="AL140" i="6"/>
  <c r="AN140" i="6"/>
  <c r="AM140" i="6"/>
  <c r="H140" i="12" a="1"/>
  <c r="H140" i="12" s="1"/>
  <c r="AN110" i="6"/>
  <c r="AL110" i="6"/>
  <c r="AK110" i="6"/>
  <c r="AM110" i="6"/>
  <c r="AS110" i="6"/>
  <c r="AQ110" i="6"/>
  <c r="AT110" i="6"/>
  <c r="AR110" i="6"/>
  <c r="AJ110" i="6"/>
  <c r="AO110" i="6"/>
  <c r="AC61" i="8" s="1" a="1"/>
  <c r="AC61" i="8" s="1"/>
  <c r="H110" i="12" a="1"/>
  <c r="H110" i="12" s="1"/>
  <c r="AP110" i="6"/>
  <c r="AN123" i="6"/>
  <c r="AP123" i="6"/>
  <c r="AK123" i="6"/>
  <c r="AJ123" i="6"/>
  <c r="AQ123" i="6"/>
  <c r="AO123" i="6"/>
  <c r="AS123" i="6"/>
  <c r="H123" i="12" a="1"/>
  <c r="H123" i="12" s="1"/>
  <c r="AM123" i="6"/>
  <c r="AT123" i="6"/>
  <c r="AR123" i="6"/>
  <c r="AL123" i="6"/>
  <c r="H133" i="12" a="1"/>
  <c r="H133" i="12" s="1"/>
  <c r="AN133" i="6"/>
  <c r="AQ133" i="6"/>
  <c r="AK133" i="6"/>
  <c r="AL133" i="6"/>
  <c r="AR133" i="6"/>
  <c r="AP133" i="6"/>
  <c r="AJ133" i="6"/>
  <c r="AO133" i="6"/>
  <c r="AT133" i="6"/>
  <c r="AM133" i="6"/>
  <c r="AS133" i="6"/>
  <c r="AK168" i="6"/>
  <c r="AT168" i="6"/>
  <c r="AN168" i="6"/>
  <c r="AO168" i="6"/>
  <c r="AL168" i="6"/>
  <c r="AQ168" i="6"/>
  <c r="AM168" i="6"/>
  <c r="AJ168" i="6"/>
  <c r="AS168" i="6"/>
  <c r="H168" i="12" a="1"/>
  <c r="H168" i="12" s="1"/>
  <c r="AP168" i="6"/>
  <c r="AR168" i="6"/>
  <c r="AM136" i="6"/>
  <c r="AL136" i="6"/>
  <c r="AJ136" i="6"/>
  <c r="AO136" i="6"/>
  <c r="AT136" i="6"/>
  <c r="AP136" i="6"/>
  <c r="AK136" i="6"/>
  <c r="H136" i="12" a="1"/>
  <c r="H136" i="12" s="1"/>
  <c r="AR136" i="6"/>
  <c r="AQ136" i="6"/>
  <c r="AS136" i="6"/>
  <c r="AN136" i="6"/>
  <c r="AT62" i="6"/>
  <c r="AR62" i="6"/>
  <c r="H62" i="12" a="1"/>
  <c r="H62" i="12" s="1"/>
  <c r="AL62" i="6"/>
  <c r="AO62" i="6"/>
  <c r="AJ62" i="6"/>
  <c r="AQ62" i="6"/>
  <c r="AN62" i="6"/>
  <c r="AM62" i="6"/>
  <c r="AS62" i="6"/>
  <c r="AP62" i="6"/>
  <c r="AK62" i="6"/>
  <c r="AR167" i="6"/>
  <c r="AP167" i="6"/>
  <c r="AS167" i="6"/>
  <c r="AT167" i="6"/>
  <c r="AK167" i="6"/>
  <c r="AJ167" i="6"/>
  <c r="AN167" i="6"/>
  <c r="AL167" i="6"/>
  <c r="H167" i="12" a="1"/>
  <c r="H167" i="12" s="1"/>
  <c r="AQ167" i="6"/>
  <c r="AM167" i="6"/>
  <c r="AO167" i="6"/>
  <c r="AM68" i="6"/>
  <c r="H68" i="12" a="1"/>
  <c r="H68" i="12" s="1"/>
  <c r="AL68" i="6"/>
  <c r="AS68" i="6"/>
  <c r="AT68" i="6"/>
  <c r="AJ68" i="6"/>
  <c r="AP68" i="6"/>
  <c r="AR68" i="6"/>
  <c r="AO68" i="6"/>
  <c r="AQ68" i="6"/>
  <c r="AK68" i="6"/>
  <c r="AN68" i="6"/>
  <c r="AQ101" i="6"/>
  <c r="AS101" i="6"/>
  <c r="H101" i="12" a="1"/>
  <c r="H101" i="12" s="1"/>
  <c r="AJ101" i="6"/>
  <c r="AP101" i="6"/>
  <c r="AO101" i="6"/>
  <c r="AR101" i="6"/>
  <c r="AM101" i="6"/>
  <c r="AL101" i="6"/>
  <c r="AT101" i="6"/>
  <c r="AN101" i="6"/>
  <c r="AK101" i="6"/>
  <c r="AS164" i="6"/>
  <c r="H164" i="12" a="1"/>
  <c r="H164" i="12" s="1"/>
  <c r="AO164" i="6"/>
  <c r="AJ164" i="6"/>
  <c r="AK164" i="6"/>
  <c r="AQ164" i="6"/>
  <c r="AT164" i="6"/>
  <c r="AM164" i="6"/>
  <c r="AN164" i="6"/>
  <c r="AP164" i="6"/>
  <c r="AL164" i="6"/>
  <c r="AR164" i="6"/>
  <c r="AT70" i="6"/>
  <c r="AJ70" i="6"/>
  <c r="AL70" i="6"/>
  <c r="AM70" i="6"/>
  <c r="AK70" i="6"/>
  <c r="H70" i="12" a="1"/>
  <c r="H70" i="12" s="1"/>
  <c r="AQ70" i="6"/>
  <c r="AP70" i="6"/>
  <c r="AO70" i="6"/>
  <c r="AR70" i="6"/>
  <c r="AS70" i="6"/>
  <c r="AN70" i="6"/>
  <c r="AM119" i="6"/>
  <c r="AQ119" i="6"/>
  <c r="AJ119" i="6"/>
  <c r="AN119" i="6"/>
  <c r="AO119" i="6"/>
  <c r="AL119" i="6"/>
  <c r="AP119" i="6"/>
  <c r="H119" i="12" a="1"/>
  <c r="H119" i="12" s="1"/>
  <c r="AS119" i="6"/>
  <c r="AR119" i="6"/>
  <c r="AK119" i="6"/>
  <c r="AT119" i="6"/>
  <c r="AO65" i="6"/>
  <c r="AQ65" i="6"/>
  <c r="AM65" i="6"/>
  <c r="AP65" i="6"/>
  <c r="AK65" i="6"/>
  <c r="AN65" i="6"/>
  <c r="AL65" i="6"/>
  <c r="AS65" i="6"/>
  <c r="AT65" i="6"/>
  <c r="AJ65" i="6"/>
  <c r="AR65" i="6"/>
  <c r="H65" i="12" a="1"/>
  <c r="H65" i="12" s="1"/>
  <c r="AJ147" i="6"/>
  <c r="AO147" i="6"/>
  <c r="AK147" i="6"/>
  <c r="H147" i="12" a="1"/>
  <c r="H147" i="12" s="1"/>
  <c r="AR147" i="6"/>
  <c r="AM147" i="6"/>
  <c r="AN147" i="6"/>
  <c r="AL147" i="6"/>
  <c r="AT147" i="6"/>
  <c r="AS147" i="6"/>
  <c r="AQ147" i="6"/>
  <c r="AP147" i="6"/>
  <c r="H90" i="12" a="1"/>
  <c r="H90" i="12" s="1"/>
  <c r="AT90" i="6"/>
  <c r="AN90" i="6"/>
  <c r="AL90" i="6"/>
  <c r="AK90" i="6"/>
  <c r="AM90" i="6"/>
  <c r="AS90" i="6"/>
  <c r="AQ90" i="6"/>
  <c r="AP90" i="6"/>
  <c r="AO90" i="6"/>
  <c r="AR90" i="6"/>
  <c r="AJ90" i="6"/>
  <c r="AL169" i="6"/>
  <c r="AQ169" i="6"/>
  <c r="AS169" i="6"/>
  <c r="AT169" i="6"/>
  <c r="AP169" i="6"/>
  <c r="AR169" i="6"/>
  <c r="AO169" i="6"/>
  <c r="H169" i="12" a="1"/>
  <c r="H169" i="12" s="1"/>
  <c r="AK169" i="6"/>
  <c r="AN169" i="6"/>
  <c r="AM169" i="6"/>
  <c r="AJ169" i="6"/>
  <c r="AK54" i="6"/>
  <c r="AL54" i="6"/>
  <c r="X40" i="8" s="1" a="1"/>
  <c r="X40" i="8" s="1"/>
  <c r="AP54" i="6"/>
  <c r="AJ54" i="6"/>
  <c r="AQ54" i="6"/>
  <c r="AO54" i="6"/>
  <c r="AS54" i="6"/>
  <c r="AN54" i="6"/>
  <c r="Z40" i="8" s="1" a="1"/>
  <c r="Z40" i="8" s="1"/>
  <c r="AM54" i="6"/>
  <c r="H54" i="12" a="1"/>
  <c r="H54" i="12" s="1"/>
  <c r="AR54" i="6"/>
  <c r="AT54" i="6"/>
  <c r="AO53" i="6"/>
  <c r="AN53" i="6"/>
  <c r="AM53" i="6"/>
  <c r="AK53" i="6"/>
  <c r="H53" i="12" a="1"/>
  <c r="H53" i="12" s="1"/>
  <c r="AJ53" i="6"/>
  <c r="AL53" i="6"/>
  <c r="AP53" i="6"/>
  <c r="AR53" i="6"/>
  <c r="AQ53" i="6"/>
  <c r="AT53" i="6"/>
  <c r="AS53" i="6"/>
  <c r="AL124" i="6"/>
  <c r="AS124" i="6"/>
  <c r="AQ124" i="6"/>
  <c r="AN124" i="6"/>
  <c r="AK124" i="6"/>
  <c r="AO124" i="6"/>
  <c r="AM124" i="6"/>
  <c r="AP124" i="6"/>
  <c r="AR124" i="6"/>
  <c r="H124" i="12" a="1"/>
  <c r="H124" i="12" s="1"/>
  <c r="AJ124" i="6"/>
  <c r="AT124" i="6"/>
  <c r="H113" i="12" a="1"/>
  <c r="H113" i="12" s="1"/>
  <c r="AN113" i="6"/>
  <c r="AJ113" i="6"/>
  <c r="AS113" i="6"/>
  <c r="AK113" i="6"/>
  <c r="AP113" i="6"/>
  <c r="AM113" i="6"/>
  <c r="AL113" i="6"/>
  <c r="AO113" i="6"/>
  <c r="AR113" i="6"/>
  <c r="AQ113" i="6"/>
  <c r="AT113" i="6"/>
  <c r="AR108" i="6"/>
  <c r="H108" i="12" a="1"/>
  <c r="H108" i="12" s="1"/>
  <c r="AM108" i="6"/>
  <c r="AP108" i="6"/>
  <c r="AO108" i="6"/>
  <c r="AQ108" i="6"/>
  <c r="AJ108" i="6"/>
  <c r="AK108" i="6"/>
  <c r="AT108" i="6"/>
  <c r="AN108" i="6"/>
  <c r="AL108" i="6"/>
  <c r="AS108" i="6"/>
  <c r="AR152" i="6"/>
  <c r="AK152" i="6"/>
  <c r="AP152" i="6"/>
  <c r="AO152" i="6"/>
  <c r="AM152" i="6"/>
  <c r="AN152" i="6"/>
  <c r="AS152" i="6"/>
  <c r="AJ152" i="6"/>
  <c r="H152" i="12" a="1"/>
  <c r="H152" i="12" s="1"/>
  <c r="AQ152" i="6"/>
  <c r="AT152" i="6"/>
  <c r="AL152" i="6"/>
  <c r="AS33" i="6"/>
  <c r="AR33" i="6"/>
  <c r="AJ33" i="6"/>
  <c r="AL33" i="6"/>
  <c r="X28" i="8" s="1" a="1"/>
  <c r="X28" i="8" s="1"/>
  <c r="AO33" i="6"/>
  <c r="AN33" i="6"/>
  <c r="AQ33" i="6"/>
  <c r="AK33" i="6"/>
  <c r="AP33" i="6"/>
  <c r="H33" i="12" a="1"/>
  <c r="H33" i="12" s="1"/>
  <c r="AT33" i="6"/>
  <c r="AM33" i="6"/>
  <c r="AS36" i="6"/>
  <c r="AR36" i="6"/>
  <c r="H36" i="12" a="1"/>
  <c r="H36" i="12" s="1"/>
  <c r="AM36" i="6"/>
  <c r="AO36" i="6"/>
  <c r="AN36" i="6"/>
  <c r="AQ36" i="6"/>
  <c r="AP36" i="6"/>
  <c r="AK36" i="6"/>
  <c r="AT36" i="6"/>
  <c r="AJ36" i="6"/>
  <c r="AL36" i="6"/>
  <c r="AL87" i="6"/>
  <c r="AP87" i="6"/>
  <c r="AS87" i="6"/>
  <c r="AN87" i="6"/>
  <c r="AO87" i="6"/>
  <c r="AM87" i="6"/>
  <c r="AR87" i="6"/>
  <c r="H87" i="12" a="1"/>
  <c r="H87" i="12" s="1"/>
  <c r="AK87" i="6"/>
  <c r="AQ87" i="6"/>
  <c r="AJ87" i="6"/>
  <c r="AT87" i="6"/>
  <c r="AL59" i="6"/>
  <c r="AP59" i="6"/>
  <c r="AR59" i="6"/>
  <c r="AJ59" i="6"/>
  <c r="AK59" i="6"/>
  <c r="AN59" i="6"/>
  <c r="AT59" i="6"/>
  <c r="AO59" i="6"/>
  <c r="AM59" i="6"/>
  <c r="AS59" i="6"/>
  <c r="AQ59" i="6"/>
  <c r="H59" i="12" a="1"/>
  <c r="H59" i="12" s="1"/>
  <c r="AJ20" i="6"/>
  <c r="AN20" i="6"/>
  <c r="AT20" i="6"/>
  <c r="AS20" i="6"/>
  <c r="AO20" i="6"/>
  <c r="AQ20" i="6"/>
  <c r="AL20" i="6"/>
  <c r="AK20" i="6"/>
  <c r="H20" i="12" a="1"/>
  <c r="H20" i="12" s="1"/>
  <c r="AP20" i="6"/>
  <c r="AR20" i="6"/>
  <c r="AM20" i="6"/>
  <c r="AT79" i="6"/>
  <c r="AS79" i="6"/>
  <c r="AR79" i="6"/>
  <c r="AN79" i="6"/>
  <c r="AA46" i="8" s="1" a="1"/>
  <c r="AA46" i="8" s="1"/>
  <c r="AJ79" i="6"/>
  <c r="AK79" i="6"/>
  <c r="AQ79" i="6"/>
  <c r="AM79" i="6"/>
  <c r="AL79" i="6"/>
  <c r="H79" i="12" a="1"/>
  <c r="H79" i="12" s="1"/>
  <c r="AO79" i="6"/>
  <c r="AP79" i="6"/>
  <c r="AO88" i="6"/>
  <c r="AP88" i="6"/>
  <c r="AK88" i="6"/>
  <c r="H88" i="12" a="1"/>
  <c r="H88" i="12" s="1"/>
  <c r="AS88" i="6"/>
  <c r="AN88" i="6"/>
  <c r="AJ88" i="6"/>
  <c r="AM88" i="6"/>
  <c r="AQ88" i="6"/>
  <c r="AL88" i="6"/>
  <c r="X49" i="8" s="1" a="1"/>
  <c r="X49" i="8" s="1"/>
  <c r="AR88" i="6"/>
  <c r="AT88" i="6"/>
  <c r="AO129" i="6"/>
  <c r="AN129" i="6"/>
  <c r="AK129" i="6"/>
  <c r="AS129" i="6"/>
  <c r="H129" i="12" a="1"/>
  <c r="H129" i="12" s="1"/>
  <c r="AJ129" i="6"/>
  <c r="AM129" i="6"/>
  <c r="AP129" i="6"/>
  <c r="AR129" i="6"/>
  <c r="AL129" i="6"/>
  <c r="AT129" i="6"/>
  <c r="AQ129" i="6"/>
  <c r="AM112" i="6"/>
  <c r="AQ112" i="6"/>
  <c r="AK112" i="6"/>
  <c r="AL112" i="6"/>
  <c r="AT112" i="6"/>
  <c r="AS112" i="6"/>
  <c r="AR112" i="6"/>
  <c r="AP112" i="6"/>
  <c r="AO112" i="6"/>
  <c r="AC64" i="8" s="1" a="1"/>
  <c r="AC64" i="8" s="1"/>
  <c r="H112" i="12" a="1"/>
  <c r="H112" i="12" s="1"/>
  <c r="AN112" i="6"/>
  <c r="AJ112" i="6"/>
  <c r="H126" i="12" a="1"/>
  <c r="H126" i="12" s="1"/>
  <c r="AM126" i="6"/>
  <c r="AO126" i="6"/>
  <c r="AS126" i="6"/>
  <c r="AJ126" i="6"/>
  <c r="AK126" i="6"/>
  <c r="AN126" i="6"/>
  <c r="AQ126" i="6"/>
  <c r="AL126" i="6"/>
  <c r="AR126" i="6"/>
  <c r="AP126" i="6"/>
  <c r="AT126" i="6"/>
  <c r="AP153" i="6"/>
  <c r="AS153" i="6"/>
  <c r="AM153" i="6"/>
  <c r="AO153" i="6"/>
  <c r="H153" i="12" a="1"/>
  <c r="H153" i="12" s="1"/>
  <c r="AT153" i="6"/>
  <c r="AL153" i="6"/>
  <c r="AN153" i="6"/>
  <c r="AJ153" i="6"/>
  <c r="AR153" i="6"/>
  <c r="AQ153" i="6"/>
  <c r="AK153" i="6"/>
  <c r="AO149" i="6"/>
  <c r="AJ149" i="6"/>
  <c r="AM149" i="6"/>
  <c r="AP149" i="6"/>
  <c r="AL149" i="6"/>
  <c r="H149" i="12" a="1"/>
  <c r="H149" i="12" s="1"/>
  <c r="AT149" i="6"/>
  <c r="AR149" i="6"/>
  <c r="AS149" i="6"/>
  <c r="AK149" i="6"/>
  <c r="AQ149" i="6"/>
  <c r="AN149" i="6"/>
  <c r="AR37" i="6"/>
  <c r="AT37" i="6"/>
  <c r="AO37" i="6"/>
  <c r="AM37" i="6"/>
  <c r="H37" i="12" a="1"/>
  <c r="H37" i="12" s="1"/>
  <c r="AP37" i="6"/>
  <c r="AS37" i="6"/>
  <c r="AK37" i="6"/>
  <c r="AN37" i="6"/>
  <c r="AQ37" i="6"/>
  <c r="AJ37" i="6"/>
  <c r="AL37" i="6"/>
  <c r="AQ41" i="6"/>
  <c r="AT41" i="6"/>
  <c r="AO41" i="6"/>
  <c r="AN41" i="6"/>
  <c r="Y31" i="8" s="1" a="1"/>
  <c r="Y31" i="8" s="1"/>
  <c r="AP41" i="6"/>
  <c r="AL41" i="6"/>
  <c r="Z31" i="8" s="1" a="1"/>
  <c r="Z31" i="8" s="1"/>
  <c r="AS41" i="6"/>
  <c r="AM41" i="6"/>
  <c r="AD31" i="8" s="1" a="1"/>
  <c r="AD31" i="8" s="1"/>
  <c r="AK41" i="6"/>
  <c r="H41" i="12" a="1"/>
  <c r="H41" i="12" s="1"/>
  <c r="AR41" i="6"/>
  <c r="AJ41" i="6"/>
  <c r="AK159" i="6"/>
  <c r="AQ159" i="6"/>
  <c r="AO159" i="6"/>
  <c r="AL159" i="6"/>
  <c r="AJ159" i="6"/>
  <c r="AR159" i="6"/>
  <c r="AT159" i="6"/>
  <c r="AS159" i="6"/>
  <c r="AM159" i="6"/>
  <c r="AP159" i="6"/>
  <c r="AN159" i="6"/>
  <c r="H159" i="12" a="1"/>
  <c r="H159" i="12" s="1"/>
  <c r="AK81" i="6"/>
  <c r="AO81" i="6"/>
  <c r="AR81" i="6"/>
  <c r="AT81" i="6"/>
  <c r="AQ81" i="6"/>
  <c r="AS81" i="6"/>
  <c r="AP81" i="6"/>
  <c r="AJ81" i="6"/>
  <c r="AN81" i="6"/>
  <c r="AC46" i="8" s="1" a="1"/>
  <c r="AC46" i="8" s="1"/>
  <c r="AM81" i="6"/>
  <c r="AL81" i="6"/>
  <c r="H81" i="12" a="1"/>
  <c r="H81" i="12" s="1"/>
  <c r="AJ117" i="6"/>
  <c r="AN117" i="6"/>
  <c r="AP117" i="6"/>
  <c r="AT117" i="6"/>
  <c r="AQ117" i="6"/>
  <c r="H117" i="12" a="1"/>
  <c r="H117" i="12" s="1"/>
  <c r="AS117" i="6"/>
  <c r="AO117" i="6"/>
  <c r="AK117" i="6"/>
  <c r="AR117" i="6"/>
  <c r="AM117" i="6"/>
  <c r="AL117" i="6"/>
  <c r="AS72" i="6"/>
  <c r="AL72" i="6"/>
  <c r="AM72" i="6"/>
  <c r="AQ72" i="6"/>
  <c r="AP72" i="6"/>
  <c r="H72" i="12" a="1"/>
  <c r="H72" i="12" s="1"/>
  <c r="AO72" i="6"/>
  <c r="AN72" i="6"/>
  <c r="AJ72" i="6"/>
  <c r="AR72" i="6"/>
  <c r="AT72" i="6"/>
  <c r="AK72" i="6"/>
  <c r="AS132" i="6"/>
  <c r="AM132" i="6"/>
  <c r="AT132" i="6"/>
  <c r="H132" i="12" a="1"/>
  <c r="H132" i="12" s="1"/>
  <c r="AP132" i="6"/>
  <c r="AL132" i="6"/>
  <c r="AJ132" i="6"/>
  <c r="AK132" i="6"/>
  <c r="AQ132" i="6"/>
  <c r="AR132" i="6"/>
  <c r="AN132" i="6"/>
  <c r="AO132" i="6"/>
  <c r="AO96" i="6"/>
  <c r="AR96" i="6"/>
  <c r="AS96" i="6"/>
  <c r="AP96" i="6"/>
  <c r="AT96" i="6"/>
  <c r="AN96" i="6"/>
  <c r="AQ96" i="6"/>
  <c r="AK96" i="6"/>
  <c r="AJ96" i="6"/>
  <c r="AL96" i="6"/>
  <c r="AM96" i="6"/>
  <c r="H96" i="12" a="1"/>
  <c r="H96" i="12" s="1"/>
  <c r="AO73" i="6"/>
  <c r="AP73" i="6"/>
  <c r="AJ73" i="6"/>
  <c r="AT73" i="6"/>
  <c r="AR73" i="6"/>
  <c r="AS73" i="6"/>
  <c r="AL73" i="6"/>
  <c r="AN73" i="6"/>
  <c r="H73" i="12" a="1"/>
  <c r="H73" i="12" s="1"/>
  <c r="AM73" i="6"/>
  <c r="AQ73" i="6"/>
  <c r="AK73" i="6"/>
  <c r="AO120" i="6"/>
  <c r="AT120" i="6"/>
  <c r="AK120" i="6"/>
  <c r="AN120" i="6"/>
  <c r="AJ120" i="6"/>
  <c r="H120" i="12" a="1"/>
  <c r="H120" i="12" s="1"/>
  <c r="AR120" i="6"/>
  <c r="AL120" i="6"/>
  <c r="AS120" i="6"/>
  <c r="AQ120" i="6"/>
  <c r="AM120" i="6"/>
  <c r="AP120" i="6"/>
  <c r="AK35" i="6"/>
  <c r="AP35" i="6"/>
  <c r="H35" i="12" a="1"/>
  <c r="H35" i="12" s="1"/>
  <c r="AN35" i="6"/>
  <c r="AM35" i="6"/>
  <c r="AL35" i="6"/>
  <c r="AS35" i="6"/>
  <c r="AR35" i="6"/>
  <c r="AO35" i="6"/>
  <c r="AJ35" i="6"/>
  <c r="AQ35" i="6"/>
  <c r="AT35" i="6"/>
  <c r="AQ52" i="6"/>
  <c r="AN52" i="6"/>
  <c r="AS52" i="6"/>
  <c r="AT52" i="6"/>
  <c r="AO52" i="6"/>
  <c r="AJ52" i="6"/>
  <c r="AR52" i="6"/>
  <c r="H52" i="12" a="1"/>
  <c r="H52" i="12" s="1"/>
  <c r="AP52" i="6"/>
  <c r="AM52" i="6"/>
  <c r="AC40" i="8" s="1" a="1"/>
  <c r="AC40" i="8" s="1"/>
  <c r="AK52" i="6"/>
  <c r="AL52" i="6"/>
  <c r="H163" i="12" a="1"/>
  <c r="H163" i="12" s="1"/>
  <c r="AT163" i="6"/>
  <c r="AJ163" i="6"/>
  <c r="AS163" i="6"/>
  <c r="AN163" i="6"/>
  <c r="AP163" i="6"/>
  <c r="AR163" i="6"/>
  <c r="AK163" i="6"/>
  <c r="AQ163" i="6"/>
  <c r="AL163" i="6"/>
  <c r="AO163" i="6"/>
  <c r="AM163" i="6"/>
  <c r="AQ131" i="6"/>
  <c r="AN131" i="6"/>
  <c r="AK131" i="6"/>
  <c r="AM131" i="6"/>
  <c r="AP131" i="6"/>
  <c r="H131" i="12" a="1"/>
  <c r="H131" i="12" s="1"/>
  <c r="AR131" i="6"/>
  <c r="AT131" i="6"/>
  <c r="AL131" i="6"/>
  <c r="AS131" i="6"/>
  <c r="AO131" i="6"/>
  <c r="AJ131" i="6"/>
  <c r="AT190" i="6"/>
  <c r="AQ190" i="6"/>
  <c r="AM190" i="6"/>
  <c r="H190" i="12" a="1"/>
  <c r="H190" i="12" s="1"/>
  <c r="AL190" i="6"/>
  <c r="AO190" i="6"/>
  <c r="AS190" i="6"/>
  <c r="AR190" i="6"/>
  <c r="AN190" i="6"/>
  <c r="AP190" i="6"/>
  <c r="AK190" i="6"/>
  <c r="AJ190" i="6"/>
  <c r="AQ125" i="6"/>
  <c r="AR125" i="6"/>
  <c r="AN125" i="6"/>
  <c r="AS125" i="6"/>
  <c r="AM125" i="6"/>
  <c r="AK125" i="6"/>
  <c r="H125" i="12" a="1"/>
  <c r="H125" i="12" s="1"/>
  <c r="AP125" i="6"/>
  <c r="AJ125" i="6"/>
  <c r="AO125" i="6"/>
  <c r="AL125" i="6"/>
  <c r="AT125" i="6"/>
  <c r="AL121" i="6"/>
  <c r="AK121" i="6"/>
  <c r="AT121" i="6"/>
  <c r="AP121" i="6"/>
  <c r="AS121" i="6"/>
  <c r="AN121" i="6"/>
  <c r="H121" i="12" a="1"/>
  <c r="H121" i="12" s="1"/>
  <c r="AO121" i="6"/>
  <c r="AQ121" i="6"/>
  <c r="AJ121" i="6"/>
  <c r="AM121" i="6"/>
  <c r="AR121" i="6"/>
  <c r="AS39" i="6"/>
  <c r="AR39" i="6"/>
  <c r="AN39" i="6"/>
  <c r="AQ39" i="6"/>
  <c r="AK39" i="6"/>
  <c r="AP39" i="6"/>
  <c r="AL39" i="6"/>
  <c r="AA31" i="8" s="1" a="1"/>
  <c r="AA31" i="8" s="1"/>
  <c r="AJ39" i="6"/>
  <c r="H39" i="12" a="1"/>
  <c r="H39" i="12" s="1"/>
  <c r="AO39" i="6"/>
  <c r="AB31" i="8" s="1" a="1"/>
  <c r="AB31" i="8" s="1"/>
  <c r="AT39" i="6"/>
  <c r="AM39" i="6"/>
  <c r="AE31" i="8" s="1" a="1"/>
  <c r="AE31" i="8" s="1"/>
  <c r="AP89" i="6"/>
  <c r="AS89" i="6"/>
  <c r="AQ89" i="6"/>
  <c r="AR89" i="6"/>
  <c r="AM89" i="6"/>
  <c r="AT89" i="6"/>
  <c r="AL89" i="6"/>
  <c r="Y49" i="8" s="1" a="1"/>
  <c r="Y49" i="8" s="1"/>
  <c r="AJ89" i="6"/>
  <c r="AK89" i="6"/>
  <c r="H89" i="12" a="1"/>
  <c r="H89" i="12" s="1"/>
  <c r="AN89" i="6"/>
  <c r="AB49" i="8" s="1" a="1"/>
  <c r="AB49" i="8" s="1"/>
  <c r="AO89" i="6"/>
  <c r="AT31" i="6"/>
  <c r="AQ31" i="6"/>
  <c r="AP31" i="6"/>
  <c r="AM31" i="6"/>
  <c r="AR31" i="6"/>
  <c r="AK31" i="6"/>
  <c r="AJ31" i="6"/>
  <c r="H31" i="12" a="1"/>
  <c r="H31" i="12" s="1"/>
  <c r="AS31" i="6"/>
  <c r="AN31" i="6"/>
  <c r="AL31" i="6"/>
  <c r="AO31" i="6"/>
  <c r="AN148" i="6"/>
  <c r="AR148" i="6"/>
  <c r="H148" i="12" a="1"/>
  <c r="H148" i="12" s="1"/>
  <c r="AQ148" i="6"/>
  <c r="AS148" i="6"/>
  <c r="AP148" i="6"/>
  <c r="AL148" i="6"/>
  <c r="AO148" i="6"/>
  <c r="AT148" i="6"/>
  <c r="AM148" i="6"/>
  <c r="AK148" i="6"/>
  <c r="AJ148" i="6"/>
  <c r="AL43" i="6"/>
  <c r="AC34" i="8" s="1" a="1"/>
  <c r="AC34" i="8" s="1"/>
  <c r="AR43" i="6"/>
  <c r="AO43" i="6"/>
  <c r="AK43" i="6"/>
  <c r="AN43" i="6"/>
  <c r="AT43" i="6"/>
  <c r="AM43" i="6"/>
  <c r="AP43" i="6"/>
  <c r="H43" i="12" a="1"/>
  <c r="H43" i="12" s="1"/>
  <c r="AQ43" i="6"/>
  <c r="AS43" i="6"/>
  <c r="AJ43" i="6"/>
  <c r="AM94" i="6"/>
  <c r="AT94" i="6"/>
  <c r="AL94" i="6"/>
  <c r="AS94" i="6"/>
  <c r="AK94" i="6"/>
  <c r="AO94" i="6"/>
  <c r="AJ94" i="6"/>
  <c r="AP94" i="6"/>
  <c r="H94" i="12" a="1"/>
  <c r="H94" i="12" s="1"/>
  <c r="AR94" i="6"/>
  <c r="AQ94" i="6"/>
  <c r="AN94" i="6"/>
  <c r="AS143" i="6"/>
  <c r="AR143" i="6"/>
  <c r="H143" i="12" a="1"/>
  <c r="H143" i="12" s="1"/>
  <c r="AK143" i="6"/>
  <c r="AM143" i="6"/>
  <c r="AJ143" i="6"/>
  <c r="AQ143" i="6"/>
  <c r="AN143" i="6"/>
  <c r="AP143" i="6"/>
  <c r="AO143" i="6"/>
  <c r="AL143" i="6"/>
  <c r="AT143" i="6"/>
  <c r="AK151" i="6"/>
  <c r="AN151" i="6"/>
  <c r="AP151" i="6"/>
  <c r="AT151" i="6"/>
  <c r="AS151" i="6"/>
  <c r="AM151" i="6"/>
  <c r="AO151" i="6"/>
  <c r="AL151" i="6"/>
  <c r="AQ151" i="6"/>
  <c r="AR151" i="6"/>
  <c r="AJ151" i="6"/>
  <c r="H151" i="12" a="1"/>
  <c r="H151" i="12" s="1"/>
  <c r="AQ158" i="6"/>
  <c r="AS158" i="6"/>
  <c r="AL158" i="6"/>
  <c r="AP158" i="6"/>
  <c r="AM158" i="6"/>
  <c r="H158" i="12" a="1"/>
  <c r="H158" i="12" s="1"/>
  <c r="AR158" i="6"/>
  <c r="AN158" i="6"/>
  <c r="AO158" i="6"/>
  <c r="AT158" i="6"/>
  <c r="AJ158" i="6"/>
  <c r="AK158" i="6"/>
  <c r="AR137" i="6"/>
  <c r="H137" i="12" a="1"/>
  <c r="H137" i="12" s="1"/>
  <c r="AP137" i="6"/>
  <c r="AN137" i="6"/>
  <c r="AS137" i="6"/>
  <c r="AT137" i="6"/>
  <c r="AJ137" i="6"/>
  <c r="AK137" i="6"/>
  <c r="AO137" i="6"/>
  <c r="AQ137" i="6"/>
  <c r="AM137" i="6"/>
  <c r="AL137" i="6"/>
  <c r="AS102" i="6"/>
  <c r="AQ102" i="6"/>
  <c r="AL102" i="6"/>
  <c r="AN102" i="6"/>
  <c r="AK102" i="6"/>
  <c r="AO102" i="6"/>
  <c r="AT102" i="6"/>
  <c r="AJ102" i="6"/>
  <c r="AP102" i="6"/>
  <c r="AR102" i="6"/>
  <c r="H102" i="12" a="1"/>
  <c r="H102" i="12" s="1"/>
  <c r="AM102" i="6"/>
  <c r="AR128" i="6"/>
  <c r="AQ128" i="6"/>
  <c r="AM128" i="6"/>
  <c r="AK128" i="6"/>
  <c r="H128" i="12" a="1"/>
  <c r="H128" i="12" s="1"/>
  <c r="AL128" i="6"/>
  <c r="AO128" i="6"/>
  <c r="AS128" i="6"/>
  <c r="AT128" i="6"/>
  <c r="AJ128" i="6"/>
  <c r="AN128" i="6"/>
  <c r="AP128" i="6"/>
  <c r="AR21" i="6"/>
  <c r="AT21" i="6"/>
  <c r="AP21" i="6"/>
  <c r="AO21" i="6"/>
  <c r="AK21" i="6"/>
  <c r="AL21" i="6"/>
  <c r="AS21" i="6"/>
  <c r="AM21" i="6"/>
  <c r="H21" i="12" a="1"/>
  <c r="H21" i="12" s="1"/>
  <c r="AQ21" i="6"/>
  <c r="AJ21" i="6"/>
  <c r="AN21" i="6"/>
  <c r="AS85" i="6"/>
  <c r="AT85" i="6"/>
  <c r="AQ85" i="6"/>
  <c r="AL85" i="6"/>
  <c r="AN85" i="6"/>
  <c r="AK85" i="6"/>
  <c r="AJ85" i="6"/>
  <c r="AR85" i="6"/>
  <c r="AM85" i="6"/>
  <c r="AO85" i="6"/>
  <c r="H85" i="12" a="1"/>
  <c r="H85" i="12" s="1"/>
  <c r="AP85" i="6"/>
  <c r="H28" i="12" a="1"/>
  <c r="H28" i="12" s="1"/>
  <c r="AM28" i="6"/>
  <c r="AP28" i="6"/>
  <c r="AT28" i="6"/>
  <c r="AL28" i="6"/>
  <c r="AS28" i="6"/>
  <c r="AK28" i="6"/>
  <c r="AQ28" i="6"/>
  <c r="AN28" i="6"/>
  <c r="AR28" i="6"/>
  <c r="AJ28" i="6"/>
  <c r="AO28" i="6"/>
  <c r="AS47" i="6"/>
  <c r="AT47" i="6"/>
  <c r="AP47" i="6"/>
  <c r="AQ47" i="6"/>
  <c r="AR47" i="6"/>
  <c r="AN47" i="6"/>
  <c r="AK47" i="6"/>
  <c r="AJ47" i="6"/>
  <c r="AM47" i="6"/>
  <c r="AL47" i="6"/>
  <c r="AO47" i="6"/>
  <c r="H47" i="12" a="1"/>
  <c r="H47" i="12" s="1"/>
  <c r="AS23" i="6"/>
  <c r="AQ23" i="6"/>
  <c r="AL23" i="6"/>
  <c r="AM23" i="6"/>
  <c r="AK23" i="6"/>
  <c r="AN23" i="6"/>
  <c r="AT23" i="6"/>
  <c r="H23" i="12" a="1"/>
  <c r="H23" i="12" s="1"/>
  <c r="AO23" i="6"/>
  <c r="AR23" i="6"/>
  <c r="AJ23" i="6"/>
  <c r="AP23" i="6"/>
  <c r="AR69" i="6"/>
  <c r="AT69" i="6"/>
  <c r="H69" i="12" a="1"/>
  <c r="H69" i="12" s="1"/>
  <c r="AP69" i="6"/>
  <c r="AK69" i="6"/>
  <c r="AO69" i="6"/>
  <c r="AS69" i="6"/>
  <c r="AL69" i="6"/>
  <c r="AJ69" i="6"/>
  <c r="AQ69" i="6"/>
  <c r="AM69" i="6"/>
  <c r="AN69" i="6"/>
  <c r="AR187" i="6"/>
  <c r="AT187" i="6"/>
  <c r="AQ187" i="6"/>
  <c r="AS187" i="6"/>
  <c r="AL187" i="6"/>
  <c r="AJ187" i="6"/>
  <c r="AO187" i="6"/>
  <c r="AM187" i="6"/>
  <c r="AN187" i="6"/>
  <c r="AP187" i="6"/>
  <c r="AK187" i="6"/>
  <c r="H187" i="12" a="1"/>
  <c r="H187" i="12" s="1"/>
  <c r="AS67" i="6"/>
  <c r="AQ67" i="6"/>
  <c r="AT67" i="6"/>
  <c r="AL67" i="6"/>
  <c r="AP67" i="6"/>
  <c r="AM67" i="6"/>
  <c r="AR67" i="6"/>
  <c r="AJ67" i="6"/>
  <c r="AK67" i="6"/>
  <c r="AO67" i="6"/>
  <c r="AN67" i="6"/>
  <c r="H67" i="12" a="1"/>
  <c r="H67" i="12" s="1"/>
  <c r="AT29" i="6"/>
  <c r="AJ29" i="6"/>
  <c r="AP29" i="6"/>
  <c r="AM29" i="6"/>
  <c r="AO29" i="6"/>
  <c r="AR29" i="6"/>
  <c r="AQ29" i="6"/>
  <c r="H29" i="12" a="1"/>
  <c r="H29" i="12" s="1"/>
  <c r="AK29" i="6"/>
  <c r="AN29" i="6"/>
  <c r="AS29" i="6"/>
  <c r="AL29" i="6"/>
  <c r="AJ24" i="6"/>
  <c r="AR24" i="6"/>
  <c r="AT24" i="6"/>
  <c r="AM24" i="6"/>
  <c r="AL24" i="6"/>
  <c r="H24" i="12" a="1"/>
  <c r="H24" i="12" s="1"/>
  <c r="AQ24" i="6"/>
  <c r="AP24" i="6"/>
  <c r="AB22" i="8" s="1" a="1"/>
  <c r="AB22" i="8" s="1"/>
  <c r="AS24" i="6"/>
  <c r="AO24" i="6"/>
  <c r="AK24" i="6"/>
  <c r="AN24" i="6"/>
  <c r="Z22" i="8" s="1" a="1"/>
  <c r="Z22" i="8" s="1"/>
  <c r="AR80" i="6"/>
  <c r="AT80" i="6"/>
  <c r="H80" i="12" a="1"/>
  <c r="H80" i="12" s="1"/>
  <c r="AK80" i="6"/>
  <c r="AP80" i="6"/>
  <c r="AJ80" i="6"/>
  <c r="AS80" i="6"/>
  <c r="AL80" i="6"/>
  <c r="AN80" i="6"/>
  <c r="Y46" i="8" s="1" a="1"/>
  <c r="Y46" i="8" s="1"/>
  <c r="AQ80" i="6"/>
  <c r="AM80" i="6"/>
  <c r="AO80" i="6"/>
  <c r="H84" i="12" a="1"/>
  <c r="H84" i="12" s="1"/>
  <c r="AM84" i="6"/>
  <c r="AN84" i="6"/>
  <c r="AK84" i="6"/>
  <c r="AL84" i="6"/>
  <c r="AT84" i="6"/>
  <c r="AR84" i="6"/>
  <c r="AO84" i="6"/>
  <c r="AS84" i="6"/>
  <c r="AQ84" i="6"/>
  <c r="AP84" i="6"/>
  <c r="AJ84" i="6"/>
  <c r="AM46" i="6"/>
  <c r="AL46" i="6"/>
  <c r="AR46" i="6"/>
  <c r="AK46" i="6"/>
  <c r="H46" i="12" a="1"/>
  <c r="H46" i="12" s="1"/>
  <c r="AJ46" i="6"/>
  <c r="AT46" i="6"/>
  <c r="AN46" i="6"/>
  <c r="AO46" i="6"/>
  <c r="AS46" i="6"/>
  <c r="AQ46" i="6"/>
  <c r="AP46" i="6"/>
  <c r="AK71" i="6"/>
  <c r="AN71" i="6"/>
  <c r="AR71" i="6"/>
  <c r="AS71" i="6"/>
  <c r="AJ71" i="6"/>
  <c r="AM71" i="6"/>
  <c r="AT71" i="6"/>
  <c r="AP71" i="6"/>
  <c r="AO71" i="6"/>
  <c r="AQ71" i="6"/>
  <c r="H71" i="12" a="1"/>
  <c r="H71" i="12" s="1"/>
  <c r="AL71" i="6"/>
  <c r="AK86" i="6"/>
  <c r="AM86" i="6"/>
  <c r="AJ86" i="6"/>
  <c r="AQ86" i="6"/>
  <c r="H86" i="12" a="1"/>
  <c r="H86" i="12" s="1"/>
  <c r="AL86" i="6"/>
  <c r="AN86" i="6"/>
  <c r="AO86" i="6"/>
  <c r="AP86" i="6"/>
  <c r="AT86" i="6"/>
  <c r="AR86" i="6"/>
  <c r="AS86" i="6"/>
  <c r="AS56" i="6"/>
  <c r="AK56" i="6"/>
  <c r="AO56" i="6"/>
  <c r="AJ56" i="6"/>
  <c r="AP56" i="6"/>
  <c r="AR56" i="6"/>
  <c r="AQ56" i="6"/>
  <c r="H56" i="12" a="1"/>
  <c r="H56" i="12" s="1"/>
  <c r="AM56" i="6"/>
  <c r="AL56" i="6"/>
  <c r="AN56" i="6"/>
  <c r="AT56" i="6"/>
  <c r="AM99" i="6"/>
  <c r="AT99" i="6"/>
  <c r="AL99" i="6"/>
  <c r="X55" i="8" s="1" a="1"/>
  <c r="X55" i="8" s="1"/>
  <c r="AP99" i="6"/>
  <c r="AQ99" i="6"/>
  <c r="H99" i="12" a="1"/>
  <c r="H99" i="12" s="1"/>
  <c r="AS99" i="6"/>
  <c r="AJ99" i="6"/>
  <c r="AR99" i="6"/>
  <c r="AN99" i="6"/>
  <c r="AK99" i="6"/>
  <c r="AO99" i="6"/>
  <c r="AT150" i="6"/>
  <c r="AN150" i="6"/>
  <c r="AK150" i="6"/>
  <c r="AL150" i="6"/>
  <c r="H150" i="12" a="1"/>
  <c r="H150" i="12" s="1"/>
  <c r="AJ150" i="6"/>
  <c r="AQ150" i="6"/>
  <c r="AP150" i="6"/>
  <c r="AM150" i="6"/>
  <c r="AS150" i="6"/>
  <c r="AR150" i="6"/>
  <c r="AO150" i="6"/>
  <c r="AE73" i="8" s="1" a="1"/>
  <c r="AE73" i="8" s="1"/>
  <c r="AR106" i="6"/>
  <c r="AT106" i="6"/>
  <c r="AO106" i="6"/>
  <c r="AK106" i="6"/>
  <c r="AL106" i="6"/>
  <c r="AA58" i="8" s="1" a="1"/>
  <c r="AA58" i="8" s="1"/>
  <c r="AJ106" i="6"/>
  <c r="AS106" i="6"/>
  <c r="AM106" i="6"/>
  <c r="AE58" i="8" s="1" a="1"/>
  <c r="AE58" i="8" s="1"/>
  <c r="AN106" i="6"/>
  <c r="AQ106" i="6"/>
  <c r="H106" i="12" a="1"/>
  <c r="H106" i="12" s="1"/>
  <c r="AP106" i="6"/>
  <c r="AO26" i="6"/>
  <c r="H26" i="12" a="1"/>
  <c r="H26" i="12" s="1"/>
  <c r="AS26" i="6"/>
  <c r="AP26" i="6"/>
  <c r="AK26" i="6"/>
  <c r="AR26" i="6"/>
  <c r="AQ26" i="6"/>
  <c r="AM26" i="6"/>
  <c r="AN26" i="6"/>
  <c r="AJ26" i="6"/>
  <c r="AL26" i="6"/>
  <c r="AT26" i="6"/>
  <c r="AP34" i="6"/>
  <c r="AT34" i="6"/>
  <c r="AS34" i="6"/>
  <c r="AR34" i="6"/>
  <c r="H34" i="12" a="1"/>
  <c r="H34" i="12" s="1"/>
  <c r="AJ34" i="6"/>
  <c r="AL34" i="6"/>
  <c r="Y28" i="8" s="1" a="1"/>
  <c r="Y28" i="8" s="1"/>
  <c r="AM34" i="6"/>
  <c r="AQ34" i="6"/>
  <c r="AK34" i="6"/>
  <c r="AN34" i="6"/>
  <c r="AB28" i="8" s="1" a="1"/>
  <c r="AB28" i="8" s="1"/>
  <c r="AO34" i="6"/>
  <c r="AA28" i="8" s="1" a="1"/>
  <c r="AA28" i="8" s="1"/>
  <c r="AC55" i="8" l="1" a="1"/>
  <c r="AC55" i="8" s="1"/>
  <c r="X84" i="5" a="1"/>
  <c r="X84" i="5" s="1"/>
  <c r="Y22" i="8" a="1"/>
  <c r="Y22" i="8" s="1"/>
  <c r="X43" i="5" a="1"/>
  <c r="X43" i="5" s="1"/>
  <c r="X148" i="5" a="1"/>
  <c r="X148" i="5" s="1"/>
  <c r="X41" i="5" a="1"/>
  <c r="X41" i="5" s="1"/>
  <c r="X112" i="5" a="1"/>
  <c r="X112" i="5" s="1"/>
  <c r="X142" i="5" a="1"/>
  <c r="X142" i="5" s="1"/>
  <c r="X135" i="5" a="1"/>
  <c r="X135" i="5" s="1"/>
  <c r="X157" i="5" a="1"/>
  <c r="X157" i="5" s="1"/>
  <c r="X82" i="5" a="1"/>
  <c r="X82" i="5" s="1"/>
  <c r="X37" i="5" a="1"/>
  <c r="X37" i="5" s="1"/>
  <c r="X87" i="5" a="1"/>
  <c r="X87" i="5" s="1"/>
  <c r="X124" i="5" a="1"/>
  <c r="X124" i="5" s="1"/>
  <c r="AF22" i="8" a="1"/>
  <c r="AF22" i="8" s="1"/>
  <c r="X86" i="5" a="1"/>
  <c r="X86" i="5" s="1"/>
  <c r="X71" i="5" a="1"/>
  <c r="X71" i="5" s="1"/>
  <c r="Z49" i="8" a="1"/>
  <c r="Z49" i="8" s="1"/>
  <c r="AC49" i="8" a="1"/>
  <c r="AC49" i="8" s="1"/>
  <c r="X24" i="5" a="1"/>
  <c r="X24" i="5" s="1"/>
  <c r="X69" i="5" a="1"/>
  <c r="X69" i="5" s="1"/>
  <c r="AD22" i="8" a="1"/>
  <c r="AD22" i="8" s="1"/>
  <c r="X23" i="5" a="1"/>
  <c r="X23" i="5" s="1"/>
  <c r="X22" i="8" a="1"/>
  <c r="X22" i="8" s="1"/>
  <c r="AD25" i="8" a="1"/>
  <c r="AD25" i="8" s="1"/>
  <c r="X28" i="5" a="1"/>
  <c r="X28" i="5" s="1"/>
  <c r="Z25" i="8" a="1"/>
  <c r="Z25" i="8" s="1"/>
  <c r="W25" i="8" a="1"/>
  <c r="W25" i="8" s="1"/>
  <c r="X25" i="8" a="1"/>
  <c r="X25" i="8" s="1"/>
  <c r="AB25" i="8" a="1"/>
  <c r="AB25" i="8" s="1"/>
  <c r="X85" i="5" a="1"/>
  <c r="X85" i="5" s="1"/>
  <c r="X21" i="5" a="1"/>
  <c r="X21" i="5" s="1"/>
  <c r="X137" i="5" a="1"/>
  <c r="X137" i="5" s="1"/>
  <c r="X158" i="5" a="1"/>
  <c r="X158" i="5" s="1"/>
  <c r="X151" i="5" a="1"/>
  <c r="X151" i="5" s="1"/>
  <c r="X94" i="5" a="1"/>
  <c r="X94" i="5" s="1"/>
  <c r="X31" i="5" a="1"/>
  <c r="X31" i="5" s="1"/>
  <c r="X190" i="5" a="1"/>
  <c r="X190" i="5" s="1"/>
  <c r="X131" i="5" a="1"/>
  <c r="X131" i="5" s="1"/>
  <c r="X81" i="5" a="1"/>
  <c r="X81" i="5" s="1"/>
  <c r="L37" i="5"/>
  <c r="Z37" i="5"/>
  <c r="I37" i="12"/>
  <c r="AM37" i="5"/>
  <c r="X149" i="5" a="1"/>
  <c r="X149" i="5" s="1"/>
  <c r="Z112" i="5"/>
  <c r="I112" i="12"/>
  <c r="L112" i="5"/>
  <c r="I112" i="5"/>
  <c r="AM112" i="5"/>
  <c r="X129" i="5" a="1"/>
  <c r="X129" i="5" s="1"/>
  <c r="AE46" i="8" a="1"/>
  <c r="AE46" i="8" s="1"/>
  <c r="W19" i="8" a="1"/>
  <c r="W19" i="8" s="1"/>
  <c r="X59" i="5" a="1"/>
  <c r="X59" i="5" s="1"/>
  <c r="AC28" i="8" a="1"/>
  <c r="AC28" i="8" s="1"/>
  <c r="Z28" i="8" a="1"/>
  <c r="Z28" i="8" s="1"/>
  <c r="X152" i="5" a="1"/>
  <c r="X152" i="5" s="1"/>
  <c r="X53" i="5" a="1"/>
  <c r="X53" i="5" s="1"/>
  <c r="AF40" i="8" a="1"/>
  <c r="AF40" i="8" s="1"/>
  <c r="X54" i="5" a="1"/>
  <c r="X54" i="5" s="1"/>
  <c r="X169" i="5" a="1"/>
  <c r="X169" i="5" s="1"/>
  <c r="X90" i="5" a="1"/>
  <c r="X90" i="5" s="1"/>
  <c r="X65" i="5" a="1"/>
  <c r="X65" i="5" s="1"/>
  <c r="X70" i="5" a="1"/>
  <c r="X70" i="5" s="1"/>
  <c r="X164" i="5" a="1"/>
  <c r="X164" i="5" s="1"/>
  <c r="X101" i="5" a="1"/>
  <c r="X101" i="5" s="1"/>
  <c r="X68" i="5" a="1"/>
  <c r="X68" i="5" s="1"/>
  <c r="X167" i="5" a="1"/>
  <c r="X167" i="5" s="1"/>
  <c r="X62" i="5" a="1"/>
  <c r="X62" i="5" s="1"/>
  <c r="X136" i="5" a="1"/>
  <c r="X136" i="5" s="1"/>
  <c r="X110" i="5" a="1"/>
  <c r="X110" i="5" s="1"/>
  <c r="X139" i="5" a="1"/>
  <c r="X139" i="5" s="1"/>
  <c r="X95" i="5" a="1"/>
  <c r="X95" i="5" s="1"/>
  <c r="X138" i="5" a="1"/>
  <c r="X138" i="5" s="1"/>
  <c r="X66" i="5" a="1"/>
  <c r="X66" i="5" s="1"/>
  <c r="X104" i="5" a="1"/>
  <c r="X104" i="5" s="1"/>
  <c r="X188" i="5" a="1"/>
  <c r="X188" i="5" s="1"/>
  <c r="AD19" i="8" a="1"/>
  <c r="AD19" i="8" s="1"/>
  <c r="X19" i="5" a="1"/>
  <c r="X19" i="5" s="1"/>
  <c r="X70" i="8" a="1"/>
  <c r="X70" i="8" s="1"/>
  <c r="X77" i="5" a="1"/>
  <c r="X77" i="5" s="1"/>
  <c r="X45" i="5" a="1"/>
  <c r="X45" i="5" s="1"/>
  <c r="X161" i="5" a="1"/>
  <c r="X161" i="5" s="1"/>
  <c r="X122" i="5" a="1"/>
  <c r="X122" i="5" s="1"/>
  <c r="X40" i="5" a="1"/>
  <c r="X40" i="5" s="1"/>
  <c r="X100" i="5" a="1"/>
  <c r="X100" i="5" s="1"/>
  <c r="AB40" i="8" a="1"/>
  <c r="AB40" i="8" s="1"/>
  <c r="X49" i="5" a="1"/>
  <c r="X49" i="5" s="1"/>
  <c r="X146" i="5" a="1"/>
  <c r="X146" i="5" s="1"/>
  <c r="AD73" i="8" a="1"/>
  <c r="AD73" i="8" s="1"/>
  <c r="X160" i="5" a="1"/>
  <c r="X160" i="5" s="1"/>
  <c r="X103" i="5" a="1"/>
  <c r="X103" i="5" s="1"/>
  <c r="X30" i="5" a="1"/>
  <c r="X30" i="5" s="1"/>
  <c r="X63" i="5" a="1"/>
  <c r="X63" i="5" s="1"/>
  <c r="AE52" i="8" a="1"/>
  <c r="AE52" i="8" s="1"/>
  <c r="Z46" i="8" a="1"/>
  <c r="Z46" i="8" s="1"/>
  <c r="X25" i="5" a="1"/>
  <c r="X25" i="5" s="1"/>
  <c r="X115" i="5" a="1"/>
  <c r="X115" i="5" s="1"/>
  <c r="X34" i="5" a="1"/>
  <c r="X34" i="5" s="1"/>
  <c r="X26" i="5" a="1"/>
  <c r="X26" i="5" s="1"/>
  <c r="X106" i="5" a="1"/>
  <c r="X106" i="5" s="1"/>
  <c r="X150" i="5" a="1"/>
  <c r="X150" i="5" s="1"/>
  <c r="Z55" i="8" a="1"/>
  <c r="Z55" i="8" s="1"/>
  <c r="X99" i="5" a="1"/>
  <c r="X99" i="5" s="1"/>
  <c r="AD55" i="8" a="1"/>
  <c r="AD55" i="8" s="1"/>
  <c r="X56" i="5" a="1"/>
  <c r="X56" i="5" s="1"/>
  <c r="X46" i="5" a="1"/>
  <c r="X46" i="5" s="1"/>
  <c r="Z84" i="5"/>
  <c r="I84" i="5"/>
  <c r="I85" i="5" s="1"/>
  <c r="I86" i="5" s="1"/>
  <c r="I87" i="5" s="1"/>
  <c r="AM84" i="5"/>
  <c r="I84" i="12"/>
  <c r="L84" i="5"/>
  <c r="AA49" i="8" a="1"/>
  <c r="AA49" i="8" s="1"/>
  <c r="X80" i="5" a="1"/>
  <c r="X80" i="5" s="1"/>
  <c r="X29" i="5" a="1"/>
  <c r="X29" i="5" s="1"/>
  <c r="X67" i="5" a="1"/>
  <c r="X67" i="5" s="1"/>
  <c r="V88" i="8" a="1"/>
  <c r="V88" i="8" s="1"/>
  <c r="X187" i="5" a="1"/>
  <c r="X187" i="5" s="1"/>
  <c r="X47" i="5" a="1"/>
  <c r="X47" i="5" s="1"/>
  <c r="AA25" i="8" a="1"/>
  <c r="AA25" i="8" s="1"/>
  <c r="AC25" i="8" a="1"/>
  <c r="AC25" i="8" s="1"/>
  <c r="AE25" i="8" a="1"/>
  <c r="AE25" i="8" s="1"/>
  <c r="AF25" i="8" a="1"/>
  <c r="AF25" i="8" s="1"/>
  <c r="Y25" i="8" a="1"/>
  <c r="Y25" i="8" s="1"/>
  <c r="X128" i="5" a="1"/>
  <c r="X128" i="5" s="1"/>
  <c r="X102" i="5" a="1"/>
  <c r="X102" i="5" s="1"/>
  <c r="X143" i="5" a="1"/>
  <c r="X143" i="5" s="1"/>
  <c r="AM43" i="5"/>
  <c r="X42" i="5" a="1"/>
  <c r="X42" i="5" s="1"/>
  <c r="I43" i="5"/>
  <c r="I43" i="12"/>
  <c r="L43" i="5"/>
  <c r="Z43" i="5"/>
  <c r="AM148" i="5"/>
  <c r="I148" i="12"/>
  <c r="Z148" i="5"/>
  <c r="L148" i="5"/>
  <c r="X89" i="5" a="1"/>
  <c r="X89" i="5" s="1"/>
  <c r="X39" i="5" a="1"/>
  <c r="X39" i="5" s="1"/>
  <c r="X121" i="5" a="1"/>
  <c r="X121" i="5" s="1"/>
  <c r="X125" i="5" a="1"/>
  <c r="X125" i="5" s="1"/>
  <c r="X163" i="5" a="1"/>
  <c r="X163" i="5" s="1"/>
  <c r="X52" i="5" a="1"/>
  <c r="X52" i="5" s="1"/>
  <c r="AD40" i="8" a="1"/>
  <c r="AD40" i="8" s="1"/>
  <c r="X35" i="5" a="1"/>
  <c r="X35" i="5" s="1"/>
  <c r="X120" i="5" a="1"/>
  <c r="X120" i="5" s="1"/>
  <c r="X73" i="5" a="1"/>
  <c r="X73" i="5" s="1"/>
  <c r="X96" i="5" a="1"/>
  <c r="X96" i="5" s="1"/>
  <c r="X132" i="5" a="1"/>
  <c r="X132" i="5" s="1"/>
  <c r="X72" i="5" a="1"/>
  <c r="X72" i="5" s="1"/>
  <c r="X117" i="5" a="1"/>
  <c r="X117" i="5" s="1"/>
  <c r="X159" i="5" a="1"/>
  <c r="X159" i="5" s="1"/>
  <c r="AM41" i="5"/>
  <c r="Z41" i="5"/>
  <c r="I41" i="12"/>
  <c r="L41" i="5"/>
  <c r="X153" i="5" a="1"/>
  <c r="X153" i="5" s="1"/>
  <c r="X126" i="5" a="1"/>
  <c r="X126" i="5" s="1"/>
  <c r="AD49" i="8" a="1"/>
  <c r="AD49" i="8" s="1"/>
  <c r="X88" i="5" a="1"/>
  <c r="X88" i="5" s="1"/>
  <c r="X79" i="5" a="1"/>
  <c r="X79" i="5" s="1"/>
  <c r="X20" i="5" a="1"/>
  <c r="X20" i="5" s="1"/>
  <c r="Z87" i="5"/>
  <c r="I87" i="12"/>
  <c r="AM87" i="5"/>
  <c r="L87" i="5"/>
  <c r="X36" i="5" a="1"/>
  <c r="X36" i="5" s="1"/>
  <c r="AD28" i="8" a="1"/>
  <c r="AD28" i="8" s="1"/>
  <c r="X33" i="5" a="1"/>
  <c r="X33" i="5" s="1"/>
  <c r="X108" i="5" a="1"/>
  <c r="X108" i="5" s="1"/>
  <c r="AB58" i="8" a="1"/>
  <c r="AB58" i="8" s="1"/>
  <c r="X113" i="5" a="1"/>
  <c r="X113" i="5" s="1"/>
  <c r="L124" i="5"/>
  <c r="I124" i="12"/>
  <c r="Z124" i="5"/>
  <c r="AM124" i="5"/>
  <c r="X147" i="5" a="1"/>
  <c r="X147" i="5" s="1"/>
  <c r="X119" i="5" a="1"/>
  <c r="X119" i="5" s="1"/>
  <c r="X168" i="5" a="1"/>
  <c r="X168" i="5" s="1"/>
  <c r="AF82" i="8" a="1"/>
  <c r="AF82" i="8" s="1"/>
  <c r="X133" i="5" a="1"/>
  <c r="X133" i="5" s="1"/>
  <c r="X123" i="5" a="1"/>
  <c r="X123" i="5" s="1"/>
  <c r="X140" i="5" a="1"/>
  <c r="X140" i="5" s="1"/>
  <c r="X107" i="5" a="1"/>
  <c r="X107" i="5" s="1"/>
  <c r="X78" i="5" a="1"/>
  <c r="X78" i="5" s="1"/>
  <c r="X116" i="5" a="1"/>
  <c r="X116" i="5" s="1"/>
  <c r="X127" i="5" a="1"/>
  <c r="X127" i="5" s="1"/>
  <c r="X60" i="5" a="1"/>
  <c r="X60" i="5" s="1"/>
  <c r="X162" i="5" a="1"/>
  <c r="X162" i="5" s="1"/>
  <c r="X93" i="5" a="1"/>
  <c r="X93" i="5" s="1"/>
  <c r="X50" i="5" a="1"/>
  <c r="X50" i="5" s="1"/>
  <c r="AA55" i="8" a="1"/>
  <c r="AA55" i="8" s="1"/>
  <c r="AM142" i="5"/>
  <c r="I142" i="12"/>
  <c r="I142" i="5"/>
  <c r="I143" i="5" s="1"/>
  <c r="Z142" i="5"/>
  <c r="L142" i="5"/>
  <c r="AD70" i="8" a="1"/>
  <c r="AD70" i="8" s="1"/>
  <c r="W37" i="8" a="1"/>
  <c r="W37" i="8" s="1"/>
  <c r="X97" i="5" a="1"/>
  <c r="X97" i="5" s="1"/>
  <c r="X18" i="5" a="1"/>
  <c r="X18" i="5" s="1"/>
  <c r="Z135" i="5"/>
  <c r="L135" i="5"/>
  <c r="I135" i="12"/>
  <c r="AM135" i="5"/>
  <c r="Z157" i="5"/>
  <c r="I157" i="5"/>
  <c r="I158" i="5" s="1"/>
  <c r="AM157" i="5"/>
  <c r="L157" i="5"/>
  <c r="I157" i="12"/>
  <c r="E88" i="8" a="1"/>
  <c r="E88" i="8" s="1"/>
  <c r="U88" i="8" a="1"/>
  <c r="U88" i="8" s="1"/>
  <c r="X189" i="5" a="1"/>
  <c r="X189" i="5" s="1"/>
  <c r="X61" i="5" a="1"/>
  <c r="X61" i="5" s="1"/>
  <c r="X130" i="5" a="1"/>
  <c r="X130" i="5" s="1"/>
  <c r="X144" i="5" a="1"/>
  <c r="X144" i="5" s="1"/>
  <c r="X57" i="5" a="1"/>
  <c r="X57" i="5" s="1"/>
  <c r="AE40" i="8" a="1"/>
  <c r="AE40" i="8" s="1"/>
  <c r="AA40" i="8" a="1"/>
  <c r="AA40" i="8" s="1"/>
  <c r="X58" i="5" a="1"/>
  <c r="X58" i="5" s="1"/>
  <c r="AC37" i="8" a="1"/>
  <c r="AC37" i="8" s="1"/>
  <c r="X48" i="5" a="1"/>
  <c r="X48" i="5" s="1"/>
  <c r="X55" i="5" a="1"/>
  <c r="X55" i="5" s="1"/>
  <c r="Y52" i="8" a="1"/>
  <c r="Y52" i="8" s="1"/>
  <c r="X92" i="5" a="1"/>
  <c r="X92" i="5" s="1"/>
  <c r="X118" i="5" a="1"/>
  <c r="X118" i="5" s="1"/>
  <c r="Z82" i="5"/>
  <c r="L82" i="5"/>
  <c r="AM82" i="5"/>
  <c r="I82" i="12"/>
  <c r="X134" i="5" a="1"/>
  <c r="X134" i="5" s="1"/>
  <c r="X46" i="8" a="1"/>
  <c r="X46" i="8" s="1"/>
  <c r="X76" i="5" a="1"/>
  <c r="X76" i="5" s="1"/>
  <c r="AD46" i="8" a="1"/>
  <c r="AD46" i="8" s="1"/>
  <c r="AC67" i="8" a="1"/>
  <c r="AC67" i="8" s="1"/>
  <c r="AN155" i="5" a="1"/>
  <c r="AN155" i="5" s="1"/>
  <c r="W155" i="5" a="1"/>
  <c r="W155" i="5" s="1"/>
  <c r="AS155" i="6" l="1"/>
  <c r="AR155" i="6"/>
  <c r="AQ155" i="6"/>
  <c r="AO155" i="6"/>
  <c r="AE76" i="8" s="1" a="1"/>
  <c r="AE76" i="8" s="1"/>
  <c r="AN155" i="6"/>
  <c r="Y76" i="8" s="1" a="1"/>
  <c r="Y76" i="8" s="1"/>
  <c r="AJ155" i="6"/>
  <c r="AL155" i="6"/>
  <c r="AM155" i="6"/>
  <c r="H155" i="12" a="1"/>
  <c r="H155" i="12" s="1"/>
  <c r="AP155" i="6"/>
  <c r="AT155" i="6"/>
  <c r="AK155" i="6"/>
  <c r="C82" i="12"/>
  <c r="AO82" i="12" a="1"/>
  <c r="AO82" i="12" s="1"/>
  <c r="M82" i="12" a="1"/>
  <c r="M82" i="12" s="1"/>
  <c r="O82" i="12" a="1"/>
  <c r="O82" i="12" s="1"/>
  <c r="AC82" i="5" a="1"/>
  <c r="AC82" i="5" s="1"/>
  <c r="C82" i="6"/>
  <c r="I118" i="12"/>
  <c r="L118" i="5"/>
  <c r="Z118" i="5"/>
  <c r="AM118" i="5"/>
  <c r="L48" i="5"/>
  <c r="I48" i="12"/>
  <c r="Z48" i="5"/>
  <c r="AM48" i="5"/>
  <c r="L58" i="5"/>
  <c r="Z58" i="5"/>
  <c r="I58" i="12"/>
  <c r="AM58" i="5"/>
  <c r="AM144" i="5"/>
  <c r="I144" i="12"/>
  <c r="L144" i="5"/>
  <c r="Z144" i="5"/>
  <c r="I61" i="12"/>
  <c r="AM61" i="5"/>
  <c r="Z61" i="5"/>
  <c r="L61" i="5"/>
  <c r="O157" i="12" a="1"/>
  <c r="O157" i="12" s="1"/>
  <c r="C157" i="12"/>
  <c r="AO157" i="12" a="1"/>
  <c r="AO157" i="12" s="1"/>
  <c r="M157" i="12" a="1"/>
  <c r="M157" i="12" s="1"/>
  <c r="AB157" i="5" a="1"/>
  <c r="AB157" i="5" s="1"/>
  <c r="C135" i="6"/>
  <c r="AC135" i="5" a="1"/>
  <c r="AC135" i="5" s="1"/>
  <c r="L97" i="5"/>
  <c r="I97" i="12"/>
  <c r="AM97" i="5"/>
  <c r="Z97" i="5"/>
  <c r="AB142" i="5" a="1"/>
  <c r="AB142" i="5" s="1"/>
  <c r="X141" i="5" a="1"/>
  <c r="X141" i="5" s="1"/>
  <c r="Z50" i="5"/>
  <c r="L50" i="5"/>
  <c r="I50" i="12"/>
  <c r="AM50" i="5"/>
  <c r="AM162" i="5"/>
  <c r="Z162" i="5"/>
  <c r="I162" i="12"/>
  <c r="L162" i="5"/>
  <c r="Z127" i="5"/>
  <c r="I127" i="12"/>
  <c r="AM127" i="5"/>
  <c r="L127" i="5"/>
  <c r="Z78" i="5"/>
  <c r="I78" i="12"/>
  <c r="L78" i="5"/>
  <c r="AM78" i="5"/>
  <c r="AM140" i="5"/>
  <c r="Z140" i="5"/>
  <c r="I140" i="12"/>
  <c r="L140" i="5"/>
  <c r="I123" i="12"/>
  <c r="L123" i="5"/>
  <c r="AM123" i="5"/>
  <c r="Z123" i="5"/>
  <c r="I119" i="12"/>
  <c r="AM119" i="5"/>
  <c r="Z119" i="5"/>
  <c r="L119" i="5"/>
  <c r="AO124" i="12" a="1"/>
  <c r="AO124" i="12" s="1"/>
  <c r="O124" i="12" a="1"/>
  <c r="O124" i="12" s="1"/>
  <c r="C124" i="12"/>
  <c r="M124" i="12" a="1"/>
  <c r="M124" i="12" s="1"/>
  <c r="L113" i="5"/>
  <c r="I113" i="12"/>
  <c r="Z113" i="5"/>
  <c r="AM113" i="5"/>
  <c r="L108" i="5"/>
  <c r="Z108" i="5"/>
  <c r="AM108" i="5"/>
  <c r="I108" i="12"/>
  <c r="AC87" i="5" a="1"/>
  <c r="AC87" i="5" s="1"/>
  <c r="O87" i="5"/>
  <c r="C87" i="6"/>
  <c r="AO87" i="12" a="1"/>
  <c r="AO87" i="12" s="1"/>
  <c r="C87" i="12"/>
  <c r="M87" i="12" a="1"/>
  <c r="M87" i="12" s="1"/>
  <c r="O87" i="12" a="1"/>
  <c r="O87" i="12" s="1"/>
  <c r="I20" i="12"/>
  <c r="AM20" i="5"/>
  <c r="Z20" i="5"/>
  <c r="L20" i="5"/>
  <c r="AM88" i="5"/>
  <c r="I88" i="12"/>
  <c r="I88" i="5"/>
  <c r="I89" i="5" s="1"/>
  <c r="I90" i="5" s="1"/>
  <c r="L88" i="5"/>
  <c r="Z88" i="5"/>
  <c r="L153" i="5"/>
  <c r="AM153" i="5"/>
  <c r="I153" i="12"/>
  <c r="Z153" i="5"/>
  <c r="AC41" i="5" a="1"/>
  <c r="AC41" i="5" s="1"/>
  <c r="C41" i="6"/>
  <c r="AB41" i="5" a="1"/>
  <c r="AB41" i="5" s="1"/>
  <c r="L159" i="5"/>
  <c r="I159" i="12"/>
  <c r="Z159" i="5"/>
  <c r="AM159" i="5"/>
  <c r="I159" i="5"/>
  <c r="I160" i="5" s="1"/>
  <c r="I161" i="5" s="1"/>
  <c r="I162" i="5" s="1"/>
  <c r="I163" i="5" s="1"/>
  <c r="I164" i="5" s="1"/>
  <c r="AM117" i="5"/>
  <c r="I117" i="12"/>
  <c r="L117" i="5"/>
  <c r="Z117" i="5"/>
  <c r="L132" i="5"/>
  <c r="I132" i="12"/>
  <c r="AM132" i="5"/>
  <c r="Z132" i="5"/>
  <c r="L73" i="5"/>
  <c r="AM73" i="5"/>
  <c r="I73" i="12"/>
  <c r="Z73" i="5"/>
  <c r="L35" i="5"/>
  <c r="Z35" i="5"/>
  <c r="I35" i="12"/>
  <c r="AM35" i="5"/>
  <c r="I52" i="5"/>
  <c r="Z52" i="5"/>
  <c r="I52" i="12"/>
  <c r="L52" i="5"/>
  <c r="AM52" i="5"/>
  <c r="X51" i="5" a="1"/>
  <c r="X51" i="5" s="1"/>
  <c r="AM163" i="5"/>
  <c r="L163" i="5"/>
  <c r="Z163" i="5"/>
  <c r="I163" i="12"/>
  <c r="L121" i="5"/>
  <c r="AM121" i="5"/>
  <c r="I121" i="12"/>
  <c r="Z121" i="5"/>
  <c r="I89" i="12"/>
  <c r="AM89" i="5"/>
  <c r="Z89" i="5"/>
  <c r="L89" i="5"/>
  <c r="AB148" i="5" a="1"/>
  <c r="AB148" i="5" s="1"/>
  <c r="AC43" i="5" a="1"/>
  <c r="AC43" i="5" s="1"/>
  <c r="C43" i="6"/>
  <c r="O43" i="5"/>
  <c r="I102" i="12"/>
  <c r="AM102" i="5"/>
  <c r="L102" i="5"/>
  <c r="Z102" i="5"/>
  <c r="Z47" i="5"/>
  <c r="I47" i="12"/>
  <c r="L47" i="5"/>
  <c r="AM47" i="5"/>
  <c r="AM29" i="5"/>
  <c r="Z29" i="5"/>
  <c r="L29" i="5"/>
  <c r="I29" i="12"/>
  <c r="AM80" i="5"/>
  <c r="I80" i="12"/>
  <c r="Z80" i="5"/>
  <c r="L80" i="5"/>
  <c r="X83" i="5" a="1"/>
  <c r="X83" i="5" s="1"/>
  <c r="C84" i="12"/>
  <c r="O84" i="12" a="1"/>
  <c r="O84" i="12" s="1"/>
  <c r="M84" i="12" a="1"/>
  <c r="M84" i="12" s="1"/>
  <c r="AO84" i="12" a="1"/>
  <c r="AO84" i="12" s="1"/>
  <c r="L46" i="5"/>
  <c r="Z46" i="5"/>
  <c r="I46" i="12"/>
  <c r="AM46" i="5"/>
  <c r="L99" i="5"/>
  <c r="Z99" i="5"/>
  <c r="AM99" i="5"/>
  <c r="I99" i="12"/>
  <c r="X98" i="5" a="1"/>
  <c r="X98" i="5" s="1"/>
  <c r="I99" i="5"/>
  <c r="I100" i="5" s="1"/>
  <c r="I101" i="5" s="1"/>
  <c r="I102" i="5" s="1"/>
  <c r="I103" i="5" s="1"/>
  <c r="I104" i="5" s="1"/>
  <c r="L150" i="5"/>
  <c r="AM150" i="5"/>
  <c r="I150" i="12"/>
  <c r="Z150" i="5"/>
  <c r="L106" i="5"/>
  <c r="Z106" i="5"/>
  <c r="AM106" i="5"/>
  <c r="I106" i="5"/>
  <c r="I107" i="5" s="1"/>
  <c r="I108" i="5" s="1"/>
  <c r="O108" i="5" s="1"/>
  <c r="I106" i="12"/>
  <c r="X105" i="5" a="1"/>
  <c r="X105" i="5" s="1"/>
  <c r="AM26" i="5"/>
  <c r="Z26" i="5"/>
  <c r="I26" i="12"/>
  <c r="L26" i="5"/>
  <c r="L25" i="5"/>
  <c r="AM25" i="5"/>
  <c r="I25" i="12"/>
  <c r="Z25" i="5"/>
  <c r="AM30" i="5"/>
  <c r="Z30" i="5"/>
  <c r="I30" i="12"/>
  <c r="L30" i="5"/>
  <c r="I160" i="12"/>
  <c r="Z160" i="5"/>
  <c r="L160" i="5"/>
  <c r="AM160" i="5"/>
  <c r="Z146" i="5"/>
  <c r="AM146" i="5"/>
  <c r="I146" i="5"/>
  <c r="I147" i="5" s="1"/>
  <c r="I148" i="5" s="1"/>
  <c r="I149" i="5" s="1"/>
  <c r="I150" i="5" s="1"/>
  <c r="I151" i="5" s="1"/>
  <c r="I152" i="5" s="1"/>
  <c r="L146" i="5"/>
  <c r="I146" i="12"/>
  <c r="X145" i="5" a="1"/>
  <c r="X145" i="5" s="1"/>
  <c r="Z100" i="5"/>
  <c r="L100" i="5"/>
  <c r="I100" i="12"/>
  <c r="AM100" i="5"/>
  <c r="L161" i="5"/>
  <c r="I161" i="12"/>
  <c r="Z161" i="5"/>
  <c r="AM161" i="5"/>
  <c r="Z77" i="5"/>
  <c r="I77" i="12"/>
  <c r="AM77" i="5"/>
  <c r="L77" i="5"/>
  <c r="Z19" i="5"/>
  <c r="I19" i="12"/>
  <c r="AM19" i="5"/>
  <c r="L19" i="5"/>
  <c r="I188" i="12"/>
  <c r="AM188" i="5"/>
  <c r="L188" i="5"/>
  <c r="Z188" i="5"/>
  <c r="AM66" i="5"/>
  <c r="L66" i="5"/>
  <c r="Z66" i="5"/>
  <c r="I66" i="12"/>
  <c r="I139" i="12"/>
  <c r="Z139" i="5"/>
  <c r="L139" i="5"/>
  <c r="AM139" i="5"/>
  <c r="Z136" i="5"/>
  <c r="AM136" i="5"/>
  <c r="I136" i="12"/>
  <c r="L136" i="5"/>
  <c r="I167" i="12"/>
  <c r="L167" i="5"/>
  <c r="Z167" i="5"/>
  <c r="AM167" i="5"/>
  <c r="I167" i="5"/>
  <c r="I168" i="5" s="1"/>
  <c r="I169" i="5" s="1"/>
  <c r="X166" i="5" a="1"/>
  <c r="X166" i="5" s="1"/>
  <c r="Z101" i="5"/>
  <c r="I101" i="12"/>
  <c r="L101" i="5"/>
  <c r="AM101" i="5"/>
  <c r="I70" i="12"/>
  <c r="L70" i="5"/>
  <c r="AM70" i="5"/>
  <c r="Z70" i="5"/>
  <c r="L65" i="5"/>
  <c r="I65" i="12"/>
  <c r="I65" i="5"/>
  <c r="I66" i="5" s="1"/>
  <c r="I67" i="5" s="1"/>
  <c r="AM65" i="5"/>
  <c r="Z65" i="5"/>
  <c r="AM169" i="5"/>
  <c r="Z169" i="5"/>
  <c r="I169" i="12"/>
  <c r="L169" i="5"/>
  <c r="Z54" i="5"/>
  <c r="AM54" i="5"/>
  <c r="I54" i="12"/>
  <c r="L54" i="5"/>
  <c r="L152" i="5"/>
  <c r="I152" i="12"/>
  <c r="AM152" i="5"/>
  <c r="Z152" i="5"/>
  <c r="AM129" i="5"/>
  <c r="I129" i="12"/>
  <c r="L129" i="5"/>
  <c r="Z129" i="5"/>
  <c r="X111" i="5" a="1"/>
  <c r="X111" i="5" s="1"/>
  <c r="AC112" i="5" a="1"/>
  <c r="AC112" i="5" s="1"/>
  <c r="C112" i="6"/>
  <c r="O112" i="5"/>
  <c r="AB112" i="5" a="1"/>
  <c r="AB112" i="5" s="1"/>
  <c r="AB37" i="5" a="1"/>
  <c r="AB37" i="5" s="1"/>
  <c r="L81" i="5"/>
  <c r="AM81" i="5"/>
  <c r="I81" i="12"/>
  <c r="Z81" i="5"/>
  <c r="Z190" i="5"/>
  <c r="I190" i="12"/>
  <c r="L190" i="5"/>
  <c r="AM190" i="5"/>
  <c r="I31" i="12"/>
  <c r="AM31" i="5"/>
  <c r="Z31" i="5"/>
  <c r="L31" i="5"/>
  <c r="L94" i="5"/>
  <c r="AM94" i="5"/>
  <c r="Z94" i="5"/>
  <c r="I94" i="12"/>
  <c r="AM158" i="5"/>
  <c r="Z158" i="5"/>
  <c r="L158" i="5"/>
  <c r="I158" i="12"/>
  <c r="L21" i="5"/>
  <c r="Z21" i="5"/>
  <c r="AM21" i="5"/>
  <c r="I21" i="12"/>
  <c r="AM28" i="5"/>
  <c r="L28" i="5"/>
  <c r="Z28" i="5"/>
  <c r="I28" i="12"/>
  <c r="I28" i="5"/>
  <c r="I29" i="5" s="1"/>
  <c r="I30" i="5" s="1"/>
  <c r="I31" i="5" s="1"/>
  <c r="X27" i="5" a="1"/>
  <c r="X27" i="5" s="1"/>
  <c r="AM24" i="5"/>
  <c r="I24" i="12"/>
  <c r="L24" i="5"/>
  <c r="Z24" i="5"/>
  <c r="I86" i="12"/>
  <c r="AM86" i="5"/>
  <c r="L86" i="5"/>
  <c r="Z86" i="5"/>
  <c r="AM76" i="5"/>
  <c r="I76" i="12"/>
  <c r="I76" i="5"/>
  <c r="I77" i="5" s="1"/>
  <c r="I78" i="5" s="1"/>
  <c r="L76" i="5"/>
  <c r="Z76" i="5"/>
  <c r="X75" i="5" a="1"/>
  <c r="X75" i="5" s="1"/>
  <c r="Z134" i="5"/>
  <c r="AM134" i="5"/>
  <c r="I134" i="12"/>
  <c r="L134" i="5"/>
  <c r="AB82" i="5" a="1"/>
  <c r="AB82" i="5" s="1"/>
  <c r="Z92" i="5"/>
  <c r="I92" i="5"/>
  <c r="I93" i="5" s="1"/>
  <c r="I94" i="5" s="1"/>
  <c r="AM92" i="5"/>
  <c r="X91" i="5" a="1"/>
  <c r="X91" i="5" s="1"/>
  <c r="I92" i="12"/>
  <c r="L92" i="5"/>
  <c r="L55" i="5"/>
  <c r="Z55" i="5"/>
  <c r="AM55" i="5"/>
  <c r="I55" i="12"/>
  <c r="AM57" i="5"/>
  <c r="I57" i="12"/>
  <c r="L57" i="5"/>
  <c r="Z57" i="5"/>
  <c r="AM130" i="5"/>
  <c r="L130" i="5"/>
  <c r="Z130" i="5"/>
  <c r="AB130" i="5" s="1" a="1"/>
  <c r="AB130" i="5" s="1"/>
  <c r="I130" i="12"/>
  <c r="Z189" i="5"/>
  <c r="I189" i="12"/>
  <c r="L189" i="5"/>
  <c r="AM189" i="5"/>
  <c r="AC157" i="5" a="1"/>
  <c r="AC157" i="5" s="1"/>
  <c r="O157" i="5"/>
  <c r="C157" i="6"/>
  <c r="C135" i="12"/>
  <c r="AO135" i="12" a="1"/>
  <c r="AO135" i="12" s="1"/>
  <c r="O135" i="12" a="1"/>
  <c r="O135" i="12" s="1"/>
  <c r="M135" i="12" a="1"/>
  <c r="M135" i="12" s="1"/>
  <c r="AB135" i="5" a="1"/>
  <c r="AB135" i="5" s="1"/>
  <c r="I18" i="5"/>
  <c r="I19" i="5" s="1"/>
  <c r="I20" i="5" s="1"/>
  <c r="I21" i="5" s="1"/>
  <c r="Z18" i="5"/>
  <c r="AM18" i="5"/>
  <c r="I18" i="12"/>
  <c r="L18" i="5"/>
  <c r="X17" i="5" a="1"/>
  <c r="X17" i="5" s="1"/>
  <c r="AC142" i="5" a="1"/>
  <c r="AC142" i="5" s="1"/>
  <c r="C142" i="6"/>
  <c r="O142" i="5"/>
  <c r="I144" i="5"/>
  <c r="O142" i="12" a="1"/>
  <c r="O142" i="12" s="1"/>
  <c r="C142" i="12"/>
  <c r="AO142" i="12" a="1"/>
  <c r="AO142" i="12" s="1"/>
  <c r="M142" i="12" a="1"/>
  <c r="M142" i="12" s="1"/>
  <c r="Z93" i="5"/>
  <c r="I93" i="12"/>
  <c r="L93" i="5"/>
  <c r="AM93" i="5"/>
  <c r="Z60" i="5"/>
  <c r="L60" i="5"/>
  <c r="I60" i="12"/>
  <c r="AM60" i="5"/>
  <c r="L116" i="5"/>
  <c r="I116" i="12"/>
  <c r="Z116" i="5"/>
  <c r="AM116" i="5"/>
  <c r="L107" i="5"/>
  <c r="Z107" i="5"/>
  <c r="AM107" i="5"/>
  <c r="I107" i="12"/>
  <c r="Z133" i="5"/>
  <c r="AM133" i="5"/>
  <c r="I133" i="12"/>
  <c r="L133" i="5"/>
  <c r="L168" i="5"/>
  <c r="I168" i="12"/>
  <c r="AM168" i="5"/>
  <c r="Z168" i="5"/>
  <c r="Z147" i="5"/>
  <c r="L147" i="5"/>
  <c r="I147" i="12"/>
  <c r="AM147" i="5"/>
  <c r="AB124" i="5" a="1"/>
  <c r="AB124" i="5" s="1"/>
  <c r="AC124" i="5" a="1"/>
  <c r="AC124" i="5" s="1"/>
  <c r="C124" i="6"/>
  <c r="I33" i="12"/>
  <c r="Z33" i="5"/>
  <c r="I33" i="5"/>
  <c r="I34" i="5" s="1"/>
  <c r="I35" i="5" s="1"/>
  <c r="I36" i="5" s="1"/>
  <c r="I37" i="5" s="1"/>
  <c r="O37" i="5" s="1"/>
  <c r="L33" i="5"/>
  <c r="AM33" i="5"/>
  <c r="X32" i="5" a="1"/>
  <c r="X32" i="5" s="1"/>
  <c r="I36" i="12"/>
  <c r="L36" i="5"/>
  <c r="AM36" i="5"/>
  <c r="Z36" i="5"/>
  <c r="AB87" i="5" a="1"/>
  <c r="AB87" i="5" s="1"/>
  <c r="AM79" i="5"/>
  <c r="L79" i="5"/>
  <c r="I79" i="5"/>
  <c r="I80" i="5" s="1"/>
  <c r="I81" i="5" s="1"/>
  <c r="I82" i="5" s="1"/>
  <c r="O82" i="5" s="1"/>
  <c r="Z79" i="5"/>
  <c r="I79" i="12"/>
  <c r="Z126" i="5"/>
  <c r="I126" i="12"/>
  <c r="L126" i="5"/>
  <c r="AM126" i="5"/>
  <c r="O41" i="12" a="1"/>
  <c r="O41" i="12" s="1"/>
  <c r="C41" i="12"/>
  <c r="M41" i="12" a="1"/>
  <c r="M41" i="12" s="1"/>
  <c r="AO41" i="12" a="1"/>
  <c r="AO41" i="12" s="1"/>
  <c r="Y41" i="12" s="1"/>
  <c r="Z72" i="5"/>
  <c r="AM72" i="5"/>
  <c r="L72" i="5"/>
  <c r="I72" i="12"/>
  <c r="AM96" i="5"/>
  <c r="L96" i="5"/>
  <c r="I96" i="12"/>
  <c r="Z96" i="5"/>
  <c r="AM120" i="5"/>
  <c r="I120" i="12"/>
  <c r="L120" i="5"/>
  <c r="Z120" i="5"/>
  <c r="I125" i="12"/>
  <c r="Z125" i="5"/>
  <c r="L125" i="5"/>
  <c r="AM125" i="5"/>
  <c r="Z39" i="5"/>
  <c r="AM39" i="5"/>
  <c r="X38" i="5" a="1"/>
  <c r="X38" i="5" s="1"/>
  <c r="I39" i="5"/>
  <c r="I40" i="5" s="1"/>
  <c r="I41" i="5" s="1"/>
  <c r="O41" i="5" s="1"/>
  <c r="I39" i="12"/>
  <c r="L39" i="5"/>
  <c r="AC148" i="5" a="1"/>
  <c r="AC148" i="5" s="1"/>
  <c r="C148" i="6"/>
  <c r="O148" i="12" a="1"/>
  <c r="O148" i="12" s="1"/>
  <c r="M148" i="12" a="1"/>
  <c r="M148" i="12" s="1"/>
  <c r="C148" i="12"/>
  <c r="AO148" i="12" a="1"/>
  <c r="AO148" i="12" s="1"/>
  <c r="AB43" i="5" a="1"/>
  <c r="AB43" i="5" s="1"/>
  <c r="AB42" i="5" s="1" a="1"/>
  <c r="AB42" i="5" s="1"/>
  <c r="M43" i="12" a="1"/>
  <c r="M43" i="12" s="1"/>
  <c r="M42" i="12" s="1" a="1"/>
  <c r="M42" i="12" s="1"/>
  <c r="AO43" i="12" a="1"/>
  <c r="AO43" i="12" s="1"/>
  <c r="C43" i="12"/>
  <c r="O43" i="12" a="1"/>
  <c r="O43" i="12" s="1"/>
  <c r="Z42" i="5"/>
  <c r="L42" i="5"/>
  <c r="I42" i="12"/>
  <c r="AM42" i="5"/>
  <c r="S32" i="8"/>
  <c r="Z143" i="5"/>
  <c r="L143" i="5"/>
  <c r="AM143" i="5"/>
  <c r="I143" i="12"/>
  <c r="Z128" i="5"/>
  <c r="I128" i="12"/>
  <c r="AM128" i="5"/>
  <c r="L128" i="5"/>
  <c r="AM187" i="5"/>
  <c r="I187" i="5"/>
  <c r="I188" i="5" s="1"/>
  <c r="I189" i="5" s="1"/>
  <c r="I190" i="5" s="1"/>
  <c r="O190" i="5" s="1"/>
  <c r="X186" i="5" a="1"/>
  <c r="X186" i="5" s="1"/>
  <c r="I187" i="12"/>
  <c r="L187" i="5"/>
  <c r="Z187" i="5"/>
  <c r="Z67" i="5"/>
  <c r="I67" i="12"/>
  <c r="AM67" i="5"/>
  <c r="L67" i="5"/>
  <c r="AC84" i="5" a="1"/>
  <c r="AC84" i="5" s="1"/>
  <c r="O84" i="5"/>
  <c r="C84" i="6"/>
  <c r="AB84" i="5" a="1"/>
  <c r="AB84" i="5" s="1"/>
  <c r="AM56" i="5"/>
  <c r="L56" i="5"/>
  <c r="Z56" i="5"/>
  <c r="I56" i="12"/>
  <c r="L34" i="5"/>
  <c r="Z34" i="5"/>
  <c r="AM34" i="5"/>
  <c r="I34" i="12"/>
  <c r="Z115" i="5"/>
  <c r="I115" i="12"/>
  <c r="AM115" i="5"/>
  <c r="X114" i="5" a="1"/>
  <c r="X114" i="5" s="1"/>
  <c r="L115" i="5"/>
  <c r="I115" i="5"/>
  <c r="I116" i="5" s="1"/>
  <c r="I117" i="5" s="1"/>
  <c r="I118" i="5" s="1"/>
  <c r="I119" i="5" s="1"/>
  <c r="I120" i="5" s="1"/>
  <c r="I121" i="5" s="1"/>
  <c r="I122" i="5" s="1"/>
  <c r="I123" i="5" s="1"/>
  <c r="I124" i="5" s="1"/>
  <c r="I63" i="12"/>
  <c r="AM63" i="5"/>
  <c r="L63" i="5"/>
  <c r="Z63" i="5"/>
  <c r="AM103" i="5"/>
  <c r="L103" i="5"/>
  <c r="I103" i="12"/>
  <c r="Z103" i="5"/>
  <c r="I49" i="12"/>
  <c r="L49" i="5"/>
  <c r="Z49" i="5"/>
  <c r="AM49" i="5"/>
  <c r="I40" i="12"/>
  <c r="L40" i="5"/>
  <c r="AM40" i="5"/>
  <c r="Z40" i="5"/>
  <c r="I122" i="12"/>
  <c r="L122" i="5"/>
  <c r="Z122" i="5"/>
  <c r="AM122" i="5"/>
  <c r="AM45" i="5"/>
  <c r="L45" i="5"/>
  <c r="I45" i="5"/>
  <c r="I46" i="5" s="1"/>
  <c r="I47" i="5" s="1"/>
  <c r="I48" i="5" s="1"/>
  <c r="I49" i="5" s="1"/>
  <c r="I50" i="5" s="1"/>
  <c r="O50" i="5" s="1"/>
  <c r="I45" i="12"/>
  <c r="Z45" i="5"/>
  <c r="X44" i="5" a="1"/>
  <c r="X44" i="5" s="1"/>
  <c r="AM104" i="5"/>
  <c r="Z104" i="5"/>
  <c r="I104" i="12"/>
  <c r="L104" i="5"/>
  <c r="Z138" i="5"/>
  <c r="AM138" i="5"/>
  <c r="L138" i="5"/>
  <c r="I138" i="12"/>
  <c r="I95" i="12"/>
  <c r="L95" i="5"/>
  <c r="AM95" i="5"/>
  <c r="Z95" i="5"/>
  <c r="I95" i="5"/>
  <c r="I96" i="5" s="1"/>
  <c r="I97" i="5" s="1"/>
  <c r="O97" i="5" s="1"/>
  <c r="Z110" i="5"/>
  <c r="I110" i="5"/>
  <c r="I110" i="12"/>
  <c r="L110" i="5"/>
  <c r="AM110" i="5"/>
  <c r="X109" i="5" a="1"/>
  <c r="X109" i="5" s="1"/>
  <c r="Z62" i="5"/>
  <c r="AM62" i="5"/>
  <c r="I62" i="12"/>
  <c r="L62" i="5"/>
  <c r="L68" i="5"/>
  <c r="I68" i="12"/>
  <c r="AM68" i="5"/>
  <c r="Z68" i="5"/>
  <c r="AM164" i="5"/>
  <c r="I164" i="12"/>
  <c r="L164" i="5"/>
  <c r="Z164" i="5"/>
  <c r="I90" i="12"/>
  <c r="Z90" i="5"/>
  <c r="L90" i="5"/>
  <c r="AM90" i="5"/>
  <c r="L53" i="5"/>
  <c r="AM53" i="5"/>
  <c r="I53" i="5"/>
  <c r="I54" i="5" s="1"/>
  <c r="I55" i="5" s="1"/>
  <c r="I56" i="5" s="1"/>
  <c r="I57" i="5" s="1"/>
  <c r="I58" i="5" s="1"/>
  <c r="I59" i="5" s="1"/>
  <c r="I60" i="5" s="1"/>
  <c r="I61" i="5" s="1"/>
  <c r="I62" i="5" s="1"/>
  <c r="I63" i="5" s="1"/>
  <c r="O63" i="5" s="1"/>
  <c r="Z53" i="5"/>
  <c r="I53" i="12"/>
  <c r="L59" i="5"/>
  <c r="AM59" i="5"/>
  <c r="Z59" i="5"/>
  <c r="I59" i="12"/>
  <c r="I113" i="5"/>
  <c r="O113" i="5" s="1"/>
  <c r="O112" i="12" a="1"/>
  <c r="O112" i="12" s="1"/>
  <c r="M112" i="12" a="1"/>
  <c r="M112" i="12" s="1"/>
  <c r="C112" i="12"/>
  <c r="AO112" i="12" a="1"/>
  <c r="AO112" i="12" s="1"/>
  <c r="Z149" i="5"/>
  <c r="L149" i="5"/>
  <c r="I149" i="12"/>
  <c r="AM149" i="5"/>
  <c r="M37" i="12" a="1"/>
  <c r="M37" i="12" s="1"/>
  <c r="O37" i="12" a="1"/>
  <c r="O37" i="12" s="1"/>
  <c r="C37" i="12"/>
  <c r="AO37" i="12" a="1"/>
  <c r="AO37" i="12" s="1"/>
  <c r="Y37" i="12" s="1"/>
  <c r="AC37" i="5" a="1"/>
  <c r="AC37" i="5" s="1"/>
  <c r="C37" i="6"/>
  <c r="L131" i="5"/>
  <c r="I131" i="12"/>
  <c r="AM131" i="5"/>
  <c r="Z131" i="5"/>
  <c r="I151" i="12"/>
  <c r="L151" i="5"/>
  <c r="AM151" i="5"/>
  <c r="Z151" i="5"/>
  <c r="I137" i="12"/>
  <c r="AM137" i="5"/>
  <c r="L137" i="5"/>
  <c r="Z137" i="5"/>
  <c r="Z85" i="5"/>
  <c r="I85" i="12"/>
  <c r="AM85" i="5"/>
  <c r="L85" i="5"/>
  <c r="Z23" i="5"/>
  <c r="I23" i="5"/>
  <c r="I24" i="5" s="1"/>
  <c r="I25" i="5" s="1"/>
  <c r="I26" i="5" s="1"/>
  <c r="I23" i="12"/>
  <c r="L23" i="5"/>
  <c r="AM23" i="5"/>
  <c r="X22" i="5" a="1"/>
  <c r="X22" i="5" s="1"/>
  <c r="I69" i="12"/>
  <c r="Z69" i="5"/>
  <c r="L69" i="5"/>
  <c r="AM69" i="5"/>
  <c r="AM71" i="5"/>
  <c r="L71" i="5"/>
  <c r="Z71" i="5"/>
  <c r="I71" i="12"/>
  <c r="AG74" i="5" a="1"/>
  <c r="AG165" i="5" a="1"/>
  <c r="N135" i="12" l="1"/>
  <c r="O31" i="5"/>
  <c r="N87" i="12"/>
  <c r="I125" i="5"/>
  <c r="I126" i="5" s="1"/>
  <c r="I127" i="5" s="1"/>
  <c r="I128" i="5" s="1"/>
  <c r="I129" i="5" s="1"/>
  <c r="I130" i="5" s="1"/>
  <c r="I131" i="5" s="1"/>
  <c r="I132" i="5" s="1"/>
  <c r="I133" i="5" s="1"/>
  <c r="I134" i="5" s="1"/>
  <c r="I135" i="5" s="1"/>
  <c r="O135" i="5" s="1"/>
  <c r="O124" i="5"/>
  <c r="N37" i="12"/>
  <c r="O21" i="5"/>
  <c r="O169" i="5"/>
  <c r="D169" i="12" s="1"/>
  <c r="O152" i="5"/>
  <c r="N82" i="12"/>
  <c r="AG165" i="5"/>
  <c r="U165" i="5" s="1"/>
  <c r="AG74" i="5"/>
  <c r="U74" i="5" s="1"/>
  <c r="E37" i="6"/>
  <c r="D37" i="12"/>
  <c r="D21" i="12"/>
  <c r="E21" i="6"/>
  <c r="E169" i="6"/>
  <c r="E97" i="6"/>
  <c r="D97" i="12"/>
  <c r="E31" i="6"/>
  <c r="D31" i="12"/>
  <c r="E108" i="6"/>
  <c r="D108" i="12"/>
  <c r="AC71" i="5" a="1"/>
  <c r="AC71" i="5" s="1"/>
  <c r="C71" i="6"/>
  <c r="AC69" i="5" a="1"/>
  <c r="AC69" i="5" s="1"/>
  <c r="C69" i="6"/>
  <c r="AB23" i="5" a="1"/>
  <c r="AB23" i="5" s="1"/>
  <c r="O85" i="12" a="1"/>
  <c r="O85" i="12" s="1"/>
  <c r="AO85" i="12" a="1"/>
  <c r="AO85" i="12" s="1"/>
  <c r="Y85" i="12" s="1"/>
  <c r="C85" i="12"/>
  <c r="M85" i="12" a="1"/>
  <c r="M85" i="12" s="1"/>
  <c r="AC137" i="5" a="1"/>
  <c r="AC137" i="5" s="1"/>
  <c r="C137" i="6"/>
  <c r="M137" i="12" a="1"/>
  <c r="M137" i="12" s="1"/>
  <c r="AO137" i="12" a="1"/>
  <c r="AO137" i="12" s="1"/>
  <c r="C137" i="12"/>
  <c r="O137" i="12" a="1"/>
  <c r="O137" i="12" s="1"/>
  <c r="M151" i="12" a="1"/>
  <c r="M151" i="12" s="1"/>
  <c r="O151" i="12" a="1"/>
  <c r="O151" i="12" s="1"/>
  <c r="AO151" i="12" a="1"/>
  <c r="AO151" i="12" s="1"/>
  <c r="Y151" i="12" s="1"/>
  <c r="C151" i="12"/>
  <c r="AB131" i="5" a="1"/>
  <c r="AB131" i="5" s="1"/>
  <c r="O131" i="12" a="1"/>
  <c r="O131" i="12" s="1"/>
  <c r="M131" i="12" a="1"/>
  <c r="M131" i="12" s="1"/>
  <c r="C131" i="12"/>
  <c r="AO131" i="12" a="1"/>
  <c r="AO131" i="12" s="1"/>
  <c r="AC149" i="5" a="1"/>
  <c r="AC149" i="5" s="1"/>
  <c r="C149" i="6"/>
  <c r="O149" i="5"/>
  <c r="N112" i="12"/>
  <c r="D113" i="12"/>
  <c r="E113" i="6"/>
  <c r="AB59" i="5" a="1"/>
  <c r="AB59" i="5" s="1"/>
  <c r="C59" i="6"/>
  <c r="O59" i="5"/>
  <c r="AC59" i="5" a="1"/>
  <c r="AC59" i="5" s="1"/>
  <c r="AO53" i="12" a="1"/>
  <c r="AO53" i="12" s="1"/>
  <c r="O53" i="12" a="1"/>
  <c r="O53" i="12" s="1"/>
  <c r="C53" i="12"/>
  <c r="M53" i="12" a="1"/>
  <c r="M53" i="12" s="1"/>
  <c r="AC53" i="5" a="1"/>
  <c r="AC53" i="5" s="1"/>
  <c r="C53" i="6"/>
  <c r="O53" i="5"/>
  <c r="O90" i="12" a="1"/>
  <c r="O90" i="12" s="1"/>
  <c r="M90" i="12" a="1"/>
  <c r="M90" i="12" s="1"/>
  <c r="C90" i="12"/>
  <c r="AO90" i="12" a="1"/>
  <c r="AO90" i="12" s="1"/>
  <c r="Y90" i="12" s="1"/>
  <c r="AB68" i="5" a="1"/>
  <c r="AB68" i="5" s="1"/>
  <c r="AO68" i="12" a="1"/>
  <c r="AO68" i="12" s="1"/>
  <c r="O68" i="12" a="1"/>
  <c r="O68" i="12" s="1"/>
  <c r="C68" i="12"/>
  <c r="M68" i="12" a="1"/>
  <c r="M68" i="12" s="1"/>
  <c r="AC67" i="5" a="1"/>
  <c r="AC67" i="5" s="1"/>
  <c r="C67" i="6"/>
  <c r="AO67" i="12" a="1"/>
  <c r="AO67" i="12" s="1"/>
  <c r="M67" i="12" a="1"/>
  <c r="M67" i="12" s="1"/>
  <c r="O67" i="12" a="1"/>
  <c r="O67" i="12" s="1"/>
  <c r="C67" i="12"/>
  <c r="AB187" i="5" a="1"/>
  <c r="AB187" i="5" s="1"/>
  <c r="M187" i="12" a="1"/>
  <c r="M187" i="12" s="1"/>
  <c r="C187" i="12"/>
  <c r="AO187" i="12" a="1"/>
  <c r="AO187" i="12" s="1"/>
  <c r="O187" i="12" a="1"/>
  <c r="O187" i="12" s="1"/>
  <c r="D41" i="12"/>
  <c r="E41" i="6"/>
  <c r="AO125" i="12" a="1"/>
  <c r="AO125" i="12" s="1"/>
  <c r="C125" i="12"/>
  <c r="M125" i="12" a="1"/>
  <c r="M125" i="12" s="1"/>
  <c r="O125" i="12" a="1"/>
  <c r="O125" i="12" s="1"/>
  <c r="M72" i="12" a="1"/>
  <c r="M72" i="12" s="1"/>
  <c r="O72" i="12" a="1"/>
  <c r="O72" i="12" s="1"/>
  <c r="AO72" i="12" a="1"/>
  <c r="AO72" i="12" s="1"/>
  <c r="C72" i="12"/>
  <c r="X41" i="12" a="1"/>
  <c r="X41" i="12" s="1"/>
  <c r="W41" i="12" a="1"/>
  <c r="W41" i="12" s="1"/>
  <c r="AC126" i="5" a="1"/>
  <c r="AC126" i="5" s="1"/>
  <c r="C126" i="6"/>
  <c r="O126" i="5"/>
  <c r="AB126" i="5" a="1"/>
  <c r="AB126" i="5" s="1"/>
  <c r="AO79" i="12" a="1"/>
  <c r="AO79" i="12" s="1"/>
  <c r="C79" i="12"/>
  <c r="O79" i="12" a="1"/>
  <c r="O79" i="12" s="1"/>
  <c r="M79" i="12" a="1"/>
  <c r="M79" i="12" s="1"/>
  <c r="D82" i="12"/>
  <c r="E82" i="6"/>
  <c r="O36" i="12" a="1"/>
  <c r="O36" i="12" s="1"/>
  <c r="AO36" i="12" a="1"/>
  <c r="AO36" i="12" s="1"/>
  <c r="M36" i="12" a="1"/>
  <c r="M36" i="12" s="1"/>
  <c r="C36" i="12"/>
  <c r="M33" i="12" a="1"/>
  <c r="M33" i="12" s="1"/>
  <c r="C33" i="12"/>
  <c r="AO33" i="12" a="1"/>
  <c r="AO33" i="12" s="1"/>
  <c r="O33" i="12" a="1"/>
  <c r="O33" i="12" s="1"/>
  <c r="E124" i="6"/>
  <c r="D124" i="12"/>
  <c r="O147" i="12" a="1"/>
  <c r="O147" i="12" s="1"/>
  <c r="C147" i="12"/>
  <c r="AO147" i="12" a="1"/>
  <c r="AO147" i="12" s="1"/>
  <c r="Y147" i="12" s="1"/>
  <c r="M147" i="12" a="1"/>
  <c r="M147" i="12" s="1"/>
  <c r="C168" i="12"/>
  <c r="AO168" i="12" a="1"/>
  <c r="AO168" i="12" s="1"/>
  <c r="O168" i="12" a="1"/>
  <c r="O168" i="12" s="1"/>
  <c r="M168" i="12" a="1"/>
  <c r="M168" i="12" s="1"/>
  <c r="M133" i="12" a="1"/>
  <c r="M133" i="12" s="1"/>
  <c r="C133" i="12"/>
  <c r="O133" i="12" a="1"/>
  <c r="O133" i="12" s="1"/>
  <c r="N133" i="12" s="1"/>
  <c r="AO133" i="12" a="1"/>
  <c r="AO133" i="12" s="1"/>
  <c r="AC107" i="5" a="1"/>
  <c r="AC107" i="5" s="1"/>
  <c r="O107" i="5"/>
  <c r="C107" i="6"/>
  <c r="AC116" i="5" a="1"/>
  <c r="AC116" i="5" s="1"/>
  <c r="C116" i="6"/>
  <c r="O116" i="5"/>
  <c r="AB60" i="5" a="1"/>
  <c r="AB60" i="5" s="1"/>
  <c r="AB93" i="5" a="1"/>
  <c r="AB93" i="5" s="1"/>
  <c r="AC18" i="5" a="1"/>
  <c r="AC18" i="5" s="1"/>
  <c r="C18" i="6"/>
  <c r="O18" i="5"/>
  <c r="D157" i="12"/>
  <c r="E157" i="6"/>
  <c r="AC189" i="5" a="1"/>
  <c r="AC189" i="5" s="1"/>
  <c r="C189" i="6"/>
  <c r="O189" i="5"/>
  <c r="O130" i="12" a="1"/>
  <c r="O130" i="12" s="1"/>
  <c r="M130" i="12" a="1"/>
  <c r="M130" i="12" s="1"/>
  <c r="C130" i="12"/>
  <c r="AO130" i="12" a="1"/>
  <c r="AO130" i="12" s="1"/>
  <c r="AB57" i="5" a="1"/>
  <c r="AB57" i="5" s="1"/>
  <c r="M57" i="12" a="1"/>
  <c r="M57" i="12" s="1"/>
  <c r="O57" i="12" a="1"/>
  <c r="O57" i="12" s="1"/>
  <c r="N57" i="12" s="1"/>
  <c r="AO57" i="12" a="1"/>
  <c r="AO57" i="12" s="1"/>
  <c r="C57" i="12"/>
  <c r="AC55" i="5" a="1"/>
  <c r="AC55" i="5" s="1"/>
  <c r="C55" i="6"/>
  <c r="O55" i="5"/>
  <c r="AB92" i="5" a="1"/>
  <c r="AB92" i="5" s="1"/>
  <c r="AM75" i="5"/>
  <c r="Z75" i="5"/>
  <c r="S44" i="8"/>
  <c r="I75" i="12"/>
  <c r="L75" i="5"/>
  <c r="AC76" i="5" a="1"/>
  <c r="AC76" i="5" s="1"/>
  <c r="C76" i="6"/>
  <c r="O76" i="5"/>
  <c r="O76" i="12" a="1"/>
  <c r="O76" i="12" s="1"/>
  <c r="M76" i="12" a="1"/>
  <c r="M76" i="12" s="1"/>
  <c r="C76" i="12"/>
  <c r="AO76" i="12" a="1"/>
  <c r="AO76" i="12" s="1"/>
  <c r="AC86" i="5" a="1"/>
  <c r="AC86" i="5" s="1"/>
  <c r="O86" i="5"/>
  <c r="C86" i="6"/>
  <c r="M86" i="12" a="1"/>
  <c r="M86" i="12" s="1"/>
  <c r="C86" i="12"/>
  <c r="AO86" i="12" a="1"/>
  <c r="AO86" i="12" s="1"/>
  <c r="O86" i="12" a="1"/>
  <c r="O86" i="12" s="1"/>
  <c r="N86" i="12" s="1"/>
  <c r="AB24" i="5" a="1"/>
  <c r="AB24" i="5" s="1"/>
  <c r="AC24" i="5" a="1"/>
  <c r="AC24" i="5" s="1"/>
  <c r="O24" i="5"/>
  <c r="C24" i="6"/>
  <c r="AB28" i="5" a="1"/>
  <c r="AB28" i="5" s="1"/>
  <c r="AC21" i="5" a="1"/>
  <c r="AC21" i="5" s="1"/>
  <c r="C21" i="6"/>
  <c r="AC158" i="5" a="1"/>
  <c r="AC158" i="5" s="1"/>
  <c r="C158" i="6"/>
  <c r="O158" i="5"/>
  <c r="AB94" i="5" a="1"/>
  <c r="AB94" i="5" s="1"/>
  <c r="AC94" i="5" a="1"/>
  <c r="AC94" i="5" s="1"/>
  <c r="C94" i="6"/>
  <c r="O94" i="5"/>
  <c r="C31" i="6"/>
  <c r="AC31" i="5" a="1"/>
  <c r="AC31" i="5" s="1"/>
  <c r="C190" i="12"/>
  <c r="AO190" i="12" a="1"/>
  <c r="AO190" i="12" s="1"/>
  <c r="M190" i="12" a="1"/>
  <c r="M190" i="12" s="1"/>
  <c r="O190" i="12" a="1"/>
  <c r="O190" i="12" s="1"/>
  <c r="AB81" i="5" a="1"/>
  <c r="AB81" i="5" s="1"/>
  <c r="D112" i="12"/>
  <c r="E112" i="6"/>
  <c r="AB54" i="5" a="1"/>
  <c r="AB54" i="5" s="1"/>
  <c r="O169" i="12" a="1"/>
  <c r="O169" i="12" s="1"/>
  <c r="M169" i="12" a="1"/>
  <c r="M169" i="12" s="1"/>
  <c r="C169" i="12"/>
  <c r="AO169" i="12" a="1"/>
  <c r="AO169" i="12" s="1"/>
  <c r="AC65" i="5" a="1"/>
  <c r="AC65" i="5" s="1"/>
  <c r="C65" i="6"/>
  <c r="O65" i="5"/>
  <c r="AC101" i="5" a="1"/>
  <c r="AC101" i="5" s="1"/>
  <c r="C101" i="6"/>
  <c r="O101" i="5"/>
  <c r="O167" i="12" a="1"/>
  <c r="O167" i="12" s="1"/>
  <c r="M167" i="12" a="1"/>
  <c r="M167" i="12" s="1"/>
  <c r="C167" i="12"/>
  <c r="AO167" i="12" a="1"/>
  <c r="AO167" i="12" s="1"/>
  <c r="AC139" i="5" a="1"/>
  <c r="AC139" i="5" s="1"/>
  <c r="C139" i="6"/>
  <c r="C139" i="12"/>
  <c r="O139" i="12" a="1"/>
  <c r="O139" i="12" s="1"/>
  <c r="M139" i="12" a="1"/>
  <c r="M139" i="12" s="1"/>
  <c r="AO139" i="12" a="1"/>
  <c r="AO139" i="12" s="1"/>
  <c r="Y139" i="12" s="1"/>
  <c r="AC188" i="5" a="1"/>
  <c r="AC188" i="5" s="1"/>
  <c r="C188" i="6"/>
  <c r="O188" i="5"/>
  <c r="O188" i="12" a="1"/>
  <c r="O188" i="12" s="1"/>
  <c r="C188" i="12"/>
  <c r="AO188" i="12" a="1"/>
  <c r="AO188" i="12" s="1"/>
  <c r="Y188" i="12" s="1"/>
  <c r="M188" i="12" a="1"/>
  <c r="M188" i="12" s="1"/>
  <c r="M19" i="12" a="1"/>
  <c r="M19" i="12" s="1"/>
  <c r="AO19" i="12" a="1"/>
  <c r="AO19" i="12" s="1"/>
  <c r="O19" i="12" a="1"/>
  <c r="O19" i="12" s="1"/>
  <c r="N19" i="12" s="1"/>
  <c r="C19" i="12"/>
  <c r="AC77" i="5" a="1"/>
  <c r="AC77" i="5" s="1"/>
  <c r="C77" i="6"/>
  <c r="O77" i="5"/>
  <c r="M77" i="12" a="1"/>
  <c r="M77" i="12" s="1"/>
  <c r="AO77" i="12" a="1"/>
  <c r="AO77" i="12" s="1"/>
  <c r="O77" i="12" a="1"/>
  <c r="O77" i="12" s="1"/>
  <c r="N77" i="12" s="1"/>
  <c r="C77" i="12"/>
  <c r="O161" i="12" a="1"/>
  <c r="O161" i="12" s="1"/>
  <c r="C161" i="12"/>
  <c r="AO161" i="12" a="1"/>
  <c r="AO161" i="12" s="1"/>
  <c r="Y161" i="12" s="1"/>
  <c r="M161" i="12" a="1"/>
  <c r="M161" i="12" s="1"/>
  <c r="AC100" i="5" a="1"/>
  <c r="AC100" i="5" s="1"/>
  <c r="C100" i="6"/>
  <c r="O100" i="5"/>
  <c r="M146" i="12" a="1"/>
  <c r="M146" i="12" s="1"/>
  <c r="O146" i="12" a="1"/>
  <c r="O146" i="12" s="1"/>
  <c r="AO146" i="12" a="1"/>
  <c r="AO146" i="12" s="1"/>
  <c r="C146" i="12"/>
  <c r="AB146" i="5" a="1"/>
  <c r="AB146" i="5" s="1"/>
  <c r="AO160" i="12" a="1"/>
  <c r="AO160" i="12" s="1"/>
  <c r="M160" i="12" a="1"/>
  <c r="M160" i="12" s="1"/>
  <c r="O160" i="12" a="1"/>
  <c r="O160" i="12" s="1"/>
  <c r="N160" i="12" s="1"/>
  <c r="C160" i="12"/>
  <c r="AB30" i="5" a="1"/>
  <c r="AB30" i="5" s="1"/>
  <c r="AC25" i="5" a="1"/>
  <c r="AC25" i="5" s="1"/>
  <c r="C25" i="6"/>
  <c r="O25" i="5"/>
  <c r="AM98" i="5"/>
  <c r="I98" i="12"/>
  <c r="L98" i="5"/>
  <c r="S53" i="8"/>
  <c r="Z98" i="5"/>
  <c r="AC99" i="5" a="1"/>
  <c r="AC99" i="5" s="1"/>
  <c r="C99" i="6"/>
  <c r="O99" i="5"/>
  <c r="M46" i="12" a="1"/>
  <c r="M46" i="12" s="1"/>
  <c r="O46" i="12" a="1"/>
  <c r="O46" i="12" s="1"/>
  <c r="C46" i="12"/>
  <c r="AO46" i="12" a="1"/>
  <c r="AO46" i="12" s="1"/>
  <c r="Y46" i="12" s="1"/>
  <c r="AC46" i="5" a="1"/>
  <c r="AC46" i="5" s="1"/>
  <c r="C46" i="6"/>
  <c r="O46" i="5"/>
  <c r="C80" i="6"/>
  <c r="O80" i="5"/>
  <c r="AC80" i="5" a="1"/>
  <c r="AC80" i="5" s="1"/>
  <c r="O29" i="12" a="1"/>
  <c r="O29" i="12" s="1"/>
  <c r="C29" i="12"/>
  <c r="AO29" i="12" a="1"/>
  <c r="AO29" i="12" s="1"/>
  <c r="Y29" i="12" s="1"/>
  <c r="M29" i="12" a="1"/>
  <c r="M29" i="12" s="1"/>
  <c r="AB47" i="5" a="1"/>
  <c r="AB47" i="5" s="1"/>
  <c r="AC102" i="5" a="1"/>
  <c r="AC102" i="5" s="1"/>
  <c r="C102" i="6"/>
  <c r="O102" i="5"/>
  <c r="O102" i="12" a="1"/>
  <c r="O102" i="12" s="1"/>
  <c r="N102" i="12" s="1"/>
  <c r="M102" i="12" a="1"/>
  <c r="M102" i="12" s="1"/>
  <c r="AO102" i="12" a="1"/>
  <c r="AO102" i="12" s="1"/>
  <c r="Y102" i="12" s="1"/>
  <c r="C102" i="12"/>
  <c r="AC89" i="5" a="1"/>
  <c r="AC89" i="5" s="1"/>
  <c r="C89" i="6"/>
  <c r="O89" i="5"/>
  <c r="AB121" i="5" a="1"/>
  <c r="AB121" i="5" s="1"/>
  <c r="AO163" i="12" a="1"/>
  <c r="AO163" i="12" s="1"/>
  <c r="O163" i="12" a="1"/>
  <c r="O163" i="12" s="1"/>
  <c r="C163" i="12"/>
  <c r="M163" i="12" a="1"/>
  <c r="M163" i="12" s="1"/>
  <c r="AM51" i="5"/>
  <c r="L51" i="5"/>
  <c r="S38" i="8"/>
  <c r="I51" i="12"/>
  <c r="Z51" i="5"/>
  <c r="AC52" i="5" a="1"/>
  <c r="AC52" i="5" s="1"/>
  <c r="O52" i="5"/>
  <c r="C52" i="6"/>
  <c r="AB52" i="5" a="1"/>
  <c r="AB52" i="5" s="1"/>
  <c r="AB35" i="5" a="1"/>
  <c r="AB35" i="5" s="1"/>
  <c r="AB73" i="5" a="1"/>
  <c r="AB73" i="5" s="1"/>
  <c r="AC132" i="5" a="1"/>
  <c r="AC132" i="5" s="1"/>
  <c r="C132" i="6"/>
  <c r="O132" i="5"/>
  <c r="C117" i="6"/>
  <c r="O117" i="5"/>
  <c r="AC117" i="5" a="1"/>
  <c r="AC117" i="5" s="1"/>
  <c r="C159" i="12"/>
  <c r="AO159" i="12" a="1"/>
  <c r="AO159" i="12" s="1"/>
  <c r="M159" i="12" a="1"/>
  <c r="M159" i="12" s="1"/>
  <c r="O159" i="12" a="1"/>
  <c r="O159" i="12" s="1"/>
  <c r="N159" i="12" s="1"/>
  <c r="I153" i="5"/>
  <c r="O153" i="5" s="1"/>
  <c r="O153" i="12" a="1"/>
  <c r="O153" i="12" s="1"/>
  <c r="C153" i="12"/>
  <c r="M153" i="12" a="1"/>
  <c r="M153" i="12" s="1"/>
  <c r="N153" i="12" s="1"/>
  <c r="AO153" i="12" a="1"/>
  <c r="AO153" i="12" s="1"/>
  <c r="AC153" i="5" a="1"/>
  <c r="AC153" i="5" s="1"/>
  <c r="C153" i="6"/>
  <c r="AC88" i="5" a="1"/>
  <c r="AC88" i="5" s="1"/>
  <c r="O88" i="5"/>
  <c r="C88" i="6"/>
  <c r="O88" i="12" a="1"/>
  <c r="O88" i="12" s="1"/>
  <c r="AO88" i="12" a="1"/>
  <c r="AO88" i="12" s="1"/>
  <c r="Y88" i="12" s="1"/>
  <c r="M88" i="12" a="1"/>
  <c r="M88" i="12" s="1"/>
  <c r="C88" i="12"/>
  <c r="AC20" i="5" a="1"/>
  <c r="AC20" i="5" s="1"/>
  <c r="C20" i="6"/>
  <c r="O20" i="5"/>
  <c r="AO108" i="12" a="1"/>
  <c r="AO108" i="12" s="1"/>
  <c r="M108" i="12" a="1"/>
  <c r="M108" i="12" s="1"/>
  <c r="C108" i="12"/>
  <c r="O108" i="12" a="1"/>
  <c r="O108" i="12" s="1"/>
  <c r="AC108" i="5" a="1"/>
  <c r="AC108" i="5" s="1"/>
  <c r="C108" i="6"/>
  <c r="AB113" i="5" a="1"/>
  <c r="AB113" i="5" s="1"/>
  <c r="AB111" i="5" s="1" a="1"/>
  <c r="AB111" i="5" s="1"/>
  <c r="AC113" i="5" a="1"/>
  <c r="AC113" i="5" s="1"/>
  <c r="C113" i="6"/>
  <c r="AB119" i="5" a="1"/>
  <c r="AB119" i="5" s="1"/>
  <c r="O119" i="12" a="1"/>
  <c r="O119" i="12" s="1"/>
  <c r="C119" i="12"/>
  <c r="M119" i="12" a="1"/>
  <c r="M119" i="12" s="1"/>
  <c r="AO119" i="12" a="1"/>
  <c r="AO119" i="12" s="1"/>
  <c r="C123" i="12"/>
  <c r="AO123" i="12" a="1"/>
  <c r="AO123" i="12" s="1"/>
  <c r="O123" i="12" a="1"/>
  <c r="O123" i="12" s="1"/>
  <c r="M123" i="12" a="1"/>
  <c r="M123" i="12" s="1"/>
  <c r="C140" i="6"/>
  <c r="AC140" i="5" a="1"/>
  <c r="AC140" i="5" s="1"/>
  <c r="AB140" i="5" a="1"/>
  <c r="AB140" i="5" s="1"/>
  <c r="O78" i="12" a="1"/>
  <c r="O78" i="12" s="1"/>
  <c r="M78" i="12" a="1"/>
  <c r="M78" i="12" s="1"/>
  <c r="N78" i="12" s="1"/>
  <c r="AO78" i="12" a="1"/>
  <c r="AO78" i="12" s="1"/>
  <c r="Y78" i="12" s="1"/>
  <c r="C78" i="12"/>
  <c r="AB127" i="5" a="1"/>
  <c r="AB127" i="5" s="1"/>
  <c r="AO162" i="12" a="1"/>
  <c r="AO162" i="12" s="1"/>
  <c r="M162" i="12" a="1"/>
  <c r="M162" i="12" s="1"/>
  <c r="O162" i="12" a="1"/>
  <c r="O162" i="12" s="1"/>
  <c r="C162" i="12"/>
  <c r="AO50" i="12" a="1"/>
  <c r="AO50" i="12" s="1"/>
  <c r="O50" i="12" a="1"/>
  <c r="O50" i="12" s="1"/>
  <c r="M50" i="12" a="1"/>
  <c r="M50" i="12" s="1"/>
  <c r="C50" i="12"/>
  <c r="AB50" i="5" a="1"/>
  <c r="AB50" i="5" s="1"/>
  <c r="AB97" i="5" a="1"/>
  <c r="AB97" i="5" s="1"/>
  <c r="C97" i="12"/>
  <c r="O97" i="12" a="1"/>
  <c r="O97" i="12" s="1"/>
  <c r="M97" i="12" a="1"/>
  <c r="M97" i="12" s="1"/>
  <c r="AO97" i="12" a="1"/>
  <c r="AO97" i="12" s="1"/>
  <c r="Y97" i="12" s="1"/>
  <c r="Y157" i="12"/>
  <c r="N157" i="12"/>
  <c r="AC61" i="5" a="1"/>
  <c r="AC61" i="5" s="1"/>
  <c r="C61" i="6"/>
  <c r="O61" i="5"/>
  <c r="AB144" i="5" a="1"/>
  <c r="AB144" i="5" s="1"/>
  <c r="C144" i="12"/>
  <c r="AO144" i="12" a="1"/>
  <c r="AO144" i="12" s="1"/>
  <c r="O144" i="12" a="1"/>
  <c r="O144" i="12" s="1"/>
  <c r="M144" i="12" a="1"/>
  <c r="M144" i="12" s="1"/>
  <c r="C58" i="12"/>
  <c r="M58" i="12" a="1"/>
  <c r="M58" i="12" s="1"/>
  <c r="AO58" i="12" a="1"/>
  <c r="AO58" i="12" s="1"/>
  <c r="O58" i="12" a="1"/>
  <c r="O58" i="12" s="1"/>
  <c r="N58" i="12" s="1"/>
  <c r="AC58" i="5" a="1"/>
  <c r="AC58" i="5" s="1"/>
  <c r="C58" i="6"/>
  <c r="O58" i="5"/>
  <c r="AB48" i="5" a="1"/>
  <c r="AB48" i="5" s="1"/>
  <c r="AC48" i="5" a="1"/>
  <c r="AC48" i="5" s="1"/>
  <c r="O48" i="5"/>
  <c r="C48" i="6"/>
  <c r="AC118" i="5" a="1"/>
  <c r="AC118" i="5" s="1"/>
  <c r="C118" i="6"/>
  <c r="O118" i="5"/>
  <c r="Y82" i="12"/>
  <c r="X155" i="5" a="1"/>
  <c r="X155" i="5" s="1"/>
  <c r="O71" i="12" a="1"/>
  <c r="O71" i="12" s="1"/>
  <c r="M71" i="12" a="1"/>
  <c r="M71" i="12" s="1"/>
  <c r="C71" i="12"/>
  <c r="AO71" i="12" a="1"/>
  <c r="AO71" i="12" s="1"/>
  <c r="O69" i="12" a="1"/>
  <c r="O69" i="12" s="1"/>
  <c r="AO69" i="12" a="1"/>
  <c r="AO69" i="12" s="1"/>
  <c r="M69" i="12" a="1"/>
  <c r="M69" i="12" s="1"/>
  <c r="C69" i="12"/>
  <c r="AO23" i="12" a="1"/>
  <c r="AO23" i="12" s="1"/>
  <c r="O23" i="12" a="1"/>
  <c r="O23" i="12" s="1"/>
  <c r="C23" i="12"/>
  <c r="M23" i="12" a="1"/>
  <c r="M23" i="12" s="1"/>
  <c r="AC85" i="5" a="1"/>
  <c r="AC85" i="5" s="1"/>
  <c r="C85" i="6"/>
  <c r="O85" i="5"/>
  <c r="X37" i="12" a="1"/>
  <c r="X37" i="12" s="1"/>
  <c r="W37" i="12" a="1"/>
  <c r="W37" i="12" s="1"/>
  <c r="Y112" i="12"/>
  <c r="E63" i="6"/>
  <c r="D63" i="12"/>
  <c r="AC90" i="5" a="1"/>
  <c r="AC90" i="5" s="1"/>
  <c r="C90" i="6"/>
  <c r="AC164" i="5" a="1"/>
  <c r="AC164" i="5" s="1"/>
  <c r="C164" i="6"/>
  <c r="O164" i="5"/>
  <c r="AC62" i="5" a="1"/>
  <c r="AC62" i="5" s="1"/>
  <c r="C62" i="6"/>
  <c r="O62" i="5"/>
  <c r="S59" i="8"/>
  <c r="L109" i="5"/>
  <c r="I109" i="12"/>
  <c r="AM109" i="5"/>
  <c r="Z109" i="5"/>
  <c r="AC110" i="5" a="1"/>
  <c r="AC110" i="5" s="1"/>
  <c r="C110" i="6"/>
  <c r="O110" i="5"/>
  <c r="M95" i="12" a="1"/>
  <c r="M95" i="12" s="1"/>
  <c r="AO95" i="12" a="1"/>
  <c r="AO95" i="12" s="1"/>
  <c r="C95" i="12"/>
  <c r="O95" i="12" a="1"/>
  <c r="O95" i="12" s="1"/>
  <c r="AO138" i="12" a="1"/>
  <c r="AO138" i="12" s="1"/>
  <c r="C138" i="12"/>
  <c r="M138" i="12" a="1"/>
  <c r="M138" i="12" s="1"/>
  <c r="O138" i="12" a="1"/>
  <c r="O138" i="12" s="1"/>
  <c r="AC104" i="5" a="1"/>
  <c r="AC104" i="5" s="1"/>
  <c r="C104" i="6"/>
  <c r="O104" i="5"/>
  <c r="AB104" i="5" a="1"/>
  <c r="AB104" i="5" s="1"/>
  <c r="Z44" i="5"/>
  <c r="I44" i="12"/>
  <c r="S35" i="8"/>
  <c r="L44" i="5"/>
  <c r="AM44" i="5"/>
  <c r="AO45" i="12" a="1"/>
  <c r="AO45" i="12" s="1"/>
  <c r="C45" i="12"/>
  <c r="M45" i="12" a="1"/>
  <c r="M45" i="12" s="1"/>
  <c r="O45" i="12" a="1"/>
  <c r="O45" i="12" s="1"/>
  <c r="AC45" i="5" a="1"/>
  <c r="AC45" i="5" s="1"/>
  <c r="C45" i="6"/>
  <c r="O45" i="5"/>
  <c r="AC122" i="5" a="1"/>
  <c r="AC122" i="5" s="1"/>
  <c r="C122" i="6"/>
  <c r="O122" i="5"/>
  <c r="AB40" i="5" a="1"/>
  <c r="AB40" i="5" s="1"/>
  <c r="AC40" i="5" a="1"/>
  <c r="AC40" i="5" s="1"/>
  <c r="C40" i="6"/>
  <c r="O40" i="5"/>
  <c r="D50" i="12"/>
  <c r="E50" i="6"/>
  <c r="AB49" i="5" a="1"/>
  <c r="AB49" i="5" s="1"/>
  <c r="AO49" i="12" a="1"/>
  <c r="AO49" i="12" s="1"/>
  <c r="M49" i="12" a="1"/>
  <c r="M49" i="12" s="1"/>
  <c r="C49" i="12"/>
  <c r="O49" i="12" a="1"/>
  <c r="O49" i="12" s="1"/>
  <c r="N49" i="12" s="1"/>
  <c r="AB103" i="5" a="1"/>
  <c r="AB103" i="5" s="1"/>
  <c r="AC103" i="5" a="1"/>
  <c r="AC103" i="5" s="1"/>
  <c r="C103" i="6"/>
  <c r="O103" i="5"/>
  <c r="AB63" i="5" a="1"/>
  <c r="AB63" i="5" s="1"/>
  <c r="AC115" i="5" a="1"/>
  <c r="AC115" i="5" s="1"/>
  <c r="C115" i="6"/>
  <c r="O115" i="5"/>
  <c r="AB115" i="5" a="1"/>
  <c r="AB115" i="5" s="1"/>
  <c r="AB34" i="5" a="1"/>
  <c r="AB34" i="5" s="1"/>
  <c r="AO56" i="12" a="1"/>
  <c r="AO56" i="12" s="1"/>
  <c r="M56" i="12" a="1"/>
  <c r="M56" i="12" s="1"/>
  <c r="C56" i="12"/>
  <c r="O56" i="12" a="1"/>
  <c r="O56" i="12" s="1"/>
  <c r="AC56" i="5" a="1"/>
  <c r="AC56" i="5" s="1"/>
  <c r="C56" i="6"/>
  <c r="O56" i="5"/>
  <c r="E190" i="6"/>
  <c r="D190" i="12"/>
  <c r="AC128" i="5" a="1"/>
  <c r="AC128" i="5" s="1"/>
  <c r="C128" i="6"/>
  <c r="O128" i="5"/>
  <c r="O128" i="12" a="1"/>
  <c r="O128" i="12" s="1"/>
  <c r="C128" i="12"/>
  <c r="M128" i="12" a="1"/>
  <c r="M128" i="12" s="1"/>
  <c r="N128" i="12" s="1"/>
  <c r="AO128" i="12" a="1"/>
  <c r="AO128" i="12" s="1"/>
  <c r="AO143" i="12" a="1"/>
  <c r="AO143" i="12" s="1"/>
  <c r="O143" i="12" a="1"/>
  <c r="O143" i="12" s="1"/>
  <c r="M143" i="12" a="1"/>
  <c r="M143" i="12" s="1"/>
  <c r="M141" i="12" s="1" a="1"/>
  <c r="M141" i="12" s="1"/>
  <c r="C143" i="12"/>
  <c r="AC143" i="5" a="1"/>
  <c r="AC143" i="5" s="1"/>
  <c r="C143" i="6"/>
  <c r="O143" i="5"/>
  <c r="H33" i="8" a="1"/>
  <c r="H33" i="8" s="1"/>
  <c r="H32" i="8" a="1"/>
  <c r="H32" i="8" s="1"/>
  <c r="J33" i="8" s="1"/>
  <c r="AA32" i="8" a="1"/>
  <c r="AA32" i="8" s="1"/>
  <c r="X32" i="8" a="1"/>
  <c r="X32" i="8" s="1"/>
  <c r="G32" i="8"/>
  <c r="W32" i="8" a="1"/>
  <c r="W32" i="8" s="1"/>
  <c r="Y32" i="8" a="1"/>
  <c r="Y32" i="8" s="1"/>
  <c r="AF32" i="8" a="1"/>
  <c r="AF32" i="8" s="1"/>
  <c r="V32" i="8" a="1"/>
  <c r="V32" i="8" s="1"/>
  <c r="AE32" i="8" a="1"/>
  <c r="AE32" i="8" s="1"/>
  <c r="AB32" i="8" a="1"/>
  <c r="AB32" i="8" s="1"/>
  <c r="U32" i="8" a="1"/>
  <c r="U32" i="8" s="1"/>
  <c r="AD32" i="8" a="1"/>
  <c r="AD32" i="8" s="1"/>
  <c r="Z32" i="8" a="1"/>
  <c r="Z32" i="8" s="1"/>
  <c r="E32" i="8" a="1"/>
  <c r="E32" i="8" s="1"/>
  <c r="D32" i="8"/>
  <c r="AC32" i="8" a="1"/>
  <c r="AC32" i="8" s="1"/>
  <c r="L42" i="12" a="1"/>
  <c r="L42" i="12" s="1"/>
  <c r="J42" i="12" a="1"/>
  <c r="J42" i="12" s="1"/>
  <c r="C42" i="12"/>
  <c r="AC39" i="5" a="1"/>
  <c r="AC39" i="5" s="1"/>
  <c r="O39" i="5"/>
  <c r="C39" i="6"/>
  <c r="AC125" i="5" a="1"/>
  <c r="AC125" i="5" s="1"/>
  <c r="C125" i="6"/>
  <c r="O125" i="5"/>
  <c r="AB120" i="5" a="1"/>
  <c r="AB120" i="5" s="1"/>
  <c r="AO120" i="12" a="1"/>
  <c r="AO120" i="12" s="1"/>
  <c r="C120" i="12"/>
  <c r="M120" i="12" a="1"/>
  <c r="M120" i="12" s="1"/>
  <c r="O120" i="12" a="1"/>
  <c r="O120" i="12" s="1"/>
  <c r="O96" i="12" a="1"/>
  <c r="O96" i="12" s="1"/>
  <c r="N96" i="12" s="1"/>
  <c r="M96" i="12" a="1"/>
  <c r="M96" i="12" s="1"/>
  <c r="AO96" i="12" a="1"/>
  <c r="AO96" i="12" s="1"/>
  <c r="Y96" i="12" s="1"/>
  <c r="C96" i="12"/>
  <c r="AB147" i="5" a="1"/>
  <c r="AB147" i="5" s="1"/>
  <c r="AB133" i="5" a="1"/>
  <c r="AB133" i="5" s="1"/>
  <c r="AB116" i="5" a="1"/>
  <c r="AB116" i="5" s="1"/>
  <c r="M60" i="12" a="1"/>
  <c r="M60" i="12" s="1"/>
  <c r="AO60" i="12" a="1"/>
  <c r="AO60" i="12" s="1"/>
  <c r="Y60" i="12" s="1"/>
  <c r="O60" i="12" a="1"/>
  <c r="O60" i="12" s="1"/>
  <c r="N60" i="12" s="1"/>
  <c r="C60" i="12"/>
  <c r="AC93" i="5" a="1"/>
  <c r="AC93" i="5" s="1"/>
  <c r="C93" i="6"/>
  <c r="O93" i="5"/>
  <c r="N142" i="12"/>
  <c r="AB189" i="5" a="1"/>
  <c r="AB189" i="5" s="1"/>
  <c r="AC130" i="5" a="1"/>
  <c r="AC130" i="5" s="1"/>
  <c r="C130" i="6"/>
  <c r="O130" i="5"/>
  <c r="O92" i="12" a="1"/>
  <c r="O92" i="12" s="1"/>
  <c r="M92" i="12" a="1"/>
  <c r="M92" i="12" s="1"/>
  <c r="AO92" i="12" a="1"/>
  <c r="AO92" i="12" s="1"/>
  <c r="C92" i="12"/>
  <c r="AC134" i="5" a="1"/>
  <c r="AC134" i="5" s="1"/>
  <c r="C134" i="6"/>
  <c r="O134" i="5"/>
  <c r="AC129" i="5" a="1"/>
  <c r="AC129" i="5" s="1"/>
  <c r="C129" i="6"/>
  <c r="O129" i="5"/>
  <c r="AB152" i="5" a="1"/>
  <c r="AB152" i="5" s="1"/>
  <c r="M152" i="12" a="1"/>
  <c r="M152" i="12" s="1"/>
  <c r="AO152" i="12" a="1"/>
  <c r="AO152" i="12" s="1"/>
  <c r="O152" i="12" a="1"/>
  <c r="O152" i="12" s="1"/>
  <c r="N152" i="12" s="1"/>
  <c r="C152" i="12"/>
  <c r="O54" i="12" a="1"/>
  <c r="O54" i="12" s="1"/>
  <c r="AO54" i="12" a="1"/>
  <c r="AO54" i="12" s="1"/>
  <c r="C54" i="12"/>
  <c r="M54" i="12" a="1"/>
  <c r="M54" i="12" s="1"/>
  <c r="O67" i="5"/>
  <c r="C70" i="12"/>
  <c r="O70" i="12" a="1"/>
  <c r="O70" i="12" s="1"/>
  <c r="M70" i="12" a="1"/>
  <c r="M70" i="12" s="1"/>
  <c r="AO70" i="12" a="1"/>
  <c r="AO70" i="12" s="1"/>
  <c r="Y70" i="12" s="1"/>
  <c r="AB101" i="5" a="1"/>
  <c r="AB101" i="5" s="1"/>
  <c r="AB167" i="5" a="1"/>
  <c r="AB167" i="5" s="1"/>
  <c r="AC136" i="5" a="1"/>
  <c r="AC136" i="5" s="1"/>
  <c r="C136" i="6"/>
  <c r="AB66" i="5" a="1"/>
  <c r="AB66" i="5" s="1"/>
  <c r="E152" i="6"/>
  <c r="D152" i="12"/>
  <c r="AC160" i="5" a="1"/>
  <c r="AC160" i="5" s="1"/>
  <c r="C160" i="6"/>
  <c r="O160" i="5"/>
  <c r="C30" i="6"/>
  <c r="O30" i="5"/>
  <c r="AC30" i="5" a="1"/>
  <c r="AC30" i="5" s="1"/>
  <c r="M25" i="12" a="1"/>
  <c r="M25" i="12" s="1"/>
  <c r="AO25" i="12" a="1"/>
  <c r="AO25" i="12" s="1"/>
  <c r="C25" i="12"/>
  <c r="O25" i="12" a="1"/>
  <c r="O25" i="12" s="1"/>
  <c r="C26" i="12"/>
  <c r="M26" i="12" a="1"/>
  <c r="M26" i="12" s="1"/>
  <c r="AO26" i="12" a="1"/>
  <c r="AO26" i="12" s="1"/>
  <c r="O26" i="12" a="1"/>
  <c r="O26" i="12" s="1"/>
  <c r="N26" i="12" s="1"/>
  <c r="C106" i="12"/>
  <c r="M106" i="12" a="1"/>
  <c r="M106" i="12" s="1"/>
  <c r="O106" i="12" a="1"/>
  <c r="O106" i="12" s="1"/>
  <c r="AO106" i="12" a="1"/>
  <c r="AO106" i="12" s="1"/>
  <c r="AC106" i="5" a="1"/>
  <c r="AC106" i="5" s="1"/>
  <c r="C106" i="6"/>
  <c r="O106" i="5"/>
  <c r="C150" i="12"/>
  <c r="AO150" i="12" a="1"/>
  <c r="AO150" i="12" s="1"/>
  <c r="O150" i="12" a="1"/>
  <c r="O150" i="12" s="1"/>
  <c r="M150" i="12" a="1"/>
  <c r="M150" i="12" s="1"/>
  <c r="AC150" i="5" a="1"/>
  <c r="AC150" i="5" s="1"/>
  <c r="C150" i="6"/>
  <c r="O150" i="5"/>
  <c r="C80" i="12"/>
  <c r="AO80" i="12" a="1"/>
  <c r="AO80" i="12" s="1"/>
  <c r="O80" i="12" a="1"/>
  <c r="O80" i="12" s="1"/>
  <c r="M80" i="12" a="1"/>
  <c r="M80" i="12" s="1"/>
  <c r="AB29" i="5" a="1"/>
  <c r="AB29" i="5" s="1"/>
  <c r="AC47" i="5" a="1"/>
  <c r="AC47" i="5" s="1"/>
  <c r="C47" i="6"/>
  <c r="O47" i="5"/>
  <c r="AC163" i="5" a="1"/>
  <c r="AC163" i="5" s="1"/>
  <c r="C163" i="6"/>
  <c r="O163" i="5"/>
  <c r="AB71" i="5" a="1"/>
  <c r="AB71" i="5" s="1"/>
  <c r="AB69" i="5" a="1"/>
  <c r="AB69" i="5" s="1"/>
  <c r="Z22" i="5"/>
  <c r="I22" i="12"/>
  <c r="L22" i="5"/>
  <c r="S20" i="8"/>
  <c r="AM22" i="5"/>
  <c r="AC23" i="5" a="1"/>
  <c r="AC23" i="5" s="1"/>
  <c r="O23" i="5"/>
  <c r="C23" i="6"/>
  <c r="AB85" i="5" a="1"/>
  <c r="AB85" i="5" s="1"/>
  <c r="AB137" i="5" a="1"/>
  <c r="AB137" i="5" s="1"/>
  <c r="AB151" i="5" a="1"/>
  <c r="AB151" i="5" s="1"/>
  <c r="AC151" i="5" a="1"/>
  <c r="AC151" i="5" s="1"/>
  <c r="C151" i="6"/>
  <c r="O151" i="5"/>
  <c r="AC131" i="5" a="1"/>
  <c r="AC131" i="5" s="1"/>
  <c r="C131" i="6"/>
  <c r="O131" i="5"/>
  <c r="C149" i="12"/>
  <c r="AO149" i="12" a="1"/>
  <c r="AO149" i="12" s="1"/>
  <c r="M149" i="12" a="1"/>
  <c r="M149" i="12" s="1"/>
  <c r="O149" i="12" a="1"/>
  <c r="O149" i="12" s="1"/>
  <c r="AB149" i="5" a="1"/>
  <c r="AB149" i="5" s="1"/>
  <c r="AO59" i="12" a="1"/>
  <c r="AO59" i="12" s="1"/>
  <c r="O59" i="12" a="1"/>
  <c r="O59" i="12" s="1"/>
  <c r="C59" i="12"/>
  <c r="M59" i="12" a="1"/>
  <c r="M59" i="12" s="1"/>
  <c r="AB53" i="5" a="1"/>
  <c r="AB53" i="5" s="1"/>
  <c r="AB90" i="5" a="1"/>
  <c r="AB90" i="5" s="1"/>
  <c r="AB164" i="5" a="1"/>
  <c r="AB164" i="5" s="1"/>
  <c r="AO164" i="12" a="1"/>
  <c r="AO164" i="12" s="1"/>
  <c r="C164" i="12"/>
  <c r="O164" i="12" a="1"/>
  <c r="O164" i="12" s="1"/>
  <c r="M164" i="12" a="1"/>
  <c r="M164" i="12" s="1"/>
  <c r="I68" i="5"/>
  <c r="I69" i="5" s="1"/>
  <c r="I70" i="5" s="1"/>
  <c r="AC68" i="5" a="1"/>
  <c r="AC68" i="5" s="1"/>
  <c r="C68" i="6"/>
  <c r="C62" i="12"/>
  <c r="O62" i="12" a="1"/>
  <c r="O62" i="12" s="1"/>
  <c r="M62" i="12" a="1"/>
  <c r="M62" i="12" s="1"/>
  <c r="AO62" i="12" a="1"/>
  <c r="AO62" i="12" s="1"/>
  <c r="Y62" i="12" s="1"/>
  <c r="AB62" i="5" a="1"/>
  <c r="AB62" i="5" s="1"/>
  <c r="C110" i="12"/>
  <c r="AO110" i="12" a="1"/>
  <c r="AO110" i="12" s="1"/>
  <c r="O110" i="12" a="1"/>
  <c r="O110" i="12" s="1"/>
  <c r="M110" i="12" a="1"/>
  <c r="M110" i="12" s="1"/>
  <c r="M109" i="12" s="1" a="1"/>
  <c r="M109" i="12" s="1"/>
  <c r="AB110" i="5" a="1"/>
  <c r="AB110" i="5" s="1"/>
  <c r="AB109" i="5" s="1" a="1"/>
  <c r="AB109" i="5" s="1"/>
  <c r="AB95" i="5" a="1"/>
  <c r="AB95" i="5" s="1"/>
  <c r="AC95" i="5" a="1"/>
  <c r="AC95" i="5" s="1"/>
  <c r="C95" i="6"/>
  <c r="O95" i="5"/>
  <c r="AC138" i="5" a="1"/>
  <c r="AC138" i="5" s="1"/>
  <c r="C138" i="6"/>
  <c r="AB138" i="5" a="1"/>
  <c r="AB138" i="5" s="1"/>
  <c r="M104" i="12" a="1"/>
  <c r="M104" i="12" s="1"/>
  <c r="C104" i="12"/>
  <c r="AO104" i="12" a="1"/>
  <c r="AO104" i="12" s="1"/>
  <c r="O104" i="12" a="1"/>
  <c r="O104" i="12" s="1"/>
  <c r="AB45" i="5" a="1"/>
  <c r="AB45" i="5" s="1"/>
  <c r="AB122" i="5" a="1"/>
  <c r="AB122" i="5" s="1"/>
  <c r="O122" i="12" a="1"/>
  <c r="O122" i="12" s="1"/>
  <c r="C122" i="12"/>
  <c r="M122" i="12" a="1"/>
  <c r="M122" i="12" s="1"/>
  <c r="AO122" i="12" a="1"/>
  <c r="AO122" i="12" s="1"/>
  <c r="AO40" i="12" a="1"/>
  <c r="AO40" i="12" s="1"/>
  <c r="C40" i="12"/>
  <c r="O40" i="12" a="1"/>
  <c r="O40" i="12" s="1"/>
  <c r="M40" i="12" a="1"/>
  <c r="M40" i="12" s="1"/>
  <c r="AC49" i="5" a="1"/>
  <c r="AC49" i="5" s="1"/>
  <c r="O49" i="5"/>
  <c r="C49" i="6"/>
  <c r="AO103" i="12" a="1"/>
  <c r="AO103" i="12" s="1"/>
  <c r="C103" i="12"/>
  <c r="M103" i="12" a="1"/>
  <c r="M103" i="12" s="1"/>
  <c r="O103" i="12" a="1"/>
  <c r="O103" i="12" s="1"/>
  <c r="N103" i="12" s="1"/>
  <c r="AC63" i="5" a="1"/>
  <c r="AC63" i="5" s="1"/>
  <c r="C63" i="6"/>
  <c r="O63" i="12" a="1"/>
  <c r="O63" i="12" s="1"/>
  <c r="C63" i="12"/>
  <c r="M63" i="12" a="1"/>
  <c r="M63" i="12" s="1"/>
  <c r="AO63" i="12" a="1"/>
  <c r="AO63" i="12" s="1"/>
  <c r="L114" i="5"/>
  <c r="S65" i="8"/>
  <c r="I114" i="12"/>
  <c r="AM114" i="5"/>
  <c r="Z114" i="5"/>
  <c r="C115" i="12"/>
  <c r="AO115" i="12" a="1"/>
  <c r="AO115" i="12" s="1"/>
  <c r="O115" i="12" a="1"/>
  <c r="O115" i="12" s="1"/>
  <c r="M115" i="12" a="1"/>
  <c r="M115" i="12" s="1"/>
  <c r="M34" i="12" a="1"/>
  <c r="M34" i="12" s="1"/>
  <c r="O34" i="12" a="1"/>
  <c r="O34" i="12" s="1"/>
  <c r="AO34" i="12" a="1"/>
  <c r="AO34" i="12" s="1"/>
  <c r="C34" i="12"/>
  <c r="AC34" i="5" a="1"/>
  <c r="AC34" i="5" s="1"/>
  <c r="C34" i="6"/>
  <c r="O34" i="5"/>
  <c r="AB56" i="5" a="1"/>
  <c r="AB56" i="5" s="1"/>
  <c r="E84" i="6"/>
  <c r="D84" i="12"/>
  <c r="AB67" i="5" a="1"/>
  <c r="AB67" i="5" s="1"/>
  <c r="AC187" i="5" a="1"/>
  <c r="AC187" i="5" s="1"/>
  <c r="C187" i="6"/>
  <c r="O187" i="5"/>
  <c r="AM186" i="5"/>
  <c r="I186" i="12"/>
  <c r="Z186" i="5"/>
  <c r="L186" i="5"/>
  <c r="S86" i="8"/>
  <c r="AB128" i="5" a="1"/>
  <c r="AB128" i="5" s="1"/>
  <c r="AB143" i="5" a="1"/>
  <c r="AB143" i="5" s="1"/>
  <c r="O42" i="5"/>
  <c r="AC42" i="5" a="1"/>
  <c r="AC42" i="5" s="1"/>
  <c r="C42" i="6"/>
  <c r="O42" i="12" a="1"/>
  <c r="O42" i="12" s="1"/>
  <c r="N42" i="12" s="1"/>
  <c r="N43" i="12"/>
  <c r="AO42" i="12" a="1"/>
  <c r="AO42" i="12" s="1"/>
  <c r="Y42" i="12" s="1"/>
  <c r="Y43" i="12"/>
  <c r="Y148" i="12"/>
  <c r="N148" i="12"/>
  <c r="O148" i="5"/>
  <c r="M39" i="12" a="1"/>
  <c r="M39" i="12" s="1"/>
  <c r="M38" i="12" s="1" a="1"/>
  <c r="M38" i="12" s="1"/>
  <c r="AO39" i="12" a="1"/>
  <c r="AO39" i="12" s="1"/>
  <c r="O39" i="12" a="1"/>
  <c r="O39" i="12" s="1"/>
  <c r="C39" i="12"/>
  <c r="L38" i="5"/>
  <c r="I38" i="12"/>
  <c r="Z38" i="5"/>
  <c r="AM38" i="5"/>
  <c r="S29" i="8"/>
  <c r="AB39" i="5" a="1"/>
  <c r="AB39" i="5" s="1"/>
  <c r="AB38" i="5" s="1" a="1"/>
  <c r="AB38" i="5" s="1"/>
  <c r="AB125" i="5" a="1"/>
  <c r="AB125" i="5" s="1"/>
  <c r="AC120" i="5" a="1"/>
  <c r="AC120" i="5" s="1"/>
  <c r="C120" i="6"/>
  <c r="O120" i="5"/>
  <c r="AB96" i="5" a="1"/>
  <c r="AB96" i="5" s="1"/>
  <c r="AC96" i="5" a="1"/>
  <c r="AC96" i="5" s="1"/>
  <c r="C96" i="6"/>
  <c r="O96" i="5"/>
  <c r="AC72" i="5" a="1"/>
  <c r="AC72" i="5" s="1"/>
  <c r="C72" i="6"/>
  <c r="AB72" i="5" a="1"/>
  <c r="AB72" i="5" s="1"/>
  <c r="N41" i="12"/>
  <c r="O126" i="12" a="1"/>
  <c r="O126" i="12" s="1"/>
  <c r="M126" i="12" a="1"/>
  <c r="M126" i="12" s="1"/>
  <c r="AO126" i="12" a="1"/>
  <c r="AO126" i="12" s="1"/>
  <c r="Y126" i="12" s="1"/>
  <c r="C126" i="12"/>
  <c r="AB79" i="5" a="1"/>
  <c r="AB79" i="5" s="1"/>
  <c r="AC79" i="5" a="1"/>
  <c r="AC79" i="5" s="1"/>
  <c r="O79" i="5"/>
  <c r="C79" i="6"/>
  <c r="AB36" i="5" a="1"/>
  <c r="AB36" i="5" s="1"/>
  <c r="AC36" i="5" a="1"/>
  <c r="AC36" i="5" s="1"/>
  <c r="C36" i="6"/>
  <c r="O36" i="5"/>
  <c r="I32" i="12"/>
  <c r="S26" i="8"/>
  <c r="AM32" i="5"/>
  <c r="L32" i="5"/>
  <c r="Z32" i="5"/>
  <c r="AC33" i="5" a="1"/>
  <c r="AC33" i="5" s="1"/>
  <c r="C33" i="6"/>
  <c r="O33" i="5"/>
  <c r="AB33" i="5" a="1"/>
  <c r="AB33" i="5" s="1"/>
  <c r="AC147" i="5" a="1"/>
  <c r="AC147" i="5" s="1"/>
  <c r="C147" i="6"/>
  <c r="O147" i="5"/>
  <c r="AB168" i="5" a="1"/>
  <c r="AB168" i="5" s="1"/>
  <c r="AC168" i="5" a="1"/>
  <c r="AC168" i="5" s="1"/>
  <c r="C168" i="6"/>
  <c r="O168" i="5"/>
  <c r="AC133" i="5" a="1"/>
  <c r="AC133" i="5" s="1"/>
  <c r="C133" i="6"/>
  <c r="O133" i="5"/>
  <c r="O107" i="12" a="1"/>
  <c r="O107" i="12" s="1"/>
  <c r="AO107" i="12" a="1"/>
  <c r="AO107" i="12" s="1"/>
  <c r="M107" i="12" a="1"/>
  <c r="M107" i="12" s="1"/>
  <c r="C107" i="12"/>
  <c r="AB107" i="5" a="1"/>
  <c r="AB107" i="5" s="1"/>
  <c r="C116" i="12"/>
  <c r="O116" i="12" a="1"/>
  <c r="O116" i="12" s="1"/>
  <c r="AO116" i="12" a="1"/>
  <c r="AO116" i="12" s="1"/>
  <c r="M116" i="12" a="1"/>
  <c r="M116" i="12" s="1"/>
  <c r="AC60" i="5" a="1"/>
  <c r="AC60" i="5" s="1"/>
  <c r="C60" i="6"/>
  <c r="O60" i="5"/>
  <c r="AO93" i="12" a="1"/>
  <c r="AO93" i="12" s="1"/>
  <c r="M93" i="12" a="1"/>
  <c r="M93" i="12" s="1"/>
  <c r="O93" i="12" a="1"/>
  <c r="O93" i="12" s="1"/>
  <c r="C93" i="12"/>
  <c r="Y142" i="12"/>
  <c r="AO141" i="12" a="1"/>
  <c r="AO141" i="12" s="1"/>
  <c r="O141" i="12" a="1"/>
  <c r="O141" i="12" s="1"/>
  <c r="D142" i="12"/>
  <c r="E142" i="6"/>
  <c r="I17" i="12"/>
  <c r="AM17" i="5"/>
  <c r="Z17" i="5"/>
  <c r="S17" i="8"/>
  <c r="L17" i="5"/>
  <c r="C18" i="12"/>
  <c r="M18" i="12" a="1"/>
  <c r="M18" i="12" s="1"/>
  <c r="O18" i="12" a="1"/>
  <c r="O18" i="12" s="1"/>
  <c r="AO18" i="12" a="1"/>
  <c r="AO18" i="12" s="1"/>
  <c r="AB18" i="5" a="1"/>
  <c r="AB18" i="5" s="1"/>
  <c r="Y135" i="12"/>
  <c r="O189" i="12" a="1"/>
  <c r="O189" i="12" s="1"/>
  <c r="AO189" i="12" a="1"/>
  <c r="AO189" i="12" s="1"/>
  <c r="M189" i="12" a="1"/>
  <c r="M189" i="12" s="1"/>
  <c r="C189" i="12"/>
  <c r="AC57" i="5" a="1"/>
  <c r="AC57" i="5" s="1"/>
  <c r="C57" i="6"/>
  <c r="O57" i="5"/>
  <c r="M55" i="12" a="1"/>
  <c r="M55" i="12" s="1"/>
  <c r="AO55" i="12" a="1"/>
  <c r="AO55" i="12" s="1"/>
  <c r="C55" i="12"/>
  <c r="O55" i="12" a="1"/>
  <c r="O55" i="12" s="1"/>
  <c r="N55" i="12" s="1"/>
  <c r="AB55" i="5" a="1"/>
  <c r="AB55" i="5" s="1"/>
  <c r="AC92" i="5" a="1"/>
  <c r="AC92" i="5" s="1"/>
  <c r="C92" i="6"/>
  <c r="O92" i="5"/>
  <c r="L91" i="5"/>
  <c r="Z91" i="5"/>
  <c r="AM91" i="5"/>
  <c r="I91" i="12"/>
  <c r="S50" i="8"/>
  <c r="AO134" i="12" a="1"/>
  <c r="AO134" i="12" s="1"/>
  <c r="M134" i="12" a="1"/>
  <c r="M134" i="12" s="1"/>
  <c r="C134" i="12"/>
  <c r="O134" i="12" a="1"/>
  <c r="O134" i="12" s="1"/>
  <c r="N134" i="12" s="1"/>
  <c r="AB134" i="5" a="1"/>
  <c r="AB134" i="5" s="1"/>
  <c r="AB76" i="5" a="1"/>
  <c r="AB76" i="5" s="1"/>
  <c r="AB86" i="5" a="1"/>
  <c r="AB86" i="5" s="1"/>
  <c r="M24" i="12" a="1"/>
  <c r="M24" i="12" s="1"/>
  <c r="C24" i="12"/>
  <c r="O24" i="12" a="1"/>
  <c r="O24" i="12" s="1"/>
  <c r="N24" i="12" s="1"/>
  <c r="AO24" i="12" a="1"/>
  <c r="AO24" i="12" s="1"/>
  <c r="Y24" i="12" s="1"/>
  <c r="Z27" i="5"/>
  <c r="I27" i="12"/>
  <c r="S23" i="8"/>
  <c r="AM27" i="5"/>
  <c r="L27" i="5"/>
  <c r="M28" i="12" a="1"/>
  <c r="M28" i="12" s="1"/>
  <c r="AO28" i="12" a="1"/>
  <c r="AO28" i="12" s="1"/>
  <c r="C28" i="12"/>
  <c r="O28" i="12" a="1"/>
  <c r="O28" i="12" s="1"/>
  <c r="C28" i="6"/>
  <c r="O28" i="5"/>
  <c r="AC28" i="5" a="1"/>
  <c r="AC28" i="5" s="1"/>
  <c r="M21" i="12" a="1"/>
  <c r="M21" i="12" s="1"/>
  <c r="AO21" i="12" a="1"/>
  <c r="AO21" i="12" s="1"/>
  <c r="C21" i="12"/>
  <c r="O21" i="12" a="1"/>
  <c r="O21" i="12" s="1"/>
  <c r="N21" i="12" s="1"/>
  <c r="AB21" i="5" a="1"/>
  <c r="AB21" i="5" s="1"/>
  <c r="M158" i="12" a="1"/>
  <c r="M158" i="12" s="1"/>
  <c r="O158" i="12" a="1"/>
  <c r="O158" i="12" s="1"/>
  <c r="C158" i="12"/>
  <c r="AO158" i="12" a="1"/>
  <c r="AO158" i="12" s="1"/>
  <c r="Y158" i="12" s="1"/>
  <c r="AB158" i="5" a="1"/>
  <c r="AB158" i="5" s="1"/>
  <c r="C94" i="12"/>
  <c r="M94" i="12" a="1"/>
  <c r="M94" i="12" s="1"/>
  <c r="AO94" i="12" a="1"/>
  <c r="AO94" i="12" s="1"/>
  <c r="O94" i="12" a="1"/>
  <c r="O94" i="12" s="1"/>
  <c r="N94" i="12" s="1"/>
  <c r="AB31" i="5" a="1"/>
  <c r="AB31" i="5" s="1"/>
  <c r="M31" i="12" a="1"/>
  <c r="M31" i="12" s="1"/>
  <c r="AO31" i="12" a="1"/>
  <c r="AO31" i="12" s="1"/>
  <c r="C31" i="12"/>
  <c r="O31" i="12" a="1"/>
  <c r="O31" i="12" s="1"/>
  <c r="C190" i="6"/>
  <c r="AC190" i="5" a="1"/>
  <c r="AC190" i="5" s="1"/>
  <c r="AB190" i="5" a="1"/>
  <c r="AB190" i="5" s="1"/>
  <c r="M81" i="12" a="1"/>
  <c r="M81" i="12" s="1"/>
  <c r="O81" i="12" a="1"/>
  <c r="O81" i="12" s="1"/>
  <c r="N81" i="12" s="1"/>
  <c r="AO81" i="12" a="1"/>
  <c r="AO81" i="12" s="1"/>
  <c r="C81" i="12"/>
  <c r="AC81" i="5" a="1"/>
  <c r="AC81" i="5" s="1"/>
  <c r="C81" i="6"/>
  <c r="O81" i="5"/>
  <c r="S62" i="8"/>
  <c r="L111" i="5"/>
  <c r="AM111" i="5"/>
  <c r="Z111" i="5"/>
  <c r="I111" i="12"/>
  <c r="AB129" i="5" a="1"/>
  <c r="AB129" i="5" s="1"/>
  <c r="C129" i="12"/>
  <c r="O129" i="12" a="1"/>
  <c r="O129" i="12" s="1"/>
  <c r="M129" i="12" a="1"/>
  <c r="M129" i="12" s="1"/>
  <c r="AO129" i="12" a="1"/>
  <c r="AO129" i="12" s="1"/>
  <c r="Y129" i="12" s="1"/>
  <c r="AC152" i="5" a="1"/>
  <c r="AC152" i="5" s="1"/>
  <c r="C152" i="6"/>
  <c r="AC54" i="5" a="1"/>
  <c r="AC54" i="5" s="1"/>
  <c r="C54" i="6"/>
  <c r="O54" i="5"/>
  <c r="C169" i="6"/>
  <c r="AC169" i="5" a="1"/>
  <c r="AC169" i="5" s="1"/>
  <c r="AB169" i="5" a="1"/>
  <c r="AB169" i="5" s="1"/>
  <c r="AB65" i="5" a="1"/>
  <c r="AB65" i="5" s="1"/>
  <c r="O65" i="12" a="1"/>
  <c r="O65" i="12" s="1"/>
  <c r="M65" i="12" a="1"/>
  <c r="M65" i="12" s="1"/>
  <c r="C65" i="12"/>
  <c r="AO65" i="12" a="1"/>
  <c r="AO65" i="12" s="1"/>
  <c r="AB70" i="5" a="1"/>
  <c r="AB70" i="5" s="1"/>
  <c r="AC70" i="5" a="1"/>
  <c r="AC70" i="5" s="1"/>
  <c r="C70" i="6"/>
  <c r="C101" i="12"/>
  <c r="O101" i="12" a="1"/>
  <c r="O101" i="12" s="1"/>
  <c r="AO101" i="12" a="1"/>
  <c r="AO101" i="12" s="1"/>
  <c r="Y101" i="12" s="1"/>
  <c r="M101" i="12" a="1"/>
  <c r="M101" i="12" s="1"/>
  <c r="I166" i="12"/>
  <c r="Z166" i="5"/>
  <c r="AM166" i="5"/>
  <c r="L166" i="5"/>
  <c r="S80" i="8"/>
  <c r="AC167" i="5" a="1"/>
  <c r="AC167" i="5" s="1"/>
  <c r="C167" i="6"/>
  <c r="O167" i="5"/>
  <c r="O136" i="12" a="1"/>
  <c r="O136" i="12" s="1"/>
  <c r="M136" i="12" a="1"/>
  <c r="M136" i="12" s="1"/>
  <c r="AO136" i="12" a="1"/>
  <c r="AO136" i="12" s="1"/>
  <c r="Y136" i="12" s="1"/>
  <c r="C136" i="12"/>
  <c r="AB136" i="5" a="1"/>
  <c r="AB136" i="5" s="1"/>
  <c r="AB139" i="5" a="1"/>
  <c r="AB139" i="5" s="1"/>
  <c r="C66" i="12"/>
  <c r="AO66" i="12" a="1"/>
  <c r="AO66" i="12" s="1"/>
  <c r="M66" i="12" a="1"/>
  <c r="M66" i="12" s="1"/>
  <c r="O66" i="12" a="1"/>
  <c r="O66" i="12" s="1"/>
  <c r="AC66" i="5" a="1"/>
  <c r="AC66" i="5" s="1"/>
  <c r="C66" i="6"/>
  <c r="O66" i="5"/>
  <c r="AB188" i="5" a="1"/>
  <c r="AB188" i="5" s="1"/>
  <c r="AC19" i="5" a="1"/>
  <c r="AC19" i="5" s="1"/>
  <c r="C19" i="6"/>
  <c r="O19" i="5"/>
  <c r="AB19" i="5" a="1"/>
  <c r="AB19" i="5" s="1"/>
  <c r="AB77" i="5" a="1"/>
  <c r="AB77" i="5" s="1"/>
  <c r="AB161" i="5" a="1"/>
  <c r="AB161" i="5" s="1"/>
  <c r="AC161" i="5" a="1"/>
  <c r="AC161" i="5" s="1"/>
  <c r="C161" i="6"/>
  <c r="O161" i="5"/>
  <c r="AO100" i="12" a="1"/>
  <c r="AO100" i="12" s="1"/>
  <c r="O100" i="12" a="1"/>
  <c r="O100" i="12" s="1"/>
  <c r="C100" i="12"/>
  <c r="M100" i="12" a="1"/>
  <c r="M100" i="12" s="1"/>
  <c r="AB100" i="5" a="1"/>
  <c r="AB100" i="5" s="1"/>
  <c r="Z145" i="5"/>
  <c r="AM145" i="5"/>
  <c r="L145" i="5"/>
  <c r="S71" i="8"/>
  <c r="I145" i="12"/>
  <c r="AC146" i="5" a="1"/>
  <c r="AC146" i="5" s="1"/>
  <c r="O146" i="5"/>
  <c r="C146" i="6"/>
  <c r="AB160" i="5" a="1"/>
  <c r="AB160" i="5" s="1"/>
  <c r="AO30" i="12" a="1"/>
  <c r="AO30" i="12" s="1"/>
  <c r="C30" i="12"/>
  <c r="O30" i="12" a="1"/>
  <c r="O30" i="12" s="1"/>
  <c r="M30" i="12" a="1"/>
  <c r="M30" i="12" s="1"/>
  <c r="AB25" i="5" a="1"/>
  <c r="AB25" i="5" s="1"/>
  <c r="AC26" i="5" a="1"/>
  <c r="AC26" i="5" s="1"/>
  <c r="O26" i="5"/>
  <c r="C26" i="6"/>
  <c r="AB26" i="5" a="1"/>
  <c r="AB26" i="5" s="1"/>
  <c r="S56" i="8"/>
  <c r="I105" i="12"/>
  <c r="AM105" i="5"/>
  <c r="L105" i="5"/>
  <c r="Z105" i="5"/>
  <c r="AB106" i="5" a="1"/>
  <c r="AB106" i="5" s="1"/>
  <c r="AB150" i="5" a="1"/>
  <c r="AB150" i="5" s="1"/>
  <c r="C99" i="12"/>
  <c r="O99" i="12" a="1"/>
  <c r="O99" i="12" s="1"/>
  <c r="AO99" i="12" a="1"/>
  <c r="AO99" i="12" s="1"/>
  <c r="M99" i="12" a="1"/>
  <c r="M99" i="12" s="1"/>
  <c r="M98" i="12" s="1" a="1"/>
  <c r="M98" i="12" s="1"/>
  <c r="AB99" i="5" a="1"/>
  <c r="AB99" i="5" s="1"/>
  <c r="AB46" i="5" a="1"/>
  <c r="AB46" i="5" s="1"/>
  <c r="Y84" i="12"/>
  <c r="N84" i="12"/>
  <c r="S47" i="8"/>
  <c r="AM83" i="5"/>
  <c r="L83" i="5"/>
  <c r="Z83" i="5"/>
  <c r="I83" i="12"/>
  <c r="AB80" i="5" a="1"/>
  <c r="AB80" i="5" s="1"/>
  <c r="C29" i="6"/>
  <c r="O29" i="5"/>
  <c r="AC29" i="5" a="1"/>
  <c r="AC29" i="5" s="1"/>
  <c r="C47" i="12"/>
  <c r="AO47" i="12" a="1"/>
  <c r="AO47" i="12" s="1"/>
  <c r="M47" i="12" a="1"/>
  <c r="M47" i="12" s="1"/>
  <c r="O47" i="12" a="1"/>
  <c r="O47" i="12" s="1"/>
  <c r="AB102" i="5" a="1"/>
  <c r="AB102" i="5" s="1"/>
  <c r="D43" i="12"/>
  <c r="E43" i="6"/>
  <c r="AB89" i="5" a="1"/>
  <c r="AB89" i="5" s="1"/>
  <c r="C89" i="12"/>
  <c r="O89" i="12" a="1"/>
  <c r="O89" i="12" s="1"/>
  <c r="M89" i="12" a="1"/>
  <c r="M89" i="12" s="1"/>
  <c r="AO89" i="12" a="1"/>
  <c r="AO89" i="12" s="1"/>
  <c r="Y89" i="12" s="1"/>
  <c r="C121" i="12"/>
  <c r="M121" i="12" a="1"/>
  <c r="M121" i="12" s="1"/>
  <c r="O121" i="12" a="1"/>
  <c r="O121" i="12" s="1"/>
  <c r="AO121" i="12" a="1"/>
  <c r="AO121" i="12" s="1"/>
  <c r="AC121" i="5" a="1"/>
  <c r="AC121" i="5" s="1"/>
  <c r="C121" i="6"/>
  <c r="O121" i="5"/>
  <c r="AB163" i="5" a="1"/>
  <c r="AB163" i="5" s="1"/>
  <c r="M52" i="12" a="1"/>
  <c r="M52" i="12" s="1"/>
  <c r="O52" i="12" a="1"/>
  <c r="O52" i="12" s="1"/>
  <c r="C52" i="12"/>
  <c r="AO52" i="12" a="1"/>
  <c r="AO52" i="12" s="1"/>
  <c r="C35" i="12"/>
  <c r="O35" i="12" a="1"/>
  <c r="O35" i="12" s="1"/>
  <c r="M35" i="12" a="1"/>
  <c r="M35" i="12" s="1"/>
  <c r="AO35" i="12" a="1"/>
  <c r="AO35" i="12" s="1"/>
  <c r="Y35" i="12" s="1"/>
  <c r="AC35" i="5" a="1"/>
  <c r="AC35" i="5" s="1"/>
  <c r="C35" i="6"/>
  <c r="O35" i="5"/>
  <c r="AO73" i="12" a="1"/>
  <c r="AO73" i="12" s="1"/>
  <c r="O73" i="12" a="1"/>
  <c r="O73" i="12" s="1"/>
  <c r="C73" i="12"/>
  <c r="M73" i="12" a="1"/>
  <c r="M73" i="12" s="1"/>
  <c r="C73" i="6"/>
  <c r="AC73" i="5" a="1"/>
  <c r="AC73" i="5" s="1"/>
  <c r="AB132" i="5" a="1"/>
  <c r="AB132" i="5" s="1"/>
  <c r="C132" i="12"/>
  <c r="M132" i="12" a="1"/>
  <c r="M132" i="12" s="1"/>
  <c r="O132" i="12" a="1"/>
  <c r="O132" i="12" s="1"/>
  <c r="AO132" i="12" a="1"/>
  <c r="AO132" i="12" s="1"/>
  <c r="AB117" i="5" a="1"/>
  <c r="AB117" i="5" s="1"/>
  <c r="M117" i="12" a="1"/>
  <c r="M117" i="12" s="1"/>
  <c r="O117" i="12" a="1"/>
  <c r="O117" i="12" s="1"/>
  <c r="C117" i="12"/>
  <c r="AO117" i="12" a="1"/>
  <c r="AO117" i="12" s="1"/>
  <c r="Y117" i="12" s="1"/>
  <c r="AB159" i="5" a="1"/>
  <c r="AB159" i="5" s="1"/>
  <c r="AC159" i="5" a="1"/>
  <c r="AC159" i="5" s="1"/>
  <c r="C159" i="6"/>
  <c r="O159" i="5"/>
  <c r="AB153" i="5" a="1"/>
  <c r="AB153" i="5" s="1"/>
  <c r="AB88" i="5" a="1"/>
  <c r="AB88" i="5" s="1"/>
  <c r="O90" i="5"/>
  <c r="AB20" i="5" a="1"/>
  <c r="AB20" i="5" s="1"/>
  <c r="AB17" i="5" s="1" a="1"/>
  <c r="AB17" i="5" s="1"/>
  <c r="AO20" i="12" a="1"/>
  <c r="AO20" i="12" s="1"/>
  <c r="M20" i="12" a="1"/>
  <c r="M20" i="12" s="1"/>
  <c r="O20" i="12" a="1"/>
  <c r="O20" i="12" s="1"/>
  <c r="C20" i="12"/>
  <c r="Y87" i="12"/>
  <c r="E87" i="6"/>
  <c r="D87" i="12"/>
  <c r="AB108" i="5" a="1"/>
  <c r="AB108" i="5" s="1"/>
  <c r="AB105" i="5" s="1" a="1"/>
  <c r="AB105" i="5" s="1"/>
  <c r="AO113" i="12" a="1"/>
  <c r="AO113" i="12" s="1"/>
  <c r="AO111" i="12" s="1" a="1"/>
  <c r="AO111" i="12" s="1"/>
  <c r="C113" i="12"/>
  <c r="O113" i="12" a="1"/>
  <c r="O113" i="12" s="1"/>
  <c r="O111" i="12" s="1" a="1"/>
  <c r="O111" i="12" s="1"/>
  <c r="M113" i="12" a="1"/>
  <c r="M113" i="12" s="1"/>
  <c r="M111" i="12" s="1" a="1"/>
  <c r="M111" i="12" s="1"/>
  <c r="Y124" i="12"/>
  <c r="N124" i="12"/>
  <c r="AC119" i="5" a="1"/>
  <c r="AC119" i="5" s="1"/>
  <c r="C119" i="6"/>
  <c r="O119" i="5"/>
  <c r="AB123" i="5" a="1"/>
  <c r="AB123" i="5" s="1"/>
  <c r="AC123" i="5" a="1"/>
  <c r="AC123" i="5" s="1"/>
  <c r="C123" i="6"/>
  <c r="O123" i="5"/>
  <c r="M140" i="12" a="1"/>
  <c r="M140" i="12" s="1"/>
  <c r="AO140" i="12" a="1"/>
  <c r="AO140" i="12" s="1"/>
  <c r="C140" i="12"/>
  <c r="O140" i="12" a="1"/>
  <c r="O140" i="12" s="1"/>
  <c r="AC78" i="5" a="1"/>
  <c r="AC78" i="5" s="1"/>
  <c r="C78" i="6"/>
  <c r="O78" i="5"/>
  <c r="AB78" i="5" a="1"/>
  <c r="AB78" i="5" s="1"/>
  <c r="AC127" i="5" a="1"/>
  <c r="AC127" i="5" s="1"/>
  <c r="C127" i="6"/>
  <c r="O127" i="5"/>
  <c r="C127" i="12"/>
  <c r="AO127" i="12" a="1"/>
  <c r="AO127" i="12" s="1"/>
  <c r="M127" i="12" a="1"/>
  <c r="M127" i="12" s="1"/>
  <c r="O127" i="12" a="1"/>
  <c r="O127" i="12" s="1"/>
  <c r="AC162" i="5" a="1"/>
  <c r="AC162" i="5" s="1"/>
  <c r="C162" i="6"/>
  <c r="O162" i="5"/>
  <c r="AB162" i="5" a="1"/>
  <c r="AB162" i="5" s="1"/>
  <c r="C50" i="6"/>
  <c r="AC50" i="5" a="1"/>
  <c r="AC50" i="5" s="1"/>
  <c r="Z141" i="5"/>
  <c r="I141" i="12"/>
  <c r="S68" i="8"/>
  <c r="AM141" i="5"/>
  <c r="L141" i="5"/>
  <c r="AB141" i="5" a="1"/>
  <c r="AB141" i="5" s="1"/>
  <c r="AC97" i="5" a="1"/>
  <c r="AC97" i="5" s="1"/>
  <c r="C97" i="6"/>
  <c r="AB61" i="5" a="1"/>
  <c r="AB61" i="5" s="1"/>
  <c r="C61" i="12"/>
  <c r="O61" i="12" a="1"/>
  <c r="O61" i="12" s="1"/>
  <c r="AO61" i="12" a="1"/>
  <c r="AO61" i="12" s="1"/>
  <c r="M61" i="12" a="1"/>
  <c r="M61" i="12" s="1"/>
  <c r="AC144" i="5" a="1"/>
  <c r="AC144" i="5" s="1"/>
  <c r="O144" i="5"/>
  <c r="C144" i="6"/>
  <c r="AB58" i="5" a="1"/>
  <c r="AB58" i="5" s="1"/>
  <c r="O48" i="12" a="1"/>
  <c r="O48" i="12" s="1"/>
  <c r="M48" i="12" a="1"/>
  <c r="M48" i="12" s="1"/>
  <c r="C48" i="12"/>
  <c r="AO48" i="12" a="1"/>
  <c r="AO48" i="12" s="1"/>
  <c r="AB118" i="5" a="1"/>
  <c r="AB118" i="5" s="1"/>
  <c r="C118" i="12"/>
  <c r="O118" i="12" a="1"/>
  <c r="O118" i="12" s="1"/>
  <c r="M118" i="12" a="1"/>
  <c r="M118" i="12" s="1"/>
  <c r="AO118" i="12" a="1"/>
  <c r="AO118" i="12" s="1"/>
  <c r="Y118" i="12" s="1"/>
  <c r="I136" i="5" l="1"/>
  <c r="Y130" i="12"/>
  <c r="Y48" i="12"/>
  <c r="N111" i="12"/>
  <c r="Y132" i="12"/>
  <c r="Y73" i="12"/>
  <c r="N35" i="12"/>
  <c r="N47" i="12"/>
  <c r="N164" i="12"/>
  <c r="N80" i="12"/>
  <c r="Y150" i="12"/>
  <c r="Y26" i="12"/>
  <c r="AO83" i="12" a="1"/>
  <c r="AO83" i="12" s="1"/>
  <c r="N118" i="12"/>
  <c r="Y61" i="12"/>
  <c r="N117" i="12"/>
  <c r="N121" i="12"/>
  <c r="N129" i="12"/>
  <c r="N31" i="12"/>
  <c r="N158" i="12"/>
  <c r="Y141" i="12"/>
  <c r="Y116" i="12"/>
  <c r="Y107" i="12"/>
  <c r="Y122" i="12"/>
  <c r="N104" i="12"/>
  <c r="N62" i="12"/>
  <c r="O68" i="5"/>
  <c r="Y59" i="12"/>
  <c r="N149" i="12"/>
  <c r="N70" i="12"/>
  <c r="Y128" i="12"/>
  <c r="Y69" i="12"/>
  <c r="Y71" i="12"/>
  <c r="N71" i="12"/>
  <c r="Y144" i="12"/>
  <c r="N97" i="12"/>
  <c r="Y123" i="12"/>
  <c r="Y119" i="12"/>
  <c r="N29" i="12"/>
  <c r="N46" i="12"/>
  <c r="Y77" i="12"/>
  <c r="N188" i="12"/>
  <c r="N139" i="12"/>
  <c r="N167" i="12"/>
  <c r="Y72" i="12"/>
  <c r="Y125" i="12"/>
  <c r="AB83" i="5" a="1"/>
  <c r="AB83" i="5" s="1"/>
  <c r="D47" i="8" s="1"/>
  <c r="N141" i="12"/>
  <c r="N130" i="12"/>
  <c r="Y133" i="12"/>
  <c r="N147" i="12"/>
  <c r="N33" i="12"/>
  <c r="Y36" i="12"/>
  <c r="Y53" i="12"/>
  <c r="N131" i="12"/>
  <c r="Y111" i="12"/>
  <c r="D162" i="12"/>
  <c r="E162" i="6"/>
  <c r="D78" i="12"/>
  <c r="E78" i="6"/>
  <c r="W124" i="12" a="1"/>
  <c r="W124" i="12" s="1"/>
  <c r="X124" i="12" a="1"/>
  <c r="X124" i="12" s="1"/>
  <c r="D90" i="12"/>
  <c r="E90" i="6"/>
  <c r="D159" i="12"/>
  <c r="E159" i="6"/>
  <c r="X117" i="12" a="1"/>
  <c r="X117" i="12" s="1"/>
  <c r="W117" i="12" a="1"/>
  <c r="W117" i="12" s="1"/>
  <c r="W132" i="12" a="1"/>
  <c r="W132" i="12" s="1"/>
  <c r="X132" i="12" a="1"/>
  <c r="X132" i="12" s="1"/>
  <c r="X73" i="12" a="1"/>
  <c r="X73" i="12" s="1"/>
  <c r="W73" i="12" a="1"/>
  <c r="W73" i="12" s="1"/>
  <c r="W35" i="12" a="1"/>
  <c r="W35" i="12" s="1"/>
  <c r="X35" i="12" a="1"/>
  <c r="X35" i="12" s="1"/>
  <c r="Y52" i="12"/>
  <c r="AO51" i="12" a="1"/>
  <c r="AO51" i="12" s="1"/>
  <c r="N52" i="12"/>
  <c r="O51" i="12" a="1"/>
  <c r="O51" i="12" s="1"/>
  <c r="D121" i="12"/>
  <c r="E121" i="6"/>
  <c r="Y47" i="12"/>
  <c r="N99" i="12"/>
  <c r="O98" i="12" a="1"/>
  <c r="O98" i="12" s="1"/>
  <c r="N98" i="12" s="1"/>
  <c r="Y56" i="8" a="1"/>
  <c r="Y56" i="8" s="1"/>
  <c r="X56" i="8" a="1"/>
  <c r="X56" i="8" s="1"/>
  <c r="H57" i="8" a="1"/>
  <c r="H57" i="8" s="1"/>
  <c r="H56" i="8" a="1"/>
  <c r="H56" i="8" s="1"/>
  <c r="J57" i="8" s="1"/>
  <c r="AF56" i="8" a="1"/>
  <c r="AF56" i="8" s="1"/>
  <c r="Z56" i="8" a="1"/>
  <c r="Z56" i="8" s="1"/>
  <c r="U56" i="8" a="1"/>
  <c r="U56" i="8" s="1"/>
  <c r="D56" i="8"/>
  <c r="AD56" i="8" a="1"/>
  <c r="AD56" i="8" s="1"/>
  <c r="G56" i="8"/>
  <c r="E56" i="8" a="1"/>
  <c r="E56" i="8" s="1"/>
  <c r="AC56" i="8" a="1"/>
  <c r="AC56" i="8" s="1"/>
  <c r="V56" i="8" a="1"/>
  <c r="V56" i="8" s="1"/>
  <c r="W56" i="8" a="1"/>
  <c r="W56" i="8" s="1"/>
  <c r="AE56" i="8" a="1"/>
  <c r="AE56" i="8" s="1"/>
  <c r="AA56" i="8" a="1"/>
  <c r="AA56" i="8" s="1"/>
  <c r="AB56" i="8" a="1"/>
  <c r="AB56" i="8" s="1"/>
  <c r="D26" i="12"/>
  <c r="E26" i="6"/>
  <c r="Z71" i="8" a="1"/>
  <c r="Z71" i="8" s="1"/>
  <c r="AB71" i="8" a="1"/>
  <c r="AB71" i="8" s="1"/>
  <c r="W71" i="8" a="1"/>
  <c r="W71" i="8" s="1"/>
  <c r="AF71" i="8" a="1"/>
  <c r="AF71" i="8" s="1"/>
  <c r="H71" i="8" a="1"/>
  <c r="H71" i="8" s="1"/>
  <c r="J72" i="8" s="1"/>
  <c r="V71" i="8" a="1"/>
  <c r="V71" i="8" s="1"/>
  <c r="G71" i="8"/>
  <c r="E71" i="8" a="1"/>
  <c r="E71" i="8" s="1"/>
  <c r="AA71" i="8" a="1"/>
  <c r="AA71" i="8" s="1"/>
  <c r="AC71" i="8" a="1"/>
  <c r="AC71" i="8" s="1"/>
  <c r="U71" i="8" a="1"/>
  <c r="U71" i="8" s="1"/>
  <c r="X71" i="8" a="1"/>
  <c r="X71" i="8" s="1"/>
  <c r="Y71" i="8" a="1"/>
  <c r="Y71" i="8" s="1"/>
  <c r="H72" i="8" a="1"/>
  <c r="H72" i="8" s="1"/>
  <c r="AE71" i="8" a="1"/>
  <c r="AE71" i="8" s="1"/>
  <c r="AD71" i="8" a="1"/>
  <c r="AD71" i="8" s="1"/>
  <c r="N100" i="12"/>
  <c r="D161" i="12"/>
  <c r="E161" i="6"/>
  <c r="D66" i="12"/>
  <c r="E66" i="6"/>
  <c r="W136" i="12" a="1"/>
  <c r="W136" i="12" s="1"/>
  <c r="X136" i="12" a="1"/>
  <c r="X136" i="12" s="1"/>
  <c r="U80" i="8" a="1"/>
  <c r="U80" i="8" s="1"/>
  <c r="X80" i="8" a="1"/>
  <c r="X80" i="8" s="1"/>
  <c r="AD80" i="8" a="1"/>
  <c r="AD80" i="8" s="1"/>
  <c r="V80" i="8" a="1"/>
  <c r="V80" i="8" s="1"/>
  <c r="AB80" i="8" a="1"/>
  <c r="AB80" i="8" s="1"/>
  <c r="W80" i="8" a="1"/>
  <c r="W80" i="8" s="1"/>
  <c r="AC80" i="8" a="1"/>
  <c r="AC80" i="8" s="1"/>
  <c r="Y80" i="8" a="1"/>
  <c r="Y80" i="8" s="1"/>
  <c r="AA80" i="8" a="1"/>
  <c r="AA80" i="8" s="1"/>
  <c r="H81" i="8" a="1"/>
  <c r="H81" i="8" s="1"/>
  <c r="H80" i="8" a="1"/>
  <c r="H80" i="8" s="1"/>
  <c r="J81" i="8" s="1"/>
  <c r="G80" i="8"/>
  <c r="Z80" i="8" a="1"/>
  <c r="Z80" i="8" s="1"/>
  <c r="E80" i="8" a="1"/>
  <c r="E80" i="8" s="1"/>
  <c r="AE80" i="8" a="1"/>
  <c r="AE80" i="8" s="1"/>
  <c r="AF80" i="8" a="1"/>
  <c r="AF80" i="8" s="1"/>
  <c r="C166" i="12"/>
  <c r="L166" i="12" a="1"/>
  <c r="L166" i="12" s="1"/>
  <c r="J166" i="12" a="1"/>
  <c r="J166" i="12" s="1"/>
  <c r="X101" i="12" a="1"/>
  <c r="X101" i="12" s="1"/>
  <c r="W101" i="12" a="1"/>
  <c r="W101" i="12" s="1"/>
  <c r="W129" i="12" a="1"/>
  <c r="W129" i="12" s="1"/>
  <c r="X129" i="12" a="1"/>
  <c r="X129" i="12" s="1"/>
  <c r="J111" i="12" a="1"/>
  <c r="J111" i="12" s="1"/>
  <c r="L111" i="12" a="1"/>
  <c r="L111" i="12" s="1"/>
  <c r="C111" i="12"/>
  <c r="AA62" i="8" a="1"/>
  <c r="AA62" i="8" s="1"/>
  <c r="H63" i="8" a="1"/>
  <c r="H63" i="8" s="1"/>
  <c r="H62" i="8" a="1"/>
  <c r="H62" i="8" s="1"/>
  <c r="J63" i="8" s="1"/>
  <c r="G62" i="8"/>
  <c r="Z62" i="8" a="1"/>
  <c r="Z62" i="8" s="1"/>
  <c r="AB62" i="8" a="1"/>
  <c r="AB62" i="8" s="1"/>
  <c r="AE62" i="8" a="1"/>
  <c r="AE62" i="8" s="1"/>
  <c r="W62" i="8" a="1"/>
  <c r="W62" i="8" s="1"/>
  <c r="D62" i="8"/>
  <c r="AD62" i="8" a="1"/>
  <c r="AD62" i="8" s="1"/>
  <c r="V62" i="8" a="1"/>
  <c r="V62" i="8" s="1"/>
  <c r="E62" i="8" a="1"/>
  <c r="E62" i="8" s="1"/>
  <c r="U62" i="8" a="1"/>
  <c r="U62" i="8" s="1"/>
  <c r="AF62" i="8" a="1"/>
  <c r="AF62" i="8" s="1"/>
  <c r="Y62" i="8" a="1"/>
  <c r="Y62" i="8" s="1"/>
  <c r="X62" i="8" a="1"/>
  <c r="X62" i="8" s="1"/>
  <c r="AC62" i="8" a="1"/>
  <c r="AC62" i="8" s="1"/>
  <c r="Y31" i="12"/>
  <c r="X158" i="12" a="1"/>
  <c r="X158" i="12" s="1"/>
  <c r="W158" i="12" a="1"/>
  <c r="W158" i="12" s="1"/>
  <c r="Y21" i="12"/>
  <c r="M27" i="12" a="1"/>
  <c r="M27" i="12" s="1"/>
  <c r="C27" i="12"/>
  <c r="J27" i="12" a="1"/>
  <c r="J27" i="12" s="1"/>
  <c r="L27" i="12" a="1"/>
  <c r="L27" i="12" s="1"/>
  <c r="W24" i="12" a="1"/>
  <c r="W24" i="12" s="1"/>
  <c r="X24" i="12" a="1"/>
  <c r="X24" i="12" s="1"/>
  <c r="AF50" i="8" a="1"/>
  <c r="AF50" i="8" s="1"/>
  <c r="H50" i="8" a="1"/>
  <c r="H50" i="8" s="1"/>
  <c r="J51" i="8" s="1"/>
  <c r="U50" i="8" a="1"/>
  <c r="U50" i="8" s="1"/>
  <c r="H51" i="8" a="1"/>
  <c r="H51" i="8" s="1"/>
  <c r="AD50" i="8" a="1"/>
  <c r="AD50" i="8" s="1"/>
  <c r="V50" i="8" a="1"/>
  <c r="V50" i="8" s="1"/>
  <c r="X50" i="8" a="1"/>
  <c r="X50" i="8" s="1"/>
  <c r="AB50" i="8" a="1"/>
  <c r="AB50" i="8" s="1"/>
  <c r="Z50" i="8" a="1"/>
  <c r="Z50" i="8" s="1"/>
  <c r="AA50" i="8" a="1"/>
  <c r="AA50" i="8" s="1"/>
  <c r="AC50" i="8" a="1"/>
  <c r="AC50" i="8" s="1"/>
  <c r="E50" i="8" a="1"/>
  <c r="E50" i="8" s="1"/>
  <c r="W50" i="8" a="1"/>
  <c r="W50" i="8" s="1"/>
  <c r="G50" i="8"/>
  <c r="Y50" i="8" a="1"/>
  <c r="Y50" i="8" s="1"/>
  <c r="AE50" i="8" a="1"/>
  <c r="AE50" i="8" s="1"/>
  <c r="C91" i="6"/>
  <c r="AC91" i="5" a="1"/>
  <c r="AC91" i="5" s="1"/>
  <c r="O91" i="5"/>
  <c r="Y55" i="12"/>
  <c r="D57" i="12"/>
  <c r="E57" i="6"/>
  <c r="N189" i="12"/>
  <c r="X135" i="12" a="1"/>
  <c r="X135" i="12" s="1"/>
  <c r="W135" i="12" a="1"/>
  <c r="W135" i="12" s="1"/>
  <c r="N18" i="12"/>
  <c r="O17" i="12" a="1"/>
  <c r="O17" i="12" s="1"/>
  <c r="D17" i="8"/>
  <c r="U17" i="8" a="1"/>
  <c r="U17" i="8" s="1"/>
  <c r="H18" i="8" a="1"/>
  <c r="H18" i="8" s="1"/>
  <c r="V17" i="8" a="1"/>
  <c r="V17" i="8" s="1"/>
  <c r="AC17" i="8" a="1"/>
  <c r="AC17" i="8" s="1"/>
  <c r="H17" i="8" a="1"/>
  <c r="H17" i="8" s="1"/>
  <c r="J18" i="8" s="1"/>
  <c r="Y17" i="8" a="1"/>
  <c r="Y17" i="8" s="1"/>
  <c r="AB17" i="8" a="1"/>
  <c r="AB17" i="8" s="1"/>
  <c r="X17" i="8" a="1"/>
  <c r="X17" i="8" s="1"/>
  <c r="AA17" i="8" a="1"/>
  <c r="AA17" i="8" s="1"/>
  <c r="E17" i="8" a="1"/>
  <c r="E17" i="8" s="1"/>
  <c r="G17" i="8"/>
  <c r="AF17" i="8" a="1"/>
  <c r="AF17" i="8" s="1"/>
  <c r="Z17" i="8" a="1"/>
  <c r="Z17" i="8" s="1"/>
  <c r="AE17" i="8" a="1"/>
  <c r="AE17" i="8" s="1"/>
  <c r="AD17" i="8" a="1"/>
  <c r="AD17" i="8" s="1"/>
  <c r="W17" i="8" a="1"/>
  <c r="W17" i="8" s="1"/>
  <c r="X141" i="12" a="1"/>
  <c r="X141" i="12" s="1"/>
  <c r="W141" i="12" a="1"/>
  <c r="W141" i="12" s="1"/>
  <c r="E60" i="6"/>
  <c r="D60" i="12"/>
  <c r="W116" i="12" a="1"/>
  <c r="W116" i="12" s="1"/>
  <c r="X116" i="12" a="1"/>
  <c r="X116" i="12" s="1"/>
  <c r="N107" i="12"/>
  <c r="D168" i="12"/>
  <c r="E168" i="6"/>
  <c r="AB166" i="5" a="1"/>
  <c r="AB166" i="5" s="1"/>
  <c r="D80" i="8" s="1"/>
  <c r="D33" i="12"/>
  <c r="E33" i="6"/>
  <c r="C32" i="6"/>
  <c r="O32" i="5"/>
  <c r="AC32" i="5" a="1"/>
  <c r="AC32" i="5" s="1"/>
  <c r="X26" i="8" a="1"/>
  <c r="X26" i="8" s="1"/>
  <c r="V26" i="8" a="1"/>
  <c r="V26" i="8" s="1"/>
  <c r="W26" i="8" a="1"/>
  <c r="W26" i="8" s="1"/>
  <c r="H26" i="8" a="1"/>
  <c r="H26" i="8" s="1"/>
  <c r="J27" i="8" s="1"/>
  <c r="H27" i="8" a="1"/>
  <c r="H27" i="8" s="1"/>
  <c r="G26" i="8"/>
  <c r="AF26" i="8" a="1"/>
  <c r="AF26" i="8" s="1"/>
  <c r="U26" i="8" a="1"/>
  <c r="U26" i="8" s="1"/>
  <c r="AE26" i="8" a="1"/>
  <c r="AE26" i="8" s="1"/>
  <c r="E26" i="8" a="1"/>
  <c r="E26" i="8" s="1"/>
  <c r="AB26" i="8" a="1"/>
  <c r="AB26" i="8" s="1"/>
  <c r="Y26" i="8" a="1"/>
  <c r="Y26" i="8" s="1"/>
  <c r="AA26" i="8" a="1"/>
  <c r="AA26" i="8" s="1"/>
  <c r="AD26" i="8" a="1"/>
  <c r="AD26" i="8" s="1"/>
  <c r="AC26" i="8" a="1"/>
  <c r="AC26" i="8" s="1"/>
  <c r="Z26" i="8" a="1"/>
  <c r="Z26" i="8" s="1"/>
  <c r="E36" i="6"/>
  <c r="D36" i="12"/>
  <c r="E79" i="6"/>
  <c r="D79" i="12"/>
  <c r="N126" i="12"/>
  <c r="D96" i="12"/>
  <c r="E96" i="6"/>
  <c r="X29" i="8" a="1"/>
  <c r="X29" i="8" s="1"/>
  <c r="U29" i="8" a="1"/>
  <c r="U29" i="8" s="1"/>
  <c r="H29" i="8" a="1"/>
  <c r="H29" i="8" s="1"/>
  <c r="J30" i="8" s="1"/>
  <c r="H30" i="8" a="1"/>
  <c r="H30" i="8" s="1"/>
  <c r="W29" i="8" a="1"/>
  <c r="W29" i="8" s="1"/>
  <c r="E29" i="8" a="1"/>
  <c r="E29" i="8" s="1"/>
  <c r="AC29" i="8" a="1"/>
  <c r="AC29" i="8" s="1"/>
  <c r="G29" i="8"/>
  <c r="V29" i="8" a="1"/>
  <c r="V29" i="8" s="1"/>
  <c r="D29" i="8"/>
  <c r="AF29" i="8" a="1"/>
  <c r="AF29" i="8" s="1"/>
  <c r="AA29" i="8" a="1"/>
  <c r="AA29" i="8" s="1"/>
  <c r="AE29" i="8" a="1"/>
  <c r="AE29" i="8" s="1"/>
  <c r="AD29" i="8" a="1"/>
  <c r="AD29" i="8" s="1"/>
  <c r="Y29" i="8" a="1"/>
  <c r="Y29" i="8" s="1"/>
  <c r="AB29" i="8" a="1"/>
  <c r="AB29" i="8" s="1"/>
  <c r="Z29" i="8" a="1"/>
  <c r="Z29" i="8" s="1"/>
  <c r="AC38" i="5" a="1"/>
  <c r="AC38" i="5" s="1"/>
  <c r="C38" i="6"/>
  <c r="O38" i="5"/>
  <c r="N39" i="12"/>
  <c r="O38" i="12" a="1"/>
  <c r="O38" i="12" s="1"/>
  <c r="N38" i="12" s="1"/>
  <c r="E148" i="6"/>
  <c r="D148" i="12"/>
  <c r="X148" i="12" a="1"/>
  <c r="X148" i="12" s="1"/>
  <c r="W148" i="12" a="1"/>
  <c r="W148" i="12" s="1"/>
  <c r="X42" i="12" a="1"/>
  <c r="X42" i="12" s="1"/>
  <c r="W42" i="12" a="1"/>
  <c r="W42" i="12" s="1"/>
  <c r="AB86" i="8" a="1"/>
  <c r="AB86" i="8" s="1"/>
  <c r="W86" i="8" a="1"/>
  <c r="W86" i="8" s="1"/>
  <c r="Y86" i="8" a="1"/>
  <c r="Y86" i="8" s="1"/>
  <c r="H86" i="8" a="1"/>
  <c r="H86" i="8" s="1"/>
  <c r="J87" i="8" s="1"/>
  <c r="AA86" i="8" a="1"/>
  <c r="AA86" i="8" s="1"/>
  <c r="AD86" i="8" a="1"/>
  <c r="AD86" i="8" s="1"/>
  <c r="AC86" i="8" a="1"/>
  <c r="AC86" i="8" s="1"/>
  <c r="X86" i="8" a="1"/>
  <c r="X86" i="8" s="1"/>
  <c r="G86" i="8"/>
  <c r="Z86" i="8" a="1"/>
  <c r="Z86" i="8" s="1"/>
  <c r="AE86" i="8" a="1"/>
  <c r="AE86" i="8" s="1"/>
  <c r="AF86" i="8" a="1"/>
  <c r="AF86" i="8" s="1"/>
  <c r="H87" i="8" a="1"/>
  <c r="H87" i="8" s="1"/>
  <c r="U86" i="8" a="1"/>
  <c r="U86" i="8" s="1"/>
  <c r="E86" i="8" a="1"/>
  <c r="E86" i="8" s="1"/>
  <c r="V86" i="8" a="1"/>
  <c r="V86" i="8" s="1"/>
  <c r="O32" i="12" a="1"/>
  <c r="O32" i="12" s="1"/>
  <c r="N34" i="12"/>
  <c r="M114" i="12" a="1"/>
  <c r="M114" i="12" s="1"/>
  <c r="Y115" i="12"/>
  <c r="AO114" i="12" a="1"/>
  <c r="AO114" i="12" s="1"/>
  <c r="L114" i="12" a="1"/>
  <c r="L114" i="12" s="1"/>
  <c r="C114" i="12"/>
  <c r="J114" i="12" a="1"/>
  <c r="J114" i="12" s="1"/>
  <c r="K114" i="12" s="1"/>
  <c r="AC114" i="5" a="1"/>
  <c r="AC114" i="5" s="1"/>
  <c r="C114" i="6"/>
  <c r="O114" i="5"/>
  <c r="N63" i="12"/>
  <c r="Y103" i="12"/>
  <c r="D49" i="12"/>
  <c r="E49" i="6"/>
  <c r="X122" i="12" a="1"/>
  <c r="X122" i="12" s="1"/>
  <c r="W122" i="12" a="1"/>
  <c r="W122" i="12" s="1"/>
  <c r="AO109" i="12" a="1"/>
  <c r="AO109" i="12" s="1"/>
  <c r="Y110" i="12"/>
  <c r="W62" i="12" a="1"/>
  <c r="W62" i="12" s="1"/>
  <c r="X62" i="12" a="1"/>
  <c r="X62" i="12" s="1"/>
  <c r="D68" i="12"/>
  <c r="E68" i="6"/>
  <c r="N59" i="12"/>
  <c r="E131" i="6"/>
  <c r="D131" i="12"/>
  <c r="H20" i="8" a="1"/>
  <c r="H20" i="8" s="1"/>
  <c r="J21" i="8" s="1"/>
  <c r="H21" i="8" a="1"/>
  <c r="H21" i="8" s="1"/>
  <c r="AA20" i="8" a="1"/>
  <c r="AA20" i="8" s="1"/>
  <c r="U20" i="8" a="1"/>
  <c r="U20" i="8" s="1"/>
  <c r="W20" i="8" a="1"/>
  <c r="W20" i="8" s="1"/>
  <c r="AC20" i="8" a="1"/>
  <c r="AC20" i="8" s="1"/>
  <c r="E20" i="8" a="1"/>
  <c r="E20" i="8" s="1"/>
  <c r="V20" i="8" a="1"/>
  <c r="V20" i="8" s="1"/>
  <c r="G20" i="8"/>
  <c r="AE20" i="8" a="1"/>
  <c r="AE20" i="8" s="1"/>
  <c r="Z20" i="8" a="1"/>
  <c r="Z20" i="8" s="1"/>
  <c r="AB20" i="8" a="1"/>
  <c r="AB20" i="8" s="1"/>
  <c r="Y20" i="8" a="1"/>
  <c r="Y20" i="8" s="1"/>
  <c r="AD20" i="8" a="1"/>
  <c r="AD20" i="8" s="1"/>
  <c r="AF20" i="8" a="1"/>
  <c r="AF20" i="8" s="1"/>
  <c r="X20" i="8" a="1"/>
  <c r="X20" i="8" s="1"/>
  <c r="J22" i="12" a="1"/>
  <c r="J22" i="12" s="1"/>
  <c r="C22" i="12"/>
  <c r="L22" i="12" a="1"/>
  <c r="L22" i="12" s="1"/>
  <c r="K22" i="12" s="1"/>
  <c r="E163" i="6"/>
  <c r="D163" i="12"/>
  <c r="Y80" i="12"/>
  <c r="E150" i="6"/>
  <c r="D150" i="12"/>
  <c r="N150" i="12"/>
  <c r="AO105" i="12" a="1"/>
  <c r="AO105" i="12" s="1"/>
  <c r="Y106" i="12"/>
  <c r="M22" i="12" a="1"/>
  <c r="M22" i="12" s="1"/>
  <c r="N25" i="12"/>
  <c r="Y25" i="12"/>
  <c r="N54" i="12"/>
  <c r="Y54" i="12"/>
  <c r="Y152" i="12"/>
  <c r="D129" i="12"/>
  <c r="E129" i="6"/>
  <c r="D134" i="12"/>
  <c r="E134" i="6"/>
  <c r="AO91" i="12" a="1"/>
  <c r="AO91" i="12" s="1"/>
  <c r="Y92" i="12"/>
  <c r="N92" i="12"/>
  <c r="O91" i="12" a="1"/>
  <c r="O91" i="12" s="1"/>
  <c r="D93" i="12"/>
  <c r="E93" i="6"/>
  <c r="Y120" i="12"/>
  <c r="N120" i="12"/>
  <c r="D125" i="12"/>
  <c r="E125" i="6"/>
  <c r="E39" i="6"/>
  <c r="D39" i="12"/>
  <c r="K42" i="12"/>
  <c r="D143" i="12"/>
  <c r="E143" i="6"/>
  <c r="D56" i="12"/>
  <c r="E56" i="6"/>
  <c r="AB32" i="5" a="1"/>
  <c r="AB32" i="5" s="1"/>
  <c r="D26" i="8" s="1"/>
  <c r="AB114" i="5" a="1"/>
  <c r="AB114" i="5" s="1"/>
  <c r="E103" i="6"/>
  <c r="D103" i="12"/>
  <c r="Y49" i="12"/>
  <c r="AB44" i="5" a="1"/>
  <c r="AB44" i="5" s="1"/>
  <c r="E122" i="6"/>
  <c r="D122" i="12"/>
  <c r="N45" i="12"/>
  <c r="O44" i="12" a="1"/>
  <c r="O44" i="12" s="1"/>
  <c r="V35" i="8" a="1"/>
  <c r="V35" i="8" s="1"/>
  <c r="U35" i="8" a="1"/>
  <c r="U35" i="8" s="1"/>
  <c r="H36" i="8" a="1"/>
  <c r="H36" i="8" s="1"/>
  <c r="AE35" i="8" a="1"/>
  <c r="AE35" i="8" s="1"/>
  <c r="D35" i="8"/>
  <c r="E35" i="8" a="1"/>
  <c r="E35" i="8" s="1"/>
  <c r="AA35" i="8" a="1"/>
  <c r="AA35" i="8" s="1"/>
  <c r="X35" i="8" a="1"/>
  <c r="X35" i="8" s="1"/>
  <c r="G35" i="8"/>
  <c r="Z35" i="8" a="1"/>
  <c r="Z35" i="8" s="1"/>
  <c r="H35" i="8" a="1"/>
  <c r="H35" i="8" s="1"/>
  <c r="J36" i="8" s="1"/>
  <c r="Y35" i="8" a="1"/>
  <c r="Y35" i="8" s="1"/>
  <c r="AD35" i="8" a="1"/>
  <c r="AD35" i="8" s="1"/>
  <c r="AF35" i="8" a="1"/>
  <c r="AF35" i="8" s="1"/>
  <c r="AB35" i="8" a="1"/>
  <c r="AB35" i="8" s="1"/>
  <c r="AC35" i="8" a="1"/>
  <c r="AC35" i="8" s="1"/>
  <c r="W35" i="8" a="1"/>
  <c r="W35" i="8" s="1"/>
  <c r="Y138" i="12"/>
  <c r="N138" i="12"/>
  <c r="N95" i="12"/>
  <c r="Y95" i="12"/>
  <c r="E110" i="6"/>
  <c r="D110" i="12"/>
  <c r="AC109" i="5" a="1"/>
  <c r="AC109" i="5" s="1"/>
  <c r="O109" i="5"/>
  <c r="C109" i="6"/>
  <c r="E62" i="6"/>
  <c r="D62" i="12"/>
  <c r="W112" i="12" a="1"/>
  <c r="W112" i="12" s="1"/>
  <c r="X112" i="12" a="1"/>
  <c r="X112" i="12" s="1"/>
  <c r="U37" i="12"/>
  <c r="T37" i="12"/>
  <c r="V37" i="12" a="1"/>
  <c r="V37" i="12" s="1"/>
  <c r="D85" i="12"/>
  <c r="E85" i="6"/>
  <c r="Y23" i="12"/>
  <c r="AO22" i="12" a="1"/>
  <c r="AO22" i="12" s="1"/>
  <c r="N69" i="12"/>
  <c r="I155" i="12"/>
  <c r="AM155" i="5"/>
  <c r="I155" i="5"/>
  <c r="L155" i="5"/>
  <c r="Z155" i="5"/>
  <c r="X154" i="5" a="1"/>
  <c r="X154" i="5" s="1"/>
  <c r="E118" i="6"/>
  <c r="D118" i="12"/>
  <c r="D48" i="12"/>
  <c r="E48" i="6"/>
  <c r="E58" i="6"/>
  <c r="D58" i="12"/>
  <c r="Y58" i="12"/>
  <c r="N144" i="12"/>
  <c r="Y162" i="12"/>
  <c r="N162" i="12"/>
  <c r="W78" i="12" a="1"/>
  <c r="W78" i="12" s="1"/>
  <c r="X78" i="12" a="1"/>
  <c r="X78" i="12" s="1"/>
  <c r="N123" i="12"/>
  <c r="N119" i="12"/>
  <c r="D20" i="12"/>
  <c r="E20" i="6"/>
  <c r="M83" i="12" a="1"/>
  <c r="M83" i="12" s="1"/>
  <c r="N88" i="12"/>
  <c r="E88" i="6"/>
  <c r="D88" i="12"/>
  <c r="Y153" i="12"/>
  <c r="E153" i="6"/>
  <c r="D153" i="12"/>
  <c r="D117" i="12"/>
  <c r="E117" i="6"/>
  <c r="E132" i="6"/>
  <c r="D132" i="12"/>
  <c r="AB51" i="5" a="1"/>
  <c r="AB51" i="5" s="1"/>
  <c r="D38" i="8" s="1"/>
  <c r="D52" i="12"/>
  <c r="E52" i="6"/>
  <c r="AA38" i="8" a="1"/>
  <c r="AA38" i="8" s="1"/>
  <c r="V38" i="8" a="1"/>
  <c r="V38" i="8" s="1"/>
  <c r="E38" i="8" a="1"/>
  <c r="E38" i="8" s="1"/>
  <c r="U38" i="8" a="1"/>
  <c r="U38" i="8" s="1"/>
  <c r="H38" i="8" a="1"/>
  <c r="H38" i="8" s="1"/>
  <c r="J39" i="8" s="1"/>
  <c r="H39" i="8" a="1"/>
  <c r="H39" i="8" s="1"/>
  <c r="Y38" i="8" a="1"/>
  <c r="Y38" i="8" s="1"/>
  <c r="G38" i="8"/>
  <c r="W38" i="8" a="1"/>
  <c r="W38" i="8" s="1"/>
  <c r="Z38" i="8" a="1"/>
  <c r="Z38" i="8" s="1"/>
  <c r="X38" i="8" a="1"/>
  <c r="X38" i="8" s="1"/>
  <c r="AC38" i="8" a="1"/>
  <c r="AC38" i="8" s="1"/>
  <c r="AD38" i="8" a="1"/>
  <c r="AD38" i="8" s="1"/>
  <c r="AE38" i="8" a="1"/>
  <c r="AE38" i="8" s="1"/>
  <c r="AB38" i="8" a="1"/>
  <c r="AB38" i="8" s="1"/>
  <c r="AF38" i="8" a="1"/>
  <c r="AF38" i="8" s="1"/>
  <c r="D102" i="12"/>
  <c r="E102" i="6"/>
  <c r="X29" i="12" a="1"/>
  <c r="X29" i="12" s="1"/>
  <c r="W29" i="12" a="1"/>
  <c r="W29" i="12" s="1"/>
  <c r="E80" i="6"/>
  <c r="D80" i="12"/>
  <c r="D46" i="12"/>
  <c r="E46" i="6"/>
  <c r="O98" i="5"/>
  <c r="C98" i="6"/>
  <c r="AC98" i="5" a="1"/>
  <c r="AC98" i="5" s="1"/>
  <c r="O145" i="12" a="1"/>
  <c r="O145" i="12" s="1"/>
  <c r="N146" i="12"/>
  <c r="D100" i="12"/>
  <c r="E100" i="6"/>
  <c r="W161" i="12" a="1"/>
  <c r="W161" i="12" s="1"/>
  <c r="X161" i="12" a="1"/>
  <c r="X161" i="12" s="1"/>
  <c r="N161" i="12"/>
  <c r="AO17" i="12" a="1"/>
  <c r="AO17" i="12" s="1"/>
  <c r="Y19" i="12"/>
  <c r="E188" i="6"/>
  <c r="D188" i="12"/>
  <c r="Y167" i="12"/>
  <c r="D101" i="12"/>
  <c r="E101" i="6"/>
  <c r="Y169" i="12"/>
  <c r="N169" i="12"/>
  <c r="N190" i="12"/>
  <c r="Y190" i="12"/>
  <c r="D94" i="12"/>
  <c r="E94" i="6"/>
  <c r="AB91" i="5" a="1"/>
  <c r="AB91" i="5" s="1"/>
  <c r="D50" i="8" s="1"/>
  <c r="Y86" i="12"/>
  <c r="E86" i="6"/>
  <c r="D86" i="12"/>
  <c r="Y76" i="12"/>
  <c r="M75" i="12" a="1"/>
  <c r="M75" i="12" s="1"/>
  <c r="D76" i="12"/>
  <c r="E76" i="6"/>
  <c r="L75" i="12" a="1"/>
  <c r="L75" i="12" s="1"/>
  <c r="J75" i="12" a="1"/>
  <c r="J75" i="12" s="1"/>
  <c r="C75" i="12"/>
  <c r="D55" i="12"/>
  <c r="E55" i="6"/>
  <c r="Y57" i="12"/>
  <c r="D18" i="12"/>
  <c r="E18" i="6"/>
  <c r="O166" i="12" a="1"/>
  <c r="O166" i="12" s="1"/>
  <c r="N168" i="12"/>
  <c r="W147" i="12" a="1"/>
  <c r="W147" i="12" s="1"/>
  <c r="X147" i="12" a="1"/>
  <c r="X147" i="12" s="1"/>
  <c r="Y33" i="12"/>
  <c r="M32" i="12" a="1"/>
  <c r="M32" i="12" s="1"/>
  <c r="N36" i="12"/>
  <c r="Y79" i="12"/>
  <c r="N79" i="12"/>
  <c r="U41" i="12"/>
  <c r="T41" i="12"/>
  <c r="V41" i="12" a="1"/>
  <c r="V41" i="12" s="1"/>
  <c r="N72" i="12"/>
  <c r="N125" i="12"/>
  <c r="O186" i="12" a="1"/>
  <c r="O186" i="12" s="1"/>
  <c r="N187" i="12"/>
  <c r="Y68" i="12"/>
  <c r="N90" i="12"/>
  <c r="N53" i="12"/>
  <c r="Y131" i="12"/>
  <c r="N151" i="12"/>
  <c r="N137" i="12"/>
  <c r="Y137" i="12"/>
  <c r="N85" i="12"/>
  <c r="AB22" i="5" a="1"/>
  <c r="AB22" i="5" s="1"/>
  <c r="D20" i="8" s="1"/>
  <c r="AN74" i="5" a="1"/>
  <c r="AN74" i="5" s="1"/>
  <c r="W74" i="5" a="1"/>
  <c r="W74" i="5" s="1"/>
  <c r="W118" i="12" a="1"/>
  <c r="W118" i="12" s="1"/>
  <c r="X118" i="12" a="1"/>
  <c r="X118" i="12" s="1"/>
  <c r="W48" i="12" a="1"/>
  <c r="W48" i="12" s="1"/>
  <c r="X48" i="12" a="1"/>
  <c r="X48" i="12" s="1"/>
  <c r="X61" i="12" a="1"/>
  <c r="X61" i="12" s="1"/>
  <c r="W61" i="12" a="1"/>
  <c r="W61" i="12" s="1"/>
  <c r="L141" i="12" a="1"/>
  <c r="L141" i="12" s="1"/>
  <c r="C141" i="12"/>
  <c r="J141" i="12" a="1"/>
  <c r="J141" i="12" s="1"/>
  <c r="K141" i="12" s="1"/>
  <c r="E119" i="6"/>
  <c r="D119" i="12"/>
  <c r="Y113" i="12"/>
  <c r="N113" i="12"/>
  <c r="N48" i="12"/>
  <c r="D144" i="12"/>
  <c r="E144" i="6"/>
  <c r="N61" i="12"/>
  <c r="AC141" i="5" a="1"/>
  <c r="AC141" i="5" s="1"/>
  <c r="C141" i="6"/>
  <c r="O141" i="5"/>
  <c r="AC68" i="8" a="1"/>
  <c r="AC68" i="8" s="1"/>
  <c r="G68" i="8"/>
  <c r="V68" i="8" a="1"/>
  <c r="V68" i="8" s="1"/>
  <c r="E68" i="8" a="1"/>
  <c r="E68" i="8" s="1"/>
  <c r="AE68" i="8" a="1"/>
  <c r="AE68" i="8" s="1"/>
  <c r="D68" i="8"/>
  <c r="H68" i="8" a="1"/>
  <c r="H68" i="8" s="1"/>
  <c r="J69" i="8" s="1"/>
  <c r="Y68" i="8" a="1"/>
  <c r="Y68" i="8" s="1"/>
  <c r="AF68" i="8" a="1"/>
  <c r="AF68" i="8" s="1"/>
  <c r="H69" i="8" a="1"/>
  <c r="H69" i="8" s="1"/>
  <c r="Z68" i="8" a="1"/>
  <c r="Z68" i="8" s="1"/>
  <c r="AB68" i="8" a="1"/>
  <c r="AB68" i="8" s="1"/>
  <c r="AA68" i="8" a="1"/>
  <c r="AA68" i="8" s="1"/>
  <c r="U68" i="8" a="1"/>
  <c r="U68" i="8" s="1"/>
  <c r="W68" i="8" a="1"/>
  <c r="W68" i="8" s="1"/>
  <c r="X68" i="8" a="1"/>
  <c r="X68" i="8" s="1"/>
  <c r="AD68" i="8" a="1"/>
  <c r="AD68" i="8" s="1"/>
  <c r="N127" i="12"/>
  <c r="Y127" i="12"/>
  <c r="D127" i="12"/>
  <c r="E127" i="6"/>
  <c r="N140" i="12"/>
  <c r="Y140" i="12"/>
  <c r="E123" i="6"/>
  <c r="D123" i="12"/>
  <c r="W87" i="12" a="1"/>
  <c r="W87" i="12" s="1"/>
  <c r="X87" i="12" a="1"/>
  <c r="X87" i="12" s="1"/>
  <c r="N20" i="12"/>
  <c r="Y20" i="12"/>
  <c r="N132" i="12"/>
  <c r="N73" i="12"/>
  <c r="E35" i="6"/>
  <c r="D35" i="12"/>
  <c r="M51" i="12" a="1"/>
  <c r="M51" i="12" s="1"/>
  <c r="Y121" i="12"/>
  <c r="X89" i="12" a="1"/>
  <c r="X89" i="12" s="1"/>
  <c r="W89" i="12" a="1"/>
  <c r="W89" i="12" s="1"/>
  <c r="N89" i="12"/>
  <c r="E29" i="6"/>
  <c r="D29" i="12"/>
  <c r="J83" i="12" a="1"/>
  <c r="J83" i="12" s="1"/>
  <c r="L83" i="12" a="1"/>
  <c r="L83" i="12" s="1"/>
  <c r="C83" i="12"/>
  <c r="AC83" i="5" a="1"/>
  <c r="AC83" i="5" s="1"/>
  <c r="C83" i="6"/>
  <c r="O83" i="5"/>
  <c r="H48" i="8" a="1"/>
  <c r="H48" i="8" s="1"/>
  <c r="G47" i="8"/>
  <c r="W47" i="8" a="1"/>
  <c r="W47" i="8" s="1"/>
  <c r="U47" i="8" a="1"/>
  <c r="U47" i="8" s="1"/>
  <c r="H47" i="8" a="1"/>
  <c r="H47" i="8" s="1"/>
  <c r="J48" i="8" s="1"/>
  <c r="V47" i="8" a="1"/>
  <c r="V47" i="8" s="1"/>
  <c r="AF47" i="8" a="1"/>
  <c r="AF47" i="8" s="1"/>
  <c r="E47" i="8" a="1"/>
  <c r="E47" i="8" s="1"/>
  <c r="AE47" i="8" a="1"/>
  <c r="AE47" i="8" s="1"/>
  <c r="AB47" i="8" a="1"/>
  <c r="AB47" i="8" s="1"/>
  <c r="X47" i="8" a="1"/>
  <c r="X47" i="8" s="1"/>
  <c r="Y47" i="8" a="1"/>
  <c r="Y47" i="8" s="1"/>
  <c r="Z47" i="8" a="1"/>
  <c r="Z47" i="8" s="1"/>
  <c r="AD47" i="8" a="1"/>
  <c r="AD47" i="8" s="1"/>
  <c r="AA47" i="8" a="1"/>
  <c r="AA47" i="8" s="1"/>
  <c r="AC47" i="8" a="1"/>
  <c r="AC47" i="8" s="1"/>
  <c r="O83" i="12" a="1"/>
  <c r="O83" i="12" s="1"/>
  <c r="N83" i="12" s="1"/>
  <c r="X84" i="12" a="1"/>
  <c r="X84" i="12" s="1"/>
  <c r="W84" i="12" a="1"/>
  <c r="W84" i="12" s="1"/>
  <c r="AB98" i="5" a="1"/>
  <c r="AB98" i="5" s="1"/>
  <c r="AO98" i="12" a="1"/>
  <c r="AO98" i="12" s="1"/>
  <c r="Y98" i="12" s="1"/>
  <c r="Y99" i="12"/>
  <c r="C105" i="6"/>
  <c r="AC105" i="5" a="1"/>
  <c r="AC105" i="5" s="1"/>
  <c r="O105" i="5"/>
  <c r="C105" i="12"/>
  <c r="J105" i="12" a="1"/>
  <c r="J105" i="12" s="1"/>
  <c r="L105" i="12" a="1"/>
  <c r="L105" i="12" s="1"/>
  <c r="K105" i="12" s="1"/>
  <c r="N30" i="12"/>
  <c r="Y30" i="12"/>
  <c r="D146" i="12"/>
  <c r="E146" i="6"/>
  <c r="C145" i="12"/>
  <c r="L145" i="12" a="1"/>
  <c r="L145" i="12" s="1"/>
  <c r="J145" i="12" a="1"/>
  <c r="J145" i="12" s="1"/>
  <c r="O145" i="5"/>
  <c r="C145" i="6"/>
  <c r="AC145" i="5" a="1"/>
  <c r="AC145" i="5" s="1"/>
  <c r="Y100" i="12"/>
  <c r="D19" i="12"/>
  <c r="E19" i="6"/>
  <c r="N66" i="12"/>
  <c r="Y66" i="12"/>
  <c r="N136" i="12"/>
  <c r="E167" i="6"/>
  <c r="D167" i="12"/>
  <c r="AC166" i="5" a="1"/>
  <c r="AC166" i="5" s="1"/>
  <c r="C166" i="6"/>
  <c r="O166" i="5"/>
  <c r="N101" i="12"/>
  <c r="Y65" i="12"/>
  <c r="N65" i="12"/>
  <c r="E54" i="6"/>
  <c r="D54" i="12"/>
  <c r="O111" i="5"/>
  <c r="C111" i="6"/>
  <c r="AC111" i="5" a="1"/>
  <c r="AC111" i="5" s="1"/>
  <c r="D81" i="12"/>
  <c r="E81" i="6"/>
  <c r="AO75" i="12" a="1"/>
  <c r="AO75" i="12" s="1"/>
  <c r="Y81" i="12"/>
  <c r="Y94" i="12"/>
  <c r="D28" i="12"/>
  <c r="E28" i="6"/>
  <c r="O27" i="12" a="1"/>
  <c r="O27" i="12" s="1"/>
  <c r="N27" i="12" s="1"/>
  <c r="N28" i="12"/>
  <c r="Y28" i="12"/>
  <c r="AO27" i="12" a="1"/>
  <c r="AO27" i="12" s="1"/>
  <c r="C27" i="6"/>
  <c r="O27" i="5"/>
  <c r="AC27" i="5" a="1"/>
  <c r="AC27" i="5" s="1"/>
  <c r="V23" i="8" a="1"/>
  <c r="V23" i="8" s="1"/>
  <c r="H23" i="8" a="1"/>
  <c r="H23" i="8" s="1"/>
  <c r="J24" i="8" s="1"/>
  <c r="G23" i="8"/>
  <c r="E23" i="8" a="1"/>
  <c r="E23" i="8" s="1"/>
  <c r="U23" i="8" a="1"/>
  <c r="U23" i="8" s="1"/>
  <c r="H24" i="8" a="1"/>
  <c r="H24" i="8" s="1"/>
  <c r="AE23" i="8" a="1"/>
  <c r="AE23" i="8" s="1"/>
  <c r="W23" i="8" a="1"/>
  <c r="W23" i="8" s="1"/>
  <c r="AC23" i="8" a="1"/>
  <c r="AC23" i="8" s="1"/>
  <c r="X23" i="8" a="1"/>
  <c r="X23" i="8" s="1"/>
  <c r="AD23" i="8" a="1"/>
  <c r="AD23" i="8" s="1"/>
  <c r="AA23" i="8" a="1"/>
  <c r="AA23" i="8" s="1"/>
  <c r="Y23" i="8" a="1"/>
  <c r="Y23" i="8" s="1"/>
  <c r="AB23" i="8" a="1"/>
  <c r="AB23" i="8" s="1"/>
  <c r="AF23" i="8" a="1"/>
  <c r="AF23" i="8" s="1"/>
  <c r="Z23" i="8" a="1"/>
  <c r="Z23" i="8" s="1"/>
  <c r="AB75" i="5" a="1"/>
  <c r="AB75" i="5" s="1"/>
  <c r="Y134" i="12"/>
  <c r="L91" i="12" a="1"/>
  <c r="L91" i="12" s="1"/>
  <c r="C91" i="12"/>
  <c r="J91" i="12" a="1"/>
  <c r="J91" i="12" s="1"/>
  <c r="K91" i="12" s="1"/>
  <c r="E92" i="6"/>
  <c r="D92" i="12"/>
  <c r="Y189" i="12"/>
  <c r="Y18" i="12"/>
  <c r="M17" i="12" a="1"/>
  <c r="M17" i="12" s="1"/>
  <c r="O17" i="5"/>
  <c r="AC17" i="5" a="1"/>
  <c r="AC17" i="5" s="1"/>
  <c r="C17" i="6"/>
  <c r="C17" i="12"/>
  <c r="L17" i="12" a="1"/>
  <c r="L17" i="12" s="1"/>
  <c r="J17" i="12" a="1"/>
  <c r="J17" i="12" s="1"/>
  <c r="X142" i="12" a="1"/>
  <c r="X142" i="12" s="1"/>
  <c r="W142" i="12" a="1"/>
  <c r="W142" i="12" s="1"/>
  <c r="Y93" i="12"/>
  <c r="N93" i="12"/>
  <c r="N116" i="12"/>
  <c r="W107" i="12" a="1"/>
  <c r="W107" i="12" s="1"/>
  <c r="X107" i="12" a="1"/>
  <c r="X107" i="12" s="1"/>
  <c r="E133" i="6"/>
  <c r="D133" i="12"/>
  <c r="D147" i="12"/>
  <c r="E147" i="6"/>
  <c r="C32" i="12"/>
  <c r="J32" i="12" a="1"/>
  <c r="J32" i="12" s="1"/>
  <c r="L32" i="12" a="1"/>
  <c r="L32" i="12" s="1"/>
  <c r="W126" i="12" a="1"/>
  <c r="W126" i="12" s="1"/>
  <c r="X126" i="12" a="1"/>
  <c r="X126" i="12" s="1"/>
  <c r="D120" i="12"/>
  <c r="E120" i="6"/>
  <c r="L38" i="12" a="1"/>
  <c r="L38" i="12" s="1"/>
  <c r="J38" i="12" a="1"/>
  <c r="J38" i="12" s="1"/>
  <c r="C38" i="12"/>
  <c r="AO38" i="12" a="1"/>
  <c r="AO38" i="12" s="1"/>
  <c r="Y38" i="12" s="1"/>
  <c r="Y39" i="12"/>
  <c r="X43" i="12" a="1"/>
  <c r="X43" i="12" s="1"/>
  <c r="W43" i="12" a="1"/>
  <c r="W43" i="12" s="1"/>
  <c r="D42" i="12"/>
  <c r="I32" i="8"/>
  <c r="A32" i="8" s="1"/>
  <c r="E42" i="6"/>
  <c r="AC186" i="5" a="1"/>
  <c r="AC186" i="5" s="1"/>
  <c r="O186" i="5"/>
  <c r="C186" i="6"/>
  <c r="L186" i="12" a="1"/>
  <c r="L186" i="12" s="1"/>
  <c r="J186" i="12" a="1"/>
  <c r="J186" i="12" s="1"/>
  <c r="K186" i="12" s="1"/>
  <c r="C186" i="12"/>
  <c r="E187" i="6"/>
  <c r="D187" i="12"/>
  <c r="E34" i="6"/>
  <c r="D34" i="12"/>
  <c r="AO32" i="12" a="1"/>
  <c r="AO32" i="12" s="1"/>
  <c r="Y32" i="12" s="1"/>
  <c r="Y34" i="12"/>
  <c r="N115" i="12"/>
  <c r="O114" i="12" a="1"/>
  <c r="O114" i="12" s="1"/>
  <c r="N114" i="12" s="1"/>
  <c r="Z65" i="8" a="1"/>
  <c r="Z65" i="8" s="1"/>
  <c r="X65" i="8" a="1"/>
  <c r="X65" i="8" s="1"/>
  <c r="U65" i="8" a="1"/>
  <c r="U65" i="8" s="1"/>
  <c r="H65" i="8" a="1"/>
  <c r="H65" i="8" s="1"/>
  <c r="J66" i="8" s="1"/>
  <c r="AB65" i="8" a="1"/>
  <c r="AB65" i="8" s="1"/>
  <c r="G65" i="8"/>
  <c r="E65" i="8" a="1"/>
  <c r="E65" i="8" s="1"/>
  <c r="Y65" i="8" a="1"/>
  <c r="Y65" i="8" s="1"/>
  <c r="AA65" i="8" a="1"/>
  <c r="AA65" i="8" s="1"/>
  <c r="D65" i="8"/>
  <c r="H66" i="8" a="1"/>
  <c r="H66" i="8" s="1"/>
  <c r="W65" i="8" a="1"/>
  <c r="W65" i="8" s="1"/>
  <c r="AD65" i="8" a="1"/>
  <c r="AD65" i="8" s="1"/>
  <c r="AF65" i="8" a="1"/>
  <c r="AF65" i="8" s="1"/>
  <c r="V65" i="8" a="1"/>
  <c r="V65" i="8" s="1"/>
  <c r="AE65" i="8" a="1"/>
  <c r="AE65" i="8" s="1"/>
  <c r="AC65" i="8" a="1"/>
  <c r="AC65" i="8" s="1"/>
  <c r="Y63" i="12"/>
  <c r="N40" i="12"/>
  <c r="Y40" i="12"/>
  <c r="N122" i="12"/>
  <c r="Y104" i="12"/>
  <c r="D95" i="12"/>
  <c r="E95" i="6"/>
  <c r="O109" i="12" a="1"/>
  <c r="O109" i="12" s="1"/>
  <c r="N109" i="12" s="1"/>
  <c r="N110" i="12"/>
  <c r="O70" i="5"/>
  <c r="I71" i="5"/>
  <c r="Y164" i="12"/>
  <c r="W59" i="12" a="1"/>
  <c r="W59" i="12" s="1"/>
  <c r="X59" i="12" a="1"/>
  <c r="X59" i="12" s="1"/>
  <c r="Y149" i="12"/>
  <c r="E151" i="6"/>
  <c r="D151" i="12"/>
  <c r="E23" i="6"/>
  <c r="D23" i="12"/>
  <c r="AC22" i="5" a="1"/>
  <c r="AC22" i="5" s="1"/>
  <c r="O22" i="5"/>
  <c r="C22" i="6"/>
  <c r="D47" i="12"/>
  <c r="E47" i="6"/>
  <c r="W150" i="12" a="1"/>
  <c r="W150" i="12" s="1"/>
  <c r="X150" i="12" a="1"/>
  <c r="X150" i="12" s="1"/>
  <c r="E106" i="6"/>
  <c r="D106" i="12"/>
  <c r="N106" i="12"/>
  <c r="O105" i="12" a="1"/>
  <c r="O105" i="12" s="1"/>
  <c r="W26" i="12" a="1"/>
  <c r="W26" i="12" s="1"/>
  <c r="X26" i="12" a="1"/>
  <c r="X26" i="12" s="1"/>
  <c r="E30" i="6"/>
  <c r="D30" i="12"/>
  <c r="D160" i="12"/>
  <c r="E160" i="6"/>
  <c r="X70" i="12" a="1"/>
  <c r="X70" i="12" s="1"/>
  <c r="W70" i="12" a="1"/>
  <c r="W70" i="12" s="1"/>
  <c r="D67" i="12"/>
  <c r="E67" i="6"/>
  <c r="M91" i="12" a="1"/>
  <c r="M91" i="12" s="1"/>
  <c r="E130" i="6"/>
  <c r="D130" i="12"/>
  <c r="X60" i="12" a="1"/>
  <c r="X60" i="12" s="1"/>
  <c r="W60" i="12" a="1"/>
  <c r="W60" i="12" s="1"/>
  <c r="X96" i="12" a="1"/>
  <c r="X96" i="12" s="1"/>
  <c r="W96" i="12" a="1"/>
  <c r="W96" i="12" s="1"/>
  <c r="Y143" i="12"/>
  <c r="N143" i="12"/>
  <c r="X128" i="12" a="1"/>
  <c r="X128" i="12" s="1"/>
  <c r="W128" i="12" a="1"/>
  <c r="W128" i="12" s="1"/>
  <c r="D128" i="12"/>
  <c r="E128" i="6"/>
  <c r="Y56" i="12"/>
  <c r="N56" i="12"/>
  <c r="D115" i="12"/>
  <c r="E115" i="6"/>
  <c r="D40" i="12"/>
  <c r="E40" i="6"/>
  <c r="D45" i="12"/>
  <c r="E45" i="6"/>
  <c r="M44" i="12" a="1"/>
  <c r="M44" i="12" s="1"/>
  <c r="Y45" i="12"/>
  <c r="AO44" i="12" a="1"/>
  <c r="AO44" i="12" s="1"/>
  <c r="Y44" i="12" s="1"/>
  <c r="C44" i="6"/>
  <c r="AC44" i="5" a="1"/>
  <c r="AC44" i="5" s="1"/>
  <c r="O44" i="5"/>
  <c r="L44" i="12" a="1"/>
  <c r="L44" i="12" s="1"/>
  <c r="C44" i="12"/>
  <c r="J44" i="12" a="1"/>
  <c r="J44" i="12" s="1"/>
  <c r="K44" i="12" s="1"/>
  <c r="D104" i="12"/>
  <c r="E104" i="6"/>
  <c r="L109" i="12" a="1"/>
  <c r="L109" i="12" s="1"/>
  <c r="J109" i="12" a="1"/>
  <c r="J109" i="12" s="1"/>
  <c r="C109" i="12"/>
  <c r="D59" i="8"/>
  <c r="Z59" i="8" a="1"/>
  <c r="Z59" i="8" s="1"/>
  <c r="H59" i="8" a="1"/>
  <c r="H59" i="8" s="1"/>
  <c r="J60" i="8" s="1"/>
  <c r="H60" i="8" a="1"/>
  <c r="H60" i="8" s="1"/>
  <c r="G59" i="8"/>
  <c r="AD59" i="8" a="1"/>
  <c r="AD59" i="8" s="1"/>
  <c r="E59" i="8" a="1"/>
  <c r="E59" i="8" s="1"/>
  <c r="U59" i="8" a="1"/>
  <c r="U59" i="8" s="1"/>
  <c r="V59" i="8" a="1"/>
  <c r="V59" i="8" s="1"/>
  <c r="AF59" i="8" a="1"/>
  <c r="AF59" i="8" s="1"/>
  <c r="AA59" i="8" a="1"/>
  <c r="AA59" i="8" s="1"/>
  <c r="W59" i="8" a="1"/>
  <c r="W59" i="8" s="1"/>
  <c r="Y59" i="8" a="1"/>
  <c r="Y59" i="8" s="1"/>
  <c r="X59" i="8" a="1"/>
  <c r="X59" i="8" s="1"/>
  <c r="AE59" i="8" a="1"/>
  <c r="AE59" i="8" s="1"/>
  <c r="AB59" i="8" a="1"/>
  <c r="AB59" i="8" s="1"/>
  <c r="AC59" i="8" a="1"/>
  <c r="AC59" i="8" s="1"/>
  <c r="D164" i="12"/>
  <c r="E164" i="6"/>
  <c r="N23" i="12"/>
  <c r="O22" i="12" a="1"/>
  <c r="O22" i="12" s="1"/>
  <c r="N22" i="12" s="1"/>
  <c r="W69" i="12" a="1"/>
  <c r="W69" i="12" s="1"/>
  <c r="X69" i="12" a="1"/>
  <c r="X69" i="12" s="1"/>
  <c r="W71" i="12" a="1"/>
  <c r="W71" i="12" s="1"/>
  <c r="X71" i="12" a="1"/>
  <c r="X71" i="12" s="1"/>
  <c r="W82" i="12" a="1"/>
  <c r="W82" i="12" s="1"/>
  <c r="X82" i="12" a="1"/>
  <c r="X82" i="12" s="1"/>
  <c r="W144" i="12" a="1"/>
  <c r="W144" i="12" s="1"/>
  <c r="X144" i="12" a="1"/>
  <c r="X144" i="12" s="1"/>
  <c r="E61" i="6"/>
  <c r="D61" i="12"/>
  <c r="W157" i="12" a="1"/>
  <c r="W157" i="12" s="1"/>
  <c r="X157" i="12" a="1"/>
  <c r="X157" i="12" s="1"/>
  <c r="W97" i="12" a="1"/>
  <c r="W97" i="12" s="1"/>
  <c r="X97" i="12" a="1"/>
  <c r="X97" i="12" s="1"/>
  <c r="Y50" i="12"/>
  <c r="N50" i="12"/>
  <c r="X123" i="12" a="1"/>
  <c r="X123" i="12" s="1"/>
  <c r="W123" i="12" a="1"/>
  <c r="W123" i="12" s="1"/>
  <c r="X119" i="12" a="1"/>
  <c r="X119" i="12" s="1"/>
  <c r="W119" i="12" a="1"/>
  <c r="W119" i="12" s="1"/>
  <c r="Y108" i="12"/>
  <c r="N108" i="12"/>
  <c r="M105" i="12" a="1"/>
  <c r="M105" i="12" s="1"/>
  <c r="X88" i="12" a="1"/>
  <c r="X88" i="12" s="1"/>
  <c r="W88" i="12" a="1"/>
  <c r="W88" i="12" s="1"/>
  <c r="Y159" i="12"/>
  <c r="J51" i="12" a="1"/>
  <c r="J51" i="12" s="1"/>
  <c r="C51" i="12"/>
  <c r="L51" i="12" a="1"/>
  <c r="L51" i="12" s="1"/>
  <c r="K51" i="12" s="1"/>
  <c r="AC51" i="5" a="1"/>
  <c r="AC51" i="5" s="1"/>
  <c r="C51" i="6"/>
  <c r="O51" i="5"/>
  <c r="Y163" i="12"/>
  <c r="N163" i="12"/>
  <c r="D89" i="12"/>
  <c r="E89" i="6"/>
  <c r="X102" i="12" a="1"/>
  <c r="X102" i="12" s="1"/>
  <c r="W102" i="12" a="1"/>
  <c r="W102" i="12" s="1"/>
  <c r="X46" i="12" a="1"/>
  <c r="X46" i="12" s="1"/>
  <c r="W46" i="12" a="1"/>
  <c r="W46" i="12" s="1"/>
  <c r="E99" i="6"/>
  <c r="D99" i="12"/>
  <c r="AE53" i="8" a="1"/>
  <c r="AE53" i="8" s="1"/>
  <c r="W53" i="8" a="1"/>
  <c r="W53" i="8" s="1"/>
  <c r="U53" i="8" a="1"/>
  <c r="U53" i="8" s="1"/>
  <c r="H54" i="8" a="1"/>
  <c r="H54" i="8" s="1"/>
  <c r="AF53" i="8" a="1"/>
  <c r="AF53" i="8" s="1"/>
  <c r="E53" i="8" a="1"/>
  <c r="E53" i="8" s="1"/>
  <c r="D53" i="8"/>
  <c r="V53" i="8" a="1"/>
  <c r="V53" i="8" s="1"/>
  <c r="G53" i="8"/>
  <c r="H53" i="8" a="1"/>
  <c r="H53" i="8" s="1"/>
  <c r="J54" i="8" s="1"/>
  <c r="X53" i="8" a="1"/>
  <c r="X53" i="8" s="1"/>
  <c r="AB53" i="8" a="1"/>
  <c r="AB53" i="8" s="1"/>
  <c r="AC53" i="8" a="1"/>
  <c r="AC53" i="8" s="1"/>
  <c r="Y53" i="8" a="1"/>
  <c r="Y53" i="8" s="1"/>
  <c r="AA53" i="8" a="1"/>
  <c r="AA53" i="8" s="1"/>
  <c r="AD53" i="8" a="1"/>
  <c r="AD53" i="8" s="1"/>
  <c r="Z53" i="8" a="1"/>
  <c r="Z53" i="8" s="1"/>
  <c r="J98" i="12" a="1"/>
  <c r="J98" i="12" s="1"/>
  <c r="L98" i="12" a="1"/>
  <c r="L98" i="12" s="1"/>
  <c r="C98" i="12"/>
  <c r="D25" i="12"/>
  <c r="E25" i="6"/>
  <c r="Y160" i="12"/>
  <c r="AB145" i="5" a="1"/>
  <c r="AB145" i="5" s="1"/>
  <c r="D71" i="8" s="1"/>
  <c r="AO145" i="12" a="1"/>
  <c r="AO145" i="12" s="1"/>
  <c r="Y145" i="12" s="1"/>
  <c r="Y146" i="12"/>
  <c r="M145" i="12" a="1"/>
  <c r="M145" i="12" s="1"/>
  <c r="X77" i="12" a="1"/>
  <c r="X77" i="12" s="1"/>
  <c r="W77" i="12" a="1"/>
  <c r="W77" i="12" s="1"/>
  <c r="E77" i="6"/>
  <c r="D77" i="12"/>
  <c r="X188" i="12" a="1"/>
  <c r="X188" i="12" s="1"/>
  <c r="W188" i="12" a="1"/>
  <c r="W188" i="12" s="1"/>
  <c r="X139" i="12" a="1"/>
  <c r="X139" i="12" s="1"/>
  <c r="W139" i="12" a="1"/>
  <c r="W139" i="12" s="1"/>
  <c r="D65" i="12"/>
  <c r="E65" i="6"/>
  <c r="E158" i="6"/>
  <c r="D158" i="12"/>
  <c r="AB27" i="5" a="1"/>
  <c r="AB27" i="5" s="1"/>
  <c r="D23" i="8" s="1"/>
  <c r="D24" i="12"/>
  <c r="E24" i="6"/>
  <c r="N76" i="12"/>
  <c r="O75" i="12" a="1"/>
  <c r="O75" i="12" s="1"/>
  <c r="N75" i="12" s="1"/>
  <c r="C75" i="6"/>
  <c r="O75" i="5"/>
  <c r="AC75" i="5" a="1"/>
  <c r="AC75" i="5" s="1"/>
  <c r="Y44" i="8" a="1"/>
  <c r="Y44" i="8" s="1"/>
  <c r="U44" i="8" a="1"/>
  <c r="U44" i="8" s="1"/>
  <c r="V44" i="8" a="1"/>
  <c r="V44" i="8" s="1"/>
  <c r="AB44" i="8" a="1"/>
  <c r="AB44" i="8" s="1"/>
  <c r="H44" i="8" a="1"/>
  <c r="H44" i="8" s="1"/>
  <c r="J45" i="8" s="1"/>
  <c r="W44" i="8" a="1"/>
  <c r="W44" i="8" s="1"/>
  <c r="E44" i="8" a="1"/>
  <c r="E44" i="8" s="1"/>
  <c r="G44" i="8"/>
  <c r="H45" i="8" a="1"/>
  <c r="H45" i="8" s="1"/>
  <c r="D44" i="8"/>
  <c r="AA44" i="8" a="1"/>
  <c r="AA44" i="8" s="1"/>
  <c r="AC44" i="8" a="1"/>
  <c r="AC44" i="8" s="1"/>
  <c r="AF44" i="8" a="1"/>
  <c r="AF44" i="8" s="1"/>
  <c r="AD44" i="8" a="1"/>
  <c r="AD44" i="8" s="1"/>
  <c r="AE44" i="8" a="1"/>
  <c r="AE44" i="8" s="1"/>
  <c r="Z44" i="8" a="1"/>
  <c r="Z44" i="8" s="1"/>
  <c r="X44" i="8" a="1"/>
  <c r="X44" i="8" s="1"/>
  <c r="W130" i="12" a="1"/>
  <c r="W130" i="12" s="1"/>
  <c r="X130" i="12" a="1"/>
  <c r="X130" i="12" s="1"/>
  <c r="E189" i="6"/>
  <c r="D189" i="12"/>
  <c r="E116" i="6"/>
  <c r="D116" i="12"/>
  <c r="D107" i="12"/>
  <c r="E107" i="6"/>
  <c r="X133" i="12" a="1"/>
  <c r="X133" i="12" s="1"/>
  <c r="W133" i="12" a="1"/>
  <c r="W133" i="12" s="1"/>
  <c r="M166" i="12" a="1"/>
  <c r="M166" i="12" s="1"/>
  <c r="AO166" i="12" a="1"/>
  <c r="AO166" i="12" s="1"/>
  <c r="Y166" i="12" s="1"/>
  <c r="Y168" i="12"/>
  <c r="X36" i="12" a="1"/>
  <c r="X36" i="12" s="1"/>
  <c r="W36" i="12" a="1"/>
  <c r="W36" i="12" s="1"/>
  <c r="E126" i="6"/>
  <c r="D126" i="12"/>
  <c r="W72" i="12" a="1"/>
  <c r="W72" i="12" s="1"/>
  <c r="X72" i="12" a="1"/>
  <c r="X72" i="12" s="1"/>
  <c r="X125" i="12" a="1"/>
  <c r="X125" i="12" s="1"/>
  <c r="W125" i="12" a="1"/>
  <c r="W125" i="12" s="1"/>
  <c r="AO186" i="12" a="1"/>
  <c r="AO186" i="12" s="1"/>
  <c r="Y186" i="12" s="1"/>
  <c r="Y187" i="12"/>
  <c r="M186" i="12" a="1"/>
  <c r="M186" i="12" s="1"/>
  <c r="AB186" i="5" a="1"/>
  <c r="AB186" i="5" s="1"/>
  <c r="D86" i="8" s="1"/>
  <c r="Y67" i="12"/>
  <c r="N67" i="12"/>
  <c r="N68" i="12"/>
  <c r="W90" i="12" a="1"/>
  <c r="W90" i="12" s="1"/>
  <c r="X90" i="12" a="1"/>
  <c r="X90" i="12" s="1"/>
  <c r="D53" i="12"/>
  <c r="E53" i="6"/>
  <c r="X53" i="12" a="1"/>
  <c r="X53" i="12" s="1"/>
  <c r="W53" i="12" a="1"/>
  <c r="W53" i="12" s="1"/>
  <c r="E59" i="6"/>
  <c r="D59" i="12"/>
  <c r="E149" i="6"/>
  <c r="D149" i="12"/>
  <c r="X151" i="12" a="1"/>
  <c r="X151" i="12" s="1"/>
  <c r="W151" i="12" a="1"/>
  <c r="W151" i="12" s="1"/>
  <c r="W85" i="12" a="1"/>
  <c r="W85" i="12" s="1"/>
  <c r="X85" i="12" a="1"/>
  <c r="X85" i="12" s="1"/>
  <c r="O69" i="5"/>
  <c r="E135" i="6"/>
  <c r="D135" i="12"/>
  <c r="AN165" i="5" a="1"/>
  <c r="AN165" i="5" s="1"/>
  <c r="W165" i="5" a="1"/>
  <c r="W165" i="5" s="1"/>
  <c r="I137" i="5" l="1"/>
  <c r="O136" i="5"/>
  <c r="K17" i="12"/>
  <c r="K27" i="12"/>
  <c r="K111" i="12"/>
  <c r="K98" i="12"/>
  <c r="K38" i="12"/>
  <c r="V151" i="12" a="1"/>
  <c r="V151" i="12" s="1"/>
  <c r="T151" i="12"/>
  <c r="U151" i="12"/>
  <c r="W187" i="12" a="1"/>
  <c r="W187" i="12" s="1"/>
  <c r="X187" i="12" a="1"/>
  <c r="X187" i="12" s="1"/>
  <c r="V125" i="12" a="1"/>
  <c r="V125" i="12" s="1"/>
  <c r="U125" i="12"/>
  <c r="T125" i="12"/>
  <c r="W166" i="12" a="1"/>
  <c r="W166" i="12" s="1"/>
  <c r="X166" i="12" a="1"/>
  <c r="X166" i="12" s="1"/>
  <c r="U133" i="12"/>
  <c r="V133" i="12" a="1"/>
  <c r="V133" i="12" s="1"/>
  <c r="T133" i="12"/>
  <c r="E75" i="6"/>
  <c r="D75" i="12"/>
  <c r="I44" i="8"/>
  <c r="A44" i="8" s="1"/>
  <c r="U139" i="12"/>
  <c r="V139" i="12" a="1"/>
  <c r="V139" i="12" s="1"/>
  <c r="T139" i="12"/>
  <c r="U188" i="12"/>
  <c r="V188" i="12" a="1"/>
  <c r="V188" i="12" s="1"/>
  <c r="T188" i="12"/>
  <c r="X146" i="12" a="1"/>
  <c r="X146" i="12" s="1"/>
  <c r="W146" i="12" a="1"/>
  <c r="W146" i="12" s="1"/>
  <c r="V46" i="12" a="1"/>
  <c r="V46" i="12" s="1"/>
  <c r="U46" i="12"/>
  <c r="T46" i="12"/>
  <c r="I38" i="8"/>
  <c r="A38" i="8" s="1"/>
  <c r="E51" i="6"/>
  <c r="D51" i="12"/>
  <c r="X159" i="12" a="1"/>
  <c r="X159" i="12" s="1"/>
  <c r="W159" i="12" a="1"/>
  <c r="W159" i="12" s="1"/>
  <c r="U119" i="12"/>
  <c r="V119" i="12" a="1"/>
  <c r="V119" i="12" s="1"/>
  <c r="T119" i="12"/>
  <c r="V123" i="12" a="1"/>
  <c r="V123" i="12" s="1"/>
  <c r="U123" i="12"/>
  <c r="T123" i="12"/>
  <c r="W50" i="12" a="1"/>
  <c r="W50" i="12" s="1"/>
  <c r="X50" i="12" a="1"/>
  <c r="X50" i="12" s="1"/>
  <c r="V97" i="12" a="1"/>
  <c r="V97" i="12" s="1"/>
  <c r="U97" i="12"/>
  <c r="T97" i="12"/>
  <c r="V157" i="12" a="1"/>
  <c r="V157" i="12" s="1"/>
  <c r="U157" i="12"/>
  <c r="T157" i="12"/>
  <c r="V82" i="12" a="1"/>
  <c r="V82" i="12" s="1"/>
  <c r="T82" i="12"/>
  <c r="U82" i="12"/>
  <c r="U71" i="12"/>
  <c r="T71" i="12"/>
  <c r="V71" i="12" a="1"/>
  <c r="V71" i="12" s="1"/>
  <c r="V69" i="12" a="1"/>
  <c r="V69" i="12" s="1"/>
  <c r="T69" i="12"/>
  <c r="U69" i="12"/>
  <c r="W44" i="12" a="1"/>
  <c r="W44" i="12" s="1"/>
  <c r="X44" i="12" a="1"/>
  <c r="X44" i="12" s="1"/>
  <c r="X143" i="12" a="1"/>
  <c r="X143" i="12" s="1"/>
  <c r="W143" i="12" a="1"/>
  <c r="W143" i="12" s="1"/>
  <c r="U96" i="12"/>
  <c r="V96" i="12" a="1"/>
  <c r="V96" i="12" s="1"/>
  <c r="T96" i="12"/>
  <c r="U60" i="12"/>
  <c r="V60" i="12" a="1"/>
  <c r="V60" i="12" s="1"/>
  <c r="T60" i="12"/>
  <c r="V70" i="12" a="1"/>
  <c r="V70" i="12" s="1"/>
  <c r="T70" i="12"/>
  <c r="U70" i="12"/>
  <c r="T26" i="12"/>
  <c r="U26" i="12"/>
  <c r="V26" i="12" a="1"/>
  <c r="V26" i="12" s="1"/>
  <c r="D22" i="12"/>
  <c r="I20" i="8"/>
  <c r="A20" i="8" s="1"/>
  <c r="E22" i="6"/>
  <c r="W164" i="12" a="1"/>
  <c r="W164" i="12" s="1"/>
  <c r="X164" i="12" a="1"/>
  <c r="X164" i="12" s="1"/>
  <c r="D70" i="12"/>
  <c r="E70" i="6"/>
  <c r="W104" i="12" a="1"/>
  <c r="W104" i="12" s="1"/>
  <c r="X104" i="12" a="1"/>
  <c r="X104" i="12" s="1"/>
  <c r="X40" i="12" a="1"/>
  <c r="X40" i="12" s="1"/>
  <c r="W40" i="12" a="1"/>
  <c r="W40" i="12" s="1"/>
  <c r="X32" i="12" a="1"/>
  <c r="X32" i="12" s="1"/>
  <c r="W32" i="12" a="1"/>
  <c r="W32" i="12" s="1"/>
  <c r="T43" i="12"/>
  <c r="U43" i="12"/>
  <c r="V43" i="12" a="1"/>
  <c r="V43" i="12" s="1"/>
  <c r="W39" i="12" a="1"/>
  <c r="W39" i="12" s="1"/>
  <c r="X39" i="12" a="1"/>
  <c r="X39" i="12" s="1"/>
  <c r="T126" i="12"/>
  <c r="V126" i="12" a="1"/>
  <c r="V126" i="12" s="1"/>
  <c r="U126" i="12"/>
  <c r="K32" i="12"/>
  <c r="T107" i="12"/>
  <c r="U107" i="12"/>
  <c r="V107" i="12" a="1"/>
  <c r="V107" i="12" s="1"/>
  <c r="U142" i="12"/>
  <c r="T142" i="12"/>
  <c r="V142" i="12" a="1"/>
  <c r="V142" i="12" s="1"/>
  <c r="X189" i="12" a="1"/>
  <c r="X189" i="12" s="1"/>
  <c r="W189" i="12" a="1"/>
  <c r="W189" i="12" s="1"/>
  <c r="E27" i="6"/>
  <c r="D27" i="12"/>
  <c r="I23" i="8"/>
  <c r="A23" i="8" s="1"/>
  <c r="Y27" i="12"/>
  <c r="X94" i="12" a="1"/>
  <c r="X94" i="12" s="1"/>
  <c r="W94" i="12" a="1"/>
  <c r="W94" i="12" s="1"/>
  <c r="Y75" i="12"/>
  <c r="D111" i="12"/>
  <c r="I62" i="8"/>
  <c r="A62" i="8" s="1"/>
  <c r="E111" i="6"/>
  <c r="X66" i="12" a="1"/>
  <c r="X66" i="12" s="1"/>
  <c r="W66" i="12" a="1"/>
  <c r="W66" i="12" s="1"/>
  <c r="I71" i="8"/>
  <c r="A71" i="8" s="1"/>
  <c r="D145" i="12"/>
  <c r="E145" i="6"/>
  <c r="K145" i="12"/>
  <c r="W30" i="12" a="1"/>
  <c r="W30" i="12" s="1"/>
  <c r="X30" i="12" a="1"/>
  <c r="X30" i="12" s="1"/>
  <c r="I56" i="8"/>
  <c r="A56" i="8" s="1"/>
  <c r="D105" i="12"/>
  <c r="E105" i="6"/>
  <c r="W98" i="12" a="1"/>
  <c r="W98" i="12" s="1"/>
  <c r="X98" i="12" a="1"/>
  <c r="X98" i="12" s="1"/>
  <c r="U84" i="12"/>
  <c r="V84" i="12" a="1"/>
  <c r="V84" i="12" s="1"/>
  <c r="T84" i="12"/>
  <c r="V89" i="12" a="1"/>
  <c r="V89" i="12" s="1"/>
  <c r="T89" i="12"/>
  <c r="U89" i="12"/>
  <c r="X121" i="12" a="1"/>
  <c r="X121" i="12" s="1"/>
  <c r="W121" i="12" a="1"/>
  <c r="W121" i="12" s="1"/>
  <c r="U87" i="12"/>
  <c r="T87" i="12"/>
  <c r="V87" i="12" a="1"/>
  <c r="V87" i="12" s="1"/>
  <c r="W140" i="12" a="1"/>
  <c r="W140" i="12" s="1"/>
  <c r="X140" i="12" a="1"/>
  <c r="X140" i="12" s="1"/>
  <c r="I68" i="8"/>
  <c r="A68" i="8" s="1"/>
  <c r="D141" i="12"/>
  <c r="E141" i="6"/>
  <c r="U48" i="12"/>
  <c r="T48" i="12"/>
  <c r="V48" i="12" a="1"/>
  <c r="V48" i="12" s="1"/>
  <c r="V118" i="12" a="1"/>
  <c r="V118" i="12" s="1"/>
  <c r="T118" i="12"/>
  <c r="U118" i="12"/>
  <c r="AU74" i="6"/>
  <c r="AS74" i="6"/>
  <c r="AQ74" i="6"/>
  <c r="AL74" i="6"/>
  <c r="AJ74" i="6"/>
  <c r="AN74" i="6"/>
  <c r="AO74" i="6"/>
  <c r="AT74" i="6"/>
  <c r="AR74" i="6"/>
  <c r="AK74" i="6"/>
  <c r="AM74" i="6"/>
  <c r="AP74" i="6"/>
  <c r="H74" i="12" a="1"/>
  <c r="H74" i="12" s="1"/>
  <c r="X131" i="12" a="1"/>
  <c r="X131" i="12" s="1"/>
  <c r="W131" i="12" a="1"/>
  <c r="W131" i="12" s="1"/>
  <c r="X68" i="12" a="1"/>
  <c r="X68" i="12" s="1"/>
  <c r="W68" i="12" a="1"/>
  <c r="W68" i="12" s="1"/>
  <c r="N186" i="12"/>
  <c r="W33" i="12" a="1"/>
  <c r="W33" i="12" s="1"/>
  <c r="X33" i="12" a="1"/>
  <c r="X33" i="12" s="1"/>
  <c r="T147" i="12"/>
  <c r="U147" i="12"/>
  <c r="V147" i="12" a="1"/>
  <c r="V147" i="12" s="1"/>
  <c r="N166" i="12"/>
  <c r="K75" i="12"/>
  <c r="W76" i="12" a="1"/>
  <c r="W76" i="12" s="1"/>
  <c r="X76" i="12" a="1"/>
  <c r="X76" i="12" s="1"/>
  <c r="W190" i="12" a="1"/>
  <c r="W190" i="12" s="1"/>
  <c r="X190" i="12" a="1"/>
  <c r="X190" i="12" s="1"/>
  <c r="N145" i="12"/>
  <c r="U78" i="12"/>
  <c r="T78" i="12"/>
  <c r="V78" i="12" a="1"/>
  <c r="V78" i="12" s="1"/>
  <c r="W162" i="12" a="1"/>
  <c r="W162" i="12" s="1"/>
  <c r="X162" i="12" a="1"/>
  <c r="X162" i="12" s="1"/>
  <c r="W58" i="12" a="1"/>
  <c r="W58" i="12" s="1"/>
  <c r="X58" i="12" a="1"/>
  <c r="X58" i="12" s="1"/>
  <c r="AB155" i="5" a="1"/>
  <c r="AB155" i="5" s="1"/>
  <c r="AB154" i="5" s="1" a="1"/>
  <c r="AB154" i="5" s="1"/>
  <c r="AO155" i="12" a="1"/>
  <c r="AO155" i="12" s="1"/>
  <c r="O155" i="12" a="1"/>
  <c r="O155" i="12" s="1"/>
  <c r="M155" i="12" a="1"/>
  <c r="M155" i="12" s="1"/>
  <c r="M154" i="12" s="1" a="1"/>
  <c r="M154" i="12" s="1"/>
  <c r="C155" i="12"/>
  <c r="Y22" i="12"/>
  <c r="I59" i="8"/>
  <c r="A59" i="8" s="1"/>
  <c r="D109" i="12"/>
  <c r="E109" i="6"/>
  <c r="X138" i="12" a="1"/>
  <c r="X138" i="12" s="1"/>
  <c r="W138" i="12" a="1"/>
  <c r="W138" i="12" s="1"/>
  <c r="N44" i="12"/>
  <c r="X49" i="12" a="1"/>
  <c r="X49" i="12" s="1"/>
  <c r="W49" i="12" a="1"/>
  <c r="W49" i="12" s="1"/>
  <c r="Y91" i="12"/>
  <c r="X54" i="12" a="1"/>
  <c r="X54" i="12" s="1"/>
  <c r="W54" i="12" a="1"/>
  <c r="W54" i="12" s="1"/>
  <c r="X25" i="12" a="1"/>
  <c r="X25" i="12" s="1"/>
  <c r="W25" i="12" a="1"/>
  <c r="W25" i="12" s="1"/>
  <c r="Y105" i="12"/>
  <c r="V62" i="12" a="1"/>
  <c r="V62" i="12" s="1"/>
  <c r="T62" i="12"/>
  <c r="U62" i="12"/>
  <c r="Y109" i="12"/>
  <c r="U122" i="12"/>
  <c r="V122" i="12" a="1"/>
  <c r="V122" i="12" s="1"/>
  <c r="T122" i="12"/>
  <c r="X103" i="12" a="1"/>
  <c r="X103" i="12" s="1"/>
  <c r="W103" i="12" a="1"/>
  <c r="W103" i="12" s="1"/>
  <c r="X115" i="12" a="1"/>
  <c r="X115" i="12" s="1"/>
  <c r="W115" i="12" a="1"/>
  <c r="W115" i="12" s="1"/>
  <c r="I26" i="8"/>
  <c r="A26" i="8" s="1"/>
  <c r="D32" i="12"/>
  <c r="E32" i="6"/>
  <c r="Y17" i="12"/>
  <c r="N17" i="12"/>
  <c r="V135" i="12" a="1"/>
  <c r="V135" i="12" s="1"/>
  <c r="T135" i="12"/>
  <c r="U135" i="12"/>
  <c r="X55" i="12" a="1"/>
  <c r="X55" i="12" s="1"/>
  <c r="W55" i="12" a="1"/>
  <c r="W55" i="12" s="1"/>
  <c r="T24" i="12"/>
  <c r="V24" i="12" a="1"/>
  <c r="V24" i="12" s="1"/>
  <c r="U24" i="12"/>
  <c r="X21" i="12" a="1"/>
  <c r="X21" i="12" s="1"/>
  <c r="W21" i="12" a="1"/>
  <c r="W21" i="12" s="1"/>
  <c r="V129" i="12" a="1"/>
  <c r="V129" i="12" s="1"/>
  <c r="U129" i="12"/>
  <c r="T129" i="12"/>
  <c r="T101" i="12"/>
  <c r="U101" i="12"/>
  <c r="V101" i="12" a="1"/>
  <c r="V101" i="12" s="1"/>
  <c r="Y83" i="12"/>
  <c r="W47" i="12" a="1"/>
  <c r="W47" i="12" s="1"/>
  <c r="X47" i="12" a="1"/>
  <c r="X47" i="12" s="1"/>
  <c r="N51" i="12"/>
  <c r="Y51" i="12"/>
  <c r="T73" i="12"/>
  <c r="U73" i="12"/>
  <c r="V73" i="12" a="1"/>
  <c r="V73" i="12" s="1"/>
  <c r="U132" i="12"/>
  <c r="V132" i="12" a="1"/>
  <c r="V132" i="12" s="1"/>
  <c r="T132" i="12"/>
  <c r="AU165" i="6"/>
  <c r="AS165" i="6"/>
  <c r="AQ165" i="6"/>
  <c r="AN165" i="6"/>
  <c r="AK165" i="6"/>
  <c r="AO165" i="6"/>
  <c r="AC79" i="8" s="1" a="1"/>
  <c r="AC79" i="8" s="1"/>
  <c r="AM165" i="6"/>
  <c r="AT165" i="6"/>
  <c r="AR165" i="6"/>
  <c r="AJ165" i="6"/>
  <c r="AL165" i="6"/>
  <c r="W79" i="8" s="1" a="1"/>
  <c r="W79" i="8" s="1"/>
  <c r="H165" i="12" a="1"/>
  <c r="H165" i="12" s="1"/>
  <c r="AP165" i="6"/>
  <c r="D69" i="12"/>
  <c r="E69" i="6"/>
  <c r="U85" i="12"/>
  <c r="V85" i="12" a="1"/>
  <c r="V85" i="12" s="1"/>
  <c r="T85" i="12"/>
  <c r="U53" i="12"/>
  <c r="T53" i="12"/>
  <c r="V53" i="12" a="1"/>
  <c r="V53" i="12" s="1"/>
  <c r="V90" i="12" a="1"/>
  <c r="V90" i="12" s="1"/>
  <c r="T90" i="12"/>
  <c r="U90" i="12"/>
  <c r="W67" i="12" a="1"/>
  <c r="W67" i="12" s="1"/>
  <c r="X67" i="12" a="1"/>
  <c r="X67" i="12" s="1"/>
  <c r="W186" i="12" a="1"/>
  <c r="W186" i="12" s="1"/>
  <c r="X186" i="12" a="1"/>
  <c r="X186" i="12" s="1"/>
  <c r="U72" i="12"/>
  <c r="T72" i="12"/>
  <c r="V72" i="12" a="1"/>
  <c r="V72" i="12" s="1"/>
  <c r="T36" i="12"/>
  <c r="V36" i="12" a="1"/>
  <c r="V36" i="12" s="1"/>
  <c r="U36" i="12"/>
  <c r="W168" i="12" a="1"/>
  <c r="W168" i="12" s="1"/>
  <c r="X168" i="12" a="1"/>
  <c r="X168" i="12" s="1"/>
  <c r="U130" i="12"/>
  <c r="V130" i="12" a="1"/>
  <c r="V130" i="12" s="1"/>
  <c r="T130" i="12"/>
  <c r="V77" i="12" a="1"/>
  <c r="V77" i="12" s="1"/>
  <c r="U77" i="12"/>
  <c r="T77" i="12"/>
  <c r="X145" i="12" a="1"/>
  <c r="X145" i="12" s="1"/>
  <c r="W145" i="12" a="1"/>
  <c r="W145" i="12" s="1"/>
  <c r="W160" i="12" a="1"/>
  <c r="W160" i="12" s="1"/>
  <c r="X160" i="12" a="1"/>
  <c r="X160" i="12" s="1"/>
  <c r="U102" i="12"/>
  <c r="T102" i="12"/>
  <c r="V102" i="12" a="1"/>
  <c r="V102" i="12" s="1"/>
  <c r="X163" i="12" a="1"/>
  <c r="X163" i="12" s="1"/>
  <c r="W163" i="12" a="1"/>
  <c r="W163" i="12" s="1"/>
  <c r="U88" i="12"/>
  <c r="V88" i="12" a="1"/>
  <c r="V88" i="12" s="1"/>
  <c r="T88" i="12"/>
  <c r="X108" i="12" a="1"/>
  <c r="X108" i="12" s="1"/>
  <c r="W108" i="12" a="1"/>
  <c r="W108" i="12" s="1"/>
  <c r="V144" i="12" a="1"/>
  <c r="V144" i="12" s="1"/>
  <c r="T144" i="12"/>
  <c r="U144" i="12"/>
  <c r="K109" i="12"/>
  <c r="I35" i="8"/>
  <c r="A35" i="8" s="1"/>
  <c r="E44" i="6"/>
  <c r="D44" i="12"/>
  <c r="X45" i="12" a="1"/>
  <c r="X45" i="12" s="1"/>
  <c r="W45" i="12" a="1"/>
  <c r="W45" i="12" s="1"/>
  <c r="X56" i="12" a="1"/>
  <c r="X56" i="12" s="1"/>
  <c r="W56" i="12" a="1"/>
  <c r="W56" i="12" s="1"/>
  <c r="V128" i="12" a="1"/>
  <c r="V128" i="12" s="1"/>
  <c r="T128" i="12"/>
  <c r="U128" i="12"/>
  <c r="N105" i="12"/>
  <c r="U150" i="12"/>
  <c r="T150" i="12"/>
  <c r="V150" i="12" a="1"/>
  <c r="V150" i="12" s="1"/>
  <c r="W149" i="12" a="1"/>
  <c r="W149" i="12" s="1"/>
  <c r="X149" i="12" a="1"/>
  <c r="X149" i="12" s="1"/>
  <c r="U59" i="12"/>
  <c r="V59" i="12" a="1"/>
  <c r="V59" i="12" s="1"/>
  <c r="T59" i="12"/>
  <c r="O71" i="5"/>
  <c r="I72" i="5"/>
  <c r="X63" i="12" a="1"/>
  <c r="X63" i="12" s="1"/>
  <c r="W63" i="12" a="1"/>
  <c r="W63" i="12" s="1"/>
  <c r="X34" i="12" a="1"/>
  <c r="X34" i="12" s="1"/>
  <c r="W34" i="12" a="1"/>
  <c r="W34" i="12" s="1"/>
  <c r="D186" i="12"/>
  <c r="I86" i="8"/>
  <c r="A86" i="8" s="1"/>
  <c r="E186" i="6"/>
  <c r="W38" i="12" a="1"/>
  <c r="W38" i="12" s="1"/>
  <c r="X38" i="12" a="1"/>
  <c r="X38" i="12" s="1"/>
  <c r="X93" i="12" a="1"/>
  <c r="X93" i="12" s="1"/>
  <c r="W93" i="12" a="1"/>
  <c r="W93" i="12" s="1"/>
  <c r="D17" i="12"/>
  <c r="E17" i="6"/>
  <c r="I17" i="8"/>
  <c r="A17" i="8" s="1"/>
  <c r="X18" i="12" a="1"/>
  <c r="X18" i="12" s="1"/>
  <c r="W18" i="12" a="1"/>
  <c r="W18" i="12" s="1"/>
  <c r="X134" i="12" a="1"/>
  <c r="X134" i="12" s="1"/>
  <c r="W134" i="12" a="1"/>
  <c r="W134" i="12" s="1"/>
  <c r="W28" i="12" a="1"/>
  <c r="W28" i="12" s="1"/>
  <c r="X28" i="12" a="1"/>
  <c r="X28" i="12" s="1"/>
  <c r="X81" i="12" a="1"/>
  <c r="X81" i="12" s="1"/>
  <c r="W81" i="12" a="1"/>
  <c r="W81" i="12" s="1"/>
  <c r="X65" i="12" a="1"/>
  <c r="X65" i="12" s="1"/>
  <c r="W65" i="12" a="1"/>
  <c r="W65" i="12" s="1"/>
  <c r="I80" i="8"/>
  <c r="A80" i="8" s="1"/>
  <c r="D166" i="12"/>
  <c r="E166" i="6"/>
  <c r="X100" i="12" a="1"/>
  <c r="X100" i="12" s="1"/>
  <c r="W100" i="12" a="1"/>
  <c r="W100" i="12" s="1"/>
  <c r="X99" i="12" a="1"/>
  <c r="X99" i="12" s="1"/>
  <c r="W99" i="12" a="1"/>
  <c r="W99" i="12" s="1"/>
  <c r="E83" i="6"/>
  <c r="D83" i="12"/>
  <c r="I47" i="8"/>
  <c r="A47" i="8" s="1"/>
  <c r="K83" i="12"/>
  <c r="X20" i="12" a="1"/>
  <c r="X20" i="12" s="1"/>
  <c r="W20" i="12" a="1"/>
  <c r="W20" i="12" s="1"/>
  <c r="X127" i="12" a="1"/>
  <c r="X127" i="12" s="1"/>
  <c r="W127" i="12" a="1"/>
  <c r="W127" i="12" s="1"/>
  <c r="X113" i="12" a="1"/>
  <c r="X113" i="12" s="1"/>
  <c r="W113" i="12" a="1"/>
  <c r="W113" i="12" s="1"/>
  <c r="T61" i="12"/>
  <c r="V61" i="12" a="1"/>
  <c r="V61" i="12" s="1"/>
  <c r="U61" i="12"/>
  <c r="W137" i="12" a="1"/>
  <c r="W137" i="12" s="1"/>
  <c r="X137" i="12" a="1"/>
  <c r="X137" i="12" s="1"/>
  <c r="X79" i="12" a="1"/>
  <c r="X79" i="12" s="1"/>
  <c r="W79" i="12" a="1"/>
  <c r="W79" i="12" s="1"/>
  <c r="W57" i="12" a="1"/>
  <c r="W57" i="12" s="1"/>
  <c r="X57" i="12" a="1"/>
  <c r="X57" i="12" s="1"/>
  <c r="X86" i="12" a="1"/>
  <c r="X86" i="12" s="1"/>
  <c r="W86" i="12" a="1"/>
  <c r="W86" i="12" s="1"/>
  <c r="X169" i="12" a="1"/>
  <c r="X169" i="12" s="1"/>
  <c r="W169" i="12" a="1"/>
  <c r="W169" i="12" s="1"/>
  <c r="X167" i="12" a="1"/>
  <c r="X167" i="12" s="1"/>
  <c r="W167" i="12" a="1"/>
  <c r="W167" i="12" s="1"/>
  <c r="W19" i="12" a="1"/>
  <c r="W19" i="12" s="1"/>
  <c r="X19" i="12" a="1"/>
  <c r="X19" i="12" s="1"/>
  <c r="V161" i="12" a="1"/>
  <c r="V161" i="12" s="1"/>
  <c r="T161" i="12"/>
  <c r="U161" i="12"/>
  <c r="I53" i="8"/>
  <c r="A53" i="8" s="1"/>
  <c r="E98" i="6"/>
  <c r="D98" i="12"/>
  <c r="T29" i="12"/>
  <c r="U29" i="12"/>
  <c r="V29" i="12" a="1"/>
  <c r="V29" i="12" s="1"/>
  <c r="W153" i="12" a="1"/>
  <c r="W153" i="12" s="1"/>
  <c r="X153" i="12" a="1"/>
  <c r="X153" i="12" s="1"/>
  <c r="I154" i="12"/>
  <c r="AM154" i="5"/>
  <c r="S74" i="8"/>
  <c r="L154" i="5"/>
  <c r="Z154" i="5"/>
  <c r="AC155" i="5" a="1"/>
  <c r="AC155" i="5" s="1"/>
  <c r="C155" i="6"/>
  <c r="O155" i="5"/>
  <c r="W23" i="12" a="1"/>
  <c r="W23" i="12" s="1"/>
  <c r="X23" i="12" a="1"/>
  <c r="X23" i="12" s="1"/>
  <c r="T112" i="12"/>
  <c r="U112" i="12"/>
  <c r="V112" i="12" a="1"/>
  <c r="V112" i="12" s="1"/>
  <c r="X95" i="12" a="1"/>
  <c r="X95" i="12" s="1"/>
  <c r="W95" i="12" a="1"/>
  <c r="W95" i="12" s="1"/>
  <c r="X120" i="12" a="1"/>
  <c r="X120" i="12" s="1"/>
  <c r="W120" i="12" a="1"/>
  <c r="W120" i="12" s="1"/>
  <c r="N91" i="12"/>
  <c r="X92" i="12" a="1"/>
  <c r="X92" i="12" s="1"/>
  <c r="W92" i="12" a="1"/>
  <c r="W92" i="12" s="1"/>
  <c r="X152" i="12" a="1"/>
  <c r="X152" i="12" s="1"/>
  <c r="W152" i="12" a="1"/>
  <c r="W152" i="12" s="1"/>
  <c r="X106" i="12" a="1"/>
  <c r="X106" i="12" s="1"/>
  <c r="W106" i="12" a="1"/>
  <c r="W106" i="12" s="1"/>
  <c r="W80" i="12" a="1"/>
  <c r="W80" i="12" s="1"/>
  <c r="X80" i="12" a="1"/>
  <c r="X80" i="12" s="1"/>
  <c r="X110" i="12" a="1"/>
  <c r="X110" i="12" s="1"/>
  <c r="W110" i="12" a="1"/>
  <c r="W110" i="12" s="1"/>
  <c r="E114" i="6"/>
  <c r="I65" i="8"/>
  <c r="A65" i="8" s="1"/>
  <c r="D114" i="12"/>
  <c r="Y114" i="12"/>
  <c r="N32" i="12"/>
  <c r="V42" i="12" a="1"/>
  <c r="V42" i="12" s="1"/>
  <c r="U42" i="12"/>
  <c r="T42" i="12"/>
  <c r="V148" i="12" a="1"/>
  <c r="V148" i="12" s="1"/>
  <c r="U148" i="12"/>
  <c r="T148" i="12"/>
  <c r="D38" i="12"/>
  <c r="I29" i="8"/>
  <c r="A29" i="8" s="1"/>
  <c r="E38" i="6"/>
  <c r="T116" i="12"/>
  <c r="V116" i="12" a="1"/>
  <c r="V116" i="12" s="1"/>
  <c r="U116" i="12"/>
  <c r="U141" i="12"/>
  <c r="T141" i="12"/>
  <c r="V141" i="12" a="1"/>
  <c r="V141" i="12" s="1"/>
  <c r="I50" i="8"/>
  <c r="A50" i="8" s="1"/>
  <c r="E91" i="6"/>
  <c r="D91" i="12"/>
  <c r="V158" i="12" a="1"/>
  <c r="V158" i="12" s="1"/>
  <c r="T158" i="12"/>
  <c r="U158" i="12"/>
  <c r="W31" i="12" a="1"/>
  <c r="W31" i="12" s="1"/>
  <c r="X31" i="12" a="1"/>
  <c r="X31" i="12" s="1"/>
  <c r="K166" i="12"/>
  <c r="V136" i="12" a="1"/>
  <c r="V136" i="12" s="1"/>
  <c r="T136" i="12"/>
  <c r="U136" i="12"/>
  <c r="W52" i="12" a="1"/>
  <c r="W52" i="12" s="1"/>
  <c r="X52" i="12" a="1"/>
  <c r="X52" i="12" s="1"/>
  <c r="U35" i="12"/>
  <c r="V35" i="12" a="1"/>
  <c r="V35" i="12" s="1"/>
  <c r="T35" i="12"/>
  <c r="T117" i="12"/>
  <c r="U117" i="12"/>
  <c r="V117" i="12" a="1"/>
  <c r="V117" i="12" s="1"/>
  <c r="V124" i="12" a="1"/>
  <c r="V124" i="12" s="1"/>
  <c r="U124" i="12"/>
  <c r="T124" i="12"/>
  <c r="W111" i="12" a="1"/>
  <c r="W111" i="12" s="1"/>
  <c r="X111" i="12" a="1"/>
  <c r="X111" i="12" s="1"/>
  <c r="D136" i="12" l="1"/>
  <c r="E136" i="6"/>
  <c r="I138" i="5"/>
  <c r="O137" i="5"/>
  <c r="U111" i="12"/>
  <c r="T111" i="12"/>
  <c r="V111" i="12" a="1"/>
  <c r="V111" i="12" s="1"/>
  <c r="V152" i="12" a="1"/>
  <c r="V152" i="12" s="1"/>
  <c r="T152" i="12"/>
  <c r="U152" i="12"/>
  <c r="U52" i="12"/>
  <c r="T52" i="12"/>
  <c r="V52" i="12" a="1"/>
  <c r="V52" i="12" s="1"/>
  <c r="T31" i="12"/>
  <c r="U31" i="12"/>
  <c r="V31" i="12" a="1"/>
  <c r="V31" i="12" s="1"/>
  <c r="V80" i="12" a="1"/>
  <c r="V80" i="12" s="1"/>
  <c r="U80" i="12"/>
  <c r="T80" i="12"/>
  <c r="V120" i="12" a="1"/>
  <c r="V120" i="12" s="1"/>
  <c r="U120" i="12"/>
  <c r="T120" i="12"/>
  <c r="T95" i="12"/>
  <c r="U95" i="12"/>
  <c r="V95" i="12" a="1"/>
  <c r="V95" i="12" s="1"/>
  <c r="V23" i="12" a="1"/>
  <c r="V23" i="12" s="1"/>
  <c r="T23" i="12"/>
  <c r="U23" i="12"/>
  <c r="AB74" i="8" a="1"/>
  <c r="AB74" i="8" s="1"/>
  <c r="X74" i="8" a="1"/>
  <c r="X74" i="8" s="1"/>
  <c r="AC74" i="8" a="1"/>
  <c r="AC74" i="8" s="1"/>
  <c r="H74" i="8" a="1"/>
  <c r="H74" i="8" s="1"/>
  <c r="J75" i="8" s="1"/>
  <c r="V74" i="8" a="1"/>
  <c r="V74" i="8" s="1"/>
  <c r="W74" i="8" a="1"/>
  <c r="W74" i="8" s="1"/>
  <c r="AD74" i="8" a="1"/>
  <c r="AD74" i="8" s="1"/>
  <c r="AA74" i="8" a="1"/>
  <c r="AA74" i="8" s="1"/>
  <c r="D74" i="8"/>
  <c r="H75" i="8" a="1"/>
  <c r="H75" i="8" s="1"/>
  <c r="Z74" i="8" a="1"/>
  <c r="Z74" i="8" s="1"/>
  <c r="G74" i="8"/>
  <c r="E74" i="8" a="1"/>
  <c r="E74" i="8" s="1"/>
  <c r="AF74" i="8" a="1"/>
  <c r="AF74" i="8" s="1"/>
  <c r="U74" i="8" a="1"/>
  <c r="U74" i="8" s="1"/>
  <c r="AE74" i="8" a="1"/>
  <c r="AE74" i="8" s="1"/>
  <c r="Y74" i="8" a="1"/>
  <c r="Y74" i="8" s="1"/>
  <c r="L154" i="12" a="1"/>
  <c r="L154" i="12" s="1"/>
  <c r="C154" i="12"/>
  <c r="J154" i="12" a="1"/>
  <c r="J154" i="12" s="1"/>
  <c r="K154" i="12" s="1"/>
  <c r="T153" i="12"/>
  <c r="V153" i="12" a="1"/>
  <c r="V153" i="12" s="1"/>
  <c r="U153" i="12"/>
  <c r="U167" i="12"/>
  <c r="V167" i="12" a="1"/>
  <c r="V167" i="12" s="1"/>
  <c r="T167" i="12"/>
  <c r="V169" i="12" a="1"/>
  <c r="V169" i="12" s="1"/>
  <c r="T169" i="12"/>
  <c r="U169" i="12"/>
  <c r="V86" i="12" a="1"/>
  <c r="V86" i="12" s="1"/>
  <c r="U86" i="12"/>
  <c r="T86" i="12"/>
  <c r="V79" i="12" a="1"/>
  <c r="V79" i="12" s="1"/>
  <c r="T79" i="12"/>
  <c r="U79" i="12"/>
  <c r="V65" i="12" a="1"/>
  <c r="V65" i="12" s="1"/>
  <c r="T65" i="12"/>
  <c r="U65" i="12"/>
  <c r="U81" i="12"/>
  <c r="V81" i="12" a="1"/>
  <c r="V81" i="12" s="1"/>
  <c r="T81" i="12"/>
  <c r="T134" i="12"/>
  <c r="U134" i="12"/>
  <c r="V134" i="12" a="1"/>
  <c r="V134" i="12" s="1"/>
  <c r="V18" i="12" a="1"/>
  <c r="V18" i="12" s="1"/>
  <c r="U18" i="12"/>
  <c r="T18" i="12"/>
  <c r="U38" i="12"/>
  <c r="V38" i="12" a="1"/>
  <c r="V38" i="12" s="1"/>
  <c r="T38" i="12"/>
  <c r="V34" i="12" a="1"/>
  <c r="V34" i="12" s="1"/>
  <c r="U34" i="12"/>
  <c r="T34" i="12"/>
  <c r="U63" i="12"/>
  <c r="V63" i="12" a="1"/>
  <c r="V63" i="12" s="1"/>
  <c r="T63" i="12"/>
  <c r="I73" i="5"/>
  <c r="O73" i="5" s="1"/>
  <c r="O72" i="5"/>
  <c r="U149" i="12"/>
  <c r="V149" i="12" a="1"/>
  <c r="V149" i="12" s="1"/>
  <c r="T149" i="12"/>
  <c r="V56" i="12" a="1"/>
  <c r="V56" i="12" s="1"/>
  <c r="U56" i="12"/>
  <c r="T56" i="12"/>
  <c r="V45" i="12" a="1"/>
  <c r="V45" i="12" s="1"/>
  <c r="T45" i="12"/>
  <c r="U45" i="12"/>
  <c r="T163" i="12"/>
  <c r="U163" i="12"/>
  <c r="V163" i="12" a="1"/>
  <c r="V163" i="12" s="1"/>
  <c r="V160" i="12" a="1"/>
  <c r="V160" i="12" s="1"/>
  <c r="T160" i="12"/>
  <c r="U160" i="12"/>
  <c r="T168" i="12"/>
  <c r="U168" i="12"/>
  <c r="V168" i="12" a="1"/>
  <c r="V168" i="12" s="1"/>
  <c r="T186" i="12"/>
  <c r="V186" i="12" a="1"/>
  <c r="V186" i="12" s="1"/>
  <c r="U186" i="12"/>
  <c r="T67" i="12"/>
  <c r="V67" i="12" a="1"/>
  <c r="V67" i="12" s="1"/>
  <c r="U67" i="12"/>
  <c r="V47" i="12" a="1"/>
  <c r="V47" i="12" s="1"/>
  <c r="T47" i="12"/>
  <c r="U47" i="12"/>
  <c r="T21" i="12"/>
  <c r="V21" i="12" a="1"/>
  <c r="V21" i="12" s="1"/>
  <c r="U21" i="12"/>
  <c r="X109" i="12" a="1"/>
  <c r="X109" i="12" s="1"/>
  <c r="W109" i="12" a="1"/>
  <c r="W109" i="12" s="1"/>
  <c r="X105" i="12" a="1"/>
  <c r="X105" i="12" s="1"/>
  <c r="W105" i="12" a="1"/>
  <c r="W105" i="12" s="1"/>
  <c r="U49" i="12"/>
  <c r="V49" i="12" a="1"/>
  <c r="V49" i="12" s="1"/>
  <c r="T49" i="12"/>
  <c r="X22" i="12" a="1"/>
  <c r="X22" i="12" s="1"/>
  <c r="W22" i="12" a="1"/>
  <c r="W22" i="12" s="1"/>
  <c r="AO154" i="12" a="1"/>
  <c r="AO154" i="12" s="1"/>
  <c r="Y155" i="12"/>
  <c r="U58" i="12"/>
  <c r="V58" i="12" a="1"/>
  <c r="V58" i="12" s="1"/>
  <c r="T58" i="12"/>
  <c r="V162" i="12" a="1"/>
  <c r="V162" i="12" s="1"/>
  <c r="U162" i="12"/>
  <c r="T162" i="12"/>
  <c r="T190" i="12"/>
  <c r="V190" i="12" a="1"/>
  <c r="V190" i="12" s="1"/>
  <c r="U190" i="12"/>
  <c r="T76" i="12"/>
  <c r="U76" i="12"/>
  <c r="V76" i="12" a="1"/>
  <c r="V76" i="12" s="1"/>
  <c r="AP15" i="6"/>
  <c r="AK15" i="6"/>
  <c r="AT15" i="6"/>
  <c r="AA43" i="8" a="1"/>
  <c r="AA43" i="8" s="1"/>
  <c r="AN15" i="6"/>
  <c r="AL15" i="6"/>
  <c r="AS15" i="6"/>
  <c r="T140" i="12"/>
  <c r="V140" i="12" a="1"/>
  <c r="V140" i="12" s="1"/>
  <c r="U140" i="12"/>
  <c r="T121" i="12"/>
  <c r="U121" i="12"/>
  <c r="V121" i="12" a="1"/>
  <c r="V121" i="12" s="1"/>
  <c r="U30" i="12"/>
  <c r="V30" i="12" a="1"/>
  <c r="V30" i="12" s="1"/>
  <c r="T30" i="12"/>
  <c r="W75" i="12" a="1"/>
  <c r="W75" i="12" s="1"/>
  <c r="X75" i="12" a="1"/>
  <c r="X75" i="12" s="1"/>
  <c r="U39" i="12"/>
  <c r="T39" i="12"/>
  <c r="V39" i="12" a="1"/>
  <c r="V39" i="12" s="1"/>
  <c r="V32" i="12" a="1"/>
  <c r="V32" i="12" s="1"/>
  <c r="U32" i="12"/>
  <c r="T32" i="12"/>
  <c r="T40" i="12"/>
  <c r="U40" i="12"/>
  <c r="V40" i="12" a="1"/>
  <c r="V40" i="12" s="1"/>
  <c r="T44" i="12"/>
  <c r="V44" i="12" a="1"/>
  <c r="V44" i="12" s="1"/>
  <c r="U44" i="12"/>
  <c r="T159" i="12"/>
  <c r="V159" i="12" a="1"/>
  <c r="V159" i="12" s="1"/>
  <c r="U159" i="12"/>
  <c r="V146" i="12" a="1"/>
  <c r="V146" i="12" s="1"/>
  <c r="U146" i="12"/>
  <c r="T146" i="12"/>
  <c r="V187" i="12" a="1"/>
  <c r="V187" i="12" s="1"/>
  <c r="T187" i="12"/>
  <c r="U187" i="12"/>
  <c r="W114" i="12" a="1"/>
  <c r="W114" i="12" s="1"/>
  <c r="X114" i="12" a="1"/>
  <c r="X114" i="12" s="1"/>
  <c r="T110" i="12"/>
  <c r="V110" i="12" a="1"/>
  <c r="V110" i="12" s="1"/>
  <c r="U110" i="12"/>
  <c r="U106" i="12"/>
  <c r="T106" i="12"/>
  <c r="V106" i="12" a="1"/>
  <c r="V106" i="12" s="1"/>
  <c r="U92" i="12"/>
  <c r="T92" i="12"/>
  <c r="V92" i="12" a="1"/>
  <c r="V92" i="12" s="1"/>
  <c r="E155" i="6"/>
  <c r="D155" i="12"/>
  <c r="O154" i="5"/>
  <c r="AC154" i="5" a="1"/>
  <c r="AC154" i="5" s="1"/>
  <c r="C154" i="6"/>
  <c r="T19" i="12"/>
  <c r="U19" i="12"/>
  <c r="V19" i="12" a="1"/>
  <c r="V19" i="12" s="1"/>
  <c r="V57" i="12" a="1"/>
  <c r="V57" i="12" s="1"/>
  <c r="T57" i="12"/>
  <c r="U57" i="12"/>
  <c r="V137" i="12" a="1"/>
  <c r="V137" i="12" s="1"/>
  <c r="U137" i="12"/>
  <c r="T137" i="12"/>
  <c r="V113" i="12" a="1"/>
  <c r="V113" i="12" s="1"/>
  <c r="U113" i="12"/>
  <c r="T113" i="12"/>
  <c r="T127" i="12"/>
  <c r="U127" i="12"/>
  <c r="V127" i="12" a="1"/>
  <c r="V127" i="12" s="1"/>
  <c r="T20" i="12"/>
  <c r="V20" i="12" a="1"/>
  <c r="V20" i="12" s="1"/>
  <c r="U20" i="12"/>
  <c r="T99" i="12"/>
  <c r="U99" i="12"/>
  <c r="V99" i="12" a="1"/>
  <c r="V99" i="12" s="1"/>
  <c r="U100" i="12"/>
  <c r="T100" i="12"/>
  <c r="V100" i="12" a="1"/>
  <c r="V100" i="12" s="1"/>
  <c r="T28" i="12"/>
  <c r="V28" i="12" a="1"/>
  <c r="V28" i="12" s="1"/>
  <c r="U28" i="12"/>
  <c r="V93" i="12" a="1"/>
  <c r="V93" i="12" s="1"/>
  <c r="T93" i="12"/>
  <c r="U93" i="12"/>
  <c r="E71" i="6"/>
  <c r="D71" i="12"/>
  <c r="T108" i="12"/>
  <c r="U108" i="12"/>
  <c r="V108" i="12" a="1"/>
  <c r="V108" i="12" s="1"/>
  <c r="V145" i="12" a="1"/>
  <c r="V145" i="12" s="1"/>
  <c r="U145" i="12"/>
  <c r="T145" i="12"/>
  <c r="X165" i="5" a="1"/>
  <c r="X165" i="5" s="1"/>
  <c r="X51" i="12" a="1"/>
  <c r="X51" i="12" s="1"/>
  <c r="W51" i="12" a="1"/>
  <c r="W51" i="12" s="1"/>
  <c r="W83" i="12" a="1"/>
  <c r="W83" i="12" s="1"/>
  <c r="X83" i="12" a="1"/>
  <c r="X83" i="12" s="1"/>
  <c r="T55" i="12"/>
  <c r="V55" i="12" a="1"/>
  <c r="V55" i="12" s="1"/>
  <c r="U55" i="12"/>
  <c r="W17" i="12" a="1"/>
  <c r="W17" i="12" s="1"/>
  <c r="X17" i="12" a="1"/>
  <c r="X17" i="12" s="1"/>
  <c r="U115" i="12"/>
  <c r="T115" i="12"/>
  <c r="V115" i="12" a="1"/>
  <c r="V115" i="12" s="1"/>
  <c r="V103" i="12" a="1"/>
  <c r="V103" i="12" s="1"/>
  <c r="U103" i="12"/>
  <c r="T103" i="12"/>
  <c r="U25" i="12"/>
  <c r="V25" i="12" a="1"/>
  <c r="V25" i="12" s="1"/>
  <c r="T25" i="12"/>
  <c r="V54" i="12" a="1"/>
  <c r="V54" i="12" s="1"/>
  <c r="U54" i="12"/>
  <c r="T54" i="12"/>
  <c r="X91" i="12" a="1"/>
  <c r="X91" i="12" s="1"/>
  <c r="W91" i="12" a="1"/>
  <c r="W91" i="12" s="1"/>
  <c r="T138" i="12"/>
  <c r="V138" i="12" a="1"/>
  <c r="V138" i="12" s="1"/>
  <c r="U138" i="12"/>
  <c r="O154" i="12" a="1"/>
  <c r="O154" i="12" s="1"/>
  <c r="N154" i="12" s="1"/>
  <c r="N155" i="12"/>
  <c r="V33" i="12" a="1"/>
  <c r="V33" i="12" s="1"/>
  <c r="U33" i="12"/>
  <c r="T33" i="12"/>
  <c r="V68" i="12" a="1"/>
  <c r="V68" i="12" s="1"/>
  <c r="T68" i="12"/>
  <c r="U68" i="12"/>
  <c r="T131" i="12"/>
  <c r="V131" i="12" a="1"/>
  <c r="V131" i="12" s="1"/>
  <c r="U131" i="12"/>
  <c r="AM15" i="6"/>
  <c r="AR15" i="6"/>
  <c r="AO15" i="6"/>
  <c r="X74" i="5" a="1"/>
  <c r="X74" i="5" s="1"/>
  <c r="AJ15" i="6"/>
  <c r="AQ15" i="6"/>
  <c r="AU15" i="6"/>
  <c r="AB15" i="6" s="1"/>
  <c r="AB11" i="6" s="1"/>
  <c r="T98" i="12"/>
  <c r="U98" i="12"/>
  <c r="V98" i="12" a="1"/>
  <c r="V98" i="12" s="1"/>
  <c r="T66" i="12"/>
  <c r="U66" i="12"/>
  <c r="V66" i="12" a="1"/>
  <c r="V66" i="12" s="1"/>
  <c r="U94" i="12"/>
  <c r="V94" i="12" a="1"/>
  <c r="V94" i="12" s="1"/>
  <c r="T94" i="12"/>
  <c r="W27" i="12" a="1"/>
  <c r="W27" i="12" s="1"/>
  <c r="X27" i="12" a="1"/>
  <c r="X27" i="12" s="1"/>
  <c r="U189" i="12"/>
  <c r="V189" i="12" a="1"/>
  <c r="V189" i="12" s="1"/>
  <c r="T189" i="12"/>
  <c r="U104" i="12"/>
  <c r="V104" i="12" a="1"/>
  <c r="V104" i="12" s="1"/>
  <c r="T104" i="12"/>
  <c r="U164" i="12"/>
  <c r="V164" i="12" a="1"/>
  <c r="V164" i="12" s="1"/>
  <c r="T164" i="12"/>
  <c r="V143" i="12" a="1"/>
  <c r="V143" i="12" s="1"/>
  <c r="T143" i="12"/>
  <c r="U143" i="12"/>
  <c r="U50" i="12"/>
  <c r="V50" i="12" a="1"/>
  <c r="V50" i="12" s="1"/>
  <c r="T50" i="12"/>
  <c r="U166" i="12"/>
  <c r="T166" i="12"/>
  <c r="V166" i="12" a="1"/>
  <c r="V166" i="12" s="1"/>
  <c r="D137" i="12" l="1"/>
  <c r="E137" i="6"/>
  <c r="I139" i="5"/>
  <c r="O138" i="5"/>
  <c r="U27" i="12"/>
  <c r="T27" i="12"/>
  <c r="V27" i="12" a="1"/>
  <c r="V27" i="12" s="1"/>
  <c r="E27" i="7" a="1"/>
  <c r="E27" i="7" s="1"/>
  <c r="E32" i="7" a="1"/>
  <c r="E32" i="7" s="1"/>
  <c r="H35" i="7" a="1"/>
  <c r="H35" i="7" s="1"/>
  <c r="H25" i="7" a="1"/>
  <c r="H25" i="7" s="1"/>
  <c r="H23" i="7" a="1"/>
  <c r="H23" i="7" s="1"/>
  <c r="E37" i="7" a="1"/>
  <c r="E37" i="7" s="1"/>
  <c r="H31" i="7" a="1"/>
  <c r="H31" i="7" s="1"/>
  <c r="E33" i="7" a="1"/>
  <c r="E33" i="7" s="1"/>
  <c r="H27" i="7" a="1"/>
  <c r="H27" i="7" s="1"/>
  <c r="H33" i="7" a="1"/>
  <c r="H33" i="7" s="1"/>
  <c r="E26" i="7" a="1"/>
  <c r="E26" i="7" s="1"/>
  <c r="H1" i="7" a="1"/>
  <c r="H1" i="7" s="1"/>
  <c r="H44" i="7" a="1"/>
  <c r="H44" i="7" s="1"/>
  <c r="E23" i="7" a="1"/>
  <c r="E23" i="7" s="1"/>
  <c r="E25" i="7" a="1"/>
  <c r="E25" i="7" s="1"/>
  <c r="E18" i="7" a="1"/>
  <c r="E18" i="7" s="1"/>
  <c r="H40" i="7" a="1"/>
  <c r="H40" i="7" s="1"/>
  <c r="E17" i="7" a="1"/>
  <c r="E17" i="7" s="1"/>
  <c r="E41" i="7" a="1"/>
  <c r="E41" i="7" s="1"/>
  <c r="E36" i="7" a="1"/>
  <c r="E36" i="7" s="1"/>
  <c r="F1" i="7"/>
  <c r="F31" i="7"/>
  <c r="H18" i="7" a="1"/>
  <c r="H18" i="7" s="1"/>
  <c r="F25" i="7"/>
  <c r="E1" i="7" a="1"/>
  <c r="E1" i="7" s="1"/>
  <c r="F26" i="7"/>
  <c r="E30" i="7" a="1"/>
  <c r="E30" i="7" s="1"/>
  <c r="F18" i="7"/>
  <c r="H37" i="7" a="1"/>
  <c r="H37" i="7" s="1"/>
  <c r="F34" i="7"/>
  <c r="E40" i="7" a="1"/>
  <c r="E40" i="7" s="1"/>
  <c r="F44" i="7"/>
  <c r="F17" i="7"/>
  <c r="F24" i="7"/>
  <c r="F43" i="7"/>
  <c r="E45" i="7" a="1"/>
  <c r="E45" i="7" s="1"/>
  <c r="E19" i="7" a="1"/>
  <c r="E19" i="7" s="1"/>
  <c r="E28" i="7" a="1"/>
  <c r="E28" i="7" s="1"/>
  <c r="H43" i="7" a="1"/>
  <c r="H43" i="7" s="1"/>
  <c r="H41" i="7" a="1"/>
  <c r="H41" i="7" s="1"/>
  <c r="E20" i="7" a="1"/>
  <c r="E20" i="7" s="1"/>
  <c r="H26" i="7" a="1"/>
  <c r="H26" i="7" s="1"/>
  <c r="H38" i="7" a="1"/>
  <c r="H38" i="7" s="1"/>
  <c r="H24" i="7" a="1"/>
  <c r="H24" i="7" s="1"/>
  <c r="E34" i="7" a="1"/>
  <c r="E34" i="7" s="1"/>
  <c r="E43" i="7" a="1"/>
  <c r="E43" i="7" s="1"/>
  <c r="H21" i="7" a="1"/>
  <c r="H21" i="7" s="1"/>
  <c r="H34" i="7" a="1"/>
  <c r="H34" i="7" s="1"/>
  <c r="H32" i="7" a="1"/>
  <c r="H32" i="7" s="1"/>
  <c r="E35" i="7" a="1"/>
  <c r="E35" i="7" s="1"/>
  <c r="E22" i="7" a="1"/>
  <c r="E22" i="7" s="1"/>
  <c r="H19" i="7" a="1"/>
  <c r="H19" i="7" s="1"/>
  <c r="H45" i="7" a="1"/>
  <c r="H45" i="7" s="1"/>
  <c r="E21" i="7" a="1"/>
  <c r="E21" i="7" s="1"/>
  <c r="E39" i="7" a="1"/>
  <c r="E39" i="7" s="1"/>
  <c r="F23" i="7"/>
  <c r="F22" i="7"/>
  <c r="H39" i="7" a="1"/>
  <c r="H39" i="7" s="1"/>
  <c r="F37" i="7"/>
  <c r="E24" i="7" a="1"/>
  <c r="E24" i="7" s="1"/>
  <c r="H17" i="7" a="1"/>
  <c r="H17" i="7" s="1"/>
  <c r="F35" i="7"/>
  <c r="E38" i="7" a="1"/>
  <c r="E38" i="7" s="1"/>
  <c r="F40" i="7"/>
  <c r="H36" i="7" a="1"/>
  <c r="H36" i="7" s="1"/>
  <c r="H42" i="7" a="1"/>
  <c r="H42" i="7" s="1"/>
  <c r="F39" i="7"/>
  <c r="H30" i="7" a="1"/>
  <c r="H30" i="7" s="1"/>
  <c r="F29" i="7"/>
  <c r="F33" i="7"/>
  <c r="F38" i="7"/>
  <c r="F27" i="7"/>
  <c r="F36" i="7"/>
  <c r="F28" i="7"/>
  <c r="A28" i="9" s="1"/>
  <c r="F45" i="7"/>
  <c r="H22" i="7" a="1"/>
  <c r="H22" i="7" s="1"/>
  <c r="F16" i="7"/>
  <c r="F42" i="7"/>
  <c r="F20" i="7"/>
  <c r="H29" i="7" a="1"/>
  <c r="H29" i="7" s="1"/>
  <c r="Q15" i="6"/>
  <c r="Q11" i="6" s="1"/>
  <c r="E16" i="7" a="1"/>
  <c r="E16" i="7" s="1"/>
  <c r="F19" i="7"/>
  <c r="F30" i="7"/>
  <c r="E29" i="7" a="1"/>
  <c r="E29" i="7" s="1"/>
  <c r="H28" i="7" a="1"/>
  <c r="H28" i="7" s="1"/>
  <c r="E44" i="7" a="1"/>
  <c r="E44" i="7" s="1"/>
  <c r="F32" i="7"/>
  <c r="F41" i="7"/>
  <c r="F21" i="7"/>
  <c r="E42" i="7" a="1"/>
  <c r="E42" i="7" s="1"/>
  <c r="H16" i="7" a="1"/>
  <c r="H16" i="7" s="1"/>
  <c r="E31" i="7" a="1"/>
  <c r="E31" i="7" s="1"/>
  <c r="H20" i="7" a="1"/>
  <c r="H20" i="7" s="1"/>
  <c r="M34" i="7" a="1"/>
  <c r="M34" i="7" s="1"/>
  <c r="M39" i="7" a="1"/>
  <c r="M39" i="7" s="1"/>
  <c r="M19" i="7" a="1"/>
  <c r="M19" i="7" s="1"/>
  <c r="M17" i="7" a="1"/>
  <c r="M17" i="7" s="1"/>
  <c r="M21" i="7" a="1"/>
  <c r="M21" i="7" s="1"/>
  <c r="M29" i="7" a="1"/>
  <c r="M29" i="7" s="1"/>
  <c r="M36" i="7" a="1"/>
  <c r="M36" i="7" s="1"/>
  <c r="M45" i="7" a="1"/>
  <c r="M45" i="7" s="1"/>
  <c r="V15" i="6"/>
  <c r="V11" i="6" s="1"/>
  <c r="M43" i="7" a="1"/>
  <c r="M43" i="7" s="1"/>
  <c r="M24" i="7" a="1"/>
  <c r="M24" i="7" s="1"/>
  <c r="M28" i="7" a="1"/>
  <c r="M28" i="7" s="1"/>
  <c r="M27" i="7" a="1"/>
  <c r="M27" i="7" s="1"/>
  <c r="M23" i="7" a="1"/>
  <c r="M23" i="7" s="1"/>
  <c r="M35" i="7" a="1"/>
  <c r="M35" i="7" s="1"/>
  <c r="M30" i="7" a="1"/>
  <c r="M30" i="7" s="1"/>
  <c r="M38" i="7" a="1"/>
  <c r="M38" i="7" s="1"/>
  <c r="M41" i="7" a="1"/>
  <c r="M41" i="7" s="1"/>
  <c r="M26" i="7" a="1"/>
  <c r="M26" i="7" s="1"/>
  <c r="M31" i="7" a="1"/>
  <c r="M31" i="7" s="1"/>
  <c r="M18" i="7" a="1"/>
  <c r="M18" i="7" s="1"/>
  <c r="M20" i="7" a="1"/>
  <c r="M20" i="7" s="1"/>
  <c r="M37" i="7" a="1"/>
  <c r="M37" i="7" s="1"/>
  <c r="M22" i="7" a="1"/>
  <c r="M22" i="7" s="1"/>
  <c r="M32" i="7" a="1"/>
  <c r="M32" i="7" s="1"/>
  <c r="M33" i="7" a="1"/>
  <c r="M33" i="7" s="1"/>
  <c r="M44" i="7" a="1"/>
  <c r="M44" i="7" s="1"/>
  <c r="M42" i="7" a="1"/>
  <c r="M42" i="7" s="1"/>
  <c r="M1" i="7" a="1"/>
  <c r="M1" i="7" s="1"/>
  <c r="M40" i="7" a="1"/>
  <c r="M40" i="7" s="1"/>
  <c r="M25" i="7" a="1"/>
  <c r="M25" i="7" s="1"/>
  <c r="M16" i="7" a="1"/>
  <c r="M16" i="7" s="1"/>
  <c r="M14" i="7" s="1"/>
  <c r="K30" i="7" a="1"/>
  <c r="K30" i="7" s="1"/>
  <c r="K17" i="7" a="1"/>
  <c r="K17" i="7" s="1"/>
  <c r="K35" i="7" a="1"/>
  <c r="K35" i="7" s="1"/>
  <c r="K1" i="7" a="1"/>
  <c r="K1" i="7" s="1"/>
  <c r="K33" i="7" a="1"/>
  <c r="K33" i="7" s="1"/>
  <c r="K43" i="7" a="1"/>
  <c r="K43" i="7" s="1"/>
  <c r="K28" i="7" a="1"/>
  <c r="K28" i="7" s="1"/>
  <c r="K18" i="7" a="1"/>
  <c r="K18" i="7" s="1"/>
  <c r="K24" i="7" a="1"/>
  <c r="K24" i="7" s="1"/>
  <c r="K34" i="7" a="1"/>
  <c r="K34" i="7" s="1"/>
  <c r="T15" i="6"/>
  <c r="T11" i="6" s="1"/>
  <c r="K45" i="7" a="1"/>
  <c r="K45" i="7" s="1"/>
  <c r="K31" i="7" a="1"/>
  <c r="K31" i="7" s="1"/>
  <c r="K41" i="7" a="1"/>
  <c r="K41" i="7" s="1"/>
  <c r="K44" i="7" a="1"/>
  <c r="K44" i="7" s="1"/>
  <c r="K27" i="7" a="1"/>
  <c r="K27" i="7" s="1"/>
  <c r="K36" i="7" a="1"/>
  <c r="K36" i="7" s="1"/>
  <c r="K16" i="7" a="1"/>
  <c r="K16" i="7" s="1"/>
  <c r="K22" i="7" a="1"/>
  <c r="K22" i="7" s="1"/>
  <c r="K42" i="7" a="1"/>
  <c r="K42" i="7" s="1"/>
  <c r="K19" i="7" a="1"/>
  <c r="K19" i="7" s="1"/>
  <c r="K39" i="7" a="1"/>
  <c r="K39" i="7" s="1"/>
  <c r="K23" i="7" a="1"/>
  <c r="K23" i="7" s="1"/>
  <c r="K26" i="7" a="1"/>
  <c r="K26" i="7" s="1"/>
  <c r="K38" i="7" a="1"/>
  <c r="K38" i="7" s="1"/>
  <c r="K25" i="7" a="1"/>
  <c r="K25" i="7" s="1"/>
  <c r="K21" i="7" a="1"/>
  <c r="K21" i="7" s="1"/>
  <c r="K29" i="7" a="1"/>
  <c r="K29" i="7" s="1"/>
  <c r="K32" i="7" a="1"/>
  <c r="K32" i="7" s="1"/>
  <c r="K40" i="7" a="1"/>
  <c r="K40" i="7" s="1"/>
  <c r="K37" i="7" a="1"/>
  <c r="K37" i="7" s="1"/>
  <c r="K20" i="7" a="1"/>
  <c r="K20" i="7" s="1"/>
  <c r="V17" i="12" a="1"/>
  <c r="V17" i="12" s="1"/>
  <c r="T17" i="12"/>
  <c r="U17" i="12"/>
  <c r="V51" i="12" a="1"/>
  <c r="V51" i="12" s="1"/>
  <c r="U51" i="12"/>
  <c r="T51" i="12"/>
  <c r="E154" i="6"/>
  <c r="D154" i="12"/>
  <c r="I74" i="8"/>
  <c r="A74" i="8" s="1"/>
  <c r="U114" i="12"/>
  <c r="T114" i="12"/>
  <c r="V114" i="12" a="1"/>
  <c r="V114" i="12" s="1"/>
  <c r="J32" i="7" a="1"/>
  <c r="J32" i="7" s="1"/>
  <c r="J22" i="7" a="1"/>
  <c r="J22" i="7" s="1"/>
  <c r="J1" i="7" a="1"/>
  <c r="J1" i="7" s="1"/>
  <c r="J18" i="7" a="1"/>
  <c r="J18" i="7" s="1"/>
  <c r="J45" i="7" a="1"/>
  <c r="J45" i="7" s="1"/>
  <c r="J26" i="7" a="1"/>
  <c r="J26" i="7" s="1"/>
  <c r="J24" i="7" a="1"/>
  <c r="J24" i="7" s="1"/>
  <c r="J37" i="7" a="1"/>
  <c r="J37" i="7" s="1"/>
  <c r="J42" i="7" a="1"/>
  <c r="J42" i="7" s="1"/>
  <c r="J34" i="7" a="1"/>
  <c r="J34" i="7" s="1"/>
  <c r="J30" i="7" a="1"/>
  <c r="J30" i="7" s="1"/>
  <c r="J29" i="7" a="1"/>
  <c r="J29" i="7" s="1"/>
  <c r="J16" i="7" a="1"/>
  <c r="J16" i="7" s="1"/>
  <c r="J19" i="7" a="1"/>
  <c r="J19" i="7" s="1"/>
  <c r="J43" i="7" a="1"/>
  <c r="J43" i="7" s="1"/>
  <c r="J38" i="7" a="1"/>
  <c r="J38" i="7" s="1"/>
  <c r="J41" i="7" a="1"/>
  <c r="J41" i="7" s="1"/>
  <c r="J31" i="7" a="1"/>
  <c r="J31" i="7" s="1"/>
  <c r="J33" i="7" a="1"/>
  <c r="J33" i="7" s="1"/>
  <c r="J40" i="7" a="1"/>
  <c r="J40" i="7" s="1"/>
  <c r="J28" i="7" a="1"/>
  <c r="J28" i="7" s="1"/>
  <c r="J44" i="7" a="1"/>
  <c r="J44" i="7" s="1"/>
  <c r="J27" i="7" a="1"/>
  <c r="J27" i="7" s="1"/>
  <c r="J17" i="7" a="1"/>
  <c r="J17" i="7" s="1"/>
  <c r="J35" i="7" a="1"/>
  <c r="J35" i="7" s="1"/>
  <c r="J20" i="7" a="1"/>
  <c r="J20" i="7" s="1"/>
  <c r="J21" i="7" a="1"/>
  <c r="J21" i="7" s="1"/>
  <c r="J39" i="7" a="1"/>
  <c r="J39" i="7" s="1"/>
  <c r="J36" i="7" a="1"/>
  <c r="J36" i="7" s="1"/>
  <c r="J25" i="7" a="1"/>
  <c r="J25" i="7" s="1"/>
  <c r="S15" i="6"/>
  <c r="S11" i="6" s="1"/>
  <c r="J23" i="7" a="1"/>
  <c r="J23" i="7" s="1"/>
  <c r="I45" i="7" a="1"/>
  <c r="I45" i="7" s="1"/>
  <c r="I24" i="7" a="1"/>
  <c r="I24" i="7" s="1"/>
  <c r="I25" i="7" a="1"/>
  <c r="I25" i="7" s="1"/>
  <c r="I42" i="7" a="1"/>
  <c r="I42" i="7" s="1"/>
  <c r="I33" i="7" a="1"/>
  <c r="I33" i="7" s="1"/>
  <c r="I39" i="7" a="1"/>
  <c r="I39" i="7" s="1"/>
  <c r="I17" i="7" a="1"/>
  <c r="I17" i="7" s="1"/>
  <c r="I22" i="7" a="1"/>
  <c r="I22" i="7" s="1"/>
  <c r="I29" i="7" a="1"/>
  <c r="I29" i="7" s="1"/>
  <c r="I21" i="7" a="1"/>
  <c r="I21" i="7" s="1"/>
  <c r="I41" i="7" a="1"/>
  <c r="I41" i="7" s="1"/>
  <c r="R15" i="6"/>
  <c r="R11" i="6" s="1"/>
  <c r="I1" i="7" a="1"/>
  <c r="I1" i="7" s="1"/>
  <c r="I40" i="7" a="1"/>
  <c r="I40" i="7" s="1"/>
  <c r="I19" i="7" a="1"/>
  <c r="I19" i="7" s="1"/>
  <c r="I37" i="7" a="1"/>
  <c r="I37" i="7" s="1"/>
  <c r="I31" i="7" a="1"/>
  <c r="I31" i="7" s="1"/>
  <c r="I38" i="7" a="1"/>
  <c r="I38" i="7" s="1"/>
  <c r="I34" i="7" a="1"/>
  <c r="I34" i="7" s="1"/>
  <c r="I20" i="7" a="1"/>
  <c r="I20" i="7" s="1"/>
  <c r="I16" i="7" a="1"/>
  <c r="I16" i="7" s="1"/>
  <c r="I32" i="7" a="1"/>
  <c r="I32" i="7" s="1"/>
  <c r="I27" i="7" a="1"/>
  <c r="I27" i="7" s="1"/>
  <c r="I28" i="7" a="1"/>
  <c r="I28" i="7" s="1"/>
  <c r="I43" i="7" a="1"/>
  <c r="I43" i="7" s="1"/>
  <c r="I18" i="7" a="1"/>
  <c r="I18" i="7" s="1"/>
  <c r="I30" i="7" a="1"/>
  <c r="I30" i="7" s="1"/>
  <c r="I23" i="7" a="1"/>
  <c r="I23" i="7" s="1"/>
  <c r="I36" i="7" a="1"/>
  <c r="I36" i="7" s="1"/>
  <c r="I44" i="7" a="1"/>
  <c r="I44" i="7" s="1"/>
  <c r="I35" i="7" a="1"/>
  <c r="I35" i="7" s="1"/>
  <c r="I26" i="7" a="1"/>
  <c r="I26" i="7" s="1"/>
  <c r="W155" i="12" a="1"/>
  <c r="W155" i="12" s="1"/>
  <c r="X155" i="12" a="1"/>
  <c r="X155" i="12" s="1"/>
  <c r="T22" i="12"/>
  <c r="U22" i="12"/>
  <c r="V22" i="12" a="1"/>
  <c r="V22" i="12" s="1"/>
  <c r="D72" i="12"/>
  <c r="E72" i="6"/>
  <c r="O42" i="7" a="1"/>
  <c r="O42" i="7" s="1"/>
  <c r="O18" i="7" a="1"/>
  <c r="O18" i="7" s="1"/>
  <c r="O23" i="7" a="1"/>
  <c r="O23" i="7" s="1"/>
  <c r="O44" i="7" a="1"/>
  <c r="O44" i="7" s="1"/>
  <c r="O21" i="7" a="1"/>
  <c r="O21" i="7" s="1"/>
  <c r="O33" i="7" a="1"/>
  <c r="O33" i="7" s="1"/>
  <c r="O45" i="7" a="1"/>
  <c r="O45" i="7" s="1"/>
  <c r="O24" i="7" a="1"/>
  <c r="O24" i="7" s="1"/>
  <c r="O40" i="7" a="1"/>
  <c r="O40" i="7" s="1"/>
  <c r="O27" i="7" a="1"/>
  <c r="O27" i="7" s="1"/>
  <c r="O31" i="7" a="1"/>
  <c r="O31" i="7" s="1"/>
  <c r="O1" i="7" a="1"/>
  <c r="O1" i="7" s="1"/>
  <c r="O19" i="7" a="1"/>
  <c r="O19" i="7" s="1"/>
  <c r="O39" i="7" a="1"/>
  <c r="O39" i="7" s="1"/>
  <c r="O16" i="7" a="1"/>
  <c r="O16" i="7" s="1"/>
  <c r="O29" i="7" a="1"/>
  <c r="O29" i="7" s="1"/>
  <c r="O38" i="7" a="1"/>
  <c r="O38" i="7" s="1"/>
  <c r="O34" i="7" a="1"/>
  <c r="O34" i="7" s="1"/>
  <c r="O28" i="7" a="1"/>
  <c r="O28" i="7" s="1"/>
  <c r="O37" i="7" a="1"/>
  <c r="O37" i="7" s="1"/>
  <c r="O36" i="7" a="1"/>
  <c r="O36" i="7" s="1"/>
  <c r="O43" i="7" a="1"/>
  <c r="O43" i="7" s="1"/>
  <c r="O22" i="7" a="1"/>
  <c r="O22" i="7" s="1"/>
  <c r="O35" i="7" a="1"/>
  <c r="O35" i="7" s="1"/>
  <c r="O20" i="7" a="1"/>
  <c r="O20" i="7" s="1"/>
  <c r="O17" i="7" a="1"/>
  <c r="O17" i="7" s="1"/>
  <c r="O41" i="7" a="1"/>
  <c r="O41" i="7" s="1"/>
  <c r="O25" i="7" a="1"/>
  <c r="O25" i="7" s="1"/>
  <c r="O26" i="7" a="1"/>
  <c r="O26" i="7" s="1"/>
  <c r="X15" i="6"/>
  <c r="X11" i="6" s="1"/>
  <c r="O32" i="7" a="1"/>
  <c r="O32" i="7" s="1"/>
  <c r="O30" i="7" a="1"/>
  <c r="O30" i="7" s="1"/>
  <c r="I74" i="12"/>
  <c r="L74" i="5"/>
  <c r="Z74" i="5"/>
  <c r="AM74" i="5"/>
  <c r="I74" i="5"/>
  <c r="X64" i="5" a="1"/>
  <c r="X64" i="5" s="1"/>
  <c r="X16" i="5" a="1"/>
  <c r="X16" i="5" s="1"/>
  <c r="X15" i="5"/>
  <c r="P1" i="7" a="1"/>
  <c r="P1" i="7" s="1"/>
  <c r="P27" i="7" a="1"/>
  <c r="P27" i="7" s="1"/>
  <c r="P19" i="7" a="1"/>
  <c r="P19" i="7" s="1"/>
  <c r="P44" i="7" a="1"/>
  <c r="P44" i="7" s="1"/>
  <c r="P29" i="7" a="1"/>
  <c r="P29" i="7" s="1"/>
  <c r="P24" i="7" a="1"/>
  <c r="P24" i="7" s="1"/>
  <c r="P40" i="7" a="1"/>
  <c r="P40" i="7" s="1"/>
  <c r="P42" i="7" a="1"/>
  <c r="P42" i="7" s="1"/>
  <c r="P43" i="7" a="1"/>
  <c r="P43" i="7" s="1"/>
  <c r="P18" i="7" a="1"/>
  <c r="P18" i="7" s="1"/>
  <c r="P45" i="7" a="1"/>
  <c r="P45" i="7" s="1"/>
  <c r="P32" i="7" a="1"/>
  <c r="P32" i="7" s="1"/>
  <c r="P36" i="7" a="1"/>
  <c r="P36" i="7" s="1"/>
  <c r="P23" i="7" a="1"/>
  <c r="P23" i="7" s="1"/>
  <c r="P30" i="7" a="1"/>
  <c r="P30" i="7" s="1"/>
  <c r="P20" i="7" a="1"/>
  <c r="P20" i="7" s="1"/>
  <c r="Y15" i="6"/>
  <c r="Y11" i="6" s="1"/>
  <c r="P41" i="7" a="1"/>
  <c r="P41" i="7" s="1"/>
  <c r="P17" i="7" a="1"/>
  <c r="P17" i="7" s="1"/>
  <c r="P38" i="7" a="1"/>
  <c r="P38" i="7" s="1"/>
  <c r="P35" i="7" a="1"/>
  <c r="P35" i="7" s="1"/>
  <c r="P34" i="7" a="1"/>
  <c r="P34" i="7" s="1"/>
  <c r="P33" i="7" a="1"/>
  <c r="P33" i="7" s="1"/>
  <c r="P39" i="7" a="1"/>
  <c r="P39" i="7" s="1"/>
  <c r="P26" i="7" a="1"/>
  <c r="P26" i="7" s="1"/>
  <c r="P21" i="7" a="1"/>
  <c r="P21" i="7" s="1"/>
  <c r="P16" i="7" a="1"/>
  <c r="P16" i="7" s="1"/>
  <c r="P31" i="7" a="1"/>
  <c r="P31" i="7" s="1"/>
  <c r="P28" i="7" a="1"/>
  <c r="P28" i="7" s="1"/>
  <c r="P22" i="7" a="1"/>
  <c r="P22" i="7" s="1"/>
  <c r="P25" i="7" a="1"/>
  <c r="P25" i="7" s="1"/>
  <c r="P37" i="7" a="1"/>
  <c r="P37" i="7" s="1"/>
  <c r="T91" i="12"/>
  <c r="V91" i="12" a="1"/>
  <c r="V91" i="12" s="1"/>
  <c r="U91" i="12"/>
  <c r="U83" i="12"/>
  <c r="T83" i="12"/>
  <c r="V83" i="12" a="1"/>
  <c r="V83" i="12" s="1"/>
  <c r="L165" i="5"/>
  <c r="I165" i="12"/>
  <c r="Z165" i="5"/>
  <c r="AM165" i="5"/>
  <c r="X156" i="5" a="1"/>
  <c r="X156" i="5" s="1"/>
  <c r="I165" i="5"/>
  <c r="T75" i="12"/>
  <c r="U75" i="12"/>
  <c r="V75" i="12" a="1"/>
  <c r="V75" i="12" s="1"/>
  <c r="Q32" i="7" a="1"/>
  <c r="Q32" i="7" s="1"/>
  <c r="Q33" i="7" a="1"/>
  <c r="Q33" i="7" s="1"/>
  <c r="Q26" i="7" a="1"/>
  <c r="Q26" i="7" s="1"/>
  <c r="Q24" i="7" a="1"/>
  <c r="Q24" i="7" s="1"/>
  <c r="Q22" i="7" a="1"/>
  <c r="Q22" i="7" s="1"/>
  <c r="Q17" i="7" a="1"/>
  <c r="Q17" i="7" s="1"/>
  <c r="Q41" i="7" a="1"/>
  <c r="Q41" i="7" s="1"/>
  <c r="Q42" i="7" a="1"/>
  <c r="Q42" i="7" s="1"/>
  <c r="Z15" i="6"/>
  <c r="Z11" i="6" s="1"/>
  <c r="Q40" i="7" a="1"/>
  <c r="Q40" i="7" s="1"/>
  <c r="Q44" i="7" a="1"/>
  <c r="Q44" i="7" s="1"/>
  <c r="Q36" i="7" a="1"/>
  <c r="Q36" i="7" s="1"/>
  <c r="Q25" i="7" a="1"/>
  <c r="Q25" i="7" s="1"/>
  <c r="Q37" i="7" a="1"/>
  <c r="Q37" i="7" s="1"/>
  <c r="Q28" i="7" a="1"/>
  <c r="Q28" i="7" s="1"/>
  <c r="Q43" i="7" a="1"/>
  <c r="Q43" i="7" s="1"/>
  <c r="Q18" i="7" a="1"/>
  <c r="Q18" i="7" s="1"/>
  <c r="Q34" i="7" a="1"/>
  <c r="Q34" i="7" s="1"/>
  <c r="Q27" i="7" a="1"/>
  <c r="Q27" i="7" s="1"/>
  <c r="Q30" i="7" a="1"/>
  <c r="Q30" i="7" s="1"/>
  <c r="Q21" i="7" a="1"/>
  <c r="Q21" i="7" s="1"/>
  <c r="Q1" i="7" a="1"/>
  <c r="Q1" i="7" s="1"/>
  <c r="Q38" i="7" a="1"/>
  <c r="Q38" i="7" s="1"/>
  <c r="Q39" i="7" a="1"/>
  <c r="Q39" i="7" s="1"/>
  <c r="Q31" i="7" a="1"/>
  <c r="Q31" i="7" s="1"/>
  <c r="Q45" i="7" a="1"/>
  <c r="Q45" i="7" s="1"/>
  <c r="Q20" i="7" a="1"/>
  <c r="Q20" i="7" s="1"/>
  <c r="Q19" i="7" a="1"/>
  <c r="Q19" i="7" s="1"/>
  <c r="Q23" i="7" a="1"/>
  <c r="Q23" i="7" s="1"/>
  <c r="Q29" i="7" a="1"/>
  <c r="Q29" i="7" s="1"/>
  <c r="Q16" i="7" a="1"/>
  <c r="Q16" i="7" s="1"/>
  <c r="Q35" i="7" a="1"/>
  <c r="Q35" i="7" s="1"/>
  <c r="L44" i="7" a="1"/>
  <c r="L44" i="7" s="1"/>
  <c r="L29" i="7" a="1"/>
  <c r="L29" i="7" s="1"/>
  <c r="L41" i="7" a="1"/>
  <c r="L41" i="7" s="1"/>
  <c r="L25" i="7" a="1"/>
  <c r="L25" i="7" s="1"/>
  <c r="L37" i="7" a="1"/>
  <c r="L37" i="7" s="1"/>
  <c r="L40" i="7" a="1"/>
  <c r="L40" i="7" s="1"/>
  <c r="L20" i="7" a="1"/>
  <c r="L20" i="7" s="1"/>
  <c r="L21" i="7" a="1"/>
  <c r="L21" i="7" s="1"/>
  <c r="L35" i="7" a="1"/>
  <c r="L35" i="7" s="1"/>
  <c r="L16" i="7" a="1"/>
  <c r="L16" i="7" s="1"/>
  <c r="L18" i="7" a="1"/>
  <c r="L18" i="7" s="1"/>
  <c r="L43" i="7" a="1"/>
  <c r="L43" i="7" s="1"/>
  <c r="L24" i="7" a="1"/>
  <c r="L24" i="7" s="1"/>
  <c r="L39" i="7" a="1"/>
  <c r="L39" i="7" s="1"/>
  <c r="L34" i="7" a="1"/>
  <c r="L34" i="7" s="1"/>
  <c r="L31" i="7" a="1"/>
  <c r="L31" i="7" s="1"/>
  <c r="L30" i="7" a="1"/>
  <c r="L30" i="7" s="1"/>
  <c r="L28" i="7" a="1"/>
  <c r="L28" i="7" s="1"/>
  <c r="L19" i="7" a="1"/>
  <c r="L19" i="7" s="1"/>
  <c r="L42" i="7" a="1"/>
  <c r="L42" i="7" s="1"/>
  <c r="L33" i="7" a="1"/>
  <c r="L33" i="7" s="1"/>
  <c r="L32" i="7" a="1"/>
  <c r="L32" i="7" s="1"/>
  <c r="L23" i="7" a="1"/>
  <c r="L23" i="7" s="1"/>
  <c r="L22" i="7" a="1"/>
  <c r="L22" i="7" s="1"/>
  <c r="U15" i="6"/>
  <c r="U11" i="6" s="1"/>
  <c r="L17" i="7" a="1"/>
  <c r="L17" i="7" s="1"/>
  <c r="L38" i="7" a="1"/>
  <c r="L38" i="7" s="1"/>
  <c r="L45" i="7" a="1"/>
  <c r="L45" i="7" s="1"/>
  <c r="L26" i="7" a="1"/>
  <c r="L26" i="7" s="1"/>
  <c r="L27" i="7" a="1"/>
  <c r="L27" i="7" s="1"/>
  <c r="L1" i="7" a="1"/>
  <c r="L1" i="7" s="1"/>
  <c r="L36" i="7" a="1"/>
  <c r="L36" i="7" s="1"/>
  <c r="AA15" i="6"/>
  <c r="AA11" i="6" s="1"/>
  <c r="R32" i="7" a="1"/>
  <c r="R32" i="7" s="1"/>
  <c r="R30" i="7" a="1"/>
  <c r="R30" i="7" s="1"/>
  <c r="R22" i="7" a="1"/>
  <c r="R22" i="7" s="1"/>
  <c r="R38" i="7" a="1"/>
  <c r="R38" i="7" s="1"/>
  <c r="R25" i="7" a="1"/>
  <c r="R25" i="7" s="1"/>
  <c r="R23" i="7" a="1"/>
  <c r="R23" i="7" s="1"/>
  <c r="R18" i="7" a="1"/>
  <c r="R18" i="7" s="1"/>
  <c r="R28" i="7" a="1"/>
  <c r="R28" i="7" s="1"/>
  <c r="R36" i="7" a="1"/>
  <c r="R36" i="7" s="1"/>
  <c r="R27" i="7" a="1"/>
  <c r="R27" i="7" s="1"/>
  <c r="R43" i="7" a="1"/>
  <c r="R43" i="7" s="1"/>
  <c r="R21" i="7" a="1"/>
  <c r="R21" i="7" s="1"/>
  <c r="R16" i="7" a="1"/>
  <c r="R16" i="7" s="1"/>
  <c r="R1" i="7" a="1"/>
  <c r="R1" i="7" s="1"/>
  <c r="R35" i="7" a="1"/>
  <c r="R35" i="7" s="1"/>
  <c r="R41" i="7" a="1"/>
  <c r="R41" i="7" s="1"/>
  <c r="R29" i="7" a="1"/>
  <c r="R29" i="7" s="1"/>
  <c r="R40" i="7" a="1"/>
  <c r="R40" i="7" s="1"/>
  <c r="R37" i="7" a="1"/>
  <c r="R37" i="7" s="1"/>
  <c r="R44" i="7" a="1"/>
  <c r="R44" i="7" s="1"/>
  <c r="R20" i="7" a="1"/>
  <c r="R20" i="7" s="1"/>
  <c r="R17" i="7" a="1"/>
  <c r="R17" i="7" s="1"/>
  <c r="R24" i="7" a="1"/>
  <c r="R24" i="7" s="1"/>
  <c r="R19" i="7" a="1"/>
  <c r="R19" i="7" s="1"/>
  <c r="R45" i="7" a="1"/>
  <c r="R45" i="7" s="1"/>
  <c r="R26" i="7" a="1"/>
  <c r="R26" i="7" s="1"/>
  <c r="R33" i="7" a="1"/>
  <c r="R33" i="7" s="1"/>
  <c r="R42" i="7" a="1"/>
  <c r="R42" i="7" s="1"/>
  <c r="R39" i="7" a="1"/>
  <c r="R39" i="7" s="1"/>
  <c r="R34" i="7" a="1"/>
  <c r="R34" i="7" s="1"/>
  <c r="R31" i="7" a="1"/>
  <c r="R31" i="7" s="1"/>
  <c r="N39" i="7" a="1"/>
  <c r="N39" i="7" s="1"/>
  <c r="N27" i="7" a="1"/>
  <c r="N27" i="7" s="1"/>
  <c r="N29" i="7" a="1"/>
  <c r="N29" i="7" s="1"/>
  <c r="N18" i="7" a="1"/>
  <c r="N18" i="7" s="1"/>
  <c r="N32" i="7" a="1"/>
  <c r="N32" i="7" s="1"/>
  <c r="N24" i="7" a="1"/>
  <c r="N24" i="7" s="1"/>
  <c r="N41" i="7" a="1"/>
  <c r="N41" i="7" s="1"/>
  <c r="N30" i="7" a="1"/>
  <c r="N30" i="7" s="1"/>
  <c r="N36" i="7" a="1"/>
  <c r="N36" i="7" s="1"/>
  <c r="N23" i="7" a="1"/>
  <c r="N23" i="7" s="1"/>
  <c r="N28" i="7" a="1"/>
  <c r="N28" i="7" s="1"/>
  <c r="N34" i="7" a="1"/>
  <c r="N34" i="7" s="1"/>
  <c r="N19" i="7" a="1"/>
  <c r="N19" i="7" s="1"/>
  <c r="N1" i="7" a="1"/>
  <c r="N1" i="7" s="1"/>
  <c r="N16" i="7" a="1"/>
  <c r="N16" i="7" s="1"/>
  <c r="N38" i="7" a="1"/>
  <c r="N38" i="7" s="1"/>
  <c r="N42" i="7" a="1"/>
  <c r="N42" i="7" s="1"/>
  <c r="N33" i="7" a="1"/>
  <c r="N33" i="7" s="1"/>
  <c r="N37" i="7" a="1"/>
  <c r="N37" i="7" s="1"/>
  <c r="N17" i="7" a="1"/>
  <c r="N17" i="7" s="1"/>
  <c r="N44" i="7" a="1"/>
  <c r="N44" i="7" s="1"/>
  <c r="N21" i="7" a="1"/>
  <c r="N21" i="7" s="1"/>
  <c r="W15" i="6"/>
  <c r="W11" i="6" s="1"/>
  <c r="N35" i="7" a="1"/>
  <c r="N35" i="7" s="1"/>
  <c r="N25" i="7" a="1"/>
  <c r="N25" i="7" s="1"/>
  <c r="N31" i="7" a="1"/>
  <c r="N31" i="7" s="1"/>
  <c r="N43" i="7" a="1"/>
  <c r="N43" i="7" s="1"/>
  <c r="N22" i="7" a="1"/>
  <c r="N22" i="7" s="1"/>
  <c r="N40" i="7" a="1"/>
  <c r="N40" i="7" s="1"/>
  <c r="N45" i="7" a="1"/>
  <c r="N45" i="7" s="1"/>
  <c r="N26" i="7" a="1"/>
  <c r="N26" i="7" s="1"/>
  <c r="N20" i="7" a="1"/>
  <c r="N20" i="7" s="1"/>
  <c r="Y154" i="12"/>
  <c r="T105" i="12"/>
  <c r="U105" i="12"/>
  <c r="V105" i="12" a="1"/>
  <c r="V105" i="12" s="1"/>
  <c r="U109" i="12"/>
  <c r="T109" i="12"/>
  <c r="V109" i="12" a="1"/>
  <c r="V109" i="12" s="1"/>
  <c r="E73" i="6"/>
  <c r="D73" i="12"/>
  <c r="E138" i="6" l="1"/>
  <c r="D138" i="12"/>
  <c r="I140" i="5"/>
  <c r="O140" i="5" s="1"/>
  <c r="O139" i="5"/>
  <c r="Q14" i="7"/>
  <c r="X154" i="12" a="1"/>
  <c r="X154" i="12" s="1"/>
  <c r="W154" i="12" a="1"/>
  <c r="W154" i="12" s="1"/>
  <c r="N14" i="7"/>
  <c r="R14" i="7"/>
  <c r="L14" i="7"/>
  <c r="S77" i="8"/>
  <c r="L156" i="5"/>
  <c r="I156" i="12"/>
  <c r="Z156" i="5"/>
  <c r="AM156" i="5"/>
  <c r="AB165" i="5" a="1"/>
  <c r="AB165" i="5" s="1"/>
  <c r="AB156" i="5" s="1" a="1"/>
  <c r="AB156" i="5" s="1"/>
  <c r="D77" i="8" s="1"/>
  <c r="O165" i="5"/>
  <c r="C165" i="6"/>
  <c r="AC165" i="5" a="1"/>
  <c r="AC165" i="5" s="1"/>
  <c r="J165" i="6" s="1" a="1"/>
  <c r="J165" i="6" s="1"/>
  <c r="P14" i="7"/>
  <c r="AM16" i="5"/>
  <c r="I16" i="12"/>
  <c r="S14" i="8"/>
  <c r="Z16" i="5"/>
  <c r="L16" i="5"/>
  <c r="O14" i="11" a="1"/>
  <c r="O14" i="11" s="1"/>
  <c r="O74" i="5"/>
  <c r="AB74" i="5" a="1"/>
  <c r="AB74" i="5" s="1"/>
  <c r="M74" i="12" a="1"/>
  <c r="M74" i="12" s="1"/>
  <c r="AO74" i="12" a="1"/>
  <c r="AO74" i="12" s="1"/>
  <c r="C74" i="12"/>
  <c r="O74" i="12" a="1"/>
  <c r="O74" i="12" s="1"/>
  <c r="O14" i="7"/>
  <c r="AC103" i="8"/>
  <c r="X103" i="8"/>
  <c r="Z103" i="8"/>
  <c r="AB103" i="8"/>
  <c r="AA103" i="8"/>
  <c r="Y103" i="8"/>
  <c r="W103" i="8"/>
  <c r="J14" i="7"/>
  <c r="A41" i="9"/>
  <c r="A19" i="9"/>
  <c r="J181" i="6" a="1"/>
  <c r="J181" i="6" s="1"/>
  <c r="J173" i="6" a="1"/>
  <c r="J173" i="6" s="1"/>
  <c r="J172" i="6" a="1"/>
  <c r="J172" i="6" s="1"/>
  <c r="J175" i="6" a="1"/>
  <c r="J175" i="6" s="1"/>
  <c r="J184" i="6" a="1"/>
  <c r="J184" i="6" s="1"/>
  <c r="J177" i="6" a="1"/>
  <c r="J177" i="6" s="1"/>
  <c r="J182" i="6" a="1"/>
  <c r="J182" i="6" s="1"/>
  <c r="J185" i="6" a="1"/>
  <c r="J185" i="6" s="1"/>
  <c r="J183" i="6" a="1"/>
  <c r="J183" i="6" s="1"/>
  <c r="J171" i="6" a="1"/>
  <c r="J171" i="6" s="1"/>
  <c r="J176" i="6" a="1"/>
  <c r="J176" i="6" s="1"/>
  <c r="J174" i="6" a="1"/>
  <c r="J174" i="6" s="1"/>
  <c r="J178" i="6" a="1"/>
  <c r="J178" i="6" s="1"/>
  <c r="J179" i="6" a="1"/>
  <c r="J179" i="6" s="1"/>
  <c r="J180" i="6" a="1"/>
  <c r="J180" i="6" s="1"/>
  <c r="J87" i="6" a="1"/>
  <c r="J87" i="6" s="1"/>
  <c r="J124" i="6" a="1"/>
  <c r="J124" i="6" s="1"/>
  <c r="J112" i="6" a="1"/>
  <c r="J112" i="6" s="1"/>
  <c r="J37" i="6" a="1"/>
  <c r="J37" i="6" s="1"/>
  <c r="J148" i="6" a="1"/>
  <c r="J148" i="6" s="1"/>
  <c r="J157" i="6" a="1"/>
  <c r="J157" i="6" s="1"/>
  <c r="J43" i="6" a="1"/>
  <c r="J43" i="6" s="1"/>
  <c r="J41" i="6" a="1"/>
  <c r="J41" i="6" s="1"/>
  <c r="J82" i="6" a="1"/>
  <c r="J82" i="6" s="1"/>
  <c r="J84" i="6" a="1"/>
  <c r="J84" i="6" s="1"/>
  <c r="J135" i="6" a="1"/>
  <c r="J135" i="6" s="1"/>
  <c r="J142" i="6" a="1"/>
  <c r="J142" i="6" s="1"/>
  <c r="J50" i="6" a="1"/>
  <c r="J50" i="6" s="1"/>
  <c r="J159" i="6" a="1"/>
  <c r="J159" i="6" s="1"/>
  <c r="J121" i="6" a="1"/>
  <c r="J121" i="6" s="1"/>
  <c r="J29" i="6" a="1"/>
  <c r="J29" i="6" s="1"/>
  <c r="J161" i="6" a="1"/>
  <c r="J161" i="6" s="1"/>
  <c r="J70" i="6" a="1"/>
  <c r="J70" i="6" s="1"/>
  <c r="J28" i="6" a="1"/>
  <c r="J28" i="6" s="1"/>
  <c r="J57" i="6" a="1"/>
  <c r="J57" i="6" s="1"/>
  <c r="J36" i="6" a="1"/>
  <c r="J36" i="6" s="1"/>
  <c r="J96" i="6" a="1"/>
  <c r="J96" i="6" s="1"/>
  <c r="J63" i="6" a="1"/>
  <c r="J63" i="6" s="1"/>
  <c r="J138" i="6" a="1"/>
  <c r="J138" i="6" s="1"/>
  <c r="J23" i="6" a="1"/>
  <c r="J23" i="6" s="1"/>
  <c r="J30" i="6" a="1"/>
  <c r="J30" i="6" s="1"/>
  <c r="J134" i="6" a="1"/>
  <c r="J134" i="6" s="1"/>
  <c r="J125" i="6" a="1"/>
  <c r="J125" i="6" s="1"/>
  <c r="J143" i="6" a="1"/>
  <c r="J143" i="6" s="1"/>
  <c r="J103" i="6" a="1"/>
  <c r="J103" i="6" s="1"/>
  <c r="J58" i="6" a="1"/>
  <c r="J58" i="6" s="1"/>
  <c r="J108" i="6" a="1"/>
  <c r="J108" i="6" s="1"/>
  <c r="J102" i="6" a="1"/>
  <c r="J102" i="6" s="1"/>
  <c r="J31" i="6" a="1"/>
  <c r="J31" i="6" s="1"/>
  <c r="J107" i="6" a="1"/>
  <c r="J107" i="6" s="1"/>
  <c r="J59" i="6" a="1"/>
  <c r="J59" i="6" s="1"/>
  <c r="J162" i="6" a="1"/>
  <c r="J162" i="6" s="1"/>
  <c r="J97" i="6" a="1"/>
  <c r="J97" i="6" s="1"/>
  <c r="J123" i="6" a="1"/>
  <c r="J123" i="6" s="1"/>
  <c r="J169" i="6" a="1"/>
  <c r="J169" i="6" s="1"/>
  <c r="J152" i="6" a="1"/>
  <c r="J152" i="6" s="1"/>
  <c r="J81" i="6" a="1"/>
  <c r="J81" i="6" s="1"/>
  <c r="J92" i="6" a="1"/>
  <c r="J92" i="6" s="1"/>
  <c r="J147" i="6" a="1"/>
  <c r="J147" i="6" s="1"/>
  <c r="J79" i="6" a="1"/>
  <c r="J79" i="6" s="1"/>
  <c r="J120" i="6" a="1"/>
  <c r="J120" i="6" s="1"/>
  <c r="J34" i="6" a="1"/>
  <c r="J34" i="6" s="1"/>
  <c r="J95" i="6" a="1"/>
  <c r="J95" i="6" s="1"/>
  <c r="J106" i="6" a="1"/>
  <c r="J106" i="6" s="1"/>
  <c r="J39" i="6" a="1"/>
  <c r="J39" i="6" s="1"/>
  <c r="J115" i="6" a="1"/>
  <c r="J115" i="6" s="1"/>
  <c r="J45" i="6" a="1"/>
  <c r="J45" i="6" s="1"/>
  <c r="J104" i="6" a="1"/>
  <c r="J104" i="6" s="1"/>
  <c r="J90" i="6" a="1"/>
  <c r="J90" i="6" s="1"/>
  <c r="J61" i="6" a="1"/>
  <c r="J61" i="6" s="1"/>
  <c r="J153" i="6" a="1"/>
  <c r="J153" i="6" s="1"/>
  <c r="J117" i="6" a="1"/>
  <c r="J117" i="6" s="1"/>
  <c r="J89" i="6" a="1"/>
  <c r="J89" i="6" s="1"/>
  <c r="J99" i="6" a="1"/>
  <c r="J99" i="6" s="1"/>
  <c r="J139" i="6" a="1"/>
  <c r="J139" i="6" s="1"/>
  <c r="J158" i="6" a="1"/>
  <c r="J158" i="6" s="1"/>
  <c r="J189" i="6" a="1"/>
  <c r="J189" i="6" s="1"/>
  <c r="J67" i="6" a="1"/>
  <c r="J67" i="6" s="1"/>
  <c r="J53" i="6" a="1"/>
  <c r="J53" i="6" s="1"/>
  <c r="J71" i="6" a="1"/>
  <c r="J71" i="6" s="1"/>
  <c r="J144" i="6" a="1"/>
  <c r="J144" i="6" s="1"/>
  <c r="J119" i="6" a="1"/>
  <c r="J119" i="6" s="1"/>
  <c r="J73" i="6" a="1"/>
  <c r="J73" i="6" s="1"/>
  <c r="J146" i="6" a="1"/>
  <c r="J146" i="6" s="1"/>
  <c r="J66" i="6" a="1"/>
  <c r="J66" i="6" s="1"/>
  <c r="J190" i="6" a="1"/>
  <c r="J190" i="6" s="1"/>
  <c r="J60" i="6" a="1"/>
  <c r="J60" i="6" s="1"/>
  <c r="J168" i="6" a="1"/>
  <c r="J168" i="6" s="1"/>
  <c r="J33" i="6" a="1"/>
  <c r="J33" i="6" s="1"/>
  <c r="J68" i="6" a="1"/>
  <c r="J68" i="6" s="1"/>
  <c r="J131" i="6" a="1"/>
  <c r="J131" i="6" s="1"/>
  <c r="J163" i="6" a="1"/>
  <c r="J163" i="6" s="1"/>
  <c r="J150" i="6" a="1"/>
  <c r="J150" i="6" s="1"/>
  <c r="J136" i="6" a="1"/>
  <c r="J136" i="6" s="1"/>
  <c r="J129" i="6" a="1"/>
  <c r="J129" i="6" s="1"/>
  <c r="J93" i="6" a="1"/>
  <c r="J93" i="6" s="1"/>
  <c r="J56" i="6" a="1"/>
  <c r="J56" i="6" s="1"/>
  <c r="J122" i="6" a="1"/>
  <c r="J122" i="6" s="1"/>
  <c r="J110" i="6" a="1"/>
  <c r="J110" i="6" s="1"/>
  <c r="J62" i="6" a="1"/>
  <c r="J62" i="6" s="1"/>
  <c r="J85" i="6" a="1"/>
  <c r="J85" i="6" s="1"/>
  <c r="J118" i="6" a="1"/>
  <c r="J118" i="6" s="1"/>
  <c r="J113" i="6" a="1"/>
  <c r="J113" i="6" s="1"/>
  <c r="J20" i="6" a="1"/>
  <c r="J20" i="6" s="1"/>
  <c r="J132" i="6" a="1"/>
  <c r="J132" i="6" s="1"/>
  <c r="J46" i="6" a="1"/>
  <c r="J46" i="6" s="1"/>
  <c r="J100" i="6" a="1"/>
  <c r="J100" i="6" s="1"/>
  <c r="J188" i="6" a="1"/>
  <c r="J188" i="6" s="1"/>
  <c r="J101" i="6" a="1"/>
  <c r="J101" i="6" s="1"/>
  <c r="J94" i="6" a="1"/>
  <c r="J94" i="6" s="1"/>
  <c r="J24" i="6" a="1"/>
  <c r="J24" i="6" s="1"/>
  <c r="J76" i="6" a="1"/>
  <c r="J76" i="6" s="1"/>
  <c r="J55" i="6" a="1"/>
  <c r="J55" i="6" s="1"/>
  <c r="J18" i="6" a="1"/>
  <c r="J18" i="6" s="1"/>
  <c r="J137" i="6" a="1"/>
  <c r="J137" i="6" s="1"/>
  <c r="J78" i="6" a="1"/>
  <c r="J78" i="6" s="1"/>
  <c r="J127" i="6" a="1"/>
  <c r="J127" i="6" s="1"/>
  <c r="J35" i="6" a="1"/>
  <c r="J35" i="6" s="1"/>
  <c r="J26" i="6" a="1"/>
  <c r="J26" i="6" s="1"/>
  <c r="J19" i="6" a="1"/>
  <c r="J19" i="6" s="1"/>
  <c r="J167" i="6" a="1"/>
  <c r="J167" i="6" s="1"/>
  <c r="J54" i="6" a="1"/>
  <c r="J54" i="6" s="1"/>
  <c r="J133" i="6" a="1"/>
  <c r="J133" i="6" s="1"/>
  <c r="J72" i="6" a="1"/>
  <c r="J72" i="6" s="1"/>
  <c r="J187" i="6" a="1"/>
  <c r="J187" i="6" s="1"/>
  <c r="J49" i="6" a="1"/>
  <c r="J49" i="6" s="1"/>
  <c r="J151" i="6" a="1"/>
  <c r="J151" i="6" s="1"/>
  <c r="J47" i="6" a="1"/>
  <c r="J47" i="6" s="1"/>
  <c r="J160" i="6" a="1"/>
  <c r="J160" i="6" s="1"/>
  <c r="J130" i="6" a="1"/>
  <c r="J130" i="6" s="1"/>
  <c r="J128" i="6" a="1"/>
  <c r="J128" i="6" s="1"/>
  <c r="J40" i="6" a="1"/>
  <c r="J40" i="6" s="1"/>
  <c r="J164" i="6" a="1"/>
  <c r="J164" i="6" s="1"/>
  <c r="J48" i="6" a="1"/>
  <c r="J48" i="6" s="1"/>
  <c r="J140" i="6" a="1"/>
  <c r="J140" i="6" s="1"/>
  <c r="J88" i="6" a="1"/>
  <c r="J88" i="6" s="1"/>
  <c r="J52" i="6" a="1"/>
  <c r="J52" i="6" s="1"/>
  <c r="J80" i="6" a="1"/>
  <c r="J80" i="6" s="1"/>
  <c r="J25" i="6" a="1"/>
  <c r="J25" i="6" s="1"/>
  <c r="J77" i="6" a="1"/>
  <c r="J77" i="6" s="1"/>
  <c r="J65" i="6" a="1"/>
  <c r="J65" i="6" s="1"/>
  <c r="J21" i="6" a="1"/>
  <c r="J21" i="6" s="1"/>
  <c r="J86" i="6" a="1"/>
  <c r="J86" i="6" s="1"/>
  <c r="J116" i="6" a="1"/>
  <c r="J116" i="6" s="1"/>
  <c r="J126" i="6" a="1"/>
  <c r="J126" i="6" s="1"/>
  <c r="J149" i="6" a="1"/>
  <c r="J149" i="6" s="1"/>
  <c r="J69" i="6" a="1"/>
  <c r="J69" i="6" s="1"/>
  <c r="J155" i="6" a="1"/>
  <c r="J155" i="6" s="1"/>
  <c r="A20" i="9"/>
  <c r="E103" i="8"/>
  <c r="I55" i="10"/>
  <c r="V103" i="8"/>
  <c r="U103" i="8"/>
  <c r="A16" i="9"/>
  <c r="F14" i="7"/>
  <c r="G28" i="7" s="1"/>
  <c r="G16" i="7"/>
  <c r="A45" i="9"/>
  <c r="G45" i="7"/>
  <c r="A36" i="9"/>
  <c r="G36" i="7"/>
  <c r="A38" i="9"/>
  <c r="G38" i="7"/>
  <c r="A29" i="9"/>
  <c r="G29" i="7"/>
  <c r="A39" i="9"/>
  <c r="G39" i="7"/>
  <c r="A37" i="9"/>
  <c r="G37" i="7"/>
  <c r="A22" i="9"/>
  <c r="G22" i="7"/>
  <c r="A43" i="9"/>
  <c r="G43" i="7"/>
  <c r="A17" i="9"/>
  <c r="G17" i="7"/>
  <c r="G1" i="7"/>
  <c r="A1" i="9"/>
  <c r="O165" i="12" a="1"/>
  <c r="O165" i="12" s="1"/>
  <c r="C165" i="12"/>
  <c r="M165" i="12" a="1"/>
  <c r="M165" i="12" s="1"/>
  <c r="M156" i="12" s="1" a="1"/>
  <c r="M156" i="12" s="1"/>
  <c r="AO165" i="12" a="1"/>
  <c r="AO165" i="12" s="1"/>
  <c r="AC53" i="10"/>
  <c r="AC56" i="10" s="1"/>
  <c r="Q51" i="10"/>
  <c r="K53" i="10"/>
  <c r="K56" i="10" s="1"/>
  <c r="K51" i="10"/>
  <c r="AE51" i="10"/>
  <c r="S51" i="10"/>
  <c r="AE53" i="10"/>
  <c r="AE56" i="10" s="1"/>
  <c r="Q53" i="10"/>
  <c r="Q56" i="10" s="1"/>
  <c r="AA53" i="10"/>
  <c r="AA56" i="10" s="1"/>
  <c r="S53" i="10"/>
  <c r="S56" i="10" s="1"/>
  <c r="AA51" i="10"/>
  <c r="U53" i="10"/>
  <c r="U56" i="10" s="1"/>
  <c r="O53" i="10"/>
  <c r="O56" i="10" s="1"/>
  <c r="M51" i="10"/>
  <c r="AC51" i="10"/>
  <c r="M53" i="10"/>
  <c r="M56" i="10" s="1"/>
  <c r="Y53" i="10"/>
  <c r="Y56" i="10" s="1"/>
  <c r="O51" i="10"/>
  <c r="Z15" i="5"/>
  <c r="I51" i="10"/>
  <c r="Y9" i="10" s="1"/>
  <c r="U51" i="10"/>
  <c r="Y51" i="10"/>
  <c r="I53" i="10"/>
  <c r="AE9" i="10" s="1"/>
  <c r="W51" i="10"/>
  <c r="W53" i="10"/>
  <c r="W56" i="10" s="1"/>
  <c r="AM15" i="5"/>
  <c r="S41" i="8"/>
  <c r="Z64" i="5"/>
  <c r="AM64" i="5"/>
  <c r="L64" i="5"/>
  <c r="I64" i="12"/>
  <c r="C74" i="6"/>
  <c r="AC74" i="5" a="1"/>
  <c r="AC74" i="5" s="1"/>
  <c r="J74" i="6" s="1" a="1"/>
  <c r="J74" i="6" s="1"/>
  <c r="V155" i="12" a="1"/>
  <c r="V155" i="12" s="1"/>
  <c r="U155" i="12"/>
  <c r="T155" i="12"/>
  <c r="I14" i="7"/>
  <c r="K14" i="7"/>
  <c r="AD103" i="8"/>
  <c r="AF103" i="8"/>
  <c r="AE103" i="8"/>
  <c r="H14" i="7"/>
  <c r="A21" i="9"/>
  <c r="G21" i="7"/>
  <c r="A32" i="9"/>
  <c r="G32" i="7"/>
  <c r="A30" i="9"/>
  <c r="G30" i="7"/>
  <c r="E14" i="7"/>
  <c r="A42" i="9"/>
  <c r="G42" i="7"/>
  <c r="A27" i="9"/>
  <c r="G27" i="7"/>
  <c r="A33" i="9"/>
  <c r="G33" i="7"/>
  <c r="A40" i="9"/>
  <c r="G40" i="7"/>
  <c r="A35" i="9"/>
  <c r="G35" i="7"/>
  <c r="A23" i="9"/>
  <c r="G23" i="7"/>
  <c r="A24" i="9"/>
  <c r="G24" i="7"/>
  <c r="A44" i="9"/>
  <c r="G44" i="7"/>
  <c r="A34" i="9"/>
  <c r="G34" i="7"/>
  <c r="A18" i="9"/>
  <c r="G18" i="7"/>
  <c r="A26" i="9"/>
  <c r="G26" i="7"/>
  <c r="A25" i="9"/>
  <c r="G25" i="7"/>
  <c r="A31" i="9"/>
  <c r="G31" i="7"/>
  <c r="D139" i="12" l="1"/>
  <c r="E139" i="6"/>
  <c r="D140" i="12"/>
  <c r="E140" i="6"/>
  <c r="I56" i="10"/>
  <c r="AB53" i="9"/>
  <c r="Z53" i="9"/>
  <c r="C64" i="12"/>
  <c r="J64" i="12" a="1"/>
  <c r="J64" i="12" s="1"/>
  <c r="L64" i="12" a="1"/>
  <c r="L64" i="12" s="1"/>
  <c r="H42" i="8" a="1"/>
  <c r="H42" i="8" s="1"/>
  <c r="G41" i="8"/>
  <c r="AE41" i="8" a="1"/>
  <c r="AE41" i="8" s="1"/>
  <c r="V41" i="8" a="1"/>
  <c r="V41" i="8" s="1"/>
  <c r="U41" i="8" a="1"/>
  <c r="U41" i="8" s="1"/>
  <c r="AB41" i="8" a="1"/>
  <c r="AB41" i="8" s="1"/>
  <c r="AF41" i="8" a="1"/>
  <c r="AF41" i="8" s="1"/>
  <c r="AC41" i="8" a="1"/>
  <c r="AC41" i="8" s="1"/>
  <c r="H41" i="8" a="1"/>
  <c r="H41" i="8" s="1"/>
  <c r="J42" i="8" s="1"/>
  <c r="W41" i="8" a="1"/>
  <c r="W41" i="8" s="1"/>
  <c r="E41" i="8" a="1"/>
  <c r="E41" i="8" s="1"/>
  <c r="Z41" i="8" a="1"/>
  <c r="Z41" i="8" s="1"/>
  <c r="AD41" i="8" a="1"/>
  <c r="AD41" i="8" s="1"/>
  <c r="Y41" i="8" a="1"/>
  <c r="Y41" i="8" s="1"/>
  <c r="X41" i="8" a="1"/>
  <c r="X41" i="8" s="1"/>
  <c r="AC16" i="8" a="1"/>
  <c r="AC16" i="8" s="1"/>
  <c r="AC14" i="8" s="1" a="1"/>
  <c r="AC14" i="8" s="1"/>
  <c r="X16" i="8" a="1"/>
  <c r="X16" i="8" s="1"/>
  <c r="X14" i="8" s="1" a="1"/>
  <c r="X14" i="8" s="1"/>
  <c r="E16" i="8" a="1"/>
  <c r="E16" i="8" s="1"/>
  <c r="Y16" i="8" a="1"/>
  <c r="Y16" i="8" s="1"/>
  <c r="Y14" i="8" s="1" a="1"/>
  <c r="Y14" i="8" s="1"/>
  <c r="AD16" i="8" a="1"/>
  <c r="AD16" i="8" s="1"/>
  <c r="AD14" i="8" s="1" a="1"/>
  <c r="AD14" i="8" s="1"/>
  <c r="V16" i="8" a="1"/>
  <c r="V16" i="8" s="1"/>
  <c r="V14" i="8" s="1" a="1"/>
  <c r="V14" i="8" s="1"/>
  <c r="U16" i="8" a="1"/>
  <c r="U16" i="8" s="1"/>
  <c r="Z16" i="8" a="1"/>
  <c r="Z16" i="8" s="1"/>
  <c r="Z14" i="8" s="1" a="1"/>
  <c r="Z14" i="8" s="1"/>
  <c r="AA16" i="8" a="1"/>
  <c r="AA16" i="8" s="1"/>
  <c r="AA14" i="8" s="1" a="1"/>
  <c r="AA14" i="8" s="1"/>
  <c r="W16" i="8" a="1"/>
  <c r="W16" i="8" s="1"/>
  <c r="W14" i="8" s="1" a="1"/>
  <c r="W14" i="8" s="1"/>
  <c r="AB16" i="8" a="1"/>
  <c r="AB16" i="8" s="1"/>
  <c r="AB14" i="8" s="1" a="1"/>
  <c r="AB14" i="8" s="1"/>
  <c r="AE16" i="8" a="1"/>
  <c r="AE16" i="8" s="1"/>
  <c r="AE14" i="8" s="1" a="1"/>
  <c r="AE14" i="8" s="1"/>
  <c r="AF16" i="8" a="1"/>
  <c r="AF16" i="8" s="1"/>
  <c r="AF14" i="8" s="1" a="1"/>
  <c r="AF14" i="8" s="1"/>
  <c r="AA41" i="8" a="1"/>
  <c r="AA41" i="8" s="1"/>
  <c r="AD21" i="13" a="1"/>
  <c r="AD21" i="13" s="1"/>
  <c r="AD19" i="13" a="1"/>
  <c r="AD19" i="13" s="1"/>
  <c r="AC21" i="13" a="1"/>
  <c r="AC21" i="13" s="1"/>
  <c r="AD12" i="13" a="1"/>
  <c r="AD12" i="13" s="1"/>
  <c r="AD18" i="13" a="1"/>
  <c r="AD18" i="13" s="1"/>
  <c r="AC19" i="13" a="1"/>
  <c r="AC19" i="13" s="1"/>
  <c r="AF19" i="13" a="1"/>
  <c r="AF19" i="13" s="1"/>
  <c r="AG20" i="13" a="1"/>
  <c r="AG20" i="13" s="1"/>
  <c r="AC22" i="13" a="1"/>
  <c r="AC22" i="13" s="1"/>
  <c r="AF23" i="13" a="1"/>
  <c r="AF23" i="13" s="1"/>
  <c r="AG15" i="13" a="1"/>
  <c r="AG15" i="13" s="1"/>
  <c r="AD22" i="13" a="1"/>
  <c r="AD22" i="13" s="1"/>
  <c r="AC17" i="13" a="1"/>
  <c r="AC17" i="13" s="1"/>
  <c r="AC15" i="13" a="1"/>
  <c r="AC15" i="13" s="1"/>
  <c r="AG19" i="13" a="1"/>
  <c r="AG19" i="13" s="1"/>
  <c r="AG12" i="13" a="1"/>
  <c r="AG12" i="13" s="1"/>
  <c r="AF20" i="13" a="1"/>
  <c r="AF20" i="13" s="1"/>
  <c r="AC16" i="13" a="1"/>
  <c r="AC16" i="13" s="1"/>
  <c r="AG23" i="13" a="1"/>
  <c r="AG23" i="13" s="1"/>
  <c r="AC18" i="13" a="1"/>
  <c r="AC18" i="13" s="1"/>
  <c r="AF17" i="13" a="1"/>
  <c r="AF17" i="13" s="1"/>
  <c r="AF18" i="13" a="1"/>
  <c r="AF18" i="13" s="1"/>
  <c r="AF21" i="13" a="1"/>
  <c r="AF21" i="13" s="1"/>
  <c r="AF12" i="13" a="1"/>
  <c r="AF12" i="13" s="1"/>
  <c r="AG17" i="13" a="1"/>
  <c r="AG17" i="13" s="1"/>
  <c r="AC20" i="13" a="1"/>
  <c r="AC20" i="13" s="1"/>
  <c r="AD16" i="13" a="1"/>
  <c r="AD16" i="13" s="1"/>
  <c r="AG21" i="13" a="1"/>
  <c r="AG21" i="13" s="1"/>
  <c r="AD23" i="13" a="1"/>
  <c r="AD23" i="13" s="1"/>
  <c r="AF16" i="13" a="1"/>
  <c r="AF16" i="13" s="1"/>
  <c r="AG22" i="13" a="1"/>
  <c r="AG22" i="13" s="1"/>
  <c r="AD20" i="13" a="1"/>
  <c r="AD20" i="13" s="1"/>
  <c r="AG16" i="13" a="1"/>
  <c r="AG16" i="13" s="1"/>
  <c r="AC23" i="13" a="1"/>
  <c r="AC23" i="13" s="1"/>
  <c r="AD15" i="13" a="1"/>
  <c r="AD15" i="13" s="1"/>
  <c r="AF22" i="13" a="1"/>
  <c r="AF22" i="13" s="1"/>
  <c r="AC12" i="13" a="1"/>
  <c r="AC12" i="13" s="1"/>
  <c r="AD17" i="13" a="1"/>
  <c r="AD17" i="13" s="1"/>
  <c r="AF15" i="13" a="1"/>
  <c r="AF15" i="13" s="1"/>
  <c r="AG18" i="13" a="1"/>
  <c r="AG18" i="13" s="1"/>
  <c r="N165" i="12"/>
  <c r="O156" i="12" a="1"/>
  <c r="O156" i="12" s="1"/>
  <c r="N156" i="12" s="1"/>
  <c r="G20" i="7"/>
  <c r="J53" i="9"/>
  <c r="I12" i="6"/>
  <c r="N11" i="6"/>
  <c r="F11" i="6"/>
  <c r="G19" i="7"/>
  <c r="G41" i="7"/>
  <c r="P53" i="9"/>
  <c r="V53" i="9"/>
  <c r="N53" i="9"/>
  <c r="M64" i="12" a="1"/>
  <c r="M64" i="12" s="1"/>
  <c r="M16" i="12" a="1"/>
  <c r="M16" i="12" s="1"/>
  <c r="AB64" i="5" a="1"/>
  <c r="AB64" i="5" s="1"/>
  <c r="D41" i="8" s="1"/>
  <c r="AB15" i="5"/>
  <c r="AB16" i="5" a="1"/>
  <c r="AB16" i="5" s="1"/>
  <c r="L14" i="13"/>
  <c r="O24" i="11"/>
  <c r="C14" i="11"/>
  <c r="P14" i="11"/>
  <c r="G11" i="11" s="1"/>
  <c r="J16" i="12" a="1"/>
  <c r="J16" i="12" s="1"/>
  <c r="C16" i="12"/>
  <c r="L16" i="12" a="1"/>
  <c r="L16" i="12" s="1"/>
  <c r="K16" i="12" s="1"/>
  <c r="C156" i="12"/>
  <c r="J156" i="12" a="1"/>
  <c r="J156" i="12" s="1"/>
  <c r="L156" i="12" a="1"/>
  <c r="L156" i="12" s="1"/>
  <c r="H78" i="8" a="1"/>
  <c r="H78" i="8" s="1"/>
  <c r="G77" i="8"/>
  <c r="Z77" i="8" a="1"/>
  <c r="Z77" i="8" s="1"/>
  <c r="V77" i="8" a="1"/>
  <c r="V77" i="8" s="1"/>
  <c r="AD77" i="8" a="1"/>
  <c r="AD77" i="8" s="1"/>
  <c r="AF77" i="8" a="1"/>
  <c r="AF77" i="8" s="1"/>
  <c r="AE77" i="8" a="1"/>
  <c r="AE77" i="8" s="1"/>
  <c r="H77" i="8" a="1"/>
  <c r="H77" i="8" s="1"/>
  <c r="J78" i="8" s="1"/>
  <c r="AA77" i="8" a="1"/>
  <c r="AA77" i="8" s="1"/>
  <c r="X77" i="8" a="1"/>
  <c r="X77" i="8" s="1"/>
  <c r="U77" i="8" a="1"/>
  <c r="U77" i="8" s="1"/>
  <c r="Y77" i="8" a="1"/>
  <c r="Y77" i="8" s="1"/>
  <c r="E77" i="8" a="1"/>
  <c r="E77" i="8" s="1"/>
  <c r="AB77" i="8" a="1"/>
  <c r="AB77" i="8" s="1"/>
  <c r="W77" i="8" a="1"/>
  <c r="W77" i="8" s="1"/>
  <c r="AC77" i="8" a="1"/>
  <c r="AC77" i="8" s="1"/>
  <c r="V154" i="12" a="1"/>
  <c r="V154" i="12" s="1"/>
  <c r="U154" i="12"/>
  <c r="T154" i="12"/>
  <c r="AD53" i="9"/>
  <c r="C64" i="6"/>
  <c r="O64" i="5"/>
  <c r="AC64" i="5" a="1"/>
  <c r="AC64" i="5" s="1"/>
  <c r="Y165" i="12"/>
  <c r="AO156" i="12" a="1"/>
  <c r="AO156" i="12" s="1"/>
  <c r="Y156" i="12" s="1"/>
  <c r="F6" i="7"/>
  <c r="H53" i="9"/>
  <c r="H56" i="10"/>
  <c r="L53" i="9"/>
  <c r="T53" i="9"/>
  <c r="R53" i="9"/>
  <c r="X53" i="9"/>
  <c r="N74" i="12"/>
  <c r="O16" i="12" a="1"/>
  <c r="O16" i="12" s="1"/>
  <c r="N16" i="12" s="1"/>
  <c r="O64" i="12" a="1"/>
  <c r="O64" i="12" s="1"/>
  <c r="N64" i="12" s="1"/>
  <c r="Y74" i="12"/>
  <c r="AO64" i="12" a="1"/>
  <c r="AO64" i="12" s="1"/>
  <c r="Y64" i="12" s="1"/>
  <c r="AO16" i="12" a="1"/>
  <c r="AO16" i="12" s="1"/>
  <c r="Y16" i="12" s="1"/>
  <c r="D74" i="12"/>
  <c r="E74" i="6"/>
  <c r="C16" i="6"/>
  <c r="C14" i="6"/>
  <c r="AC16" i="5" a="1"/>
  <c r="AC16" i="5" s="1"/>
  <c r="O16" i="5"/>
  <c r="H14" i="8" a="1"/>
  <c r="H14" i="8" s="1"/>
  <c r="J15" i="8" s="1"/>
  <c r="R93" i="8"/>
  <c r="I93" i="8" s="1"/>
  <c r="G14" i="8"/>
  <c r="H15" i="8" a="1"/>
  <c r="H15" i="8" s="1"/>
  <c r="D165" i="12"/>
  <c r="E165" i="6"/>
  <c r="O156" i="5"/>
  <c r="AC156" i="5" a="1"/>
  <c r="AC156" i="5" s="1"/>
  <c r="AC7" i="5" s="1"/>
  <c r="C156" i="6"/>
  <c r="AC11" i="5" l="1"/>
  <c r="O12" i="5" a="1"/>
  <c r="O12" i="5" s="1"/>
  <c r="X64" i="12" a="1"/>
  <c r="X64" i="12" s="1"/>
  <c r="W64" i="12" a="1"/>
  <c r="W64" i="12" s="1"/>
  <c r="X165" i="12" a="1"/>
  <c r="X165" i="12" s="1"/>
  <c r="W165" i="12" a="1"/>
  <c r="W165" i="12" s="1"/>
  <c r="I41" i="8"/>
  <c r="A41" i="8" s="1"/>
  <c r="E64" i="6"/>
  <c r="D64" i="12"/>
  <c r="D14" i="13"/>
  <c r="L28" i="13"/>
  <c r="V14" i="13"/>
  <c r="V15" i="13" s="1"/>
  <c r="V16" i="13" s="1"/>
  <c r="V17" i="13" s="1"/>
  <c r="V18" i="13" s="1"/>
  <c r="V19" i="13" s="1"/>
  <c r="V20" i="13" s="1"/>
  <c r="V21" i="13" s="1"/>
  <c r="V22" i="13" s="1"/>
  <c r="V23" i="13" s="1"/>
  <c r="P14" i="13"/>
  <c r="I77" i="8"/>
  <c r="A77" i="8" s="1"/>
  <c r="E156" i="6"/>
  <c r="D156" i="12"/>
  <c r="I14" i="8"/>
  <c r="E16" i="6"/>
  <c r="D16" i="12"/>
  <c r="E14" i="6"/>
  <c r="X16" i="12" a="1"/>
  <c r="X16" i="12" s="1"/>
  <c r="W16" i="12" a="1"/>
  <c r="W16" i="12" s="1"/>
  <c r="W74" i="12" a="1"/>
  <c r="W74" i="12" s="1"/>
  <c r="X74" i="12" a="1"/>
  <c r="X74" i="12" s="1"/>
  <c r="W156" i="12" a="1"/>
  <c r="W156" i="12" s="1"/>
  <c r="X156" i="12" a="1"/>
  <c r="X156" i="12" s="1"/>
  <c r="K156" i="12"/>
  <c r="O25" i="11"/>
  <c r="AA7" i="11"/>
  <c r="AG14" i="13" a="1"/>
  <c r="AG14" i="13" s="1"/>
  <c r="U14" i="13" s="1"/>
  <c r="AD4" i="13" s="1"/>
  <c r="AB14" i="11" a="1"/>
  <c r="AB14" i="11" s="1"/>
  <c r="AD14" i="13" a="1"/>
  <c r="AD14" i="13" s="1"/>
  <c r="S14" i="13" s="1"/>
  <c r="M27" i="13" s="1"/>
  <c r="U102" i="8"/>
  <c r="U101" i="8" a="1"/>
  <c r="U101" i="8" s="1"/>
  <c r="U14" i="8" a="1"/>
  <c r="U14" i="8" s="1"/>
  <c r="E102" i="8"/>
  <c r="E14" i="8" a="1"/>
  <c r="E14" i="8" s="1"/>
  <c r="E101" i="8" a="1"/>
  <c r="E101" i="8" s="1"/>
  <c r="E96" i="8" s="1"/>
  <c r="K64" i="12"/>
  <c r="AE4" i="13" l="1"/>
  <c r="E98" i="8"/>
  <c r="E97" i="8"/>
  <c r="E93" i="8" s="1"/>
  <c r="U97" i="8"/>
  <c r="U98" i="8"/>
  <c r="H52" i="9"/>
  <c r="V102" i="8"/>
  <c r="N14" i="11"/>
  <c r="N24" i="11" s="1"/>
  <c r="AB24" i="11"/>
  <c r="AB7" i="11" s="1"/>
  <c r="Z3" i="11" s="1"/>
  <c r="AA3" i="11" s="1" a="1"/>
  <c r="AA3" i="11" s="1"/>
  <c r="T16" i="12"/>
  <c r="V16" i="12" a="1"/>
  <c r="V16" i="12" s="1"/>
  <c r="U16" i="12"/>
  <c r="U165" i="12"/>
  <c r="V165" i="12" a="1"/>
  <c r="V165" i="12" s="1"/>
  <c r="T165" i="12"/>
  <c r="U64" i="12"/>
  <c r="T64" i="12"/>
  <c r="V64" i="12" a="1"/>
  <c r="V64" i="12" s="1"/>
  <c r="V101" i="8" a="1"/>
  <c r="V101" i="8" s="1"/>
  <c r="U96" i="8"/>
  <c r="U156" i="12"/>
  <c r="V156" i="12" a="1"/>
  <c r="V156" i="12" s="1"/>
  <c r="T156" i="12"/>
  <c r="T74" i="12"/>
  <c r="U74" i="12"/>
  <c r="V74" i="12" a="1"/>
  <c r="V74" i="12" s="1"/>
  <c r="M24" i="13"/>
  <c r="P24" i="13"/>
  <c r="O29" i="13"/>
  <c r="N24" i="13"/>
  <c r="D33" i="14"/>
  <c r="L24" i="13"/>
  <c r="E34" i="14"/>
  <c r="O24" i="13"/>
  <c r="AA130" i="5" l="1" a="1"/>
  <c r="AA130" i="5" s="1"/>
  <c r="AD15" i="11"/>
  <c r="AD19" i="11"/>
  <c r="AA172" i="5" a="1"/>
  <c r="AA172" i="5" s="1"/>
  <c r="AA185" i="5" a="1"/>
  <c r="AA185" i="5" s="1"/>
  <c r="AA182" i="5" a="1"/>
  <c r="AA182" i="5" s="1"/>
  <c r="AA177" i="5" a="1"/>
  <c r="AA177" i="5" s="1"/>
  <c r="AA181" i="5" a="1"/>
  <c r="AA181" i="5" s="1"/>
  <c r="AD22" i="11"/>
  <c r="AD18" i="11"/>
  <c r="AD21" i="11"/>
  <c r="AA173" i="5" a="1"/>
  <c r="AA173" i="5" s="1"/>
  <c r="AA178" i="5" a="1"/>
  <c r="AA178" i="5" s="1"/>
  <c r="AD12" i="11"/>
  <c r="AD17" i="11"/>
  <c r="AA184" i="5" a="1"/>
  <c r="AA184" i="5" s="1"/>
  <c r="AD16" i="11"/>
  <c r="AA174" i="5" a="1"/>
  <c r="AA174" i="5" s="1"/>
  <c r="AA176" i="5" a="1"/>
  <c r="AA176" i="5" s="1"/>
  <c r="AA183" i="5" a="1"/>
  <c r="AA183" i="5" s="1"/>
  <c r="AA171" i="5" a="1"/>
  <c r="AA171" i="5" s="1"/>
  <c r="AA175" i="5" a="1"/>
  <c r="AA175" i="5" s="1"/>
  <c r="AD20" i="11"/>
  <c r="AE19" i="11" s="1"/>
  <c r="M19" i="11" s="1"/>
  <c r="L19" i="11" s="1"/>
  <c r="AA180" i="5" a="1"/>
  <c r="AA180" i="5" s="1"/>
  <c r="AA179" i="5" a="1"/>
  <c r="AA179" i="5" s="1"/>
  <c r="AD23" i="11"/>
  <c r="AD14" i="11"/>
  <c r="AE12" i="11" s="1"/>
  <c r="M12" i="11" s="1"/>
  <c r="L12" i="11" s="1"/>
  <c r="AA157" i="5" a="1"/>
  <c r="AA157" i="5" s="1"/>
  <c r="AA82" i="5" a="1"/>
  <c r="AA82" i="5" s="1"/>
  <c r="AA135" i="5" a="1"/>
  <c r="AA135" i="5" s="1"/>
  <c r="AA124" i="5" a="1"/>
  <c r="AA124" i="5" s="1"/>
  <c r="AA87" i="5" a="1"/>
  <c r="AA87" i="5" s="1"/>
  <c r="AA43" i="5" a="1"/>
  <c r="AA43" i="5" s="1"/>
  <c r="AA42" i="5" s="1" a="1"/>
  <c r="AA42" i="5" s="1"/>
  <c r="C32" i="8" s="1"/>
  <c r="AA84" i="5" a="1"/>
  <c r="AA84" i="5" s="1"/>
  <c r="AA142" i="5" a="1"/>
  <c r="AA142" i="5" s="1"/>
  <c r="AA41" i="5" a="1"/>
  <c r="AA41" i="5" s="1"/>
  <c r="AA148" i="5" a="1"/>
  <c r="AA148" i="5" s="1"/>
  <c r="AA112" i="5" a="1"/>
  <c r="AA112" i="5" s="1"/>
  <c r="AA37" i="5" a="1"/>
  <c r="AA37" i="5" s="1"/>
  <c r="AA23" i="5" a="1"/>
  <c r="AA23" i="5" s="1"/>
  <c r="AA59" i="5" a="1"/>
  <c r="AA59" i="5" s="1"/>
  <c r="AA68" i="5" a="1"/>
  <c r="AA68" i="5" s="1"/>
  <c r="AA126" i="5" a="1"/>
  <c r="AA126" i="5" s="1"/>
  <c r="AA60" i="5" a="1"/>
  <c r="AA60" i="5" s="1"/>
  <c r="AA93" i="5" a="1"/>
  <c r="AA93" i="5" s="1"/>
  <c r="AA57" i="5" a="1"/>
  <c r="AA57" i="5" s="1"/>
  <c r="AA24" i="5" a="1"/>
  <c r="AA24" i="5" s="1"/>
  <c r="AA94" i="5" a="1"/>
  <c r="AA94" i="5" s="1"/>
  <c r="AA47" i="5" a="1"/>
  <c r="AA47" i="5" s="1"/>
  <c r="AA121" i="5" a="1"/>
  <c r="AA121" i="5" s="1"/>
  <c r="AA52" i="5" a="1"/>
  <c r="AA52" i="5" s="1"/>
  <c r="AA35" i="5" a="1"/>
  <c r="AA35" i="5" s="1"/>
  <c r="AA73" i="5" a="1"/>
  <c r="AA73" i="5" s="1"/>
  <c r="AA113" i="5" a="1"/>
  <c r="AA113" i="5" s="1"/>
  <c r="AA119" i="5" a="1"/>
  <c r="AA119" i="5" s="1"/>
  <c r="AA140" i="5" a="1"/>
  <c r="AA140" i="5" s="1"/>
  <c r="AA127" i="5" a="1"/>
  <c r="AA127" i="5" s="1"/>
  <c r="AA50" i="5" a="1"/>
  <c r="AA50" i="5" s="1"/>
  <c r="AA97" i="5" a="1"/>
  <c r="AA97" i="5" s="1"/>
  <c r="AA144" i="5" a="1"/>
  <c r="AA144" i="5" s="1"/>
  <c r="AA104" i="5" a="1"/>
  <c r="AA104" i="5" s="1"/>
  <c r="AA49" i="5" a="1"/>
  <c r="AA49" i="5" s="1"/>
  <c r="AA103" i="5" a="1"/>
  <c r="AA103" i="5" s="1"/>
  <c r="AA115" i="5" a="1"/>
  <c r="AA115" i="5" s="1"/>
  <c r="AA34" i="5" a="1"/>
  <c r="AA34" i="5" s="1"/>
  <c r="AA147" i="5" a="1"/>
  <c r="AA147" i="5" s="1"/>
  <c r="AA133" i="5" a="1"/>
  <c r="AA133" i="5" s="1"/>
  <c r="AA116" i="5" a="1"/>
  <c r="AA116" i="5" s="1"/>
  <c r="AA101" i="5" a="1"/>
  <c r="AA101" i="5" s="1"/>
  <c r="AA167" i="5" a="1"/>
  <c r="AA167" i="5" s="1"/>
  <c r="AA149" i="5" a="1"/>
  <c r="AA149" i="5" s="1"/>
  <c r="AA56" i="5" a="1"/>
  <c r="AA56" i="5" s="1"/>
  <c r="AA96" i="5" a="1"/>
  <c r="AA96" i="5" s="1"/>
  <c r="AA72" i="5" a="1"/>
  <c r="AA72" i="5" s="1"/>
  <c r="AA36" i="5" a="1"/>
  <c r="AA36" i="5" s="1"/>
  <c r="AA168" i="5" a="1"/>
  <c r="AA168" i="5" s="1"/>
  <c r="AA107" i="5" a="1"/>
  <c r="AA107" i="5" s="1"/>
  <c r="AA18" i="5" a="1"/>
  <c r="AA18" i="5" s="1"/>
  <c r="AA169" i="5" a="1"/>
  <c r="AA169" i="5" s="1"/>
  <c r="AA65" i="5" a="1"/>
  <c r="AA65" i="5" s="1"/>
  <c r="AA70" i="5" a="1"/>
  <c r="AA70" i="5" s="1"/>
  <c r="AA136" i="5" a="1"/>
  <c r="AA136" i="5" s="1"/>
  <c r="AA139" i="5" a="1"/>
  <c r="AA139" i="5" s="1"/>
  <c r="AA19" i="5" a="1"/>
  <c r="AA19" i="5" s="1"/>
  <c r="AA77" i="5" a="1"/>
  <c r="AA77" i="5" s="1"/>
  <c r="AA161" i="5" a="1"/>
  <c r="AA161" i="5" s="1"/>
  <c r="AA26" i="5" a="1"/>
  <c r="AA26" i="5" s="1"/>
  <c r="AA80" i="5" a="1"/>
  <c r="AA80" i="5" s="1"/>
  <c r="AA89" i="5" a="1"/>
  <c r="AA89" i="5" s="1"/>
  <c r="AA159" i="5" a="1"/>
  <c r="AA159" i="5" s="1"/>
  <c r="AA153" i="5" a="1"/>
  <c r="AA153" i="5" s="1"/>
  <c r="AA88" i="5" a="1"/>
  <c r="AA88" i="5" s="1"/>
  <c r="AA108" i="5" a="1"/>
  <c r="AA108" i="5" s="1"/>
  <c r="AA61" i="5" a="1"/>
  <c r="AA61" i="5" s="1"/>
  <c r="AA123" i="5" a="1"/>
  <c r="AA123" i="5" s="1"/>
  <c r="AA58" i="5" a="1"/>
  <c r="AA58" i="5" s="1"/>
  <c r="AA118" i="5" a="1"/>
  <c r="AA118" i="5" s="1"/>
  <c r="AA131" i="5" a="1"/>
  <c r="AA131" i="5" s="1"/>
  <c r="AA187" i="5" a="1"/>
  <c r="AA187" i="5" s="1"/>
  <c r="AA92" i="5" a="1"/>
  <c r="AA92" i="5" s="1"/>
  <c r="AA28" i="5" a="1"/>
  <c r="AA28" i="5" s="1"/>
  <c r="AA81" i="5" a="1"/>
  <c r="AA81" i="5" s="1"/>
  <c r="AA54" i="5" a="1"/>
  <c r="AA54" i="5" s="1"/>
  <c r="AA146" i="5" a="1"/>
  <c r="AA146" i="5" s="1"/>
  <c r="AA30" i="5" a="1"/>
  <c r="AA30" i="5" s="1"/>
  <c r="AA48" i="5" a="1"/>
  <c r="AA48" i="5" s="1"/>
  <c r="AA40" i="5" a="1"/>
  <c r="AA40" i="5" s="1"/>
  <c r="AA63" i="5" a="1"/>
  <c r="AA63" i="5" s="1"/>
  <c r="AA120" i="5" a="1"/>
  <c r="AA120" i="5" s="1"/>
  <c r="AA189" i="5" a="1"/>
  <c r="AA189" i="5" s="1"/>
  <c r="AA152" i="5" a="1"/>
  <c r="AA152" i="5" s="1"/>
  <c r="AA66" i="5" a="1"/>
  <c r="AA66" i="5" s="1"/>
  <c r="AA29" i="5" a="1"/>
  <c r="AA29" i="5" s="1"/>
  <c r="AA71" i="5" a="1"/>
  <c r="AA71" i="5" s="1"/>
  <c r="AA69" i="5" a="1"/>
  <c r="AA69" i="5" s="1"/>
  <c r="AA85" i="5" a="1"/>
  <c r="AA85" i="5" s="1"/>
  <c r="AA137" i="5" a="1"/>
  <c r="AA137" i="5" s="1"/>
  <c r="AA151" i="5" a="1"/>
  <c r="AA151" i="5" s="1"/>
  <c r="AA53" i="5" a="1"/>
  <c r="AA53" i="5" s="1"/>
  <c r="AA90" i="5" a="1"/>
  <c r="AA90" i="5" s="1"/>
  <c r="AA164" i="5" a="1"/>
  <c r="AA164" i="5" s="1"/>
  <c r="AA62" i="5" a="1"/>
  <c r="AA62" i="5" s="1"/>
  <c r="AA110" i="5" a="1"/>
  <c r="AA110" i="5" s="1"/>
  <c r="AA109" i="5" s="1" a="1"/>
  <c r="AA109" i="5" s="1"/>
  <c r="C59" i="8" s="1"/>
  <c r="AA95" i="5" a="1"/>
  <c r="AA95" i="5" s="1"/>
  <c r="AA138" i="5" a="1"/>
  <c r="AA138" i="5" s="1"/>
  <c r="AA45" i="5" a="1"/>
  <c r="AA45" i="5" s="1"/>
  <c r="AA122" i="5" a="1"/>
  <c r="AA122" i="5" s="1"/>
  <c r="AA67" i="5" a="1"/>
  <c r="AA67" i="5" s="1"/>
  <c r="AA128" i="5" a="1"/>
  <c r="AA128" i="5" s="1"/>
  <c r="AA143" i="5" a="1"/>
  <c r="AA143" i="5" s="1"/>
  <c r="AA39" i="5" a="1"/>
  <c r="AA39" i="5" s="1"/>
  <c r="AA38" i="5" s="1" a="1"/>
  <c r="AA38" i="5" s="1"/>
  <c r="C29" i="8" s="1"/>
  <c r="AA125" i="5" a="1"/>
  <c r="AA125" i="5" s="1"/>
  <c r="AA79" i="5" a="1"/>
  <c r="AA79" i="5" s="1"/>
  <c r="AA33" i="5" a="1"/>
  <c r="AA33" i="5" s="1"/>
  <c r="AA32" i="5" s="1" a="1"/>
  <c r="AA32" i="5" s="1"/>
  <c r="C26" i="8" s="1"/>
  <c r="AA55" i="5" a="1"/>
  <c r="AA55" i="5" s="1"/>
  <c r="AA134" i="5" a="1"/>
  <c r="AA134" i="5" s="1"/>
  <c r="AA76" i="5" a="1"/>
  <c r="AA76" i="5" s="1"/>
  <c r="AA86" i="5" a="1"/>
  <c r="AA86" i="5" s="1"/>
  <c r="AA21" i="5" a="1"/>
  <c r="AA21" i="5" s="1"/>
  <c r="AA158" i="5" a="1"/>
  <c r="AA158" i="5" s="1"/>
  <c r="AA31" i="5" a="1"/>
  <c r="AA31" i="5" s="1"/>
  <c r="AA190" i="5" a="1"/>
  <c r="AA190" i="5" s="1"/>
  <c r="AA129" i="5" a="1"/>
  <c r="AA129" i="5" s="1"/>
  <c r="AA188" i="5" a="1"/>
  <c r="AA188" i="5" s="1"/>
  <c r="AA100" i="5" a="1"/>
  <c r="AA100" i="5" s="1"/>
  <c r="AA160" i="5" a="1"/>
  <c r="AA160" i="5" s="1"/>
  <c r="AA25" i="5" a="1"/>
  <c r="AA25" i="5" s="1"/>
  <c r="AA106" i="5" a="1"/>
  <c r="AA106" i="5" s="1"/>
  <c r="AA105" i="5" s="1" a="1"/>
  <c r="AA105" i="5" s="1"/>
  <c r="C56" i="8" s="1"/>
  <c r="AA150" i="5" a="1"/>
  <c r="AA150" i="5" s="1"/>
  <c r="AA99" i="5" a="1"/>
  <c r="AA99" i="5" s="1"/>
  <c r="AA46" i="5" a="1"/>
  <c r="AA46" i="5" s="1"/>
  <c r="AA102" i="5" a="1"/>
  <c r="AA102" i="5" s="1"/>
  <c r="AA163" i="5" a="1"/>
  <c r="AA163" i="5" s="1"/>
  <c r="AA132" i="5" a="1"/>
  <c r="AA132" i="5" s="1"/>
  <c r="AA117" i="5" a="1"/>
  <c r="AA117" i="5" s="1"/>
  <c r="AA20" i="5" a="1"/>
  <c r="AA20" i="5" s="1"/>
  <c r="AA78" i="5" a="1"/>
  <c r="AA78" i="5" s="1"/>
  <c r="AA162" i="5" a="1"/>
  <c r="AA162" i="5" s="1"/>
  <c r="AA155" i="5" a="1"/>
  <c r="AA155" i="5" s="1"/>
  <c r="AA154" i="5" s="1" a="1"/>
  <c r="AA154" i="5" s="1"/>
  <c r="C74" i="8" s="1"/>
  <c r="AA74" i="5" a="1"/>
  <c r="AA74" i="5" s="1"/>
  <c r="AA165" i="5" a="1"/>
  <c r="AA165" i="5" s="1"/>
  <c r="J52" i="9"/>
  <c r="V98" i="8"/>
  <c r="V97" i="8"/>
  <c r="W102" i="8"/>
  <c r="U93" i="8"/>
  <c r="H49" i="9" s="1"/>
  <c r="H50" i="9"/>
  <c r="W101" i="8" a="1"/>
  <c r="W101" i="8" s="1"/>
  <c r="V96" i="8"/>
  <c r="F34" i="14"/>
  <c r="G10" i="13"/>
  <c r="N25" i="11"/>
  <c r="L27" i="13"/>
  <c r="H51" i="9"/>
  <c r="H54" i="9" s="1"/>
  <c r="U104" i="8"/>
  <c r="O27" i="13"/>
  <c r="N27" i="13" l="1"/>
  <c r="E32" i="14" s="1"/>
  <c r="F32" i="14"/>
  <c r="D32" i="14"/>
  <c r="AD27" i="13"/>
  <c r="AC27" i="13"/>
  <c r="W97" i="8"/>
  <c r="L52" i="9"/>
  <c r="W98" i="8"/>
  <c r="X102" i="8"/>
  <c r="V93" i="8"/>
  <c r="J49" i="9" s="1"/>
  <c r="J50" i="9"/>
  <c r="AA98" i="5" a="1"/>
  <c r="AA98" i="5" s="1"/>
  <c r="C53" i="8" s="1"/>
  <c r="AA44" i="5" a="1"/>
  <c r="AA44" i="5" s="1"/>
  <c r="C35" i="8" s="1"/>
  <c r="AA145" i="5" a="1"/>
  <c r="AA145" i="5" s="1"/>
  <c r="C71" i="8" s="1"/>
  <c r="AA91" i="5" a="1"/>
  <c r="AA91" i="5" s="1"/>
  <c r="C50" i="8" s="1"/>
  <c r="AA64" i="5" a="1"/>
  <c r="AA64" i="5" s="1"/>
  <c r="C41" i="8" s="1"/>
  <c r="AA17" i="5" a="1"/>
  <c r="AA17" i="5" s="1"/>
  <c r="C17" i="8" s="1"/>
  <c r="AA15" i="5"/>
  <c r="AA16" i="5" a="1"/>
  <c r="AA16" i="5" s="1"/>
  <c r="AA166" i="5" a="1"/>
  <c r="AA166" i="5" s="1"/>
  <c r="C80" i="8" s="1"/>
  <c r="AA114" i="5" a="1"/>
  <c r="AA114" i="5" s="1"/>
  <c r="C65" i="8" s="1"/>
  <c r="AA22" i="5" a="1"/>
  <c r="AA22" i="5" s="1"/>
  <c r="C20" i="8" s="1"/>
  <c r="AA111" i="5" a="1"/>
  <c r="AA111" i="5" s="1"/>
  <c r="C62" i="8" s="1"/>
  <c r="AA83" i="5" a="1"/>
  <c r="AA83" i="5" s="1"/>
  <c r="C47" i="8" s="1"/>
  <c r="AA156" i="5" a="1"/>
  <c r="AA156" i="5" s="1"/>
  <c r="C77" i="8" s="1"/>
  <c r="AE22" i="11"/>
  <c r="M22" i="11" s="1"/>
  <c r="L22" i="11" s="1"/>
  <c r="AE23" i="11"/>
  <c r="M23" i="11" s="1"/>
  <c r="L23" i="11" s="1"/>
  <c r="AE17" i="11"/>
  <c r="M17" i="11" s="1"/>
  <c r="L17" i="11" s="1"/>
  <c r="AE14" i="11"/>
  <c r="W96" i="8"/>
  <c r="X101" i="8" a="1"/>
  <c r="X101" i="8" s="1"/>
  <c r="J51" i="9"/>
  <c r="J54" i="9" s="1"/>
  <c r="V104" i="8"/>
  <c r="AA75" i="5" a="1"/>
  <c r="AA75" i="5" s="1"/>
  <c r="C44" i="8" s="1"/>
  <c r="AA27" i="5" a="1"/>
  <c r="AA27" i="5" s="1"/>
  <c r="C23" i="8" s="1"/>
  <c r="AA186" i="5" a="1"/>
  <c r="AA186" i="5" s="1"/>
  <c r="C86" i="8" s="1"/>
  <c r="AA51" i="5" a="1"/>
  <c r="AA51" i="5" s="1"/>
  <c r="C38" i="8" s="1"/>
  <c r="AA141" i="5" a="1"/>
  <c r="AA141" i="5" s="1"/>
  <c r="C68" i="8" s="1"/>
  <c r="AA170" i="5" a="1"/>
  <c r="AA170" i="5" s="1"/>
  <c r="C83" i="8" s="1"/>
  <c r="AE15" i="11"/>
  <c r="M15" i="11" s="1"/>
  <c r="L15" i="11" s="1"/>
  <c r="AE16" i="11"/>
  <c r="M16" i="11" s="1"/>
  <c r="L16" i="11" s="1"/>
  <c r="AE20" i="11"/>
  <c r="M20" i="11" s="1"/>
  <c r="L20" i="11" s="1"/>
  <c r="AE21" i="11"/>
  <c r="M21" i="11" s="1"/>
  <c r="L21" i="11" s="1"/>
  <c r="AE18" i="11"/>
  <c r="M18" i="11" s="1"/>
  <c r="L18" i="11" s="1"/>
  <c r="X96" i="8" l="1"/>
  <c r="Y101" i="8" a="1"/>
  <c r="Y101" i="8" s="1"/>
  <c r="AA14" i="11" a="1"/>
  <c r="AA14" i="11" s="1"/>
  <c r="M14" i="11" s="1"/>
  <c r="AC14" i="13" a="1"/>
  <c r="AC14" i="13" s="1"/>
  <c r="R14" i="13" s="1"/>
  <c r="M26" i="13" s="1"/>
  <c r="AF14" i="13" a="1"/>
  <c r="AF14" i="13" s="1"/>
  <c r="T14" i="13" s="1"/>
  <c r="AD3" i="13" s="1"/>
  <c r="AD2" i="13" s="1"/>
  <c r="U100" i="8" a="1"/>
  <c r="U100" i="8" s="1"/>
  <c r="E100" i="8" a="1"/>
  <c r="E100" i="8" s="1"/>
  <c r="N52" i="9"/>
  <c r="X97" i="8"/>
  <c r="X98" i="8"/>
  <c r="Y102" i="8"/>
  <c r="L51" i="9"/>
  <c r="L54" i="9" s="1"/>
  <c r="W104" i="8"/>
  <c r="W93" i="8"/>
  <c r="L49" i="9" s="1"/>
  <c r="L50" i="9"/>
  <c r="L14" i="11" l="1"/>
  <c r="L24" i="11" s="1"/>
  <c r="M24" i="11"/>
  <c r="N50" i="9"/>
  <c r="X93" i="8"/>
  <c r="N49" i="9" s="1"/>
  <c r="Y97" i="8"/>
  <c r="P52" i="9"/>
  <c r="Y98" i="8"/>
  <c r="Z102" i="8"/>
  <c r="N51" i="9"/>
  <c r="N54" i="9" s="1"/>
  <c r="X104" i="8"/>
  <c r="V100" i="8" a="1"/>
  <c r="V100" i="8" s="1"/>
  <c r="U95" i="8"/>
  <c r="U99" i="8"/>
  <c r="U94" i="8" s="1"/>
  <c r="AE3" i="13"/>
  <c r="M25" i="13"/>
  <c r="E95" i="8"/>
  <c r="E99" i="8"/>
  <c r="E94" i="8" s="1"/>
  <c r="AA24" i="11"/>
  <c r="Z14" i="11"/>
  <c r="Z24" i="11" s="1"/>
  <c r="Z101" i="8" a="1"/>
  <c r="Z101" i="8" s="1"/>
  <c r="Y96" i="8"/>
  <c r="Z96" i="8" l="1"/>
  <c r="AA101" i="8" a="1"/>
  <c r="AA101" i="8" s="1"/>
  <c r="O26" i="13"/>
  <c r="AE2" i="13"/>
  <c r="R52" i="9"/>
  <c r="Z98" i="8"/>
  <c r="Z97" i="8"/>
  <c r="AA102" i="8"/>
  <c r="P51" i="9"/>
  <c r="P54" i="9" s="1"/>
  <c r="Y104" i="8"/>
  <c r="Y93" i="8"/>
  <c r="P49" i="9" s="1"/>
  <c r="P50" i="9"/>
  <c r="L10" i="11"/>
  <c r="M10" i="13" s="1"/>
  <c r="L25" i="13"/>
  <c r="D30" i="14" s="1"/>
  <c r="L25" i="11"/>
  <c r="V95" i="8"/>
  <c r="W100" i="8" a="1"/>
  <c r="W100" i="8" s="1"/>
  <c r="V99" i="8"/>
  <c r="V94" i="8" s="1"/>
  <c r="M10" i="11"/>
  <c r="N10" i="13" s="1"/>
  <c r="L26" i="13"/>
  <c r="M25" i="11"/>
  <c r="G9" i="11" s="1"/>
  <c r="AC26" i="13" l="1"/>
  <c r="D31" i="14"/>
  <c r="AD26" i="13"/>
  <c r="R51" i="9"/>
  <c r="R54" i="9" s="1"/>
  <c r="Z104" i="8"/>
  <c r="AA96" i="8"/>
  <c r="AB101" i="8" a="1"/>
  <c r="AB101" i="8" s="1"/>
  <c r="W95" i="8"/>
  <c r="X100" i="8" a="1"/>
  <c r="X100" i="8" s="1"/>
  <c r="W99" i="8"/>
  <c r="W94" i="8" s="1"/>
  <c r="AA97" i="8"/>
  <c r="AA98" i="8"/>
  <c r="T52" i="9"/>
  <c r="AB102" i="8"/>
  <c r="R50" i="9"/>
  <c r="Z93" i="8"/>
  <c r="R49" i="9" s="1"/>
  <c r="F31" i="14"/>
  <c r="N26" i="13"/>
  <c r="E31" i="14" s="1"/>
  <c r="O25" i="13"/>
  <c r="Y100" i="8" l="1" a="1"/>
  <c r="Y100" i="8" s="1"/>
  <c r="X95" i="8"/>
  <c r="X99" i="8"/>
  <c r="X94" i="8" s="1"/>
  <c r="N25" i="13"/>
  <c r="E30" i="14" s="1"/>
  <c r="F30" i="14"/>
  <c r="T51" i="9"/>
  <c r="T54" i="9" s="1"/>
  <c r="AA104" i="8"/>
  <c r="V52" i="9"/>
  <c r="AB98" i="8"/>
  <c r="AB97" i="8"/>
  <c r="AC102" i="8"/>
  <c r="AA93" i="8"/>
  <c r="T49" i="9" s="1"/>
  <c r="T50" i="9"/>
  <c r="AB96" i="8"/>
  <c r="AC101" i="8" a="1"/>
  <c r="AC101" i="8" s="1"/>
  <c r="X52" i="9" l="1"/>
  <c r="AC98" i="8"/>
  <c r="AC97" i="8"/>
  <c r="AD102" i="8"/>
  <c r="V50" i="9"/>
  <c r="AB93" i="8"/>
  <c r="V49" i="9" s="1"/>
  <c r="V51" i="9"/>
  <c r="V54" i="9" s="1"/>
  <c r="AB104" i="8"/>
  <c r="AC96" i="8"/>
  <c r="AD101" i="8" a="1"/>
  <c r="AD101" i="8" s="1"/>
  <c r="Y95" i="8"/>
  <c r="Z100" i="8" a="1"/>
  <c r="Z100" i="8" s="1"/>
  <c r="Y99" i="8"/>
  <c r="Y94" i="8" s="1"/>
  <c r="AD96" i="8" l="1"/>
  <c r="AE101" i="8" a="1"/>
  <c r="AE101" i="8" s="1"/>
  <c r="X51" i="9"/>
  <c r="X54" i="9" s="1"/>
  <c r="AC104" i="8"/>
  <c r="AA100" i="8" a="1"/>
  <c r="AA100" i="8" s="1"/>
  <c r="Z95" i="8"/>
  <c r="Z99" i="8"/>
  <c r="Z94" i="8" s="1"/>
  <c r="AD98" i="8"/>
  <c r="AD97" i="8"/>
  <c r="Z52" i="9"/>
  <c r="AE102" i="8"/>
  <c r="X50" i="9"/>
  <c r="AC93" i="8"/>
  <c r="X49" i="9" s="1"/>
  <c r="AB52" i="9" l="1"/>
  <c r="AE98" i="8"/>
  <c r="AE97" i="8"/>
  <c r="AF102" i="8"/>
  <c r="Z51" i="9"/>
  <c r="Z54" i="9" s="1"/>
  <c r="AD104" i="8"/>
  <c r="AF101" i="8" a="1"/>
  <c r="AF101" i="8" s="1"/>
  <c r="AF96" i="8" s="1"/>
  <c r="AE96" i="8"/>
  <c r="AD93" i="8"/>
  <c r="Z49" i="9" s="1"/>
  <c r="Z50" i="9"/>
  <c r="AA95" i="8"/>
  <c r="AB100" i="8" a="1"/>
  <c r="AB100" i="8" s="1"/>
  <c r="AA99" i="8"/>
  <c r="AA94" i="8" s="1"/>
  <c r="AB51" i="9" l="1"/>
  <c r="AB54" i="9" s="1"/>
  <c r="AE104" i="8"/>
  <c r="AC100" i="8" a="1"/>
  <c r="AC100" i="8" s="1"/>
  <c r="AB95" i="8"/>
  <c r="AB99" i="8"/>
  <c r="AB94" i="8" s="1"/>
  <c r="AF97" i="8"/>
  <c r="AD52" i="9"/>
  <c r="AF98" i="8"/>
  <c r="B6" i="9" a="1"/>
  <c r="B6" i="9" s="1"/>
  <c r="M13" i="9" s="1"/>
  <c r="K10" i="8" a="1"/>
  <c r="K10" i="8" s="1"/>
  <c r="AB50" i="9"/>
  <c r="AE93" i="8"/>
  <c r="AB49" i="9" s="1"/>
  <c r="AD51" i="9" l="1"/>
  <c r="AD54" i="9" s="1"/>
  <c r="G54" i="9" s="1"/>
  <c r="AF104" i="8"/>
  <c r="T104" i="8" s="1"/>
  <c r="F11" i="8" a="1"/>
  <c r="F11" i="8" s="1"/>
  <c r="AF93" i="8"/>
  <c r="AD49" i="9" s="1"/>
  <c r="AD50" i="9"/>
  <c r="AD100" i="8" a="1"/>
  <c r="AD100" i="8" s="1"/>
  <c r="AC95" i="8"/>
  <c r="AC99" i="8"/>
  <c r="AC94" i="8" s="1"/>
  <c r="AD95" i="8" l="1"/>
  <c r="AE100" i="8" a="1"/>
  <c r="AE100" i="8" s="1"/>
  <c r="AD99" i="8"/>
  <c r="AD94" i="8" s="1"/>
  <c r="AF100" i="8" l="1" a="1"/>
  <c r="AF100" i="8" s="1"/>
  <c r="AE95" i="8"/>
  <c r="AE99" i="8"/>
  <c r="AE94" i="8" s="1"/>
  <c r="AF95" i="8" l="1"/>
  <c r="AF99" i="8"/>
  <c r="AF94"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<sst xmlns="http://schemas.openxmlformats.org/spreadsheetml/2006/main" count="4670" uniqueCount="1671">
  <si>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</si>
  <si>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</si>
  <si>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</si>
  <si>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</si>
  <si>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</si>
  <si>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</si>
  <si>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</si>
  <si>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</si>
  <si>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</si>
  <si>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</si>
  <si>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</si>
  <si>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</si>
  <si>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</si>
  <si>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</si>
  <si>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</si>
  <si>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</si>
  <si>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</si>
  <si>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</si>
  <si>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</si>
  <si>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</si>
  <si>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</si>
  <si>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</si>
  <si>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</si>
  <si>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</si>
  <si>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</si>
  <si>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</si>
  <si>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</si>
  <si>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</si>
  <si>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</si>
  <si>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</si>
  <si>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</si>
  <si>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</si>
  <si>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</si>
  <si>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</si>
  <si>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</si>
  <si>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</si>
  <si>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</si>
  <si>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</si>
  <si>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</si>
  <si>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</si>
  <si>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</si>
  <si>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</si>
  <si>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</si>
  <si>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</si>
  <si>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</si>
  <si>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</si>
  <si>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</si>
  <si>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</si>
  <si>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</si>
  <si>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</si>
  <si>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</si>
  <si>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</si>
  <si>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</si>
  <si>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</si>
  <si>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</si>
  <si>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</si>
  <si>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</si>
  <si>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</si>
  <si>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</si>
  <si>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</si>
  <si>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</si>
  <si>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</si>
  <si>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</si>
  <si>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</si>
  <si>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</si>
  <si>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</si>
  <si>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</si>
  <si>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</si>
  <si>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</si>
  <si>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</si>
  <si>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</si>
  <si>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</si>
  <si>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</si>
  <si>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</si>
  <si>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</si>
  <si>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</si>
  <si>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</si>
  <si>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</si>
  <si>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</si>
  <si>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</si>
  <si>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</si>
  <si>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</si>
  <si>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</si>
  <si>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</si>
  <si>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</si>
  <si>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</si>
  <si>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</si>
  <si>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</si>
  <si>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</si>
  <si>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</si>
  <si>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</si>
  <si>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</si>
  <si>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</si>
  <si>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</si>
  <si>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</si>
  <si>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</si>
  <si>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</si>
  <si>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</si>
  <si>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</si>
  <si>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</si>
  <si>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</si>
  <si>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</si>
  <si>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</si>
  <si>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</si>
  <si>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</si>
  <si>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</si>
  <si>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</si>
  <si>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</si>
  <si>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</si>
  <si>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</si>
  <si>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</si>
  <si>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</si>
  <si>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</si>
  <si>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</si>
  <si>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</si>
  <si>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</si>
  <si>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</si>
  <si>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</si>
  <si>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</si>
  <si>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</si>
  <si>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</si>
  <si>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</si>
  <si>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</si>
  <si>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</si>
  <si>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</si>
  <si>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</si>
  <si>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</si>
  <si>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</si>
  <si>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</si>
  <si>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</si>
  <si>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</si>
  <si>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</si>
  <si>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</si>
  <si>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</si>
  <si>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</si>
  <si>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</si>
  <si>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</si>
  <si>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</si>
  <si>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</si>
  <si>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</si>
  <si>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</si>
  <si>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</si>
  <si>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</si>
  <si>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</si>
  <si>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</si>
  <si>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</si>
  <si>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</si>
  <si>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</si>
  <si>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</si>
  <si>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</si>
  <si>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</si>
  <si>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</si>
  <si>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</si>
  <si>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</si>
  <si>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</si>
  <si>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</si>
  <si>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</si>
  <si>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</si>
  <si>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</si>
  <si>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</si>
  <si>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</si>
  <si>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</si>
  <si>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</si>
  <si>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</si>
  <si>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</si>
  <si>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</si>
  <si>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</si>
  <si>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</si>
  <si>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</si>
  <si>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</si>
  <si>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</si>
  <si>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</si>
  <si>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</si>
  <si>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</si>
  <si>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</si>
  <si>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</si>
  <si>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</si>
  <si>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</si>
  <si>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</si>
  <si>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</si>
  <si>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</si>
  <si>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</si>
  <si>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</si>
  <si>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</si>
  <si>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</si>
  <si>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</si>
  <si>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</si>
  <si>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</si>
  <si>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</si>
  <si>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</si>
  <si>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</si>
  <si>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</si>
  <si>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</si>
  <si>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</si>
  <si>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</si>
  <si>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</si>
  <si>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</si>
  <si>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</si>
  <si>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</si>
  <si>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</si>
  <si>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</si>
  <si>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</si>
  <si>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</si>
  <si>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</si>
  <si>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</si>
  <si>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</si>
  <si>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</si>
  <si>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</si>
  <si>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</si>
  <si>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</si>
  <si>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</si>
  <si>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</si>
  <si>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</si>
  <si>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</si>
  <si>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</si>
  <si>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</si>
  <si>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</si>
  <si>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</si>
  <si>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</si>
  <si>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</si>
  <si>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</si>
  <si>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</si>
  <si>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</si>
  <si>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</si>
  <si>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</si>
  <si>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</si>
  <si>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</si>
  <si>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</si>
  <si>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</si>
  <si>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</si>
  <si>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</si>
  <si>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</si>
  <si>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</si>
  <si>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</si>
  <si>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</si>
  <si>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</si>
  <si>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</si>
  <si>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</si>
  <si>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</si>
  <si>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</si>
  <si>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</si>
  <si>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</si>
  <si>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</si>
  <si>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</si>
  <si>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</si>
  <si>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</si>
  <si>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</si>
  <si>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</si>
  <si>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</si>
  <si>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</si>
  <si>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</si>
  <si>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</si>
  <si>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</si>
  <si>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</si>
  <si>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</si>
  <si>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</si>
  <si>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</si>
  <si>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</si>
  <si>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</si>
  <si>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</si>
  <si>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</si>
  <si>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</si>
  <si>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</si>
  <si>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</si>
  <si>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</si>
  <si>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</si>
  <si>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</si>
  <si>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</si>
  <si>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</si>
  <si>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</si>
  <si>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</si>
  <si>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</si>
  <si>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</si>
  <si>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</si>
  <si>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</si>
  <si>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</si>
  <si>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</si>
  <si>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</si>
  <si>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</si>
  <si>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</si>
  <si>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</si>
  <si>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</si>
  <si>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</si>
  <si>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</si>
  <si>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</si>
  <si>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</si>
  <si>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</si>
  <si>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</si>
  <si>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</si>
  <si>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</si>
  <si>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</si>
  <si>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</si>
  <si>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</si>
  <si>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</si>
  <si>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</si>
  <si>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</si>
  <si>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</si>
  <si>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</si>
  <si>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</si>
  <si>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</si>
  <si>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</si>
  <si>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</si>
  <si>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</si>
  <si>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</si>
  <si>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</si>
  <si>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</si>
  <si>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</si>
  <si>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</si>
  <si>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</si>
  <si>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</si>
  <si>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</si>
  <si>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</si>
  <si>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</si>
  <si>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</si>
  <si>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</si>
  <si>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</si>
  <si>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</si>
  <si>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</si>
  <si>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</si>
  <si>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</si>
  <si>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</si>
  <si>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</si>
  <si>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</si>
  <si>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</si>
  <si>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</si>
  <si>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</si>
  <si>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</si>
  <si>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</si>
  <si>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</si>
  <si>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</si>
  <si>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</si>
  <si>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</si>
  <si>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</si>
  <si>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</si>
  <si>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</si>
  <si>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</si>
  <si>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</si>
  <si>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</si>
  <si>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</si>
  <si>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</si>
  <si>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</si>
  <si>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</si>
  <si>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</si>
  <si>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</si>
  <si>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</si>
  <si>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</si>
  <si>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</si>
  <si>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</si>
  <si>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</si>
  <si>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</si>
  <si>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</si>
  <si>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</si>
  <si>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</si>
  <si>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</si>
  <si>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</si>
  <si>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</si>
  <si>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</si>
  <si>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</si>
  <si>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</si>
  <si>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</si>
  <si>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</si>
  <si>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</si>
  <si>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</si>
  <si>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</si>
  <si>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</si>
  <si>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</si>
  <si>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</si>
  <si>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</si>
  <si>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</si>
  <si>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</si>
  <si>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</si>
  <si>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</si>
  <si>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</si>
  <si>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</si>
  <si>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</si>
  <si>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</si>
  <si>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</si>
  <si>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</si>
  <si>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</si>
  <si>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</si>
  <si>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</si>
  <si>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</si>
  <si>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</si>
  <si>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</si>
  <si>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</si>
  <si>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</si>
  <si>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</si>
  <si>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</si>
  <si>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</si>
  <si>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</si>
  <si>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</si>
  <si>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</si>
  <si>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</si>
  <si>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</si>
  <si>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</si>
  <si>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</si>
  <si>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</si>
  <si>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</si>
  <si>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</si>
  <si>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</si>
  <si>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</si>
  <si>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</si>
  <si>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</si>
  <si>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</si>
  <si>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</si>
  <si>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</si>
  <si>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</si>
  <si>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</si>
  <si>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</si>
  <si>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</si>
  <si>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</si>
  <si>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</si>
  <si>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</si>
  <si>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</si>
  <si>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</si>
  <si>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</si>
  <si>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</si>
  <si>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</si>
  <si>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</si>
  <si>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</si>
  <si>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</si>
  <si>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</si>
  <si>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</si>
  <si>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</si>
  <si>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</si>
  <si>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</si>
  <si>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</si>
  <si>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</si>
  <si>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</si>
  <si>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</si>
  <si>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</si>
  <si>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</si>
  <si>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</si>
  <si>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</si>
  <si>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</si>
  <si>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</si>
  <si>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</si>
  <si>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</si>
  <si>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</si>
  <si>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</si>
  <si>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</si>
  <si>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</si>
  <si>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</si>
  <si>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</si>
  <si>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</si>
  <si>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</si>
  <si>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</si>
  <si>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</si>
  <si>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</si>
  <si>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</si>
  <si>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</si>
  <si>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</si>
  <si>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</si>
  <si>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</si>
  <si>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</si>
  <si>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</si>
  <si>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</si>
  <si>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</si>
  <si>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</si>
  <si>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</si>
  <si>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</si>
  <si>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</si>
  <si>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</si>
  <si>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</si>
  <si>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</si>
  <si>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</si>
  <si>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</si>
  <si>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</si>
  <si>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</si>
  <si>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</si>
  <si>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</si>
  <si>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</si>
  <si>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</si>
  <si>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</si>
  <si>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</si>
  <si>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</si>
  <si>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</si>
  <si>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</si>
  <si>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</si>
  <si>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</si>
  <si>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</si>
  <si>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</si>
  <si>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</si>
  <si>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</si>
  <si>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</si>
  <si>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</si>
  <si>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</si>
  <si>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</si>
  <si>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</si>
  <si>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</si>
  <si>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</si>
  <si>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</si>
  <si>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</si>
  <si>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</si>
  <si>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</si>
  <si>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</si>
  <si>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</si>
  <si>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</si>
  <si>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</si>
  <si>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</si>
  <si>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</si>
  <si>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</si>
  <si>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</si>
  <si>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</si>
  <si>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</si>
  <si>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</si>
  <si>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</si>
  <si>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</si>
  <si>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</si>
  <si>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</si>
  <si>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</si>
  <si>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</si>
  <si>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</si>
  <si>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</si>
  <si>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</si>
  <si>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</si>
  <si>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</si>
  <si>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</si>
  <si>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</si>
  <si>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</si>
  <si>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</si>
  <si>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</si>
  <si>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</si>
  <si>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</si>
  <si>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</si>
  <si>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</si>
  <si>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</si>
  <si>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</si>
  <si>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</si>
  <si>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</si>
  <si>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</si>
  <si>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</si>
  <si>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</si>
  <si>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</si>
  <si>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</si>
  <si>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</si>
  <si>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</si>
  <si>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</si>
  <si>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</si>
  <si>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</si>
  <si>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</si>
  <si>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</si>
  <si>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</si>
  <si>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</si>
  <si>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</si>
  <si>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</si>
  <si>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</si>
  <si>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</si>
  <si>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</si>
  <si>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</si>
  <si>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</si>
  <si>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</si>
  <si>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</si>
  <si>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</si>
  <si>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</si>
  <si>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</si>
  <si>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</si>
  <si>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</si>
  <si>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</si>
  <si>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</si>
  <si>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</si>
  <si>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</si>
  <si>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</si>
  <si>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</si>
  <si>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</si>
  <si>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</si>
  <si>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</si>
  <si>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</si>
  <si>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</si>
  <si>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</si>
  <si>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</si>
  <si>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</si>
  <si>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</si>
  <si>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</si>
  <si>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</si>
  <si>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</si>
  <si>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</si>
  <si>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</si>
  <si>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</si>
  <si>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</si>
  <si>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</si>
  <si>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</si>
  <si>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</si>
  <si>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</si>
  <si>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</si>
  <si>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</si>
  <si>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</si>
  <si>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</si>
  <si>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</si>
  <si>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</si>
  <si>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</si>
  <si>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</si>
  <si>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</si>
  <si>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</si>
  <si>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</si>
  <si>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</si>
  <si>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</si>
  <si>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</si>
  <si>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</si>
  <si>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</si>
  <si>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</si>
  <si>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</si>
  <si>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</si>
  <si>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</si>
  <si>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</si>
  <si>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</si>
  <si>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</si>
  <si>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</si>
  <si>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</si>
  <si>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</si>
  <si>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</si>
  <si>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</si>
  <si>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</si>
  <si>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</si>
  <si>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</si>
  <si>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</si>
  <si>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</si>
  <si>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</si>
  <si>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</si>
  <si>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</si>
  <si>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</si>
  <si>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</si>
  <si>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</si>
  <si>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</si>
  <si>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</si>
  <si>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</si>
  <si>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</si>
  <si>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</si>
  <si>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</si>
  <si>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</si>
  <si>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</si>
  <si>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</si>
  <si>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</si>
  <si>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</si>
  <si>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</si>
  <si>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</si>
  <si>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</si>
  <si>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</si>
  <si>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</si>
  <si>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</si>
  <si>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</si>
  <si>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</si>
  <si>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</si>
  <si>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</si>
  <si>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</si>
  <si>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</si>
  <si>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</si>
  <si>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</si>
  <si>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</si>
  <si>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</si>
  <si>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</si>
  <si>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</si>
  <si>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</si>
  <si>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</si>
  <si>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</si>
  <si>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</si>
  <si>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</si>
  <si>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</si>
  <si>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</si>
  <si>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</si>
  <si>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</si>
  <si>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</si>
  <si>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</si>
  <si>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</si>
  <si>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</si>
  <si>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</si>
  <si>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</si>
  <si>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</si>
  <si>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</si>
  <si>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</si>
  <si>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</si>
  <si>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</si>
  <si>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</si>
  <si>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</si>
  <si>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</si>
  <si>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</si>
  <si>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</si>
  <si>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</si>
  <si>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</si>
  <si>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</si>
  <si>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</si>
  <si>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</si>
  <si>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</si>
  <si>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</si>
  <si>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</si>
  <si>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</si>
  <si>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</si>
  <si>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</si>
  <si>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</si>
  <si>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</si>
  <si>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</si>
  <si>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</si>
  <si>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</si>
  <si>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</si>
  <si>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</si>
  <si>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</si>
  <si>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</si>
  <si>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</si>
  <si>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</si>
  <si>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</si>
  <si>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</si>
  <si>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</si>
  <si>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</si>
  <si>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</si>
  <si>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</si>
  <si>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</si>
  <si>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</si>
  <si>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</si>
  <si>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</si>
  <si>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</si>
  <si>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</si>
  <si>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</si>
  <si>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</si>
  <si>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</si>
  <si>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</si>
  <si>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</si>
  <si>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</si>
  <si>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</si>
  <si>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</si>
  <si>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</si>
  <si>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</si>
  <si>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</si>
  <si>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</si>
  <si>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</si>
  <si>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</si>
  <si>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</si>
  <si>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</si>
  <si>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</si>
  <si>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</si>
  <si>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</si>
  <si>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</si>
  <si>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</si>
  <si>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</si>
  <si>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</si>
  <si>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</si>
  <si>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</si>
  <si>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</si>
  <si>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</si>
  <si>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</si>
  <si>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</si>
  <si>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</si>
  <si>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</si>
  <si>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</si>
  <si>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</si>
  <si>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</si>
  <si>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</si>
  <si>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</si>
  <si>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</si>
  <si>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</si>
  <si>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</si>
  <si>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</si>
  <si>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</si>
  <si>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</si>
  <si>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</si>
  <si>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</si>
  <si>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</si>
  <si>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</si>
  <si>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</si>
  <si>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</si>
  <si>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</si>
  <si>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</si>
  <si>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</si>
  <si>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</si>
  <si>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</si>
  <si>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</si>
  <si>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</si>
  <si>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</si>
  <si>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</si>
  <si>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</si>
  <si>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</si>
  <si>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</si>
  <si>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</si>
  <si>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</si>
  <si>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</si>
  <si>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</si>
  <si>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</si>
  <si>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</si>
  <si>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</si>
  <si>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</si>
  <si>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</si>
  <si>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</si>
  <si>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</si>
  <si>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</si>
  <si>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</si>
  <si>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</si>
  <si>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</si>
  <si>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</si>
  <si>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</si>
  <si>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</si>
  <si>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</si>
  <si>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</si>
  <si>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</si>
  <si>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</si>
  <si>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</si>
  <si>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</si>
  <si>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</si>
  <si>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</si>
  <si>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</si>
  <si>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</si>
  <si>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</si>
  <si>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</si>
  <si>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</si>
  <si>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</si>
  <si>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</si>
  <si>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</si>
  <si>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</si>
  <si>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</si>
  <si>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</si>
  <si>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</si>
  <si>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</si>
  <si>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</si>
  <si>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</si>
  <si>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</si>
  <si>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</si>
  <si>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</si>
  <si>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</si>
  <si>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</si>
  <si>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</si>
  <si>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</si>
  <si>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</si>
  <si>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</si>
  <si>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</si>
  <si>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</si>
  <si>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</si>
  <si>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</si>
  <si>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</si>
  <si>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</si>
  <si>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</si>
  <si>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</si>
  <si>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</si>
  <si>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</si>
  <si>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</si>
  <si>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</si>
  <si>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</si>
  <si>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</si>
  <si>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</si>
  <si>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</si>
  <si>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</si>
  <si>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</si>
  <si>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</si>
  <si>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</si>
  <si>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</si>
  <si>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</si>
  <si>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</si>
  <si>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</si>
  <si>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</si>
  <si>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</si>
  <si>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</si>
  <si>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</si>
  <si>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</si>
  <si>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</si>
  <si>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</si>
  <si>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</si>
  <si>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</si>
  <si>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</si>
  <si>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</si>
  <si>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</si>
  <si>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</si>
  <si>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</si>
  <si>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</si>
  <si>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</si>
  <si>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</si>
  <si>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</si>
  <si>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</si>
  <si>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</si>
  <si>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</si>
  <si>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</si>
  <si>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</si>
  <si>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</si>
  <si>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</si>
  <si>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</si>
  <si>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</si>
  <si>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</si>
  <si>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</si>
  <si>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</si>
  <si>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</si>
  <si>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</si>
  <si>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</si>
  <si>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</si>
  <si>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</si>
  <si>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</si>
  <si>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</si>
  <si>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</si>
  <si>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</si>
  <si>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</si>
  <si>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</si>
  <si>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</si>
  <si>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</si>
  <si>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</si>
  <si>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</si>
  <si>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</si>
  <si>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</si>
  <si>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</si>
  <si>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</si>
  <si>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</si>
  <si>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</si>
  <si>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</si>
  <si>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</si>
  <si>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</si>
  <si>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</si>
  <si>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</si>
  <si>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</si>
  <si>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</si>
  <si>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</si>
  <si>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</si>
  <si>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</si>
  <si>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</si>
  <si>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</si>
  <si>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</si>
  <si>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</si>
  <si>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</si>
  <si>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</si>
  <si>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</si>
  <si>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</si>
  <si>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</si>
  <si>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</si>
  <si>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</si>
  <si>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</si>
  <si>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</si>
  <si>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</si>
  <si>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</si>
  <si>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</si>
  <si>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</si>
  <si>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</si>
  <si>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</si>
  <si>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</si>
  <si>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</si>
  <si>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</si>
  <si>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</si>
  <si>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</si>
  <si>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</si>
  <si>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</si>
  <si>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</si>
  <si>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</si>
  <si>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</si>
  <si>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</si>
  <si>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</si>
  <si>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</si>
  <si>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</si>
  <si>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</si>
  <si>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</si>
  <si>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</si>
  <si>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</si>
  <si>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</si>
  <si>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</si>
  <si>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</si>
  <si>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</si>
  <si>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</si>
  <si>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</si>
  <si>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</si>
  <si>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</si>
  <si>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</si>
  <si>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</si>
  <si>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</si>
  <si>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</si>
  <si>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</si>
  <si>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</si>
  <si>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</si>
  <si>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</si>
  <si>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</si>
  <si>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</si>
  <si>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</si>
  <si>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</si>
  <si>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</si>
  <si>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</si>
  <si>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</si>
  <si>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</si>
  <si>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</si>
  <si>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</si>
  <si>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</si>
  <si>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</si>
  <si>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</si>
  <si>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</si>
  <si>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</si>
  <si>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</si>
  <si>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</si>
  <si>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</si>
  <si>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</si>
  <si>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</si>
  <si>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</si>
  <si>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</si>
  <si>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</si>
  <si>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</si>
  <si>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</si>
  <si>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</si>
  <si>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</si>
  <si>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</si>
  <si>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</si>
  <si>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</si>
  <si>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</si>
  <si>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</si>
  <si>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</si>
  <si>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</si>
  <si>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</si>
  <si>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</si>
  <si>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</si>
  <si>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</si>
  <si>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</si>
  <si>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</si>
  <si>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</si>
  <si>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</si>
  <si>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</si>
  <si>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</si>
  <si>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</si>
  <si>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</si>
  <si>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</si>
  <si>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</si>
  <si>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Ampliação do Sistema de Abastecimento de Água</t>
  </si>
  <si>
    <t>ED-50150</t>
  </si>
  <si>
    <t>99059</t>
  </si>
  <si>
    <t>98524</t>
  </si>
  <si>
    <t>ED-50276</t>
  </si>
  <si>
    <t>ED-50266</t>
  </si>
  <si>
    <t>ED-7623</t>
  </si>
  <si>
    <t>96522</t>
  </si>
  <si>
    <t>101100</t>
  </si>
  <si>
    <t>ED-49641</t>
  </si>
  <si>
    <t>ED-8571</t>
  </si>
  <si>
    <t>97655</t>
  </si>
  <si>
    <t>93358</t>
  </si>
  <si>
    <t>92263</t>
  </si>
  <si>
    <t>9829</t>
  </si>
  <si>
    <t>90102</t>
  </si>
  <si>
    <t>101616</t>
  </si>
  <si>
    <t>93378</t>
  </si>
  <si>
    <t>97128</t>
  </si>
  <si>
    <t>92265</t>
  </si>
  <si>
    <t>102306</t>
  </si>
  <si>
    <t>101175</t>
  </si>
  <si>
    <t>92446</t>
  </si>
  <si>
    <t>93590</t>
  </si>
  <si>
    <t>100574</t>
  </si>
  <si>
    <t>101839</t>
  </si>
  <si>
    <t>20.12.01</t>
  </si>
  <si>
    <t>4011351</t>
  </si>
  <si>
    <t>100898</t>
  </si>
  <si>
    <t>102474</t>
  </si>
  <si>
    <t>102473</t>
  </si>
  <si>
    <t>94970</t>
  </si>
  <si>
    <t>ED-48228</t>
  </si>
  <si>
    <t>92543</t>
  </si>
  <si>
    <t>ED-49319</t>
  </si>
  <si>
    <t>ED-49321</t>
  </si>
  <si>
    <t>97667</t>
  </si>
  <si>
    <t>97668</t>
  </si>
  <si>
    <t>97669</t>
  </si>
  <si>
    <t>101658</t>
  </si>
  <si>
    <t>100623</t>
  </si>
  <si>
    <t>91927</t>
  </si>
  <si>
    <t>101560</t>
  </si>
  <si>
    <t>91935</t>
  </si>
  <si>
    <t>92984</t>
  </si>
  <si>
    <t>92986</t>
  </si>
  <si>
    <t>101564</t>
  </si>
  <si>
    <t>101565</t>
  </si>
  <si>
    <t>101883</t>
  </si>
  <si>
    <t>87879</t>
  </si>
  <si>
    <t>87550</t>
  </si>
  <si>
    <t>87251</t>
  </si>
  <si>
    <t>88648</t>
  </si>
  <si>
    <t>36378</t>
  </si>
  <si>
    <t>97121</t>
  </si>
  <si>
    <t>PROJETO EXECUTIVO</t>
  </si>
  <si>
    <t>ED-50151</t>
  </si>
  <si>
    <t>SETOP</t>
  </si>
  <si>
    <t>SUDECAP</t>
  </si>
  <si>
    <t>ED-16350</t>
  </si>
  <si>
    <t>ED-51120</t>
  </si>
  <si>
    <t>ED-48201</t>
  </si>
  <si>
    <t>ED-26658</t>
  </si>
  <si>
    <t>EXECUÇÃO/ FORNECIMENTO DE MATERIAIS E EQUIPAMENTOS HIDRAULICOS - Distribuição de água tratada</t>
  </si>
  <si>
    <t>103984</t>
  </si>
  <si>
    <t>89563</t>
  </si>
  <si>
    <t>BOA ESPERANÇA</t>
  </si>
  <si>
    <t>27488/2025</t>
  </si>
  <si>
    <t>AMPLIAÇÃO NO SISTEMA DE ÁGUA- BAIRRO NOVA ESPERANÇA</t>
  </si>
  <si>
    <t>LAIZ MOSCARDINI CRUZ NASCIMENTO</t>
  </si>
  <si>
    <t>283596/D</t>
  </si>
  <si>
    <t>ADMINISTRAÇÃO LOCAL</t>
  </si>
  <si>
    <t>103689</t>
  </si>
  <si>
    <t>01</t>
  </si>
  <si>
    <t>100975</t>
  </si>
  <si>
    <t>92919</t>
  </si>
  <si>
    <t>94967</t>
  </si>
  <si>
    <t>MUNICIPIO DE BOA ESPERANCA</t>
  </si>
  <si>
    <t>56000000966/2023</t>
  </si>
  <si>
    <t xml:space="preserve">AROLDO MEDEIROS </t>
  </si>
  <si>
    <t>PREFEITO</t>
  </si>
  <si>
    <t>1- Ligação na EEAT, 1- rede de Distruibuição, 1- adutora e 1- Reservatório</t>
  </si>
  <si>
    <t>ÁREA DE 517,50M² área do reservatório e entorno da área.</t>
  </si>
  <si>
    <t>32</t>
  </si>
  <si>
    <t>06</t>
  </si>
  <si>
    <t>07</t>
  </si>
  <si>
    <t>33</t>
  </si>
  <si>
    <t>34</t>
  </si>
  <si>
    <t>31</t>
  </si>
  <si>
    <t>10</t>
  </si>
  <si>
    <t>11</t>
  </si>
  <si>
    <t>12</t>
  </si>
  <si>
    <t>13</t>
  </si>
  <si>
    <t>14</t>
  </si>
  <si>
    <t>15</t>
  </si>
  <si>
    <t>16</t>
  </si>
  <si>
    <t>17</t>
  </si>
  <si>
    <t>18</t>
  </si>
  <si>
    <t>19</t>
  </si>
  <si>
    <t>20</t>
  </si>
  <si>
    <t>21</t>
  </si>
  <si>
    <t>22</t>
  </si>
  <si>
    <t>23</t>
  </si>
  <si>
    <t>24</t>
  </si>
  <si>
    <t>39</t>
  </si>
  <si>
    <t>40</t>
  </si>
  <si>
    <t>26</t>
  </si>
  <si>
    <t>Instalação quadro de partida e comando para grupo gerador fixo existente com potencia de 145Kva. instalacao(desonerado)</t>
  </si>
  <si>
    <t>42</t>
  </si>
  <si>
    <t>2 QUADROS E 2 BOMBAS</t>
  </si>
  <si>
    <t xml:space="preserve">2 QUADROS </t>
  </si>
  <si>
    <t>2 BOMBAS</t>
  </si>
  <si>
    <t>27</t>
  </si>
  <si>
    <t>28</t>
  </si>
  <si>
    <t>35</t>
  </si>
  <si>
    <t>36</t>
  </si>
  <si>
    <t>38</t>
  </si>
  <si>
    <t>37</t>
  </si>
  <si>
    <t xml:space="preserve">RESERVATÓRIO </t>
  </si>
  <si>
    <t xml:space="preserve">MURO DE DIVISA </t>
  </si>
  <si>
    <t>=3390 extensão de rede</t>
  </si>
  <si>
    <t>extensão de rede: 3390</t>
  </si>
  <si>
    <t>9*2=18m²</t>
  </si>
  <si>
    <t>=6000*1</t>
  </si>
  <si>
    <t>=6000*1*1</t>
  </si>
  <si>
    <t xml:space="preserve">EEAT, RESERVATÓRIO, ADUÇÃO E DISTRIBUIÇÃO  </t>
  </si>
  <si>
    <t>EEAT E RESERVATÓRIO</t>
  </si>
  <si>
    <t>100*1:100 METROS LINEARES</t>
  </si>
  <si>
    <t>12 MESES DE OBRA</t>
  </si>
  <si>
    <t>40*110: 4400O               quantitativo de aço foi estimado com base na taxa média de armadura para fundações de reservatórios em concreto armado, considerando blocos/sapatas de apoio.</t>
  </si>
  <si>
    <t>12 x 0,385 x 13,60 = 63,00 m³ Volume de tubulões calculado considerando 12 unidades com diâmetro de 0,70 m e profundidade média de 13,60 m, resultando em volume total de 63,00 m³</t>
  </si>
  <si>
    <t>3,60 + 2,90 + 4,00 + 7,00 = 17,50 m³                                      Volume de concreto estrutural calculado a partir da soma dos elementos da estrutura do reservatório (pilares, vigas, lajes e paredes), totalizando 17,50 m³</t>
  </si>
  <si>
    <t>(63,00 + 17,50) x 1,13 = 91,00 m³   Volume de concreto estrutural obtido pela soma dos volumes de fundação (tubulões) e superestrutura, acrescido de 13% referente a perdas operacionais, sobras e ajustes executivos, totalizando 91,00 m³</t>
  </si>
  <si>
    <t>4 x 1,20 x 4,20 = 20,00 m²        Área de fôrmas calculada com base nas superfícies laterais dos pilares da estrutura, considerando 4 unidades com seção de 0,30 x 0,30 m e altura média de 4,20 m, totalizando 20,00 m²</t>
  </si>
  <si>
    <t>03 mudanças de direção na tubulação DN 300 mm = 3 unidades</t>
  </si>
  <si>
    <t>03 pontos de controle hidráulico = 3 unidades                                      1 registro na entrada do reservatório
1 registro na saída (distribuição)
1 registro para by-pass ou manobra</t>
  </si>
  <si>
    <t>Comprimento do trecho x largura da cobertura = 210,10 m²</t>
  </si>
  <si>
    <t>Área localizada de intervenção = 1,98 m²</t>
  </si>
  <si>
    <t>210,10 x 0,30 x 0,95 = 59,53 m³</t>
  </si>
  <si>
    <t>59,53 - 16,32 = 43,21 m³</t>
  </si>
  <si>
    <t>ÁREA EXECUTADA 150*2</t>
  </si>
  <si>
    <t>Volume de concreto estrutural do muro (viga baldrame + pilares)</t>
  </si>
  <si>
    <t>Volume localizado para reforços estruturais = 1,70 m³</t>
  </si>
  <si>
    <t>Área de formas para pilares + baldrame</t>
  </si>
  <si>
    <t>26,60 x 67,30 = 1.791,80 kg</t>
  </si>
  <si>
    <t>6,00 x 3,20 = 19,20 m²</t>
  </si>
  <si>
    <t xml:space="preserve">6000 METROS DE EXTENSÃO </t>
  </si>
  <si>
    <t>06 mudanças de direção (90°) na adutora = 6 un</t>
  </si>
  <si>
    <t>03 mudanças de direção (45°) = 3 un</t>
  </si>
  <si>
    <t>01 ajuste de traçado = 1 un</t>
  </si>
  <si>
    <t>08 conexões flangeadas x 2 = 16 un</t>
  </si>
  <si>
    <t>7 pontos de manobra ao longo da adutora = 7 un</t>
  </si>
  <si>
    <t>08 pontos para ajustes/manutenção da tubulação = 8 un</t>
  </si>
  <si>
    <t>3390/6 = 565 tubos → 565/9 = 63 un</t>
  </si>
  <si>
    <t>17 blocos x 1,00 m³ = 17,00 m³</t>
  </si>
  <si>
    <t>17,00 x 70,60 = 1.200,00 kg</t>
  </si>
  <si>
    <t>17 blocos x 6,60 m² = 112,00 m²</t>
  </si>
  <si>
    <t>17 blocos x 4,55 m³ = 77,30 m³</t>
  </si>
  <si>
    <t>3 x 2,90 = 8,70 m</t>
  </si>
  <si>
    <t>Área de formas dos blocos = 112,00 m²</t>
  </si>
  <si>
    <t>4,00 x 1,28 = 5,12 m³</t>
  </si>
  <si>
    <t>8 x 16 = 128 m</t>
  </si>
  <si>
    <t>2,60 x 1,30 = 3,38 m³</t>
  </si>
  <si>
    <t>5,00 x 0,30 = 1,50 m³</t>
  </si>
  <si>
    <t>3,38 x 57,7 = 195 kg</t>
  </si>
  <si>
    <t>1,20 + 3,00 + 1,80 = 6,00 m³</t>
  </si>
  <si>
    <t>6,00 x 120 = 720 kg</t>
  </si>
  <si>
    <t>23,50 x 4,00 = 94,00 m²</t>
  </si>
  <si>
    <t>8,60 x 8,66 = 74,50 m²</t>
  </si>
  <si>
    <t>236,90 / 3,18 = 74,50 un</t>
  </si>
  <si>
    <t>Trechos internos da casa de bombas = 4 + 5 m</t>
  </si>
  <si>
    <t>Pontos de derivação, inspeção e interligação = 32 un</t>
  </si>
  <si>
    <t>05 pontos de iluminação externa = 5 postes + 5 luminárias</t>
  </si>
  <si>
    <t>Controle automático de iluminação = 2 un</t>
  </si>
  <si>
    <t>circuitos internos</t>
  </si>
  <si>
    <t>alimentação leve</t>
  </si>
  <si>
    <t>interligações</t>
  </si>
  <si>
    <t>alimentação principal</t>
  </si>
  <si>
    <t>rede aérea</t>
  </si>
  <si>
    <t>distribuição interna</t>
  </si>
  <si>
    <t>alimentação principal externa</t>
  </si>
  <si>
    <t>Sistema de comando e distribuição = 2 conjuntos</t>
  </si>
  <si>
    <t>Sistema de proteção elétrica completo da elevatória</t>
  </si>
  <si>
    <t>1 PORTA EEAT</t>
  </si>
  <si>
    <t>1 PORTÃO RESERVATÓRIO</t>
  </si>
  <si>
    <t xml:space="preserve">2 JANELAS, EEAT </t>
  </si>
  <si>
    <t>94 x 2 = 188,44 m²</t>
  </si>
  <si>
    <t>6,80 x 6,83 = 46,45 m²</t>
  </si>
  <si>
    <t>perímetro ≈ 27,70 m</t>
  </si>
  <si>
    <t>≈ 13 L</t>
  </si>
  <si>
    <t>≈ 11 L</t>
  </si>
  <si>
    <t>1 L</t>
  </si>
  <si>
    <t>42,24 M² ENTORNO DA EEAT</t>
  </si>
  <si>
    <t>2 trechos de 1 m</t>
  </si>
  <si>
    <t>3 mudanças</t>
  </si>
  <si>
    <t>2 derivações</t>
  </si>
  <si>
    <t>4 ligações x 2 = 8 un</t>
  </si>
  <si>
    <t>2 UNID</t>
  </si>
  <si>
    <t>2 bombas = 2 un</t>
  </si>
  <si>
    <t xml:space="preserve">3 pontos </t>
  </si>
  <si>
    <t>12 flanges x 20 = 240 un</t>
  </si>
  <si>
    <t>11*60</t>
  </si>
  <si>
    <t>Distribuição da rede com ramificações e mudanças de traçado</t>
  </si>
  <si>
    <t>Ampliação e modernização do sistema de abastecimento de água do Município de Boa Esperança.</t>
  </si>
  <si>
    <t>MG20232488275</t>
  </si>
  <si>
    <t>41</t>
  </si>
  <si>
    <t>93572</t>
  </si>
  <si>
    <t>93567</t>
  </si>
  <si>
    <t>94296</t>
  </si>
  <si>
    <t>1 MÊS</t>
  </si>
  <si>
    <t>100321</t>
  </si>
  <si>
    <t xml:space="preserve">7 dias </t>
  </si>
  <si>
    <t>MONTAGEM DE CONEXÕES DE FERRO FUNDIDO, COM FLANGES, DIAM.= 200 MM. INC_05/2020</t>
  </si>
  <si>
    <t>20 UNIDADES</t>
  </si>
  <si>
    <t>103673</t>
  </si>
  <si>
    <t>=1,70+26,60= 28,30m³</t>
  </si>
  <si>
    <t>17,00m³ de  concreto</t>
  </si>
  <si>
    <t>104922</t>
  </si>
  <si>
    <t>720 kg</t>
  </si>
  <si>
    <t xml:space="preserve">1791,80  kg </t>
  </si>
  <si>
    <t>4400</t>
  </si>
  <si>
    <t>97144</t>
  </si>
  <si>
    <t>05</t>
  </si>
  <si>
    <t>25</t>
  </si>
  <si>
    <t>660 kg de aço</t>
  </si>
  <si>
    <t>11,00m³ de concreto</t>
  </si>
  <si>
    <t>=6000*1,5*1</t>
  </si>
  <si>
    <t>1881,45 x 0,438 = 824,07 m³.km</t>
  </si>
  <si>
    <t>Volume transportado para disposição final = 824,07 m³</t>
  </si>
  <si>
    <t>11,00*1,0</t>
  </si>
  <si>
    <t xml:space="preserve">EXTENSÃO DE 20 METROS </t>
  </si>
  <si>
    <t>12 FLANGES,6 REGISTROS</t>
  </si>
  <si>
    <t>06 ligações flangeadas x 2 = 8 unidades</t>
  </si>
  <si>
    <t>50+25=75</t>
  </si>
  <si>
    <t>001</t>
  </si>
  <si>
    <t>101582</t>
  </si>
  <si>
    <t>88485</t>
  </si>
  <si>
    <t>104641</t>
  </si>
  <si>
    <t>104642</t>
  </si>
  <si>
    <t>88489</t>
  </si>
  <si>
    <t>92880</t>
  </si>
  <si>
    <t>99439</t>
  </si>
  <si>
    <t>ED-48426</t>
  </si>
  <si>
    <t>94570</t>
  </si>
  <si>
    <t>100702</t>
  </si>
  <si>
    <t>106145</t>
  </si>
  <si>
    <t>94794</t>
  </si>
  <si>
    <t>004</t>
  </si>
  <si>
    <t>13.31.12</t>
  </si>
  <si>
    <t>834m²</t>
  </si>
  <si>
    <t>43</t>
  </si>
  <si>
    <t>20078</t>
  </si>
  <si>
    <t>6,48 seguindo o normativa  4,32*1,5</t>
  </si>
  <si>
    <t>4336</t>
  </si>
  <si>
    <t>SERVIÇOS PRELIMINARES</t>
  </si>
  <si>
    <t>CANTEIROS DE OBRAS</t>
  </si>
  <si>
    <t>Reservatório 320m³</t>
  </si>
  <si>
    <t>Adutora de água tratada</t>
  </si>
  <si>
    <t>Estação Elevatória de água tratada</t>
  </si>
  <si>
    <t>Distribuição de água tratada</t>
  </si>
  <si>
    <t>Projetos</t>
  </si>
  <si>
    <t>Serviços Preliminares</t>
  </si>
  <si>
    <t>Canteiro de Obras</t>
  </si>
  <si>
    <t>Reservatório metálico</t>
  </si>
  <si>
    <t>Muro de divisa</t>
  </si>
  <si>
    <t>3. Serviços Preliminares</t>
  </si>
  <si>
    <t>Estrutura - Forma</t>
  </si>
  <si>
    <t>Estrutura - Armadura</t>
  </si>
  <si>
    <t>Estrutura - Concretagem</t>
  </si>
  <si>
    <t>Instalações hidrossanitárias</t>
  </si>
  <si>
    <t>Demolições / Remoções</t>
  </si>
  <si>
    <t>Reaterro</t>
  </si>
  <si>
    <t>1. Projetos</t>
  </si>
  <si>
    <t>Escavação - preparo de fundo de vala</t>
  </si>
  <si>
    <t>Assentamento de tubulação</t>
  </si>
  <si>
    <t>Fundação - Forma</t>
  </si>
  <si>
    <t>Fundação - Armação</t>
  </si>
  <si>
    <t>Fundação - Concretagem</t>
  </si>
  <si>
    <t>Limpeza Final</t>
  </si>
  <si>
    <t>Rede de água - assentamento de tubos</t>
  </si>
  <si>
    <t>Alvenaria</t>
  </si>
  <si>
    <t>Pintura</t>
  </si>
  <si>
    <t>Cobertura</t>
  </si>
  <si>
    <t>Alvenaria estrutural</t>
  </si>
  <si>
    <t>Instalações elétricas</t>
  </si>
  <si>
    <t>Esquadrias</t>
  </si>
  <si>
    <t>Instalações mecânicas</t>
  </si>
  <si>
    <t>Revestimento de parede</t>
  </si>
  <si>
    <t>Revestimento de piso</t>
  </si>
  <si>
    <t>Fundação - Estacas / Tubulões</t>
  </si>
  <si>
    <t>FUNDAÇÕES - Reservatório de 320 m³</t>
  </si>
  <si>
    <t>ESTRUTURAS - Reservatório de 320 m³</t>
  </si>
  <si>
    <t>TUBOS, PEÇAS E CONEXÕES - Reservatório de 320 m³</t>
  </si>
  <si>
    <t>MATERIAIS E EQUIPAMENTOS HIDRAULICOS - Adutora de Água Tratada</t>
  </si>
  <si>
    <t>ASSENTANDO E MOVIMENTAÇÃO DE TERRA - Adutora de Água Tratada</t>
  </si>
  <si>
    <t>BLOCOS DE ANCORAGEM - Adutora de Água Tratada</t>
  </si>
  <si>
    <t>REMOÇÃO E RECOMPOSIÇÃO DE PAVIMENTAÇÃO - Adutora de Água Tratada</t>
  </si>
  <si>
    <t>MOVIMENTAÇÃO DE TERRA - Estação Elevatória de Água Tratada</t>
  </si>
  <si>
    <t>ESTRUTURA DE CONCRETO - Estação Elevatória de Água Tratada</t>
  </si>
  <si>
    <t>ALVENARIAIS E DIVISÕES - Estação Elevatória de Água Tratada</t>
  </si>
  <si>
    <t>COBERTURA - Estação Elevatória de Água Tratada</t>
  </si>
  <si>
    <t>ESQUADRIAS - Estação Elevatória de Água Tratada</t>
  </si>
  <si>
    <t>REVESTIMENTO INTERNO E EXTERNO - Estação Elevatória de Água Tratada</t>
  </si>
  <si>
    <t>OBRAS COMPLEMENTARES - Estação Elevatória de Água Tratada</t>
  </si>
  <si>
    <t>QUADRO DE COMANDO E BOMBAS - Estação Elevatória de Água Tratada</t>
  </si>
  <si>
    <t>INSTALAÇÕES ELETRICAS - Estação Elevatória de Água Tratada</t>
  </si>
  <si>
    <t>MATERIAIS E EQUIPAMENTOS HIDRAULICOS PARA BARRILETE - Estação Elevatória de Água Tratada</t>
  </si>
  <si>
    <t>102315</t>
  </si>
  <si>
    <t>1- Ligação na EEAT,                      1- Reservatório</t>
  </si>
  <si>
    <t xml:space="preserve">12 MESES DE OBRA, 4 horas por dia na obra </t>
  </si>
  <si>
    <t xml:space="preserve">V=80×1,5 - 4 sapatas </t>
  </si>
  <si>
    <t>4400 / 110 = 40,00 m³</t>
  </si>
  <si>
    <t>=3390*1,0*1,6= 5424</t>
  </si>
  <si>
    <t>=3390*1,0= 3390</t>
  </si>
  <si>
    <t>Área estimada de escoramento em trechos com interferência = 989,00 m² 3390*1,5*2: 10.170. foi usado 10% de área de estimada</t>
  </si>
  <si>
    <t>5085 x 0,37 ≈ 1.881,45 m³</t>
  </si>
  <si>
    <t>3390*10*0,08*0,45= 1220,40</t>
  </si>
  <si>
    <t>3390 x 10,00*0,45 = 33.900 m</t>
  </si>
  <si>
    <t>Área total de imprimação incluindo recomposição e áreas adjacentes = 35.595 m² (33.900*1,5*0,45)</t>
  </si>
  <si>
    <t>DN 1.1/4” → 65,00 m</t>
  </si>
  <si>
    <t>Geral</t>
  </si>
  <si>
    <t>Mês 7 de obra</t>
  </si>
  <si>
    <t>Mês 8 de obra</t>
  </si>
  <si>
    <t>Mês 9 de obra</t>
  </si>
  <si>
    <t>Mês 10 de obra</t>
  </si>
  <si>
    <t>Projetos 1</t>
  </si>
  <si>
    <t>3. Canteiro de Obras</t>
  </si>
  <si>
    <t>4. Serviços Preliminares</t>
  </si>
  <si>
    <t>30. Limpeza Final</t>
  </si>
  <si>
    <t>5. Administração Local</t>
  </si>
  <si>
    <t>7. Fundações - Blocos / Sapatas - Escavação</t>
  </si>
  <si>
    <t>13. Fundação - Tubulão</t>
  </si>
  <si>
    <t>12. Fundação - Concretagem</t>
  </si>
  <si>
    <t>11. Fundação - Armação</t>
  </si>
  <si>
    <t>16. Estrutura - Concretagem</t>
  </si>
  <si>
    <t>14. Estrutura - Forma</t>
  </si>
  <si>
    <t>18. Reservatório metálico</t>
  </si>
  <si>
    <t>24. Instalações hidrossanitárias</t>
  </si>
  <si>
    <t>6. Demolições / Remoções</t>
  </si>
  <si>
    <t>7. Escavação - preparo de fundo de vala</t>
  </si>
  <si>
    <t>9. Reaterro</t>
  </si>
  <si>
    <t>17. Alvenaria estrutural</t>
  </si>
  <si>
    <t>27. Esquadrias</t>
  </si>
  <si>
    <t>19. Rede de água - assentamento de tubos</t>
  </si>
  <si>
    <t>7. Escavação</t>
  </si>
  <si>
    <t>8. Assentamento de tubulação</t>
  </si>
  <si>
    <t>28. Pavimentação</t>
  </si>
  <si>
    <t>10. Fundação - Forma</t>
  </si>
  <si>
    <t>13. Fundação - Tubulão / Estaca escavada</t>
  </si>
  <si>
    <t>15. Estrutura - Armadura</t>
  </si>
  <si>
    <t>20. Alvenaria</t>
  </si>
  <si>
    <t>21. Cobertura</t>
  </si>
  <si>
    <t>25. Instalações elétricas</t>
  </si>
  <si>
    <t>22. Revestimento de parede</t>
  </si>
  <si>
    <t>23. Revestimento de piso</t>
  </si>
  <si>
    <t>29. Pintura</t>
  </si>
  <si>
    <t>28. Piso</t>
  </si>
  <si>
    <t>26. Instalações mecânicas</t>
  </si>
  <si>
    <t>Projetos 2</t>
  </si>
  <si>
    <t>2. Projetos 2</t>
  </si>
  <si>
    <t>1</t>
  </si>
  <si>
    <t>1.1</t>
  </si>
  <si>
    <t>FORNECIMENTO E INSTALAÇÃO DE PLACA DE OBRA COM CHAPA GALVANIZADA E ESTRUTURA DE MADEIRA. AF_03/2022_PS</t>
  </si>
  <si>
    <t>1.2</t>
  </si>
  <si>
    <t>SETOPED-16350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</si>
  <si>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</si>
  <si>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1.3</t>
  </si>
  <si>
    <t>SETOPED-50151</t>
  </si>
  <si>
    <t>LIGAÇÃO PROVISÓRIA COM ENTRADA DE ENERGIA AÉREA, PADRÃO CEMIG, CARGA INSTALADA DE 15,1KVA ATÉ 30KVA, TRIFÁSICO, COM SAÍDA SUBTERRÂNEA, INCLUSIVE POSTE, CAIXA PARA MEDIDOR, DISJUNTOR, BARRAMENTO, ATERRAMENTO E ACESSÓRIOS</t>
  </si>
  <si>
    <t>1.4</t>
  </si>
  <si>
    <t>SETOPED-50150</t>
  </si>
  <si>
    <t>LIGAÇÃO DE ÁGUA PROVISÓRIA PARA CANTEIRO,  INCLUSIVE HIDRÔMETRO E CAVALETE PARA MEDIÇÃO DE ÁGUA - ENTRADA PRINCIPAL, EM AÇO GALVANIZADO DN 20MM (1/2") - PADRÃO CONCESSIONÁRIA</t>
  </si>
  <si>
    <t>2</t>
  </si>
  <si>
    <t>2.1</t>
  </si>
  <si>
    <t>LOCAÇÃO CONVENCIONAL DE OBRA, UTILIZANDO GABARITO DE TÁBUAS CORRIDAS PONTALETADAS A CADA 2,00M - 2 UTILIZAÇÕES. AF_03/2024</t>
  </si>
  <si>
    <t>2.2</t>
  </si>
  <si>
    <t>LIMPEZA MANUAL DE VEGETAÇÃO EM TERRENO COM ENXADA. AF_03/2024</t>
  </si>
  <si>
    <t>2.3</t>
  </si>
  <si>
    <t>SETOPED-50276</t>
  </si>
  <si>
    <t>LOCAÇÃO TOPOGRÁFICA ACIMA DE CINQUENTA (50) PONTOS REFERENCIAIS, INCLUSIVE ESTACA (PIQUETE) DE MARCAÇÃO</t>
  </si>
  <si>
    <t>2.4</t>
  </si>
  <si>
    <t>SETOPED-50266</t>
  </si>
  <si>
    <t>LIMPEZA FINAL PARA ENTREGA DA OBRA</t>
  </si>
  <si>
    <t>3</t>
  </si>
  <si>
    <t>3.1</t>
  </si>
  <si>
    <t>TOPOGRAFO COM ENCARGOS COMPLEMENTARES</t>
  </si>
  <si>
    <t>3.2</t>
  </si>
  <si>
    <t>TÉCNICO EM SEGURANÇA DO TRABALHO COM ENCARGOS COMPLEMENTARES</t>
  </si>
  <si>
    <t>3.3</t>
  </si>
  <si>
    <t>ENCARREGADO GERAL DE OBRAS COM ENCARGOS COMPLEMENTARES</t>
  </si>
  <si>
    <t>3.4</t>
  </si>
  <si>
    <t>ENGENHEIRO CIVIL DE OBRA PLENO COM ENCARGOS COMPLEMENTARES</t>
  </si>
  <si>
    <t>4</t>
  </si>
  <si>
    <t>4.1</t>
  </si>
  <si>
    <t>ESCAVAÇÃO MANUAL PARA BLOCO DE COROAMENTO OU SAPATA (SEM ESCAVAÇÃO PARA COLOCAÇÃO DE FÔRMAS). AF_01/2024</t>
  </si>
  <si>
    <t>4.2</t>
  </si>
  <si>
    <t>TUBULÃO A CÉU ABERTO, DIÂMETRO DO FUSTE DE 70CM, ESCAVAÇÃO MECÂNICA, SEM ALARGAMENTO DE BASE, CONCRETO FEITO EM OBRA E LANÇADO COM JERICA. AF_05/2020</t>
  </si>
  <si>
    <t>4.3</t>
  </si>
  <si>
    <t>SETOPED-49641</t>
  </si>
  <si>
    <t>FORNECIMENTO DE CONCRETO ESTRUTURAL, USINADO BOMBEADO, COM FCK 40MPA, INCLUSIVE LANÇAMENTO, ADENSAMENTO E ACABAMENTO</t>
  </si>
  <si>
    <t>4.4</t>
  </si>
  <si>
    <t>CORTE E DOBRA DE AÇO CA-25, DIÂMETRO DE 20,0 MM. AF_06/2022</t>
  </si>
  <si>
    <t>16,8%</t>
  </si>
  <si>
    <t>4.5</t>
  </si>
  <si>
    <t>ARMAÇÃO DE BLOCO, SAPATA ISOLADA E SAPATA CORRIDA UTILIZANDO AÇO CA-50 DE 20 MM - MONTAGEM. AF_01/2024</t>
  </si>
  <si>
    <t>5</t>
  </si>
  <si>
    <t>5.1</t>
  </si>
  <si>
    <t>CONCRETO FCK = 40MPA, TRAÇO 1:1,6:1,9 (EM MASSA SECA DE CIMENTO/ AREIA MÉDIA/ BRITA 1) - PREPARO MECÂNICO COM BETONEIRA 400 L. AF_05/2021</t>
  </si>
  <si>
    <t>5.2</t>
  </si>
  <si>
    <t>5.3</t>
  </si>
  <si>
    <t>SETOP-ED-8571</t>
  </si>
  <si>
    <t>FÔRMA E DESFORMA PARA VIGA-CINTA/BLOCO COM COMPENSADO PLASTIFICADO, ESP. 12MM, REAPROVEITAMENTO (3X) (FUNDAÇÃO)</t>
  </si>
  <si>
    <t>6</t>
  </si>
  <si>
    <t>RESERVATÓRIO</t>
  </si>
  <si>
    <t>6.1</t>
  </si>
  <si>
    <t>RESERVATÓRIO- 320³</t>
  </si>
  <si>
    <t>7</t>
  </si>
  <si>
    <t>7.1</t>
  </si>
  <si>
    <t>tubo em ferro fundido, c/ flanges PN 10, diam. =  200mm, L=1,00m</t>
  </si>
  <si>
    <t>7.2</t>
  </si>
  <si>
    <t>ASSENTAMENTO DE TUBO DE FERRO FUNDIDO PARA REDE DE ÁGUA, DN 200 MM, JUNTA ELÁSTICA, INSTALADO EM LOCAL COM NÍVEL ALTO DE INTERFERÊNCIAS (NÃO INCLUI FORNECIMENTO). AF_05/2024</t>
  </si>
  <si>
    <t>7.3</t>
  </si>
  <si>
    <t>CURVA 90° EM  FERRO FUNDIDO, COM FLANGES PN 10,  DIAMETRO: 200MM</t>
  </si>
  <si>
    <t>7.4</t>
  </si>
  <si>
    <t>FLANGE AVULSO EM FERRO FUNDIDO, CLASSE PN-10, DN= 200MM</t>
  </si>
  <si>
    <t>7.5</t>
  </si>
  <si>
    <t>REGISTRO DE GAVETA FF 200mm- fornecimento e assentamento</t>
  </si>
  <si>
    <t>7.6</t>
  </si>
  <si>
    <t>8</t>
  </si>
  <si>
    <t>MURO DE DIVISA</t>
  </si>
  <si>
    <t>8.1</t>
  </si>
  <si>
    <t>REMOÇÃO DE TRAMA METÁLICA PARA COBERTURA, DE FORMA MANUAL, SEM REAPROVEITAMENTO. AF_09/2023</t>
  </si>
  <si>
    <t>8.2</t>
  </si>
  <si>
    <t>8.3</t>
  </si>
  <si>
    <t>ESCAVAÇÃO MANUAL DE VALA. AF_09/2024</t>
  </si>
  <si>
    <t>8.4</t>
  </si>
  <si>
    <t>SETOPED-51120</t>
  </si>
  <si>
    <t>REATERRO MANUAL DE VALA, INCLUSIVE ESPALHAMENTO E COMPACTAÇÃO MANUAL COM SOQUETE</t>
  </si>
  <si>
    <t>8.5</t>
  </si>
  <si>
    <t>SETOPED-48201</t>
  </si>
  <si>
    <t>ALVENARIA ESTRUTURAL COM BLOCO DE CONCRETO, ESP. 14CM, (FBK 4,5MPA), INCLUSIVE ARGAMASSA PARA ASSENTAMENTO</t>
  </si>
  <si>
    <t>8.6</t>
  </si>
  <si>
    <t>CONCRETAGEM DE EDIFICAÇÕES (PAREDES E LAJES) FEITAS COM SISTEMA DE FÔRMAS MANUSEÁVEIS, COM CONCRETO USINADO BOMBEÁVEL FCK 25 MPA - LANÇAMENTO, ADENSAMENTO E ACABAMENTO. AF_09/2024</t>
  </si>
  <si>
    <t>8.7</t>
  </si>
  <si>
    <t>LANÇAMENTO COM USO DE BOMBA, ADENSAMENTO E ACABAMENTO DE CONCRETO EM ESTRUTURAS. AF_02/2022</t>
  </si>
  <si>
    <t>8.8</t>
  </si>
  <si>
    <t>8.9</t>
  </si>
  <si>
    <t>FABRICAÇÃO DE FÔRMA PARA PILARES E ESTRUTURAS SIMILARES, EM CHAPA DE MADEIRA COMPENSADA RESINADA, E = 17 MM. AF_09/2020</t>
  </si>
  <si>
    <t>8.10</t>
  </si>
  <si>
    <t>8.11</t>
  </si>
  <si>
    <t>8.12</t>
  </si>
  <si>
    <t>SUDEC13.31.12</t>
  </si>
  <si>
    <t>PORTÃO COM TUBOS E TELAS DE AÇO, 1 FOLHA - SOLDADO EM ESTRUTURA - FORNECIMENTO E INSTALAÇÃO</t>
  </si>
  <si>
    <t>9</t>
  </si>
  <si>
    <t>9.1</t>
  </si>
  <si>
    <t>TUBO PVC DEFOFO, JEI, 1 MPA, DN 200 MM, PARA REDE DE AGUA (NBR 7665)</t>
  </si>
  <si>
    <t>9.2</t>
  </si>
  <si>
    <t>9.3</t>
  </si>
  <si>
    <t>9.4</t>
  </si>
  <si>
    <t>CURVA 45°, EM FERRO FUNDIDO, COM FLANGES PN 10, DIAMETRO: 200MM</t>
  </si>
  <si>
    <t>9.5</t>
  </si>
  <si>
    <t>Curva de 22o30' de ferro fundido ductil, pintada interna e externamente com tinta betuminosa, com 2 flanges, inclusive fornecimento de material para junta (arruela de borracha, parafusos com porca), com diametro de 200mm.</t>
  </si>
  <si>
    <t>9.6</t>
  </si>
  <si>
    <t>FLANGE AVULSO EM FERRO FUNDIDO, CLASSE PN-10, DN= 200MM- fornecimento e assentamento</t>
  </si>
  <si>
    <t>9.7</t>
  </si>
  <si>
    <t>REGISTRO DE GAVETA FF: 200MM - fornecimento e assentamento</t>
  </si>
  <si>
    <t>9.8</t>
  </si>
  <si>
    <t>Luva de Correr com bolsa - 200mm</t>
  </si>
  <si>
    <t>9.9</t>
  </si>
  <si>
    <t>PASTA LUBRIFICANTE PARA TUBOS E CONEXOES COM JUNTA ELASTICA, EMBALAGEM DE *400* GR (USO EM PVC, ACO, POLIETILENO E OUTROS)</t>
  </si>
  <si>
    <t>9.10</t>
  </si>
  <si>
    <t>10.1</t>
  </si>
  <si>
    <t>ESCAVAÇÃO MECANIZADA DE VALA COM PROF. MAIOR QUE 1,5 M ATÉ 3,0 M (MÉDIA MONTANTE E JUSANTE/UMA COMPOSIÇÃO POR TRECHO), RETROESCAV. (0,26 M3), LARGURA DE 0,8 M A 1,5 M, EM SOLO DE 1A CATEGORIA, EM LOCAIS COM ALTO NÍVEL DE INTERFERÊNCIA. AF_09/2024</t>
  </si>
  <si>
    <t>10.2</t>
  </si>
  <si>
    <t>PREPARO DE FUNDO DE VALA COM LARGURA MENOR QUE 1,5 M (ACERTO DO SOLO NATURAL), EM LOCAL COM NÍVEL BAIXO DE INTERFERÊNCIA. AF_01/2026</t>
  </si>
  <si>
    <t>10.3</t>
  </si>
  <si>
    <t>REATERRO MECANIZADO DE VALA COM RETROESCAVADEIRA (CAPACIDADE DA CAÇAMBA DA RETRO: 0,26 M³/POTÊNCIA: 88 HP), LARGURA ATÉ 0,8 M, PROFUNDIDADE ATÉ 1,5 M, COM SOLO (SEM SUBSTITUIÇÃO) DE 1ª CATEGORIA, COM COMPACTADOR DE SOLOS DE PERCUSSÃO. AF_08/2023</t>
  </si>
  <si>
    <t>10.4</t>
  </si>
  <si>
    <t>ASSENTAMENTO DE TUBO DE PVC DEFOFO OU PRFV OU RPVC PARA REDE DE ÁGUA, DN 200 MM, JUNTA ELÁSTICA INTEGRADA, INSTALADO EM LOCAL COM NÍVEL ALTO DE INTERFERÊNCIAS (NÃO INCLUI FORNECIMENTO). AF_05/2024</t>
  </si>
  <si>
    <t>10.5</t>
  </si>
  <si>
    <t>SETOP-ED-7623</t>
  </si>
  <si>
    <t>EXECUÇÃO E APLICAÇÃO DE CONCRETO BETUMINOSO USINADO A QUENTE (CBUQ), MASSA COMERCIAL, INCLUINDO FORNECIMENTO E TRANSPORTE DOS AGREGADOS E MATERIAL BETUMINOSO, EXCLUSIVE TRANSPORTE DA MASSA ASFÁLTICA ATÉ A PISTA</t>
  </si>
  <si>
    <t>10.6</t>
  </si>
  <si>
    <t>ESCORAMENTO DE VALA, TIPO CONTÍNUO, COM PROFUNDIDADE DE 0 A 1,5 M, LARGURA MENOR QUE 1,5 M. AF_01/2026</t>
  </si>
  <si>
    <t>10.7</t>
  </si>
  <si>
    <t>TRAVESSIA MÉTODO NÃO DESTRUTIVO P/ TUBO 200</t>
  </si>
  <si>
    <t>11.1</t>
  </si>
  <si>
    <t>CONCRETO FCK = 20MPA, TRAÇO 1:2,7:3 (EM MASSA SECA DE CIMENTO/ AREIA MÉDIA/ BRITA 1) - PREPARO MECÂNICO COM BETONEIRA 600 L. AF_05/2021</t>
  </si>
  <si>
    <t>11.2</t>
  </si>
  <si>
    <t>11.3</t>
  </si>
  <si>
    <t>ARMAÇÃO DE ESTRUTURAS DIVERSAS DE CONCRETO ARMADO, EXCETO VIGAS, PILARES, LAJES E FUNDAÇÕES, UTILIZANDO AÇO CA-50 DE 10,0 MM - MONTAGEM. AF_06/2022</t>
  </si>
  <si>
    <t>11.4</t>
  </si>
  <si>
    <t>FABRICAÇÃO DE FÔRMA PARA VIGAS, EM CHAPA DE MADEIRA COMPENSADA RESINADA, E = 17 MM. AF_09/2020</t>
  </si>
  <si>
    <t>11.5</t>
  </si>
  <si>
    <t>ESCAVAÇÃO MECANIZADA DE VALA COM PROF. ATÉ 1,5 M (MÉDIA MONTANTE E JUSANTE/UMA COMPOSIÇÃO POR TRECHO), ESCAVADEIRA (0,8 M3),LARG. ATÉ 1,5 M, EM SOLO DE 2A CATEGORIA, EM LOCAIS COM ALTO NÍVEL DE INTERFERÊNCIA. AF_09/2024</t>
  </si>
  <si>
    <t>11.6</t>
  </si>
  <si>
    <t>ESTACA BROCA DE CONCRETO, DIÂMETRO DE 30CM, ESCAVAÇÃO MANUAL COM TRADO CONCHA, COM ARMADURA DE ARRANQUE. AF_05/2020</t>
  </si>
  <si>
    <t>11.7</t>
  </si>
  <si>
    <t>MONTAGEM E DESMONTAGEM DE FÔRMA DE VIGA, ESCORAMENTO COM PONTALETE DE MADEIRA, PÉ-DIREITO SIMPLES, EM MADEIRA SERRADA, 1 UTILIZAÇÃO. AF_09/2020</t>
  </si>
  <si>
    <t>12.1</t>
  </si>
  <si>
    <t>CARGA, MANOBRA E DESCARGA DE SOLOS E MATERIAIS GRANULARES EM CAMINHÃO BASCULANTE 14 M³ - CARGA COM PÁ CARREGADEIRA (CAÇAMBA DE 1,7 A 2,8 M³ / 128 HP) E DESCARGA LIVRE (UNIDADE: M3). AF_07/2020</t>
  </si>
  <si>
    <t>12.2</t>
  </si>
  <si>
    <t>TRANSPORTE COM CAMINHÃO BASCULANTE DE 10 M³, EM VIA URBANA PAVIMENTADA, ADICIONAL PARA DMT EXCEDENTE A 30 KM (UNIDADE: M3XKM). AF_07/2020</t>
  </si>
  <si>
    <t>12.3</t>
  </si>
  <si>
    <t>ESPALHAMENTO DE MATERIAL COM TRATOR DE ESTEIRAS. AF_09/2024</t>
  </si>
  <si>
    <t>12.4</t>
  </si>
  <si>
    <t>RECOMPOSIÇÃO DE BASE E OU SUB-BASE PARA FECHAMENTO DE VALAS DE SOLO COM CIMENTO (TEOR DE 6%) - INCLUSO RETIRADA E COLOCAÇÃO DO MATERIAL. AF_12/2020</t>
  </si>
  <si>
    <t>12.5</t>
  </si>
  <si>
    <t>SUDEC20.12.01</t>
  </si>
  <si>
    <t>PINTURA DE LIGAÇÃO COM RR-1C</t>
  </si>
  <si>
    <t>12.6</t>
  </si>
  <si>
    <t>SICRO-4011351</t>
  </si>
  <si>
    <t>Imprimação com asfalto diluído</t>
  </si>
  <si>
    <t>13.1</t>
  </si>
  <si>
    <t>13.2</t>
  </si>
  <si>
    <t>ESTACA ESCAVADA MECANICAMENTE, SEM FLUIDO ESTABILIZANTE, COM 60CM DE DIÂMETRO, CONCRETO LANÇADO POR CAMINHÃO BETONEIRA (EXCLUSIVE MOBILIZAÇÃO E DESMOBILIZAÇÃO). AF_01/2020</t>
  </si>
  <si>
    <t>13.3</t>
  </si>
  <si>
    <t>CONCRETO FCK = 15MPA, TRAÇO 1:3,4:3,4 (EM MASSA SECA DE CIMENTO/ AREIA MÉDIA/ SEIXO ROLADO) - PREPARO MECÂNICO COM BETONEIRA 400 L. AF_05/2021</t>
  </si>
  <si>
    <t>13.4</t>
  </si>
  <si>
    <t>CONCRETO MAGRO PARA LASTRO, TRAÇO 1:4,5:4,5 (EM MASSA SECA DE CIMENTO/ AREIA MÉDIA/ SEIXO ROLADO) - PREPARO MECÂNICO COM BETONEIRA 400 L. AF_05/2021</t>
  </si>
  <si>
    <t>13.5</t>
  </si>
  <si>
    <t>13.6</t>
  </si>
  <si>
    <t>14.1</t>
  </si>
  <si>
    <t>14.2</t>
  </si>
  <si>
    <t>14.3</t>
  </si>
  <si>
    <t>15.1</t>
  </si>
  <si>
    <t>SETOPED-48228</t>
  </si>
  <si>
    <t>ALVENARIA DE VEDAÇÃO COM TIJOLO MACIÇO REQUEIMADO, ESP. 20CM, PARA REVESTIMENTO, INCLUSIVE ARGAMASSA PARA ASSENTAMENTO</t>
  </si>
  <si>
    <t>16.1</t>
  </si>
  <si>
    <t>SETOPED-48426</t>
  </si>
  <si>
    <t>COBERTURA EM TELHA DE FIBROCIMENTO,TIPO CALHA ESTRUTURAL, LARGURA 49CM, (CANALETE 49/KALHETA), COM RECOBRIMENTO TRANSVERSAL E LONGITUDINAL, EXCLUSIVE CUMEEIRA E ENGRADAMENTO, INCLUSIVE ACESSÓRIOS DE FIXAÇÃO E IÇAMENTO MANUAL VERTICAL</t>
  </si>
  <si>
    <t>16.2</t>
  </si>
  <si>
    <t>TRAMA DE MADEIRA COMPOSTA POR TERÇAS PARA TELHADOS DE ATÉ 2 ÁGUAS PARA TELHA ONDULADA DE FIBROCIMENTO, METÁLICA, PLÁSTICA OU TERMOACÚSTICA, INCLUSO TRANSPORTE VERTICAL. AF_10/2025</t>
  </si>
  <si>
    <t>17.1</t>
  </si>
  <si>
    <t>SETOPED-49319</t>
  </si>
  <si>
    <t>ELETRODUTO DE AÇO GALVANIZADO MÉDIO, DIÂMETRO DE 32MM (1.1/4"), INSTALAÇÃO APARENTE OU SOBRE FORRO COM ABRAÇADEIRA METÁLICA DE CUNHA, TIPO "D", INCLUSIVE ACESSÓRIOS PARA FIXAÇÃO E CONEXÕES</t>
  </si>
  <si>
    <t>17.2</t>
  </si>
  <si>
    <t>SETOPED-49321</t>
  </si>
  <si>
    <t>ELETRODUTO DE AÇO GALVANIZADO MÉDIO, DIÂMETRO DE 50MM (2"), INSTALAÇÃO APARENTE OU SOBRE FORRO COM ABRAÇADEIRA METÁLICA DE CUNHA, TIPO "D", INCLUSIVE ACESSÓRIOS PARA FIXAÇÃO E CONEXÕES</t>
  </si>
  <si>
    <t>17.3</t>
  </si>
  <si>
    <t>CAIXA DE PASSAGEM EM ALUMÍNIO COM TAMPA E VEDAÇÃO 20X20CM</t>
  </si>
  <si>
    <t>17.4</t>
  </si>
  <si>
    <t>SETOPED-26658</t>
  </si>
  <si>
    <t>DUTO CORRUGADO HELICOIDAL, EM POLIETILENO DE ALTA DENSIDADE (PEAD), DIÂMETRO DE 1.1/4", PARA CABO SUBTERRÂNEO, EXCLUSIVE ESCAVAÇÃO</t>
  </si>
  <si>
    <t>17.5</t>
  </si>
  <si>
    <t>ELETRODUTO FLEXÍVEL CORRUGADO, PEAD, DN 50 (1 1/2"), PARA REDE ENTERRADA DE DISTRIBUIÇÃO DE ENERGIA ELÉTRICA - FORNECIMENTO E INSTALAÇÃO. AF_12/2021</t>
  </si>
  <si>
    <t>17.6</t>
  </si>
  <si>
    <t>ELETRODUTO FLEXÍVEL CORRUGADO, PEAD, DN 63 (2"), PARA REDE ENTERRADA DE DISTRIBUIÇÃO DE ENERGIA ELÉTRICA - FORNECIMENTO E INSTALAÇÃO. AF_12/2021</t>
  </si>
  <si>
    <t>17.7</t>
  </si>
  <si>
    <t>ELETRODUTO FLEXÍVEL CORRUGADO, PEAD, DN 90 (3"), PARA REDE ENTERRADA DE DISTRIBUIÇÃO DE ENERGIA ELÉTRICA - FORNECIMENTO E INSTALAÇÃO. AF_12/2021</t>
  </si>
  <si>
    <t>17.8</t>
  </si>
  <si>
    <t>LUMINÁRIA DE LED PARA ILUMINAÇÃO PÚBLICA, DE 138 W ATÉ 180 W - FORNECIMENTO E INSTALAÇÃO. AF_02/2025_PS</t>
  </si>
  <si>
    <t>17.9</t>
  </si>
  <si>
    <t>POSTE DE AÇO CÔNICO CONTÍNUO CURVO DUPLO, ENGASTAMENTO SIMPLES COM 1 M DE SOLO, H=9M - FORNECIMENTO E INSTALAÇÃO. AF_04/2025</t>
  </si>
  <si>
    <t>17.10</t>
  </si>
  <si>
    <t>RELÉ FOTOELÉTRICO 50/60 HZ, 110/220 V, 1200 VA, COMPLETO</t>
  </si>
  <si>
    <t>17.11</t>
  </si>
  <si>
    <t>CABO DE COBRE FLEXÍVEL ISOLADO, 2,5 MM², ANTI-CHAMA 0,6/1,0 KV, PARA CIRCUITOS TERMINAIS - FORNECIMENTO E INSTALAÇÃO. AF_03/2023</t>
  </si>
  <si>
    <t>17.12</t>
  </si>
  <si>
    <t>CABO DE COBRE FLEXÍVEL ISOLADO, 10 MM², 0,6/1,0 KV, PARA REDE AÉREA DE DISTRIBUIÇÃO DE ENERGIA ELÉTRICA DE BAIXA TENSÃO - FORNECIMENTO E INSTALAÇÃO. AF_12/2025</t>
  </si>
  <si>
    <t>17.13</t>
  </si>
  <si>
    <t>CABO DE COBRE FLEXÍVEL ISOLADO, 16 MM², ANTI-CHAMA 0,6/1,0 KV, PARA CIRCUITOS TERMINAIS - FORNECIMENTO E INSTALAÇÃO. AF_03/2023</t>
  </si>
  <si>
    <t>17.14</t>
  </si>
  <si>
    <t>CABO DE COBRE FLEXÍVEL ISOLADO, 25 MM², ANTI-CHAMA 0,6/1,0 KV, PARA REDE ENTERRADA DE DISTRIBUIÇÃO DE ENERGIA ELÉTRICA - FORNECIMENTO E INSTALAÇÃO. AF_12/2021</t>
  </si>
  <si>
    <t>17.15</t>
  </si>
  <si>
    <t>CABO DE COBRE FLEXÍVEL ISOLADO, 35 MM², ANTI-CHAMA 0,6/1,0 KV, PARA REDE ENTERRADA DE DISTRIBUIÇÃO DE ENERGIA ELÉTRICA - FORNECIMENTO E INSTALAÇÃO. AF_12/2021</t>
  </si>
  <si>
    <t>17.16</t>
  </si>
  <si>
    <t>CABO DE COBRE FLEXÍVEL ISOLADO, 50 MM², 0,6/1,0 KV, PARA REDE AÉREA DE DISTRIBUIÇÃO DE ENERGIA ELÉTRICA DE BAIXA TENSÃO - FORNECIMENTO E INSTALAÇÃO. AF_12/2025</t>
  </si>
  <si>
    <t>17.17</t>
  </si>
  <si>
    <t>CABO DE COBRE FLEXÍVEL ISOLADO, 70 MM², 0,6/1,0 KV, PARA REDE AÉREA DE DISTRIBUIÇÃO DE ENERGIA ELÉTRICA DE BAIXA TENSÃO - FORNECIMENTO E INSTALAÇÃO. AF_12/2025</t>
  </si>
  <si>
    <t>17.18</t>
  </si>
  <si>
    <t>PLACA DE MONTAGEM PARA QUADROS EM GERAL, EM CHAPA DE AÇO</t>
  </si>
  <si>
    <t>17.19</t>
  </si>
  <si>
    <t>DISPOSITIVO SOFT STARTER PARA MOTOR 50 CV, TRIFÁSICO 220 V</t>
  </si>
  <si>
    <t>17.20</t>
  </si>
  <si>
    <t>FUSÍVEL TIPO NH 2 DE 224 A ATÉ 400 A</t>
  </si>
  <si>
    <t>17.21</t>
  </si>
  <si>
    <t>QUADRO DE DISTRIBUIÇÃO DE ENERGIA EM CHAPA DE AÇO GALVANIZADO, DE EMBUTIR, COM BARRAMENTO TRIFÁSICO, PARA 18 DISJUNTORES DIN 100A - FORNECIMENTO E INSTALAÇÃO. AF_07/2025</t>
  </si>
  <si>
    <t>17.22</t>
  </si>
  <si>
    <t>DISPOSITIVO DE PROTEÇÃO CONTRA SURTOS 275V - 15KA</t>
  </si>
  <si>
    <t>17.23</t>
  </si>
  <si>
    <t>Disjuntor termomagnetico tripolar  63 A, padrão DIN (Europeu - linha branca),curva C</t>
  </si>
  <si>
    <t>17.24</t>
  </si>
  <si>
    <t>Disjuntor termomagnetico tripolar 125 A, padrão DIN (Europeu - linha branca),10KA</t>
  </si>
  <si>
    <t>17.25</t>
  </si>
  <si>
    <t>Disjuntor termomagnetico tripolar 175 A, padrão DIN (Europeu - linha branca),10KA</t>
  </si>
  <si>
    <t>17.26</t>
  </si>
  <si>
    <t>Disjuntor tripolar 50 A, padrão DIN (  linha branca ), curva de disparo C, corrente de interrupção 10KA, ref.: Siemens 5SX1 ou similar.</t>
  </si>
  <si>
    <t>18.1</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</si>
  <si>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</si>
  <si>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18.2</t>
  </si>
  <si>
    <t>PORTA DE ALUMÍNIO DE ABRIR, P/ VIDRO, C/ GUARNIÇÃO, 87X210CM, FIXAÇÃO COM ARGAMASSA. AF_10/2025</t>
  </si>
  <si>
    <t>18.3</t>
  </si>
  <si>
    <t>PORTA DE CORRER DE ALUMÍNIO, COM DUAS FOLHAS PARA VIDRO, INCLUSO VIDRO LISO INCOLOR, FECHADURA E PUXADOR, SEM ALIZAR. AF_10/2025</t>
  </si>
  <si>
    <t>19.1</t>
  </si>
  <si>
    <t>CHAPISCO APLICADO EM ALVENARIAS E ESTRUTURAS DE CONCRETO INTERNAS, COM COLHER DE PEDREIRO. ARGAMASSA TRAÇO 1:3 COM PREPARO EM BETONEIRA 400L. AF_10/2022</t>
  </si>
  <si>
    <t>19.2</t>
  </si>
  <si>
    <t>EMBOÇO, EM ARGAMASSA TRAÇO 1:2:8, PREPARO MANUAL, APLICADO MANUALMENTE EM PAREDES INTERNAS DE AMBIENTES COM ÁREA ENTRE 5M² E 10M², E = 10MM, COM TALISCAS. AF_03/2024</t>
  </si>
  <si>
    <t>19.3</t>
  </si>
  <si>
    <t>REVESTIMENTO CERÂMICO PARA PISO COM PLACAS TIPO ESMALTADA DE DIMENSÕES 45X45 CM APLICADA EM AMBIENTES DE ÁREA MAIOR QUE 10 M2. AF_02/2023_PE</t>
  </si>
  <si>
    <t>19.4</t>
  </si>
  <si>
    <t>RODAPÉ CERÂMICO DE 7CM DE ALTURA COM PLACAS TIPO ESMALTADA DE DIMENSÕES 35X35CM. AF_02/2023</t>
  </si>
  <si>
    <t>19.5</t>
  </si>
  <si>
    <t>FUNDO SELADOR ACRÍLICO, APLICAÇÃO MANUAL EM PAREDE, UMA DEMÃO. AF_04/2023</t>
  </si>
  <si>
    <t>19.6</t>
  </si>
  <si>
    <t>PINTURA LÁTEX ACRÍLICA ECONÔMICA, APLICAÇÃO MANUAL EM PAREDES, DUAS DEMÃOS. AF_04/2023</t>
  </si>
  <si>
    <t>19.7</t>
  </si>
  <si>
    <t>PINTURA LÁTEX ACRÍLICA STANDARD, APLICAÇÃO MANUAL EM PAREDES, DUAS DEMÃOS. AF_04/2023</t>
  </si>
  <si>
    <t>19.8</t>
  </si>
  <si>
    <t>PINTURA LÁTEX ACRÍLICA PREMIUM, APLICAÇÃO MANUAL EM PAREDES, DUAS DEMÃOS. AF_04/2023</t>
  </si>
  <si>
    <t>20.1</t>
  </si>
  <si>
    <t>BLOQUETE/PISO DE CONCRETO - MODELO PISOGRAMA/CONCREGRAMA 2 FUROS, DIMENSOES APROX. DE *35 X 15* CM E ESPESSURA DE 7 CM (+/- 1 CM), COR NATURAL</t>
  </si>
  <si>
    <t>21.1</t>
  </si>
  <si>
    <t>21.2</t>
  </si>
  <si>
    <t>curva 90º, em ferro fundido, com flanges pn 10, diam. =  200mm</t>
  </si>
  <si>
    <t>21.3</t>
  </si>
  <si>
    <t>JUNÇÃO 45° EM FERRO FUNDIDO, PREDIAL SMU, DN= 200 X 100 MM</t>
  </si>
  <si>
    <t>21.4</t>
  </si>
  <si>
    <t>21.5</t>
  </si>
  <si>
    <t>flange cego, em ferro fundido, pn 10, diam. =  200mm</t>
  </si>
  <si>
    <t>21.6</t>
  </si>
  <si>
    <t>VÁLVULA DE RETENÇÃO HORIZONTAL PORTINHOLA UNICA</t>
  </si>
  <si>
    <t>21.7</t>
  </si>
  <si>
    <t>21.8</t>
  </si>
  <si>
    <t>PARAFUSO ZINCADO, SEXTAVADO, COM ROSCA INTEIRA, DIAMETRO 5/8", COMPRIMENTO 3", COM PORCA E ARRUELA DE PRESSAO MEDIA</t>
  </si>
  <si>
    <t>21.9</t>
  </si>
  <si>
    <t>22.1</t>
  </si>
  <si>
    <t>QUADRO DE COMANDO COMPESSADOR PARA ACIONAMENT E PROTEÇÃO INDIVIDUALIZADO DE DOIS CONJUNTOS</t>
  </si>
  <si>
    <t>22.2</t>
  </si>
  <si>
    <t>CONJUNTO MOTOR-BOMBA (CENTRÍFUGA) 40 CV, MONOESTÁGIO TRIFÁSICO, HMAN= 45 A 75 MCA E Q= 120 A 75 M³/H</t>
  </si>
  <si>
    <t>22.3</t>
  </si>
  <si>
    <t>23.1</t>
  </si>
  <si>
    <t>TUBO PVC PBA JEI, CLASSE 20, DN 50 MM, PARA REDE DE AGUA (NBR 5647)</t>
  </si>
  <si>
    <t>23.2</t>
  </si>
  <si>
    <t>ASSENTAMENTO DE TUBO DE PVC PBA PARA REDE DE ÁGUA, DN 50 MM, JUNTA ELÁSTICA INTEGRADA, INSTALADO EM LOCAL COM NÍVEL ALTO DE INTERFERÊNCIAS (NÃO INCLUI FORNECIMENTO). AF_05/2024</t>
  </si>
  <si>
    <t>23.3</t>
  </si>
  <si>
    <t>JOELHO 90 GRAUS, PVC, SOLDÁVEL, DN 50MM, INSTALADO EM RAMAL DE DISTRIBUIÇÃO DE ÁGUA - FORNECIMENTO E INSTALAÇÃO. AF_06/2022</t>
  </si>
  <si>
    <t>23.4</t>
  </si>
  <si>
    <t>JUNÇÃO SIMPLES, PVC, SERIE R, ÁGUA PLUVIAL, DN 50 MM, JUNTA ELÁSTICA, FORNECIDO E INSTALADO EM RAMAL DE ENCAMINHAMENTO. AF_06/2022</t>
  </si>
  <si>
    <t>23.5</t>
  </si>
  <si>
    <t>CRUZETA PVC RIGIDO SOLDAVEL 50mm-</t>
  </si>
  <si>
    <t>23.6</t>
  </si>
  <si>
    <t>23.7</t>
  </si>
  <si>
    <t>REGISTRO DE GAVETA BRUTO, LATÃO, ROSCÁVEL, 1 1/2", COM ACABAMENTO E CANOPLA CROMADOS - FORNECIMENTO E INSTALAÇÃO. AF_08/2021</t>
  </si>
  <si>
    <t>23.8</t>
  </si>
  <si>
    <t>TE DE PVC-PBA,COM TRES BOLSAS DE JUNTA ELASTICA, DIAMETRO NO MINAL DE 50MM. FORNECIMENTO</t>
  </si>
  <si>
    <t>23.9</t>
  </si>
  <si>
    <t>ESCAVAÇÃO MECANIZADA DE VALA COM PROF. ATÉ 1,5 M (MÉDIA MONTANTE E JUSANTE/UMA COMPOSIÇÃO POR TRECHO), ESCAVADEIRA (0,8 M3), LARG. DE 1,5 M A 2,5 M, EM SOLO DE 2A CATEGORIA, LOCAIS COM BAIXO NÍVEL DE INTERFERÊNCIA. AF_09/2024</t>
  </si>
  <si>
    <t>23.10</t>
  </si>
  <si>
    <t>23.11</t>
  </si>
  <si>
    <t>23.12</t>
  </si>
  <si>
    <t>23.13</t>
  </si>
  <si>
    <t>23.14</t>
  </si>
  <si>
    <t>23.15</t>
  </si>
  <si>
    <t>24.1</t>
  </si>
  <si>
    <t>PROJETO EXECUTIVO DE INSTALAÇÕES HIDROSSANITÁRIAS - PRANCHAS</t>
  </si>
  <si>
    <t>24.2</t>
  </si>
  <si>
    <t>PROJETO EXECUTIVO DE SPDA- PRANCHAS</t>
  </si>
  <si>
    <t>24.3</t>
  </si>
  <si>
    <t>PROJETO EXECUTIVO DE INSTALAÇÕES ELÉTRICAS- PRANCHAS</t>
  </si>
  <si>
    <t>24.4</t>
  </si>
  <si>
    <t>Projeto executivo de estrutura em formato A1 -PRANCHAS</t>
  </si>
  <si>
    <t>Valor não utilizado (QCI):</t>
  </si>
  <si>
    <t>Curva 90º, em ferro fundido, com flanges pn 10, diam. =  200mm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</si>
</sst>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2"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
      <sz val="8"/>
      <color rgb="FF333333"/>
      <name val="Arial"/>
      <family val="2"/>
    </font>
  </fonts>
  <fills count="34">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
      <patternFill patternType="solid">
        <fgColor indexed="65" tint="-0.14996795556505021"/>
        <bgColor indexed="64"/>
      </patternFill>
    </fill>
  </fills>
  <borders count="14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64"/>
      </left>
      <right style="thin">
        <color indexed="64"/>
      </right>
      <top style="thin">
        <color auto="1"/>
      </top>
      <bottom style="thin">
        <color auto="1"/>
      </bottom>
      <diagonal/>
    </border>
  </borders>
  <cellStyleXfs count="56">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xf numFmtId="0" fontId="4" fillId="11" borderId="143" applyNumberFormat="0" applyAlignment="0" applyProtection="0"/>
    <xf numFmtId="0" fontId="7" fillId="3" borderId="143" applyNumberFormat="0" applyAlignment="0" applyProtection="0"/>
    <xf numFmtId="0" fontId="56" fillId="5" borderId="144" applyNumberFormat="0" applyAlignment="0" applyProtection="0"/>
    <xf numFmtId="0" fontId="9" fillId="11" borderId="145" applyNumberFormat="0" applyAlignment="0" applyProtection="0"/>
    <xf numFmtId="0" fontId="12" fillId="0" borderId="146" applyNumberFormat="0" applyFill="0" applyAlignment="0" applyProtection="0"/>
  </cellStyleXfs>
  <cellXfs count="940">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0" fillId="0" borderId="39" xfId="0" applyBorder="1" applyAlignment="1">
      <alignment horizontal="left"/>
    </xf>
    <xf numFmtId="0" fontId="46" fillId="0" borderId="13" xfId="34" applyFont="1" applyBorder="1" applyAlignment="1">
      <alignment horizontal="center"/>
    </xf>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0" fillId="0" borderId="0" xfId="0" applyProtection="1">
      <protection locked="0"/>
    </xf>
    <xf numFmtId="49" fontId="81" fillId="6" borderId="17" xfId="0" applyNumberFormat="1" applyFont="1" applyFill="1" applyBorder="1" applyAlignment="1" applyProtection="1">
      <alignment vertical="center"/>
      <protection locked="0"/>
    </xf>
    <xf numFmtId="49" fontId="24" fillId="6" borderId="40" xfId="48" applyNumberFormat="1" applyFont="1" applyFill="1" applyBorder="1" applyAlignment="1" applyProtection="1">
      <alignment horizontal="left" vertical="center" wrapText="1" shrinkToFit="1"/>
      <protection locked="0"/>
    </xf>
    <xf numFmtId="0" fontId="0" fillId="0" borderId="0" xfId="0"/>
    <xf numFmtId="0" fontId="0" fillId="0" borderId="0" xfId="0" applyAlignment="1">
      <alignment horizontal="center"/>
    </xf>
    <xf numFmtId="0" fontId="0" fillId="0" borderId="0" xfId="0" applyAlignment="1">
      <alignment horizontal="left"/>
    </xf>
    <xf numFmtId="49" fontId="0" fillId="6" borderId="19" xfId="0" applyNumberFormat="1" applyFill="1" applyBorder="1" applyAlignment="1" applyProtection="1">
      <alignment vertical="center"/>
      <protection locked="0"/>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71" fontId="0" fillId="6" borderId="41" xfId="48" applyFont="1" applyFill="1" applyBorder="1" applyAlignment="1" applyProtection="1">
      <alignment vertical="center" wrapText="1"/>
      <protection locked="0"/>
    </xf>
    <xf numFmtId="171" fontId="0" fillId="6" borderId="39" xfId="48" applyFont="1" applyFill="1" applyBorder="1" applyAlignment="1" applyProtection="1">
      <protection locked="0"/>
    </xf>
    <xf numFmtId="171" fontId="0" fillId="6" borderId="38" xfId="48" applyFont="1" applyFill="1" applyBorder="1" applyAlignment="1" applyProtection="1">
      <alignment vertical="center" wrapText="1"/>
      <protection locked="0"/>
    </xf>
    <xf numFmtId="185" fontId="0" fillId="0" borderId="39" xfId="48" applyNumberFormat="1" applyFont="1" applyFill="1" applyBorder="1" applyAlignment="1" applyProtection="1">
      <alignment vertical="center" shrinkToFit="1"/>
    </xf>
    <xf numFmtId="49" fontId="0" fillId="6" borderId="40" xfId="48" applyNumberFormat="1" applyFont="1" applyFill="1" applyBorder="1" applyAlignment="1" applyProtection="1">
      <alignment horizontal="left" vertical="center" wrapText="1" shrinkToFit="1"/>
      <protection locked="0"/>
    </xf>
    <xf numFmtId="171" fontId="0" fillId="0" borderId="40" xfId="48" applyFont="1" applyFill="1" applyBorder="1" applyAlignment="1" applyProtection="1">
      <alignment vertical="center" shrinkToFit="1"/>
    </xf>
    <xf numFmtId="0" fontId="0" fillId="16" borderId="40" xfId="0" applyFill="1" applyBorder="1" applyAlignment="1" applyProtection="1">
      <alignment shrinkToFit="1"/>
      <protection locked="0"/>
    </xf>
    <xf numFmtId="0" fontId="22" fillId="0" borderId="0" xfId="0" applyFont="1" applyAlignment="1">
      <alignment vertical="center"/>
    </xf>
    <xf numFmtId="0" fontId="79" fillId="0" borderId="0" xfId="0" applyFont="1" applyAlignment="1">
      <alignment vertical="center"/>
    </xf>
    <xf numFmtId="0" fontId="0" fillId="0" borderId="0" xfId="0" applyAlignment="1">
      <alignment horizontal="center"/>
    </xf>
    <xf numFmtId="0" fontId="0" fillId="0" borderId="39" xfId="0" applyBorder="1" applyAlignment="1">
      <alignment horizontal="left"/>
    </xf>
    <xf numFmtId="0" fontId="0" fillId="0" borderId="0" xfId="0" applyAlignment="1">
      <alignment horizontal="left"/>
    </xf>
    <xf numFmtId="0" fontId="0" fillId="0" borderId="0" xfId="0"/>
    <xf numFmtId="0" fontId="0" fillId="0" borderId="39" xfId="0" applyBorder="1" applyAlignment="1">
      <alignment horizontal="left"/>
    </xf>
    <xf numFmtId="0" fontId="0" fillId="0" borderId="0" xfId="0" applyAlignment="1">
      <alignment horizontal="center"/>
    </xf>
    <xf numFmtId="0" fontId="0" fillId="0" borderId="0" xfId="0"/>
    <xf numFmtId="0" fontId="0" fillId="0" borderId="39" xfId="0" applyBorder="1" applyAlignment="1">
      <alignment horizontal="left"/>
    </xf>
    <xf numFmtId="0" fontId="0" fillId="0" borderId="0" xfId="0" applyAlignment="1">
      <alignment horizontal="center"/>
    </xf>
    <xf numFmtId="0" fontId="0" fillId="0" borderId="0" xfId="0"/>
    <xf numFmtId="0" fontId="0" fillId="0" borderId="39" xfId="0" applyBorder="1" applyAlignment="1">
      <alignment horizontal="left"/>
    </xf>
    <xf numFmtId="0" fontId="46" fillId="0" borderId="13" xfId="34" applyFont="1" applyBorder="1" applyAlignment="1">
      <alignment horizontal="center"/>
    </xf>
    <xf numFmtId="0" fontId="0" fillId="0" borderId="0" xfId="0" applyAlignment="1">
      <alignment horizontal="center"/>
    </xf>
    <xf numFmtId="0" fontId="0" fillId="0" borderId="0" xfId="33" applyFont="1" applyAlignment="1">
      <alignment vertical="center"/>
    </xf>
    <xf numFmtId="0" fontId="0" fillId="0" borderId="0" xfId="0"/>
    <xf numFmtId="0" fontId="46" fillId="0" borderId="13" xfId="34" applyFont="1" applyBorder="1" applyAlignment="1">
      <alignment horizontal="center"/>
    </xf>
    <xf numFmtId="0" fontId="67" fillId="0" borderId="0" xfId="50" applyAlignment="1">
      <alignment horizontal="right"/>
    </xf>
    <xf numFmtId="49" fontId="56" fillId="0" borderId="147" xfId="50" applyNumberFormat="1" applyFont="1" applyBorder="1" applyAlignment="1">
      <alignment horizontal="center" vertical="center" wrapText="1"/>
    </xf>
    <xf numFmtId="49" fontId="56" fillId="0" borderId="147" xfId="50" quotePrefix="1" applyNumberFormat="1" applyFont="1" applyBorder="1" applyAlignment="1">
      <alignment horizontal="center" vertical="center" wrapText="1"/>
    </xf>
    <xf numFmtId="4" fontId="56" fillId="28" borderId="147" xfId="50" applyNumberFormat="1" applyFont="1" applyFill="1" applyBorder="1" applyAlignment="1">
      <alignment horizontal="center" vertical="center"/>
    </xf>
    <xf numFmtId="189" fontId="56" fillId="0" borderId="147" xfId="50" applyNumberFormat="1" applyFont="1" applyBorder="1" applyAlignment="1">
      <alignment horizontal="center" vertical="center"/>
    </xf>
    <xf numFmtId="2" fontId="56" fillId="0" borderId="147" xfId="50" applyNumberFormat="1" applyFont="1" applyBorder="1" applyAlignment="1">
      <alignment horizontal="center" vertical="center"/>
    </xf>
    <xf numFmtId="189" fontId="56" fillId="28" borderId="147" xfId="50" applyNumberFormat="1" applyFont="1" applyFill="1" applyBorder="1" applyAlignment="1">
      <alignment horizontal="center" vertical="center"/>
    </xf>
    <xf numFmtId="189" fontId="56" fillId="28" borderId="147" xfId="50" applyNumberFormat="1" applyFont="1" applyFill="1" applyBorder="1" applyAlignment="1">
      <alignment horizontal="center" vertical="center" wrapText="1"/>
    </xf>
    <xf numFmtId="1" fontId="56" fillId="0" borderId="147" xfId="50" applyNumberFormat="1" applyFont="1" applyBorder="1" applyAlignment="1">
      <alignment horizontal="center" vertical="center" wrapText="1"/>
    </xf>
    <xf numFmtId="4" fontId="56" fillId="0" borderId="147" xfId="50" applyNumberFormat="1" applyFont="1" applyBorder="1" applyAlignment="1">
      <alignment horizontal="center" vertical="center"/>
    </xf>
    <xf numFmtId="180" fontId="56" fillId="33" borderId="147" xfId="31" applyFill="1" applyBorder="1"/>
    <xf numFmtId="0" fontId="56" fillId="0" borderId="147" xfId="50" applyFont="1" applyBorder="1" applyAlignment="1">
      <alignment horizontal="center" vertical="center" wrapText="1"/>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0" fontId="24" fillId="0" borderId="30" xfId="35" applyFont="1" applyBorder="1" applyAlignment="1">
      <alignment horizontal="left" vertical="top"/>
    </xf>
    <xf numFmtId="164"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5" xfId="33" applyFont="1" applyBorder="1" applyAlignment="1">
      <alignment horizontal="left" vertical="top" wrapText="1"/>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31" xfId="0" applyFont="1" applyFill="1" applyBorder="1" applyAlignment="1">
      <alignment horizontal="left" vertical="center" wrapText="1"/>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86" fontId="63" fillId="0" borderId="29" xfId="0" applyNumberFormat="1" applyFont="1" applyBorder="1" applyAlignment="1">
      <alignment horizontal="left"/>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171" fontId="56" fillId="0" borderId="122" xfId="48"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5"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24" fillId="0" borderId="31" xfId="0" applyFont="1" applyBorder="1" applyAlignment="1">
      <alignment horizontal="right" vertical="center"/>
    </xf>
    <xf numFmtId="0" fontId="0" fillId="0" borderId="39" xfId="0" applyBorder="1" applyAlignment="1">
      <alignment horizontal="left"/>
    </xf>
    <xf numFmtId="0" fontId="0" fillId="0" borderId="0" xfId="0" applyAlignment="1">
      <alignment horizontal="center"/>
    </xf>
    <xf numFmtId="177" fontId="56" fillId="0" borderId="13" xfId="48" applyNumberFormat="1" applyFill="1" applyBorder="1" applyAlignment="1" applyProtection="1">
      <alignment horizontal="center" shrinkToFit="1"/>
    </xf>
    <xf numFmtId="10" fontId="56" fillId="0" borderId="30" xfId="37" applyNumberFormat="1" applyFill="1" applyBorder="1" applyAlignment="1" applyProtection="1">
      <alignment horizontal="center"/>
    </xf>
    <xf numFmtId="14" fontId="0" fillId="6" borderId="46" xfId="0" applyNumberFormat="1" applyFill="1" applyBorder="1" applyAlignment="1" applyProtection="1">
      <alignment horizontal="center"/>
      <protection locked="0"/>
    </xf>
    <xf numFmtId="0" fontId="31" fillId="0" borderId="99" xfId="0" applyFont="1" applyBorder="1" applyAlignment="1">
      <alignment horizontal="center" vertical="top" wrapText="1"/>
    </xf>
    <xf numFmtId="176" fontId="24" fillId="8" borderId="31" xfId="0" applyNumberFormat="1" applyFont="1" applyFill="1" applyBorder="1" applyAlignment="1">
      <alignment horizontal="center" shrinkToFit="1"/>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0" fontId="0" fillId="18" borderId="39" xfId="0" applyFill="1" applyBorder="1"/>
    <xf numFmtId="10" fontId="56" fillId="0" borderId="33" xfId="37" applyNumberFormat="1" applyFill="1" applyBorder="1" applyAlignment="1" applyProtection="1">
      <alignment horizontal="center"/>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14" fontId="0" fillId="6" borderId="47" xfId="0" applyNumberFormat="1" applyFill="1" applyBorder="1" applyAlignment="1" applyProtection="1">
      <alignment horizontal="center"/>
      <protection locked="0"/>
    </xf>
    <xf numFmtId="0" fontId="24" fillId="8" borderId="31" xfId="0" applyFont="1" applyFill="1" applyBorder="1" applyAlignment="1">
      <alignment horizontal="center"/>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cellXfs>
  <cellStyles count="56">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álculo 2" xfId="51" xr:uid="{DF298607-9E06-4283-8CBC-83FCA69B8C80}"/>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Entrada 2" xfId="52" xr:uid="{1D7A7F21-B306-45DC-BF7E-BD9CD6537858}"/>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Nota 2" xfId="53" xr:uid="{71D6AAB7-A401-4859-B115-BDB5AB712288}"/>
    <cellStyle name="Porcentagem" xfId="37" builtinId="5"/>
    <cellStyle name="Porcentagem 2" xfId="38" xr:uid="{00000000-0005-0000-0000-000026000000}"/>
    <cellStyle name="Saída" xfId="39" builtinId="21" customBuiltin="1"/>
    <cellStyle name="Saída 2" xfId="54" xr:uid="{0FE45C78-158E-46C1-BC80-1B7A07EAF718}"/>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Total 2" xfId="55" xr:uid="{78C43EE7-9C2A-4B4A-804A-597C8575C210}"/>
    <cellStyle name="Vírgula" xfId="48" builtinId="3"/>
    <cellStyle name="Vírgula 2" xfId="49" xr:uid="{00000000-0005-0000-0000-000031000000}"/>
  </cellStyles>
  <dxfs count="1203">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97342" y="943303"/>
              <a:ext cx="1321308" cy="472322"/>
              <a:chOff x="523876" y="971537"/>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7"/>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2023044" y="943303"/>
              <a:ext cx="1292944" cy="472322"/>
              <a:chOff x="1790701" y="971532"/>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32"/>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ht="15" x14ac:dyDescent="0.25">
      <c r="A156" s="4"/>
      <c r="B156" s="47" t="s">
        <v>2</v>
      </c>
      <c r="C156" s="47"/>
      <c r="D156" s="499"/>
    </row>
    <row r="157" spans="1:4" ht="15" x14ac:dyDescent="0.25">
      <c r="A157" s="4"/>
      <c r="B157" s="47"/>
      <c r="C157" s="48" t="str">
        <f>IF(D157&lt;&gt;"","▪","")</f>
        <v>▪</v>
      </c>
      <c r="D157" s="499" t="s">
        <v>986</v>
      </c>
    </row>
    <row r="158" spans="1:4" ht="15" x14ac:dyDescent="0.25">
      <c r="A158" s="4"/>
      <c r="B158" s="47" t="s">
        <v>40</v>
      </c>
      <c r="C158" s="47"/>
      <c r="D158" s="499"/>
    </row>
    <row r="159" spans="1:4" ht="25.5" x14ac:dyDescent="0.25">
      <c r="A159" s="4"/>
      <c r="B159" s="47"/>
      <c r="C159" s="48" t="str">
        <f>IF(D159&lt;&gt;"","▪","")</f>
        <v>▪</v>
      </c>
      <c r="D159" s="499" t="s">
        <v>987</v>
      </c>
    </row>
    <row r="160" spans="1:4"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C163" s="48" t="str">
        <f>IF(D163&lt;&gt;"","▪","")</f>
        <v>▪</v>
      </c>
      <c r="D163" s="499" t="s">
        <v>983</v>
      </c>
    </row>
    <row r="164" spans="1:4" ht="15" x14ac:dyDescent="0.2">
      <c r="A164" s="414"/>
      <c r="C164" s="48" t="str">
        <f>IF(D164&lt;&gt;"","▪","")</f>
        <v>▪</v>
      </c>
      <c r="D164" s="499" t="s">
        <v>952</v>
      </c>
    </row>
    <row r="165" spans="1:4" ht="15" x14ac:dyDescent="0.2">
      <c r="A165" s="414"/>
      <c r="C165" s="48" t="str">
        <f>IF(D165&lt;&gt;"","▪","")</f>
        <v>▪</v>
      </c>
      <c r="D165" s="499" t="s">
        <v>997</v>
      </c>
    </row>
    <row r="166" spans="1:4" ht="15" x14ac:dyDescent="0.2">
      <c r="A166" s="414"/>
      <c r="C166" s="48" t="str">
        <f>IF(D166&lt;&gt;"","▪","")</f>
        <v>▪</v>
      </c>
      <c r="D166" s="499" t="s">
        <v>988</v>
      </c>
    </row>
    <row r="167" spans="1:4" ht="15" x14ac:dyDescent="0.2">
      <c r="A167" s="414"/>
      <c r="C167" s="48" t="str">
        <f>IF(D167&lt;&gt;"","▪","")</f>
        <v>▪</v>
      </c>
      <c r="D167" s="499" t="s">
        <v>989</v>
      </c>
    </row>
    <row r="168" spans="1:4" ht="15" x14ac:dyDescent="0.25">
      <c r="A168" s="4"/>
      <c r="B168" s="47" t="s">
        <v>20</v>
      </c>
      <c r="C168" s="47"/>
      <c r="D168" s="499"/>
    </row>
    <row r="169" spans="1:4" ht="25.5" x14ac:dyDescent="0.2">
      <c r="A169" s="414"/>
      <c r="C169" s="48" t="str">
        <f>IF(D169&lt;&gt;"","▪","")</f>
        <v>▪</v>
      </c>
      <c r="D169" s="499" t="s">
        <v>990</v>
      </c>
    </row>
    <row r="170" spans="1:4" ht="15" x14ac:dyDescent="0.2">
      <c r="A170" s="414"/>
      <c r="C170" s="48" t="str">
        <f t="shared" ref="C170:C171" si="2">IF(D170&lt;&gt;"","▪","")</f>
        <v>▪</v>
      </c>
      <c r="D170" s="499" t="s">
        <v>991</v>
      </c>
    </row>
    <row r="171" spans="1:4" ht="15" x14ac:dyDescent="0.2">
      <c r="A171" s="414"/>
      <c r="C171" s="48" t="str">
        <f t="shared" si="2"/>
        <v>▪</v>
      </c>
      <c r="D171" s="499" t="s">
        <v>992</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984</v>
      </c>
    </row>
    <row r="176" spans="1:4" ht="15" x14ac:dyDescent="0.25">
      <c r="A176" s="4"/>
      <c r="B176" s="47" t="s">
        <v>17</v>
      </c>
      <c r="C176" s="47"/>
      <c r="D176" s="499"/>
    </row>
    <row r="177" spans="1:4" ht="15" x14ac:dyDescent="0.2">
      <c r="A177" s="414"/>
      <c r="C177" s="48" t="str">
        <f>IF(D177&lt;&gt;"","▪","")</f>
        <v>▪</v>
      </c>
      <c r="D177" s="499" t="s">
        <v>985</v>
      </c>
    </row>
    <row r="178" spans="1:4" ht="15" x14ac:dyDescent="0.25">
      <c r="A178" s="418"/>
      <c r="B178" s="477"/>
      <c r="C178" s="477"/>
      <c r="D178" s="502"/>
    </row>
    <row r="179" spans="1:4" ht="18.75" x14ac:dyDescent="0.3">
      <c r="A179" s="602" t="s">
        <v>998</v>
      </c>
      <c r="B179" s="603"/>
      <c r="C179" s="603"/>
      <c r="D179" s="604"/>
    </row>
    <row r="180" spans="1:4" ht="15" x14ac:dyDescent="0.25">
      <c r="A180" s="4"/>
      <c r="B180" s="47" t="s">
        <v>2</v>
      </c>
      <c r="C180" s="47"/>
      <c r="D180" s="499"/>
    </row>
    <row r="181" spans="1:4" ht="15" x14ac:dyDescent="0.25">
      <c r="A181" s="4"/>
      <c r="B181" s="47"/>
      <c r="C181" s="48" t="str">
        <f>IF(D181&lt;&gt;"","▪","")</f>
        <v>▪</v>
      </c>
      <c r="D181" s="499" t="s">
        <v>999</v>
      </c>
    </row>
    <row r="182" spans="1:4" ht="15" x14ac:dyDescent="0.25">
      <c r="A182" s="4"/>
      <c r="B182" s="47" t="s">
        <v>40</v>
      </c>
      <c r="C182" s="47"/>
      <c r="D182" s="499"/>
    </row>
    <row r="183" spans="1:4" ht="15" x14ac:dyDescent="0.25">
      <c r="A183" s="4"/>
      <c r="B183" s="47"/>
      <c r="C183" s="48" t="str">
        <f>IF(D183&lt;&gt;"","▪","")</f>
        <v>▪</v>
      </c>
      <c r="D183" s="499" t="s">
        <v>1000</v>
      </c>
    </row>
    <row r="184" spans="1:4" ht="15" x14ac:dyDescent="0.25">
      <c r="A184" s="4"/>
      <c r="B184" s="47"/>
      <c r="C184" s="48" t="str">
        <f>IF(D184&lt;&gt;"","▪","")</f>
        <v>▪</v>
      </c>
      <c r="D184" s="499" t="s">
        <v>1001</v>
      </c>
    </row>
    <row r="185" spans="1:4" ht="15" x14ac:dyDescent="0.25">
      <c r="A185" s="418"/>
      <c r="B185" s="477"/>
      <c r="C185" s="477"/>
      <c r="D185" s="502"/>
    </row>
    <row r="186" spans="1:4" ht="18.75" x14ac:dyDescent="0.3">
      <c r="A186" s="602" t="s">
        <v>1002</v>
      </c>
      <c r="B186" s="603"/>
      <c r="C186" s="603"/>
      <c r="D186" s="604"/>
    </row>
    <row r="187" spans="1:4" ht="15" x14ac:dyDescent="0.25">
      <c r="A187" s="4"/>
      <c r="B187" s="47" t="s">
        <v>11</v>
      </c>
      <c r="C187" s="47"/>
      <c r="D187" s="499"/>
    </row>
    <row r="188" spans="1:4" ht="15" x14ac:dyDescent="0.25">
      <c r="A188" s="4"/>
      <c r="B188" s="47"/>
      <c r="C188" s="48" t="str">
        <f>IF(D188&lt;&gt;"","▪","")</f>
        <v>▪</v>
      </c>
      <c r="D188" s="499" t="s">
        <v>1003</v>
      </c>
    </row>
    <row r="189" spans="1:4" ht="15" x14ac:dyDescent="0.25">
      <c r="A189" s="418"/>
      <c r="B189" s="477"/>
      <c r="C189" s="477"/>
      <c r="D189" s="502"/>
    </row>
    <row r="190" spans="1:4" ht="18.75" x14ac:dyDescent="0.3">
      <c r="A190" s="602" t="s">
        <v>1005</v>
      </c>
      <c r="B190" s="603"/>
      <c r="C190" s="603"/>
      <c r="D190" s="604"/>
    </row>
    <row r="191" spans="1:4" ht="15" x14ac:dyDescent="0.25">
      <c r="A191" s="4"/>
      <c r="B191" s="47" t="s">
        <v>23</v>
      </c>
      <c r="C191" s="47"/>
      <c r="D191" s="499"/>
    </row>
    <row r="192" spans="1:4" ht="15" x14ac:dyDescent="0.25">
      <c r="A192" s="4"/>
      <c r="B192" s="47"/>
      <c r="C192" s="48" t="str">
        <f>IF(D192&lt;&gt;"","▪","")</f>
        <v>▪</v>
      </c>
      <c r="D192" s="499" t="s">
        <v>1006</v>
      </c>
    </row>
    <row r="193" spans="1:4" ht="15" x14ac:dyDescent="0.25">
      <c r="A193" s="418"/>
      <c r="B193" s="477"/>
      <c r="C193" s="477"/>
      <c r="D193" s="502"/>
    </row>
  </sheetData>
  <sheetProtection algorithmName="SHA-512" hashValue="s5FAqIEiTGgGj6YnbFk2U+ezWXutzTzZPC0PgeQFzyKycH8//DjaDp8V7dsj9hu1IsrwQ+cDzx9Af94awQMLVw==" saltValue="rur4uCZKAaKS715hFkix8Q=="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tabSelected="1"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754" t="str">
        <f>CHOOSE(MATCH(Objeto,{"PM","PO"}),"PLANILHA MÚLTIPLA ","PLANILHA ORÇAMENTÁRIA ")&amp; Versao</f>
        <v>PLANILHA MÚLTIPLA v3.16</v>
      </c>
      <c r="F2" s="754"/>
      <c r="G2" s="754"/>
      <c r="H2" s="408"/>
      <c r="I2" s="406"/>
      <c r="J2" s="491" t="s">
        <v>1004</v>
      </c>
      <c r="K2" s="510" t="b">
        <v>1</v>
      </c>
    </row>
    <row r="3" spans="1:15" ht="22.5" customHeight="1" x14ac:dyDescent="0.2">
      <c r="A3" s="404"/>
      <c r="B3" s="406"/>
      <c r="C3" s="406"/>
      <c r="D3" s="406"/>
      <c r="E3" s="754"/>
      <c r="F3" s="754"/>
      <c r="G3" s="754"/>
      <c r="H3" s="408"/>
      <c r="I3" s="406"/>
      <c r="O3" s="606">
        <v>1</v>
      </c>
    </row>
    <row r="4" spans="1:15" ht="17.100000000000001" customHeight="1" x14ac:dyDescent="0.2">
      <c r="A4" s="404"/>
      <c r="B4" s="406"/>
      <c r="C4" s="406"/>
      <c r="D4" s="406"/>
      <c r="E4" s="406"/>
      <c r="F4" s="407"/>
      <c r="G4" s="408"/>
      <c r="H4" s="408"/>
      <c r="I4" s="406"/>
      <c r="J4" s="151" t="str">
        <f>IF(VALUE(MENU!$O$4)=2,"BM","PLE")</f>
        <v>PLE</v>
      </c>
      <c r="O4" s="606">
        <v>1</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753" t="str">
        <f>IF($O$3&lt;&gt;2,"DOCUMENTAÇÃO DA PROPOSTA","PROPOSTA: Para visualizar/preencher esta seção, altere o TIPO DE ORÇAMENTO para 'Proposto'")</f>
        <v>DOCUMENTAÇÃO DA PROPOSTA</v>
      </c>
      <c r="C8" s="753"/>
      <c r="D8" s="753"/>
      <c r="E8" s="753"/>
      <c r="F8" s="753"/>
      <c r="G8" s="753"/>
      <c r="H8" s="753"/>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01-2026.xlsm.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753" t="str">
        <f>IF($O$3&lt;&gt;2,"PÓS-LICITADO: Para visualizar/preencher esta seção, altere o TIPO DE ORÇAMENTO para 'Licitado'","RESULTADO DO PROCESSO LICITATÓRIO")</f>
        <v>PÓS-LICITADO: Para visualizar/preencher esta seção, altere o TIPO DE ORÇAMENTO para 'Licitado'</v>
      </c>
      <c r="C16" s="753"/>
      <c r="D16" s="753"/>
      <c r="E16" s="753"/>
      <c r="F16" s="753"/>
      <c r="G16" s="753"/>
      <c r="H16" s="753"/>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753" t="str">
        <f>IF($O$3&lt;&gt;2,"ACOMPANHAMENTO: Para visualizar/preencher esta seção, altere o TIPO DE ORÇAMENTO para 'Licitado'","ACOMPANHAMENTO DO EMPREENDIMENTO")</f>
        <v>ACOMPANHAMENTO: Para visualizar/preencher esta seção, altere o TIPO DE ORÇAMENTO para 'Licitado'</v>
      </c>
      <c r="C20" s="753"/>
      <c r="D20" s="753"/>
      <c r="E20" s="753"/>
      <c r="F20" s="753"/>
      <c r="G20" s="753"/>
      <c r="H20" s="753"/>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qwYCb10IAvIoz52yMgOKGjj6RcbfV4dawx0oTiPZhGw7c9F18Yj0lEW6TrMqLaZayqZ3CJsdUUuPm+nzWjl9Fw==" saltValue="oOyG5x4YHftaYS+HHoXf+w==" spinCount="100000" sheet="1" objects="1" scenarios="1" autoFilter="0"/>
  <mergeCells count="4">
    <mergeCell ref="B20:H20"/>
    <mergeCell ref="B8:H8"/>
    <mergeCell ref="E2:G3"/>
    <mergeCell ref="B16:H16"/>
  </mergeCells>
  <phoneticPr fontId="38" type="noConversion"/>
  <conditionalFormatting sqref="C10:G14">
    <cfRule type="expression" dxfId="1202" priority="70" stopIfTrue="1">
      <formula>TIPOORCAMENTO="Licitado"</formula>
    </cfRule>
  </conditionalFormatting>
  <conditionalFormatting sqref="C18:G18 E22:E24">
    <cfRule type="expression" dxfId="1201" priority="71" stopIfTrue="1">
      <formula>TIPOORCAMENTO&lt;&gt;"Licitado"</formula>
    </cfRule>
  </conditionalFormatting>
  <conditionalFormatting sqref="C22">
    <cfRule type="expression" dxfId="1200" priority="73" stopIfTrue="1">
      <formula>OR(TIPOORCAMENTO&lt;&gt;"Licitado",ACOMPANHAMENTO&lt;&gt;"PLE")</formula>
    </cfRule>
  </conditionalFormatting>
  <conditionalFormatting sqref="G22">
    <cfRule type="expression" dxfId="1199" priority="74" stopIfTrue="1">
      <formula>OR(TIPOORCAMENTO&lt;&gt;"Licitado",ACOMPANHAMENTO&lt;&gt;"BM")</formula>
    </cfRule>
  </conditionalFormatting>
  <conditionalFormatting sqref="B16:H16 B20:H20">
    <cfRule type="expression" dxfId="1198" priority="599" stopIfTrue="1">
      <formula>$O$3&lt;&gt;2</formula>
    </cfRule>
  </conditionalFormatting>
  <conditionalFormatting sqref="B8:H8">
    <cfRule type="expression" dxfId="1197"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552450</xdr:colOff>
                    <xdr:row>2</xdr:row>
                    <xdr:rowOff>85725</xdr:rowOff>
                  </from>
                  <to>
                    <xdr:col>2</xdr:col>
                    <xdr:colOff>1266825</xdr:colOff>
                    <xdr:row>3</xdr:row>
                    <xdr:rowOff>85725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628650</xdr:colOff>
                    <xdr:row>2</xdr:row>
                    <xdr:rowOff>180975</xdr:rowOff>
                  </from>
                  <to>
                    <xdr:col>2</xdr:col>
                    <xdr:colOff>1162050</xdr:colOff>
                    <xdr:row>3</xdr:row>
                    <xdr:rowOff>19050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1</xdr:col>
                    <xdr:colOff>142875</xdr:colOff>
                    <xdr:row>2</xdr:row>
                    <xdr:rowOff>85725</xdr:rowOff>
                  </from>
                  <to>
                    <xdr:col>2</xdr:col>
                    <xdr:colOff>504825</xdr:colOff>
                    <xdr:row>3</xdr:row>
                    <xdr:rowOff>85725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1</xdr:col>
                    <xdr:colOff>209550</xdr:colOff>
                    <xdr:row>2</xdr:row>
                    <xdr:rowOff>180975</xdr:rowOff>
                  </from>
                  <to>
                    <xdr:col>2</xdr:col>
                    <xdr:colOff>409575</xdr:colOff>
                    <xdr:row>3</xdr:row>
                    <xdr:rowOff>19050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3" activePane="bottomLeft" state="frozen"/>
      <selection pane="bottomLeft"/>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G1" s="9" t="s">
        <v>138</v>
      </c>
      <c r="H1" s="9" t="s">
        <v>959</v>
      </c>
      <c r="I1" s="9" t="s">
        <v>960</v>
      </c>
      <c r="J1" s="9" t="s">
        <v>709</v>
      </c>
      <c r="M1" s="610"/>
      <c r="N1" s="756" t="s">
        <v>97</v>
      </c>
      <c r="O1" s="756"/>
      <c r="P1" s="756"/>
      <c r="Q1" s="756"/>
      <c r="R1" s="756"/>
      <c r="S1" s="756"/>
      <c r="T1" s="756"/>
      <c r="U1" s="756"/>
      <c r="V1" s="756"/>
      <c r="W1" s="756"/>
      <c r="X1" s="756"/>
      <c r="Y1" s="756"/>
      <c r="Z1" s="756"/>
      <c r="AA1" s="756"/>
      <c r="AB1" s="756"/>
      <c r="AC1" s="756"/>
      <c r="AD1" s="756"/>
      <c r="AE1" s="756"/>
      <c r="AF1" s="756"/>
      <c r="AG1" s="756"/>
      <c r="AH1" s="756"/>
      <c r="AI1" s="756"/>
      <c r="AJ1" s="756"/>
      <c r="AK1" s="756"/>
      <c r="AL1" s="756"/>
      <c r="AM1" s="756"/>
      <c r="AN1" s="756"/>
      <c r="AO1" s="756"/>
      <c r="AP1" s="756"/>
      <c r="AQ1" s="756"/>
      <c r="AR1" s="756"/>
      <c r="AS1" s="756"/>
      <c r="AT1" s="756"/>
      <c r="AV1" s="611" t="s">
        <v>98</v>
      </c>
      <c r="AW1" s="612"/>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755" t="s">
        <v>119</v>
      </c>
      <c r="C3" s="755"/>
      <c r="D3" s="562" t="str">
        <f ca="1">IF(COUNTIF(D4:D13,"◄")=0,"","Falta preencher a linha "&amp;MATCH("◄",D4:D13,0)+ROW(D3))</f>
        <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962</v>
      </c>
      <c r="D4" s="563" t="str">
        <f ca="1">IF(OR(OFFSET(D4,0,-1)="",OFFSET(D4,0,-1)="(SELECIONAR)"),"◄","")</f>
        <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678" t="s">
        <v>1084</v>
      </c>
      <c r="D5" s="563" t="str">
        <f t="shared" ref="D5:D11" ca="1" si="0">IF(OFFSET(D5,0,-1)="","◄","")</f>
        <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1073</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t="s">
        <v>1085</v>
      </c>
      <c r="D7" s="563" t="str">
        <f t="shared" ca="1" si="0"/>
        <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t="s">
        <v>1074</v>
      </c>
      <c r="D8" s="563" t="str">
        <f ca="1">IF(AND(Import.TipoArredondamento="TransfereGOV",OFFSET(D8,0,-1)=""),"◄","")</f>
        <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v>4998328.42</v>
      </c>
      <c r="D9" s="563" t="str">
        <f t="shared" ca="1" si="0"/>
        <v/>
      </c>
      <c r="I9" t="s">
        <v>973</v>
      </c>
      <c r="L9" s="12" t="s">
        <v>106</v>
      </c>
      <c r="U9" t="s">
        <v>198</v>
      </c>
      <c r="V9" s="7" t="s">
        <v>126</v>
      </c>
      <c r="W9" t="s">
        <v>199</v>
      </c>
      <c r="X9" s="7" t="s">
        <v>128</v>
      </c>
      <c r="AV9" t="s">
        <v>200</v>
      </c>
      <c r="AW9" t="s">
        <v>201</v>
      </c>
    </row>
    <row r="10" spans="2:49" x14ac:dyDescent="0.2">
      <c r="B10" s="17" t="s">
        <v>202</v>
      </c>
      <c r="C10" s="19">
        <v>0</v>
      </c>
      <c r="D10" s="563" t="str">
        <f t="shared" ca="1" si="0"/>
        <v/>
      </c>
      <c r="L10" s="12" t="s">
        <v>107</v>
      </c>
      <c r="U10" t="s">
        <v>203</v>
      </c>
      <c r="V10" s="7" t="s">
        <v>148</v>
      </c>
      <c r="W10" t="s">
        <v>204</v>
      </c>
      <c r="X10" s="7" t="s">
        <v>121</v>
      </c>
      <c r="AV10" t="s">
        <v>205</v>
      </c>
      <c r="AW10" t="s">
        <v>206</v>
      </c>
    </row>
    <row r="11" spans="2:49" x14ac:dyDescent="0.2">
      <c r="B11" s="17" t="s">
        <v>207</v>
      </c>
      <c r="C11" s="20">
        <v>0</v>
      </c>
      <c r="D11" s="563" t="str">
        <f t="shared" ca="1" si="0"/>
        <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755" t="s">
        <v>220</v>
      </c>
      <c r="C15" s="755"/>
      <c r="D15" s="562" t="str">
        <f ca="1">IF(COUNTIF(D16:D19,"◄")=0,"","Falta preencher a linha "&amp;MATCH("◄",D16:D19,0)+ROW(D15))</f>
        <v/>
      </c>
      <c r="L15" s="12" t="s">
        <v>112</v>
      </c>
      <c r="AV15" t="s">
        <v>221</v>
      </c>
      <c r="AW15" t="s">
        <v>222</v>
      </c>
    </row>
    <row r="16" spans="2:49" ht="25.5" x14ac:dyDescent="0.2">
      <c r="B16" s="24" t="s">
        <v>223</v>
      </c>
      <c r="C16" s="25" t="s">
        <v>1075</v>
      </c>
      <c r="D16" s="563" t="str">
        <f t="shared" ref="D16:D19" ca="1" si="1">IF(OFFSET(D16,0,-1)="","◄","")</f>
        <v/>
      </c>
      <c r="L16" s="12" t="s">
        <v>113</v>
      </c>
      <c r="AV16" t="s">
        <v>224</v>
      </c>
      <c r="AW16" t="s">
        <v>225</v>
      </c>
    </row>
    <row r="17" spans="2:49" ht="25.5" x14ac:dyDescent="0.2">
      <c r="B17" s="17" t="s">
        <v>226</v>
      </c>
      <c r="C17" s="26" t="s">
        <v>1210</v>
      </c>
      <c r="D17" s="563" t="str">
        <f t="shared" ca="1" si="1"/>
        <v/>
      </c>
      <c r="L17" s="12" t="s">
        <v>114</v>
      </c>
      <c r="AV17" t="s">
        <v>227</v>
      </c>
      <c r="AW17" t="s">
        <v>228</v>
      </c>
    </row>
    <row r="18" spans="2:49" x14ac:dyDescent="0.2">
      <c r="B18" s="17" t="s">
        <v>229</v>
      </c>
      <c r="C18" s="27" t="s">
        <v>966</v>
      </c>
      <c r="D18" s="563" t="str">
        <f ca="1">IF(OR(OFFSET(D18,0,-1)="",OFFSET(D18,0,-1)="(SELECIONAR)"),"◄","")</f>
        <v/>
      </c>
      <c r="L18" s="12" t="s">
        <v>115</v>
      </c>
      <c r="AV18" t="s">
        <v>230</v>
      </c>
      <c r="AW18" t="s">
        <v>231</v>
      </c>
    </row>
    <row r="19" spans="2:49" ht="13.5" thickBot="1" x14ac:dyDescent="0.25">
      <c r="B19" s="28" t="s">
        <v>232</v>
      </c>
      <c r="C19" s="29">
        <v>46023</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755" t="s">
        <v>237</v>
      </c>
      <c r="C21" s="755"/>
      <c r="D21" s="562" t="str">
        <f ca="1">IF(COUNTIF(D22:D25,"◄")=0,"","Falta preencher a linha "&amp;MATCH("◄",D22:D25,0)+ROW(D21))</f>
        <v/>
      </c>
      <c r="L21" s="12"/>
      <c r="AV21" t="s">
        <v>238</v>
      </c>
      <c r="AW21" t="s">
        <v>239</v>
      </c>
    </row>
    <row r="22" spans="2:49" x14ac:dyDescent="0.2">
      <c r="B22" s="15" t="s">
        <v>240</v>
      </c>
      <c r="C22" s="31" t="s">
        <v>1076</v>
      </c>
      <c r="D22" s="563" t="str">
        <f t="shared" ref="D22:D24" ca="1" si="2">IF(OFFSET(D22,0,-1)="","◄","")</f>
        <v/>
      </c>
      <c r="AV22" t="s">
        <v>241</v>
      </c>
      <c r="AW22" t="s">
        <v>242</v>
      </c>
    </row>
    <row r="23" spans="2:49" x14ac:dyDescent="0.2">
      <c r="B23" s="17" t="s">
        <v>243</v>
      </c>
      <c r="C23" s="18" t="s">
        <v>1077</v>
      </c>
      <c r="D23" s="563" t="str">
        <f t="shared" ca="1" si="2"/>
        <v/>
      </c>
      <c r="AV23" t="s">
        <v>244</v>
      </c>
      <c r="AW23" t="s">
        <v>245</v>
      </c>
    </row>
    <row r="24" spans="2:49" x14ac:dyDescent="0.2">
      <c r="B24" s="17" t="s">
        <v>246</v>
      </c>
      <c r="C24" s="683" t="s">
        <v>1211</v>
      </c>
      <c r="D24" s="563" t="str">
        <f t="shared" ca="1" si="2"/>
        <v/>
      </c>
      <c r="AV24" t="s">
        <v>247</v>
      </c>
      <c r="AW24" t="s">
        <v>248</v>
      </c>
    </row>
    <row r="25" spans="2:49" ht="13.5" thickBot="1" x14ac:dyDescent="0.25">
      <c r="B25" s="21" t="s">
        <v>249</v>
      </c>
      <c r="C25" s="32">
        <v>46106</v>
      </c>
      <c r="D25" s="563" t="s">
        <v>250</v>
      </c>
      <c r="AV25" t="s">
        <v>251</v>
      </c>
      <c r="AW25" t="s">
        <v>252</v>
      </c>
    </row>
    <row r="26" spans="2:49" ht="13.5" thickBot="1" x14ac:dyDescent="0.25">
      <c r="AV26" t="s">
        <v>253</v>
      </c>
      <c r="AW26" t="s">
        <v>254</v>
      </c>
    </row>
    <row r="27" spans="2:49" ht="15.75" thickBot="1" x14ac:dyDescent="0.3">
      <c r="B27" s="755" t="s">
        <v>255</v>
      </c>
      <c r="C27" s="755"/>
      <c r="D27" s="562" t="str">
        <f ca="1">IF(COUNTIF(D28:D29,"◄")=0,"","Falta preencher a linha "&amp;MATCH("◄",D28:D29,0)+ROW(D27))</f>
        <v/>
      </c>
      <c r="AV27" t="s">
        <v>256</v>
      </c>
      <c r="AW27" t="s">
        <v>257</v>
      </c>
    </row>
    <row r="28" spans="2:49" x14ac:dyDescent="0.2">
      <c r="B28" s="13" t="s">
        <v>240</v>
      </c>
      <c r="C28" s="33" t="s">
        <v>1086</v>
      </c>
      <c r="D28" s="563" t="str">
        <f t="shared" ref="D28:D29" ca="1" si="3">IF(OFFSET(D28,0,-1)="","◄","")</f>
        <v/>
      </c>
      <c r="AV28" t="s">
        <v>258</v>
      </c>
      <c r="AW28" t="s">
        <v>259</v>
      </c>
    </row>
    <row r="29" spans="2:49" ht="13.5" thickBot="1" x14ac:dyDescent="0.25">
      <c r="B29" s="21" t="s">
        <v>260</v>
      </c>
      <c r="C29" s="34" t="s">
        <v>1087</v>
      </c>
      <c r="D29" s="563" t="str">
        <f t="shared" ca="1" si="3"/>
        <v/>
      </c>
      <c r="AV29" t="s">
        <v>261</v>
      </c>
      <c r="AW29" t="s">
        <v>262</v>
      </c>
    </row>
    <row r="30" spans="2:49" ht="16.5" thickBot="1" x14ac:dyDescent="0.25">
      <c r="B30" s="8"/>
      <c r="AV30" t="s">
        <v>263</v>
      </c>
      <c r="AW30" t="s">
        <v>262</v>
      </c>
    </row>
    <row r="31" spans="2:49" ht="13.5" thickBot="1" x14ac:dyDescent="0.25">
      <c r="B31" s="474" t="s">
        <v>264</v>
      </c>
      <c r="C31" s="475" t="s">
        <v>950</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755" t="s">
        <v>273</v>
      </c>
      <c r="C35" s="755"/>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139</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755" t="s">
        <v>303</v>
      </c>
      <c r="C46" s="755"/>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IF(AND(TIPOORCAMENTO="Licitado",OFFSET(D47,0,-1)="",IFERROR(RRE!$O$28,0)&gt;0),"◄","")</f>
        <v/>
      </c>
      <c r="AV47" t="s">
        <v>307</v>
      </c>
      <c r="AW47" t="s">
        <v>308</v>
      </c>
    </row>
    <row r="48" spans="2:49" ht="13.5" thickBot="1" x14ac:dyDescent="0.25">
      <c r="B48" s="28" t="s">
        <v>309</v>
      </c>
      <c r="C48" s="37"/>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755" t="s">
        <v>314</v>
      </c>
      <c r="C50" s="755"/>
      <c r="D50" s="562" t="str">
        <f ca="1">IF(COUNTIF(D51:D54,"◄")=0,"","Falta preencher a linha "&amp;MATCH("◄",D51:D54,0)+ROW(D50))</f>
        <v/>
      </c>
      <c r="AV50" t="s">
        <v>315</v>
      </c>
      <c r="AW50" t="s">
        <v>316</v>
      </c>
    </row>
    <row r="51" spans="2:49" x14ac:dyDescent="0.2">
      <c r="B51" s="13" t="s">
        <v>240</v>
      </c>
      <c r="C51" s="38"/>
      <c r="D51" s="563" t="str" cm="1">
        <f t="array" aca="1" ref="D51" ca="1">IF(AND(TIPOORCAMENTO="Licitado",OFFSET(D51,0,-1)="",IFERROR(RRE!$O$28,0)&gt;0),"◄","")</f>
        <v/>
      </c>
      <c r="AV51" t="s">
        <v>317</v>
      </c>
      <c r="AW51" t="s">
        <v>318</v>
      </c>
    </row>
    <row r="52" spans="2:49" x14ac:dyDescent="0.2">
      <c r="B52" s="17" t="s">
        <v>319</v>
      </c>
      <c r="C52" s="18"/>
      <c r="D52" s="563" t="str" cm="1">
        <f t="array" aca="1" ref="D52" ca="1">IF(AND(TIPOORCAMENTO="Licitado",OFFSET(D52,0,-1)="",IFERROR(RRE!$O$28,0)&gt;0),"◄","")</f>
        <v/>
      </c>
      <c r="AV52" t="s">
        <v>320</v>
      </c>
      <c r="AW52" t="s">
        <v>321</v>
      </c>
    </row>
    <row r="53" spans="2:49" x14ac:dyDescent="0.2">
      <c r="B53" s="17" t="s">
        <v>322</v>
      </c>
      <c r="C53" s="18"/>
      <c r="D53" s="563" t="str" cm="1">
        <f t="array" aca="1" ref="D53" ca="1">IF(AND(TIPOORCAMENTO="Licitado",OFFSET(D53,0,-1)="",IFERROR(RRE!$O$28,0)&gt;0),"◄","")</f>
        <v/>
      </c>
      <c r="AV53" t="s">
        <v>323</v>
      </c>
      <c r="AW53" t="s">
        <v>324</v>
      </c>
    </row>
    <row r="54" spans="2:49" ht="13.5" thickBot="1" x14ac:dyDescent="0.25">
      <c r="B54" s="21" t="s">
        <v>325</v>
      </c>
      <c r="C54" s="39"/>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755" t="s">
        <v>337</v>
      </c>
      <c r="C59" s="755"/>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IYUGOqB/BYhIrCifxH0LvlzplQkxjHz9BlahOb6Byw3dVijfwR7oNwsRcWctZf/bYIFLtMUZg4fjx11r/gIW4A==" saltValue="RBMn4nOSHChpfx6nfj0Fhg=="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1196" priority="2" stopIfTrue="1">
      <formula>CAIXA.Modo=FALSE</formula>
    </cfRule>
  </conditionalFormatting>
  <conditionalFormatting sqref="B59:C61">
    <cfRule type="expression" dxfId="1195"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topLeftCell="I1" zoomScale="70" zoomScaleNormal="7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781" t="s">
        <v>644</v>
      </c>
      <c r="S1" s="781"/>
    </row>
    <row r="2" spans="1:21" x14ac:dyDescent="0.2">
      <c r="A2" s="49" t="s">
        <v>645</v>
      </c>
      <c r="B2" s="53" t="s">
        <v>646</v>
      </c>
      <c r="C2" s="49" t="str">
        <f t="shared" ref="C2:C49" si="0">CONCATENATE(A2,"-",B2)</f>
        <v>Construção e Reforma de Edifícios-AC</v>
      </c>
      <c r="E2" s="54">
        <v>0.03</v>
      </c>
      <c r="F2" s="54">
        <v>0.04</v>
      </c>
      <c r="G2" s="54">
        <v>5.5E-2</v>
      </c>
      <c r="R2" s="782" t="s">
        <v>647</v>
      </c>
      <c r="S2" s="782"/>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777" t="s">
        <v>650</v>
      </c>
      <c r="K4" s="777"/>
      <c r="L4" s="777" t="s">
        <v>651</v>
      </c>
      <c r="M4" s="777"/>
      <c r="N4" s="777" t="s">
        <v>652</v>
      </c>
      <c r="O4" s="777"/>
      <c r="P4" s="777"/>
      <c r="Q4" s="777"/>
      <c r="R4" s="777"/>
      <c r="S4" s="777"/>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780" t="str">
        <f>Import.CR</f>
        <v>56000000966/2023</v>
      </c>
      <c r="K5" s="780"/>
      <c r="L5" s="780" t="str">
        <f>Import.TransfereGOV</f>
        <v>27488/2025</v>
      </c>
      <c r="M5" s="780"/>
      <c r="N5" s="780" t="str">
        <f>Import.Proponente</f>
        <v>MUNICIPIO DE BOA ESPERANCA</v>
      </c>
      <c r="O5" s="780"/>
      <c r="P5" s="780"/>
      <c r="Q5" s="780"/>
      <c r="R5" s="780"/>
      <c r="S5" s="780"/>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770"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770"/>
      <c r="J7" s="777" t="s">
        <v>657</v>
      </c>
      <c r="K7" s="777"/>
      <c r="L7" s="777"/>
      <c r="M7" s="777"/>
      <c r="N7" s="777"/>
      <c r="O7" s="777"/>
      <c r="P7" s="777"/>
      <c r="Q7" s="777"/>
      <c r="R7" s="777"/>
      <c r="S7" s="777"/>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770"/>
      <c r="J8" s="785" t="str">
        <f>Import.Apelido&amp;" / "&amp;Import.DescLote</f>
        <v>AMPLIAÇÃO NO SISTEMA DE ÁGUA- BAIRRO NOVA ESPERANÇA / Ampliação e modernização do sistema de abastecimento de água do Município de Boa Esperança.</v>
      </c>
      <c r="K8" s="785"/>
      <c r="L8" s="785"/>
      <c r="M8" s="785"/>
      <c r="N8" s="785"/>
      <c r="O8" s="785"/>
      <c r="P8" s="785"/>
      <c r="Q8" s="785"/>
      <c r="R8" s="785"/>
      <c r="S8" s="785"/>
      <c r="U8" s="521" t="str">
        <f ca="1">IF(U29="FORA DO INTERVALO","BDI 1 fora do intervalo",IF(U69="FORA DO INTERVALO","BDI 2 fora do intervalo",IF(U109="FORA DO INTERVALO","BDI 3 fora do intervalo","")))</f>
        <v>BDI 3 fora do intervalo</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770"/>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770"/>
      <c r="J10" s="786" t="s">
        <v>659</v>
      </c>
      <c r="K10" s="786"/>
      <c r="L10" s="786"/>
      <c r="M10" s="786"/>
      <c r="N10" s="786"/>
      <c r="O10" s="786"/>
      <c r="P10" s="786"/>
      <c r="Q10" s="786"/>
      <c r="R10" s="784">
        <v>0.95</v>
      </c>
      <c r="S10" s="784"/>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783" t="s">
        <v>661</v>
      </c>
      <c r="K11" s="783"/>
      <c r="L11" s="783"/>
      <c r="M11" s="783"/>
      <c r="N11" s="783"/>
      <c r="O11" s="783"/>
      <c r="P11" s="783"/>
      <c r="Q11" s="783"/>
      <c r="R11" s="784">
        <v>0.05</v>
      </c>
      <c r="S11" s="784"/>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79" t="s">
        <v>663</v>
      </c>
      <c r="K14" s="779"/>
      <c r="L14" s="779"/>
      <c r="M14" s="779"/>
      <c r="N14" s="779"/>
      <c r="O14" s="779"/>
      <c r="P14" s="779"/>
      <c r="Q14" s="779"/>
      <c r="R14" s="779"/>
      <c r="S14" s="779"/>
      <c r="U14" s="521" t="str">
        <f ca="1">IF(COUNTIF(ORÇAMENTO!$V$15:$V$191,BDI_1.Título)=0,"",IF(OR(Import.BDI.Tipo1="(SELECIONAR)",Import.BDI.Tipo1="",U17&lt;&gt;"",AND($J17&lt;&gt;$A$145,OR(S21="",S22="",AND($J17&lt;&gt;$A$146,OR(S23="",S24="")),S25="",S26=""))),"Falta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777" t="s">
        <v>664</v>
      </c>
      <c r="K16" s="777"/>
      <c r="L16" s="777"/>
      <c r="M16" s="777"/>
      <c r="N16" s="777"/>
      <c r="O16" s="777"/>
      <c r="P16" s="777"/>
      <c r="Q16" s="777"/>
      <c r="R16" s="777"/>
      <c r="S16" s="777"/>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78" t="s">
        <v>662</v>
      </c>
      <c r="K17" s="778"/>
      <c r="L17" s="778"/>
      <c r="M17" s="778"/>
      <c r="N17" s="778"/>
      <c r="O17" s="778"/>
      <c r="P17" s="778"/>
      <c r="Q17" s="778"/>
      <c r="R17" s="778"/>
      <c r="S17" s="778"/>
      <c r="T17" s="563" t="str">
        <f ca="1">IF(U17="","","◄")</f>
        <v/>
      </c>
      <c r="U17" s="562" t="str">
        <f ca="1">IF(AND(OR(S29&gt;0,COUNTIF(ORÇAMENTO!$V$15:$V$191,BDI_1.Título)&gt;0),OR(Import.BDI.Tipo1="(SELECIONAR)",Import.BDI.Tipo1="")),"Selecione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776" t="s">
        <v>666</v>
      </c>
      <c r="K19" s="776"/>
      <c r="L19" s="776"/>
      <c r="M19" s="776"/>
      <c r="N19" s="776"/>
      <c r="O19" s="776"/>
      <c r="P19" s="776"/>
      <c r="Q19" s="776"/>
      <c r="R19" s="776" t="s">
        <v>667</v>
      </c>
      <c r="S19" s="767" t="s">
        <v>668</v>
      </c>
      <c r="U19" s="767" t="s">
        <v>669</v>
      </c>
      <c r="V19" s="767"/>
      <c r="W19" s="767"/>
      <c r="X19" s="775" t="s">
        <v>670</v>
      </c>
      <c r="Y19" s="775" t="s">
        <v>671</v>
      </c>
      <c r="Z19" s="775"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776"/>
      <c r="K20" s="776"/>
      <c r="L20" s="776"/>
      <c r="M20" s="776"/>
      <c r="N20" s="776"/>
      <c r="O20" s="776"/>
      <c r="P20" s="776"/>
      <c r="Q20" s="776"/>
      <c r="R20" s="776"/>
      <c r="S20" s="767"/>
      <c r="U20" s="767"/>
      <c r="V20" s="767"/>
      <c r="W20" s="767"/>
      <c r="X20" s="775"/>
      <c r="Y20" s="775"/>
      <c r="Z20" s="775"/>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765" t="str">
        <f>IF($J$17=$A$146,"Encargos Sociais incidentes sobre a mão de obra","Administração Central")</f>
        <v>Administração Central</v>
      </c>
      <c r="K21" s="765"/>
      <c r="L21" s="765"/>
      <c r="M21" s="765"/>
      <c r="N21" s="765"/>
      <c r="O21" s="765"/>
      <c r="P21" s="765"/>
      <c r="Q21" s="765"/>
      <c r="R21" s="60" t="str">
        <f>IF($J17=$A$146,"K1","AC")</f>
        <v>AC</v>
      </c>
      <c r="S21" s="61">
        <v>4.1399999999999999E-2</v>
      </c>
      <c r="T21" s="572" t="str">
        <f ca="1">IF(AND($U$14&lt;&gt;"",$U$17="",R21&lt;&gt;"",S21=""),"◄","")</f>
        <v/>
      </c>
      <c r="U21" s="766" t="str">
        <f ca="1">IFERROR(IF(T21="◄","FALTA PREENCHER",IF(AND(OR(S21&gt;=X21,X21="-"),OR(S21&lt;=Z21,Z21="-")),"OK","FORA DO INTERVALO")),"-")</f>
        <v>OK</v>
      </c>
      <c r="V21" s="766"/>
      <c r="W21" s="766"/>
      <c r="X21" s="62">
        <f>VLOOKUP(CONCATENATE(J17,"-",R21),$C$2:$G$136,3,FALSE)</f>
        <v>3.4300000000000004E-2</v>
      </c>
      <c r="Y21" s="62">
        <f>VLOOKUP(CONCATENATE(J17,"-",R21),$C$2:$G$136,4,FALSE)</f>
        <v>4.9299999999999997E-2</v>
      </c>
      <c r="Z21" s="62">
        <f>VLOOKUP(CONCATENATE(J17,"-",R21),$C$2:$G$136,5,FALSE)</f>
        <v>6.7099999999999993E-2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765" t="str">
        <f>IF($J$17=$A$146,"Administração Central da empresa ou consultoria - overhead","Seguro e Garantia")</f>
        <v>Seguro e Garantia</v>
      </c>
      <c r="K22" s="765"/>
      <c r="L22" s="765"/>
      <c r="M22" s="765"/>
      <c r="N22" s="765"/>
      <c r="O22" s="765"/>
      <c r="P22" s="765"/>
      <c r="Q22" s="765"/>
      <c r="R22" s="60" t="str">
        <f>IF($J17=$A$146,"K2","SG")</f>
        <v>SG</v>
      </c>
      <c r="S22" s="61">
        <v>2.8E-3</v>
      </c>
      <c r="T22" s="572" t="str">
        <f t="shared" ref="T22:T26" ca="1" si="1">IF(AND($U$14&lt;&gt;"",$U$17="",R22&lt;&gt;"",S22=""),"◄","")</f>
        <v/>
      </c>
      <c r="U22" s="766" t="str">
        <f t="shared" ref="U22:U28" ca="1" si="2">IFERROR(IF(T22="◄","FALTA PREENCHER",IF(AND(OR(S22&gt;=X22,X22="-"),OR(S22&lt;=Z22,Z22="-")),"OK","FORA DO INTERVALO")),"-")</f>
        <v>OK</v>
      </c>
      <c r="V22" s="766"/>
      <c r="W22" s="766"/>
      <c r="X22" s="62">
        <f>VLOOKUP(CONCATENATE(J17,"-",R22),$C$2:$G$136,3,FALSE)</f>
        <v>2.8000000000000004E-3</v>
      </c>
      <c r="Y22" s="62">
        <f>VLOOKUP(CONCATENATE(J17,"-",R22),$C$2:$G$136,4,FALSE)</f>
        <v>4.8999999999999998E-3</v>
      </c>
      <c r="Z22" s="62">
        <f>VLOOKUP(CONCATENATE(J17,"-",R22),$C$2:$G$136,5,FALSE)</f>
        <v>7.4999999999999997E-3</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765" t="s">
        <v>942</v>
      </c>
      <c r="K23" s="765"/>
      <c r="L23" s="765"/>
      <c r="M23" s="765"/>
      <c r="N23" s="765"/>
      <c r="O23" s="765"/>
      <c r="P23" s="765"/>
      <c r="Q23" s="765"/>
      <c r="R23" s="60" t="str">
        <f>IF($J17=$A$146,"","R")</f>
        <v>R</v>
      </c>
      <c r="S23" s="61">
        <v>0.01</v>
      </c>
      <c r="T23" s="572" t="str">
        <f t="shared" ca="1" si="1"/>
        <v/>
      </c>
      <c r="U23" s="766" t="str">
        <f t="shared" ca="1" si="2"/>
        <v>OK</v>
      </c>
      <c r="V23" s="766"/>
      <c r="W23" s="766"/>
      <c r="X23" s="62">
        <f>VLOOKUP(CONCATENATE(J17,"-",R23),$C$2:$G$136,3,FALSE)</f>
        <v>0.01</v>
      </c>
      <c r="Y23" s="62">
        <f>VLOOKUP(CONCATENATE(J17,"-",R23),$C$2:$G$136,4,FALSE)</f>
        <v>1.3899999999999999E-2</v>
      </c>
      <c r="Z23" s="62">
        <f>VLOOKUP(CONCATENATE(J17,"-",R23),$C$2:$G$136,5,FALSE)</f>
        <v>1.7399999999999999E-2</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765" t="s">
        <v>943</v>
      </c>
      <c r="K24" s="765"/>
      <c r="L24" s="765"/>
      <c r="M24" s="765"/>
      <c r="N24" s="765"/>
      <c r="O24" s="765"/>
      <c r="P24" s="765"/>
      <c r="Q24" s="765"/>
      <c r="R24" s="60" t="str">
        <f>IF($J17=$A$146,"","DF")</f>
        <v>DF</v>
      </c>
      <c r="S24" s="61">
        <v>9.4000000000000004E-3</v>
      </c>
      <c r="T24" s="572" t="str">
        <f t="shared" ca="1" si="1"/>
        <v/>
      </c>
      <c r="U24" s="766" t="str">
        <f t="shared" ca="1" si="2"/>
        <v>OK</v>
      </c>
      <c r="V24" s="766"/>
      <c r="W24" s="766"/>
      <c r="X24" s="62">
        <f>VLOOKUP(CONCATENATE(J17,"-",R24),$C$2:$G$136,3,FALSE)</f>
        <v>9.3999999999999986E-3</v>
      </c>
      <c r="Y24" s="62">
        <f>VLOOKUP(CONCATENATE(J17,"-",R24),$C$2:$G$136,4,FALSE)</f>
        <v>9.8999999999999991E-3</v>
      </c>
      <c r="Z24" s="62">
        <f>VLOOKUP(CONCATENATE(J17,"-",R24),$C$2:$G$136,5,FALSE)</f>
        <v>1.1699999999999999E-2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765" t="str">
        <f>IF($J$17=$A$146,"Margem bruta da empresa de consultoria","Lucro")</f>
        <v>Lucro</v>
      </c>
      <c r="K25" s="765"/>
      <c r="L25" s="765"/>
      <c r="M25" s="765"/>
      <c r="N25" s="765"/>
      <c r="O25" s="765"/>
      <c r="P25" s="765"/>
      <c r="Q25" s="765"/>
      <c r="R25" s="60" t="str">
        <f>IF($J17=$A$146,"K3","L")</f>
        <v>L</v>
      </c>
      <c r="S25" s="61">
        <v>6.7400000000000002E-2</v>
      </c>
      <c r="T25" s="572" t="str">
        <f t="shared" ca="1" si="1"/>
        <v/>
      </c>
      <c r="U25" s="766" t="str">
        <f t="shared" ca="1" si="2"/>
        <v>OK</v>
      </c>
      <c r="V25" s="766"/>
      <c r="W25" s="766"/>
      <c r="X25" s="62">
        <f>VLOOKUP(CONCATENATE(J17,"-",R25),$C$2:$G$136,3,FALSE)</f>
        <v>6.7400000000000002E-2</v>
      </c>
      <c r="Y25" s="62">
        <f>VLOOKUP(CONCATENATE(J17,"-",R25),$C$2:$G$136,4,FALSE)</f>
        <v>8.0399999999999985E-2</v>
      </c>
      <c r="Z25" s="62">
        <f>VLOOKUP(CONCATENATE(J17,"-",R25),$C$2:$G$136,5,FALSE)</f>
        <v>9.4E-2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765" t="s">
        <v>675</v>
      </c>
      <c r="K26" s="765"/>
      <c r="L26" s="765"/>
      <c r="M26" s="765"/>
      <c r="N26" s="765"/>
      <c r="O26" s="765"/>
      <c r="P26" s="765"/>
      <c r="Q26" s="765"/>
      <c r="R26" s="60" t="s">
        <v>456</v>
      </c>
      <c r="S26" s="61">
        <v>3.6499999999999998E-2</v>
      </c>
      <c r="T26" s="572" t="str">
        <f t="shared" ca="1" si="1"/>
        <v/>
      </c>
      <c r="U26" s="766" t="str">
        <f t="shared" ca="1" si="2"/>
        <v>OK</v>
      </c>
      <c r="V26" s="766"/>
      <c r="W26" s="766"/>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765" t="s">
        <v>676</v>
      </c>
      <c r="K27" s="765"/>
      <c r="L27" s="765"/>
      <c r="M27" s="765"/>
      <c r="N27" s="765"/>
      <c r="O27" s="765"/>
      <c r="P27" s="765"/>
      <c r="Q27" s="765"/>
      <c r="R27" s="60" t="s">
        <v>677</v>
      </c>
      <c r="S27" s="62">
        <f ca="1">IF(AND($J17&lt;&gt;$A$145,COUNTA(OFFSET(S20,1,0,6))&gt;0),$R$11*$R$10,0)</f>
        <v>4.7500000000000001E-2</v>
      </c>
      <c r="U27" s="766" t="str">
        <f t="shared" ca="1" si="2"/>
        <v>OK</v>
      </c>
      <c r="V27" s="766"/>
      <c r="W27" s="766"/>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765" t="s">
        <v>678</v>
      </c>
      <c r="K28" s="765"/>
      <c r="L28" s="765"/>
      <c r="M28" s="765"/>
      <c r="N28" s="765"/>
      <c r="O28" s="765"/>
      <c r="P28" s="765"/>
      <c r="Q28" s="765"/>
      <c r="R28" s="60" t="s">
        <v>679</v>
      </c>
      <c r="S28" s="62" cm="1">
        <f t="array" aca="1" ref="S28" ca="1">IF(BDI.Opcao&lt;&gt;"Desonerado",0,IF(AND($J17&lt;&gt;$A$145,COUNTA(OFFSET(S20,1,0,6))&gt;0),IF(YEAR(Import.DataBase)&lt;2025,4.5%,IF(YEAR(Import.DataBase)=2025,3.6%,IF(YEAR(Import.DataBase)=2026,2.7%,IF(YEAR(Import.DataBase)=2027,1.8%,0%)))),0%))</f>
        <v>0</v>
      </c>
      <c r="U28" s="766" t="str">
        <f t="shared" ca="1" si="2"/>
        <v>OK</v>
      </c>
      <c r="V28" s="766"/>
      <c r="W28" s="766"/>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765" t="s">
        <v>680</v>
      </c>
      <c r="K29" s="765"/>
      <c r="L29" s="765"/>
      <c r="M29" s="765"/>
      <c r="N29" s="765"/>
      <c r="O29" s="765"/>
      <c r="P29" s="765"/>
      <c r="Q29" s="765"/>
      <c r="R29" s="64" t="s">
        <v>656</v>
      </c>
      <c r="S29" s="62">
        <f ca="1">IF($J17=$A$145,0,ROUND((((1+S21+S22+S23)*(1+S24)*(1+S25)/(1-(S26+S27)))-1),4))</f>
        <v>0.24</v>
      </c>
      <c r="U29" s="767" t="str">
        <f ca="1">IFERROR(IF(AND(OR(S29&gt;=X29,X29="-"),OR(S29&lt;=Z29,Z29="-")),"OK","FORA DO INTERVALO"),IF(S29=0,"OK","Selecione o Tipo de obra"))</f>
        <v>OK</v>
      </c>
      <c r="V29" s="767"/>
      <c r="W29" s="767"/>
      <c r="X29" s="62">
        <f>IF($J17=$A$145,0,VLOOKUP(CONCATENATE($J17,"-",$R29),$C$2:$G$136,3,FALSE))</f>
        <v>0.20760000000000001</v>
      </c>
      <c r="Y29" s="62">
        <f>IF($J17=$A$145,0,VLOOKUP(CONCATENATE($J17,"-",$R29),$C$2:$G$136,4,FALSE))</f>
        <v>0.24179999999999999</v>
      </c>
      <c r="Z29" s="62">
        <f>IF($J17=$A$145,0,VLOOKUP(CONCATENATE($J17,"-",$R29),$C$2:$G$136,5,FALSE))</f>
        <v>0.26440000000000002</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768" t="s">
        <v>681</v>
      </c>
      <c r="K30" s="768"/>
      <c r="L30" s="768"/>
      <c r="M30" s="768"/>
      <c r="N30" s="768"/>
      <c r="O30" s="768"/>
      <c r="P30" s="768"/>
      <c r="Q30" s="768"/>
      <c r="R30" s="65" t="s">
        <v>682</v>
      </c>
      <c r="S30" s="66">
        <f ca="1">IF($J17=$A$145,0,ROUND((((1+S21+S22+S23)*(1+S24)*(1+S25)/(1-(S26+S27+S28)))-1),4))</f>
        <v>0.24</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769" t="str">
        <f ca="1">IF(U29&lt;&gt;"ok","Anexo: Relatório Técnico Circunstanciado justificando a adoção do percentual de cada parcela do BDI.","")</f>
        <v/>
      </c>
      <c r="L32" s="769"/>
      <c r="M32" s="769"/>
      <c r="N32" s="769"/>
      <c r="O32" s="769"/>
      <c r="P32" s="769"/>
      <c r="Q32" s="769"/>
      <c r="R32" s="769"/>
      <c r="S32" s="769"/>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771" t="s">
        <v>683</v>
      </c>
      <c r="K34" s="771"/>
      <c r="L34" s="771"/>
      <c r="M34" s="771"/>
      <c r="N34" s="771"/>
      <c r="O34" s="771"/>
      <c r="P34" s="771"/>
      <c r="Q34" s="771"/>
      <c r="R34" s="771"/>
      <c r="S34" s="771"/>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72" t="s">
        <v>684</v>
      </c>
      <c r="N35" s="773" t="str">
        <f>IF($J17=$A$146,"(1+K1+K2)*(1+K3)","(1+AC + S + R + G)*(1 + DF)*(1+L)")</f>
        <v>(1+AC + S + R + G)*(1 + DF)*(1+L)</v>
      </c>
      <c r="O35" s="773"/>
      <c r="P35" s="773"/>
      <c r="Q35" s="774"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72"/>
      <c r="N36" s="764" t="s">
        <v>686</v>
      </c>
      <c r="O36" s="764"/>
      <c r="P36" s="764"/>
      <c r="Q36" s="774"/>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758"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95%, com a respectiva alíquota de 5%.</v>
      </c>
      <c r="K38" s="758"/>
      <c r="L38" s="758"/>
      <c r="M38" s="758"/>
      <c r="N38" s="758"/>
      <c r="O38" s="758"/>
      <c r="P38" s="758"/>
      <c r="Q38" s="758"/>
      <c r="R38" s="758"/>
      <c r="S38" s="758"/>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758"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758"/>
      <c r="L40" s="758"/>
      <c r="M40" s="758"/>
      <c r="N40" s="758"/>
      <c r="O40" s="758"/>
      <c r="P40" s="758"/>
      <c r="Q40" s="758"/>
      <c r="R40" s="758"/>
      <c r="S40" s="758"/>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759"/>
      <c r="K43" s="759"/>
      <c r="L43" s="759"/>
      <c r="M43" s="759"/>
      <c r="N43" s="759"/>
      <c r="O43" s="759"/>
      <c r="P43" s="759"/>
      <c r="Q43" s="759"/>
      <c r="R43" s="759"/>
      <c r="S43" s="759"/>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760" t="str">
        <f>Import.Município</f>
        <v>BOA ESPERANÇA</v>
      </c>
      <c r="K45" s="760"/>
      <c r="L45" s="760"/>
      <c r="M45" s="760"/>
      <c r="P45" s="761">
        <f>DADOS!$C$25</f>
        <v>46106</v>
      </c>
      <c r="Q45" s="761"/>
      <c r="R45" s="761"/>
      <c r="S45" s="761"/>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62" t="s">
        <v>693</v>
      </c>
      <c r="K46" s="762"/>
      <c r="L46" s="762"/>
      <c r="M46" s="762"/>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63"/>
      <c r="K48" s="763"/>
      <c r="L48" s="763"/>
      <c r="M48" s="763"/>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757" t="s">
        <v>696</v>
      </c>
      <c r="K49" s="757"/>
      <c r="L49" s="757"/>
      <c r="M49" s="757"/>
    </row>
    <row r="50" spans="1:26" ht="14.25" x14ac:dyDescent="0.2">
      <c r="B50" s="58"/>
      <c r="E50" s="54"/>
      <c r="F50" s="54"/>
      <c r="G50" s="54"/>
      <c r="I50" t="s">
        <v>536</v>
      </c>
      <c r="J50" s="77" t="s">
        <v>240</v>
      </c>
      <c r="K50" s="78" t="str">
        <f t="array" ref="K50:K52">Import.RespOrçamento</f>
        <v>LAIZ MOSCARDINI CRUZ NASCIMENTO</v>
      </c>
      <c r="L50" s="79"/>
      <c r="M50" s="79"/>
      <c r="N50" s="76"/>
    </row>
    <row r="51" spans="1:26" ht="14.25" x14ac:dyDescent="0.2">
      <c r="A51"/>
      <c r="B51"/>
      <c r="C51"/>
      <c r="D51"/>
      <c r="E51"/>
      <c r="F51"/>
      <c r="G51"/>
      <c r="I51" t="s">
        <v>536</v>
      </c>
      <c r="J51" s="77" t="s">
        <v>243</v>
      </c>
      <c r="K51" s="78" t="str">
        <v>283596/D</v>
      </c>
      <c r="L51" s="79"/>
      <c r="M51" s="79"/>
      <c r="N51" s="76"/>
    </row>
    <row r="52" spans="1:26" ht="14.25" x14ac:dyDescent="0.2">
      <c r="A52"/>
      <c r="B52"/>
      <c r="C52"/>
      <c r="D52"/>
      <c r="E52"/>
      <c r="F52"/>
      <c r="G52"/>
      <c r="I52" t="s">
        <v>536</v>
      </c>
      <c r="J52" s="77" t="s">
        <v>246</v>
      </c>
      <c r="K52" s="78" t="str">
        <v>MG20232488275</v>
      </c>
      <c r="L52" s="79"/>
      <c r="M52" s="79"/>
      <c r="N52" s="76"/>
    </row>
    <row r="53" spans="1:26" ht="14.25" x14ac:dyDescent="0.2">
      <c r="A53"/>
      <c r="B53"/>
      <c r="C53"/>
      <c r="D53"/>
      <c r="E53"/>
      <c r="F53"/>
      <c r="G53"/>
      <c r="I53" t="s">
        <v>536</v>
      </c>
      <c r="J53" s="77"/>
      <c r="K53" s="80"/>
      <c r="L53" s="79"/>
      <c r="M53" s="79"/>
      <c r="N53" s="76"/>
    </row>
    <row r="54" spans="1:26" ht="15.75" x14ac:dyDescent="0.25">
      <c r="A54"/>
      <c r="B54"/>
      <c r="C54"/>
      <c r="D54"/>
      <c r="E54"/>
      <c r="F54"/>
      <c r="G54"/>
      <c r="I54" t="str">
        <f ca="1">IF($S$69=0,"","F")</f>
        <v>F</v>
      </c>
      <c r="J54" s="779" t="s">
        <v>697</v>
      </c>
      <c r="K54" s="779"/>
      <c r="L54" s="779"/>
      <c r="M54" s="779"/>
      <c r="N54" s="779"/>
      <c r="O54" s="779"/>
      <c r="P54" s="779"/>
      <c r="Q54" s="779"/>
      <c r="R54" s="779"/>
      <c r="S54" s="779"/>
      <c r="U54" s="521" t="str">
        <f ca="1">IF(COUNTIF(ORÇAMENTO!$V$15:$V$191,BDI_2.Título)=0,"",IF(OR(Import.BDI.Tipo2="(SELECIONAR)",Import.BDI.Tipo2="",U57&lt;&gt;"",AND($J57&lt;&gt;$A$145,OR(S61="",S62="",AND($J57&lt;&gt;$A$146,OR(S63="",S64="")),S65="",S66=""))),"Falta preencher o BDI 2",""))</f>
        <v/>
      </c>
    </row>
    <row r="55" spans="1:26" x14ac:dyDescent="0.2">
      <c r="A55"/>
      <c r="B55"/>
      <c r="C55"/>
      <c r="D55"/>
      <c r="E55"/>
      <c r="F55"/>
      <c r="G55"/>
      <c r="I55" t="str">
        <f t="shared" ref="I55:I93" ca="1" si="3">IF($S$69=0,"","F")</f>
        <v>F</v>
      </c>
    </row>
    <row r="56" spans="1:26" x14ac:dyDescent="0.2">
      <c r="A56"/>
      <c r="B56"/>
      <c r="C56"/>
      <c r="D56"/>
      <c r="E56"/>
      <c r="F56"/>
      <c r="G56"/>
      <c r="I56" t="str">
        <f t="shared" ca="1" si="3"/>
        <v>F</v>
      </c>
      <c r="J56" s="777" t="s">
        <v>664</v>
      </c>
      <c r="K56" s="777"/>
      <c r="L56" s="777"/>
      <c r="M56" s="777"/>
      <c r="N56" s="777"/>
      <c r="O56" s="777"/>
      <c r="P56" s="777"/>
      <c r="Q56" s="777"/>
      <c r="R56" s="777"/>
      <c r="S56" s="777"/>
    </row>
    <row r="57" spans="1:26" ht="15" x14ac:dyDescent="0.25">
      <c r="A57"/>
      <c r="B57"/>
      <c r="C57"/>
      <c r="D57"/>
      <c r="E57"/>
      <c r="F57"/>
      <c r="G57"/>
      <c r="I57" t="str">
        <f t="shared" ca="1" si="3"/>
        <v>F</v>
      </c>
      <c r="J57" s="778" t="s">
        <v>665</v>
      </c>
      <c r="K57" s="778"/>
      <c r="L57" s="778"/>
      <c r="M57" s="778"/>
      <c r="N57" s="778"/>
      <c r="O57" s="778"/>
      <c r="P57" s="778"/>
      <c r="Q57" s="778"/>
      <c r="R57" s="778"/>
      <c r="S57" s="778"/>
      <c r="T57" s="563" t="str">
        <f ca="1">IF(U57="","","◄")</f>
        <v/>
      </c>
      <c r="U57" s="562" t="str">
        <f ca="1">IF(AND(OR(S69&gt;0,COUNTIF(ORÇAMENTO!$V$15:$V$191,BDI_2.Título)&gt;0),OR(Import.BDI.Tipo2="(SELECIONAR)",Import.BDI.Tipo2="")),"Selecione o Tipo de obra","")</f>
        <v/>
      </c>
    </row>
    <row r="58" spans="1:26" x14ac:dyDescent="0.2">
      <c r="A58"/>
      <c r="B58"/>
      <c r="C58"/>
      <c r="D58"/>
      <c r="E58"/>
      <c r="F58"/>
      <c r="G58"/>
      <c r="I58" t="str">
        <f t="shared" ca="1" si="3"/>
        <v>F</v>
      </c>
    </row>
    <row r="59" spans="1:26" ht="12.75" customHeight="1" x14ac:dyDescent="0.2">
      <c r="A59"/>
      <c r="B59"/>
      <c r="C59"/>
      <c r="D59"/>
      <c r="E59"/>
      <c r="F59"/>
      <c r="G59"/>
      <c r="I59" t="str">
        <f t="shared" ca="1" si="3"/>
        <v>F</v>
      </c>
      <c r="J59" s="776" t="s">
        <v>666</v>
      </c>
      <c r="K59" s="776"/>
      <c r="L59" s="776"/>
      <c r="M59" s="776"/>
      <c r="N59" s="776"/>
      <c r="O59" s="776"/>
      <c r="P59" s="776"/>
      <c r="Q59" s="776"/>
      <c r="R59" s="776" t="s">
        <v>667</v>
      </c>
      <c r="S59" s="767" t="s">
        <v>668</v>
      </c>
      <c r="U59" s="767" t="s">
        <v>669</v>
      </c>
      <c r="V59" s="767"/>
      <c r="W59" s="767"/>
      <c r="X59" s="775" t="s">
        <v>670</v>
      </c>
      <c r="Y59" s="775" t="s">
        <v>671</v>
      </c>
      <c r="Z59" s="775" t="s">
        <v>672</v>
      </c>
    </row>
    <row r="60" spans="1:26" ht="12.75" customHeight="1" x14ac:dyDescent="0.2">
      <c r="A60"/>
      <c r="B60"/>
      <c r="C60"/>
      <c r="D60"/>
      <c r="E60"/>
      <c r="F60"/>
      <c r="G60"/>
      <c r="I60" t="str">
        <f t="shared" ca="1" si="3"/>
        <v>F</v>
      </c>
      <c r="J60" s="776"/>
      <c r="K60" s="776"/>
      <c r="L60" s="776"/>
      <c r="M60" s="776"/>
      <c r="N60" s="776"/>
      <c r="O60" s="776"/>
      <c r="P60" s="776"/>
      <c r="Q60" s="776"/>
      <c r="R60" s="776"/>
      <c r="S60" s="767"/>
      <c r="U60" s="767"/>
      <c r="V60" s="767"/>
      <c r="W60" s="767"/>
      <c r="X60" s="775"/>
      <c r="Y60" s="775"/>
      <c r="Z60" s="775"/>
    </row>
    <row r="61" spans="1:26" ht="15" customHeight="1" x14ac:dyDescent="0.2">
      <c r="A61"/>
      <c r="B61"/>
      <c r="C61"/>
      <c r="D61"/>
      <c r="E61"/>
      <c r="F61"/>
      <c r="G61"/>
      <c r="I61" t="str">
        <f t="shared" ca="1" si="3"/>
        <v>F</v>
      </c>
      <c r="J61" s="765" t="str">
        <f>IF($J$57=$A$146,"Encargos Sociais incidentes sobre a mão de obra","Administração Central")</f>
        <v>Administração Central</v>
      </c>
      <c r="K61" s="765"/>
      <c r="L61" s="765"/>
      <c r="M61" s="765"/>
      <c r="N61" s="765"/>
      <c r="O61" s="765"/>
      <c r="P61" s="765"/>
      <c r="Q61" s="765"/>
      <c r="R61" s="60" t="str">
        <f>IF($J57=$A$146,"K1","AC")</f>
        <v>AC</v>
      </c>
      <c r="S61" s="61">
        <v>1.6400000000000001E-2</v>
      </c>
      <c r="T61" s="572" t="str">
        <f ca="1">IF(AND($U$54&lt;&gt;"",$U$57="",R61&lt;&gt;"",S61=""),"◄","")</f>
        <v/>
      </c>
      <c r="U61" s="766" t="str">
        <f ca="1">IFERROR(IF(T61="◄","FALTA PREENCHER",IF(AND(OR(S61&gt;=X61,X61="-"),OR(S61&lt;=Z61,Z61="-")),"OK","FORA DO INTERVALO")),"-")</f>
        <v>OK</v>
      </c>
      <c r="V61" s="766"/>
      <c r="W61" s="766"/>
      <c r="X61" s="62">
        <f>VLOOKUP(CONCATENATE(J57,"-",R61),$C$2:$G$136,3,FALSE)</f>
        <v>1.4999999999999999E-2</v>
      </c>
      <c r="Y61" s="62">
        <f>VLOOKUP(CONCATENATE(J57,"-",R61),$C$2:$G$136,4,FALSE)</f>
        <v>3.4500000000000003E-2</v>
      </c>
      <c r="Z61" s="62">
        <f>VLOOKUP(CONCATENATE(J57,"-",R61),$C$2:$G$136,5,FALSE)</f>
        <v>4.4900000000000002E-2</v>
      </c>
    </row>
    <row r="62" spans="1:26" ht="15" customHeight="1" x14ac:dyDescent="0.2">
      <c r="A62"/>
      <c r="B62"/>
      <c r="C62"/>
      <c r="D62"/>
      <c r="E62"/>
      <c r="F62"/>
      <c r="G62"/>
      <c r="I62" t="str">
        <f t="shared" ca="1" si="3"/>
        <v>F</v>
      </c>
      <c r="J62" s="765" t="str">
        <f>IF($J$57=$A$146,"Administração Central da empresa ou consultoria - overhead","Seguro e Garantia")</f>
        <v>Seguro e Garantia</v>
      </c>
      <c r="K62" s="765"/>
      <c r="L62" s="765"/>
      <c r="M62" s="765"/>
      <c r="N62" s="765"/>
      <c r="O62" s="765"/>
      <c r="P62" s="765"/>
      <c r="Q62" s="765"/>
      <c r="R62" s="60" t="str">
        <f>IF($J57=$A$146,"K2","SG")</f>
        <v>SG</v>
      </c>
      <c r="S62" s="61">
        <v>3.0000000000000001E-3</v>
      </c>
      <c r="T62" s="572" t="str">
        <f t="shared" ref="T62:T66" ca="1" si="4">IF(AND($U$54&lt;&gt;"",$U$57="",R62&lt;&gt;"",S62=""),"◄","")</f>
        <v/>
      </c>
      <c r="U62" s="766" t="str">
        <f t="shared" ref="U62:U68" ca="1" si="5">IFERROR(IF(T62="◄","FALTA PREENCHER",IF(AND(OR(S62&gt;=X62,X62="-"),OR(S62&lt;=Z62,Z62="-")),"OK","FORA DO INTERVALO")),"-")</f>
        <v>OK</v>
      </c>
      <c r="V62" s="766"/>
      <c r="W62" s="766"/>
      <c r="X62" s="62">
        <f>VLOOKUP(CONCATENATE(J57,"-",R62),$C$2:$G$136,3,FALSE)</f>
        <v>3.0000000000000001E-3</v>
      </c>
      <c r="Y62" s="62">
        <f>VLOOKUP(CONCATENATE(J57,"-",R62),$C$2:$G$136,4,FALSE)</f>
        <v>4.7999999999999996E-3</v>
      </c>
      <c r="Z62" s="62">
        <f>VLOOKUP(CONCATENATE(J57,"-",R62),$C$2:$G$136,5,FALSE)</f>
        <v>8.199999999999999E-3</v>
      </c>
    </row>
    <row r="63" spans="1:26" ht="15" customHeight="1" x14ac:dyDescent="0.2">
      <c r="A63"/>
      <c r="B63"/>
      <c r="C63"/>
      <c r="D63"/>
      <c r="E63"/>
      <c r="F63"/>
      <c r="G63"/>
      <c r="I63" t="str">
        <f t="shared" ca="1" si="3"/>
        <v>F</v>
      </c>
      <c r="J63" s="765" t="s">
        <v>942</v>
      </c>
      <c r="K63" s="765"/>
      <c r="L63" s="765"/>
      <c r="M63" s="765"/>
      <c r="N63" s="765"/>
      <c r="O63" s="765"/>
      <c r="P63" s="765"/>
      <c r="Q63" s="765"/>
      <c r="R63" s="60" t="str">
        <f>IF($J57=$A$146,"","R")</f>
        <v>R</v>
      </c>
      <c r="S63" s="61">
        <v>5.5999999999999999E-3</v>
      </c>
      <c r="T63" s="572" t="str">
        <f t="shared" ca="1" si="4"/>
        <v/>
      </c>
      <c r="U63" s="766" t="str">
        <f t="shared" ca="1" si="5"/>
        <v>OK</v>
      </c>
      <c r="V63" s="766"/>
      <c r="W63" s="766"/>
      <c r="X63" s="62">
        <f>VLOOKUP(CONCATENATE(J57,"-",R63),$C$2:$G$136,3,FALSE)</f>
        <v>5.6000000000000008E-3</v>
      </c>
      <c r="Y63" s="62">
        <f>VLOOKUP(CONCATENATE(J57,"-",R63),$C$2:$G$136,4,FALSE)</f>
        <v>8.5000000000000006E-3</v>
      </c>
      <c r="Z63" s="62">
        <f>VLOOKUP(CONCATENATE(J57,"-",R63),$C$2:$G$136,5,FALSE)</f>
        <v>8.8999999999999999E-3</v>
      </c>
    </row>
    <row r="64" spans="1:26" ht="15" customHeight="1" x14ac:dyDescent="0.2">
      <c r="A64"/>
      <c r="B64"/>
      <c r="C64"/>
      <c r="D64"/>
      <c r="E64"/>
      <c r="F64"/>
      <c r="G64"/>
      <c r="I64" t="str">
        <f t="shared" ca="1" si="3"/>
        <v>F</v>
      </c>
      <c r="J64" s="765" t="s">
        <v>943</v>
      </c>
      <c r="K64" s="765"/>
      <c r="L64" s="765"/>
      <c r="M64" s="765"/>
      <c r="N64" s="765"/>
      <c r="O64" s="765"/>
      <c r="P64" s="765"/>
      <c r="Q64" s="765"/>
      <c r="R64" s="60" t="str">
        <f>IF($J57=$A$146,"","DF")</f>
        <v>DF</v>
      </c>
      <c r="S64" s="61">
        <v>8.5000000000000006E-3</v>
      </c>
      <c r="T64" s="572" t="str">
        <f t="shared" ca="1" si="4"/>
        <v/>
      </c>
      <c r="U64" s="766" t="str">
        <f t="shared" ca="1" si="5"/>
        <v>OK</v>
      </c>
      <c r="V64" s="766"/>
      <c r="W64" s="766"/>
      <c r="X64" s="62">
        <f>VLOOKUP(CONCATENATE(J57,"-",R64),$C$2:$G$136,3,FALSE)</f>
        <v>8.5000000000000006E-3</v>
      </c>
      <c r="Y64" s="62">
        <f>VLOOKUP(CONCATENATE(J57,"-",R64),$C$2:$G$136,4,FALSE)</f>
        <v>8.5000000000000006E-3</v>
      </c>
      <c r="Z64" s="62">
        <f>VLOOKUP(CONCATENATE(J57,"-",R64),$C$2:$G$136,5,FALSE)</f>
        <v>1.11E-2</v>
      </c>
    </row>
    <row r="65" spans="1:26" ht="15" customHeight="1" x14ac:dyDescent="0.2">
      <c r="A65"/>
      <c r="B65"/>
      <c r="C65"/>
      <c r="D65"/>
      <c r="E65"/>
      <c r="F65"/>
      <c r="G65"/>
      <c r="I65" t="str">
        <f t="shared" ca="1" si="3"/>
        <v>F</v>
      </c>
      <c r="J65" s="765" t="str">
        <f>IF($J$57=$A$146,"Margem bruta da empresa de consultoria","Lucro")</f>
        <v>Lucro</v>
      </c>
      <c r="K65" s="765"/>
      <c r="L65" s="765"/>
      <c r="M65" s="765"/>
      <c r="N65" s="765"/>
      <c r="O65" s="765"/>
      <c r="P65" s="765"/>
      <c r="Q65" s="765"/>
      <c r="R65" s="60" t="str">
        <f>IF($J57=$A$146,"K3","L")</f>
        <v>L</v>
      </c>
      <c r="S65" s="61">
        <v>3.5000000000000003E-2</v>
      </c>
      <c r="T65" s="572" t="str">
        <f t="shared" ca="1" si="4"/>
        <v/>
      </c>
      <c r="U65" s="766" t="str">
        <f t="shared" ca="1" si="5"/>
        <v>OK</v>
      </c>
      <c r="V65" s="766"/>
      <c r="W65" s="766"/>
      <c r="X65" s="62">
        <f>VLOOKUP(CONCATENATE(J57,"-",R65),$C$2:$G$136,3,FALSE)</f>
        <v>3.5000000000000003E-2</v>
      </c>
      <c r="Y65" s="62">
        <f>VLOOKUP(CONCATENATE(J57,"-",R65),$C$2:$G$136,4,FALSE)</f>
        <v>5.1100000000000007E-2</v>
      </c>
      <c r="Z65" s="62">
        <f>VLOOKUP(CONCATENATE(J57,"-",R65),$C$2:$G$136,5,FALSE)</f>
        <v>6.2199999999999998E-2</v>
      </c>
    </row>
    <row r="66" spans="1:26" ht="15" customHeight="1" x14ac:dyDescent="0.2">
      <c r="A66"/>
      <c r="B66"/>
      <c r="C66"/>
      <c r="D66"/>
      <c r="E66"/>
      <c r="F66"/>
      <c r="G66"/>
      <c r="I66" t="str">
        <f t="shared" ca="1" si="3"/>
        <v>F</v>
      </c>
      <c r="J66" s="765" t="s">
        <v>675</v>
      </c>
      <c r="K66" s="765"/>
      <c r="L66" s="765"/>
      <c r="M66" s="765"/>
      <c r="N66" s="765"/>
      <c r="O66" s="765"/>
      <c r="P66" s="765"/>
      <c r="Q66" s="765"/>
      <c r="R66" s="60" t="s">
        <v>456</v>
      </c>
      <c r="S66" s="61">
        <v>3.6499999999999998E-2</v>
      </c>
      <c r="T66" s="572" t="str">
        <f t="shared" ca="1" si="4"/>
        <v/>
      </c>
      <c r="U66" s="766" t="str">
        <f t="shared" ca="1" si="5"/>
        <v>OK</v>
      </c>
      <c r="V66" s="766"/>
      <c r="W66" s="766"/>
      <c r="X66" s="62">
        <f>Y66</f>
        <v>3.6499999999999998E-2</v>
      </c>
      <c r="Y66" s="62">
        <f>IF($J57=$A$145,"-",3.65%)</f>
        <v>3.6499999999999998E-2</v>
      </c>
      <c r="Z66" s="62">
        <f>Y66</f>
        <v>3.6499999999999998E-2</v>
      </c>
    </row>
    <row r="67" spans="1:26" ht="15" customHeight="1" x14ac:dyDescent="0.2">
      <c r="A67"/>
      <c r="B67"/>
      <c r="C67"/>
      <c r="D67"/>
      <c r="E67"/>
      <c r="F67"/>
      <c r="G67"/>
      <c r="I67" t="str">
        <f t="shared" ca="1" si="3"/>
        <v>F</v>
      </c>
      <c r="J67" s="765" t="s">
        <v>676</v>
      </c>
      <c r="K67" s="765"/>
      <c r="L67" s="765"/>
      <c r="M67" s="765"/>
      <c r="N67" s="765"/>
      <c r="O67" s="765"/>
      <c r="P67" s="765"/>
      <c r="Q67" s="765"/>
      <c r="R67" s="60" t="s">
        <v>677</v>
      </c>
      <c r="S67" s="62">
        <f ca="1">IF(AND($J57&lt;&gt;$A$145,COUNTA(OFFSET(S60,1,0,6))&gt;0),$R$11*$R$10,0)</f>
        <v>4.7500000000000001E-2</v>
      </c>
      <c r="U67" s="766" t="str">
        <f t="shared" ca="1" si="5"/>
        <v>OK</v>
      </c>
      <c r="V67" s="766"/>
      <c r="W67" s="766"/>
      <c r="X67" s="62">
        <v>0</v>
      </c>
      <c r="Y67" s="62">
        <v>2.5000000000000001E-2</v>
      </c>
      <c r="Z67" s="62">
        <v>0.05</v>
      </c>
    </row>
    <row r="68" spans="1:26" ht="15" customHeight="1" x14ac:dyDescent="0.2">
      <c r="A68"/>
      <c r="B68"/>
      <c r="C68"/>
      <c r="D68"/>
      <c r="E68"/>
      <c r="F68"/>
      <c r="G68"/>
      <c r="I68" t="str">
        <f t="shared" ca="1" si="3"/>
        <v>F</v>
      </c>
      <c r="J68" s="765" t="s">
        <v>678</v>
      </c>
      <c r="K68" s="765"/>
      <c r="L68" s="765"/>
      <c r="M68" s="765"/>
      <c r="N68" s="765"/>
      <c r="O68" s="765"/>
      <c r="P68" s="765"/>
      <c r="Q68" s="765"/>
      <c r="R68" s="60" t="s">
        <v>679</v>
      </c>
      <c r="S68" s="62" cm="1">
        <f t="array" aca="1" ref="S68" ca="1">IF(BDI.Opcao&lt;&gt;"Desonerado",0,IF(AND($J57&lt;&gt;$A$145,COUNTA(OFFSET(S60,1,0,6))&gt;0),IF(YEAR(Import.DataBase)&lt;2025,4.5%,IF(YEAR(Import.DataBase)=2025,3.6%,IF(YEAR(Import.DataBase)=2026,2.7%,IF(YEAR(Import.DataBase)=2027,1.8%,0%)))),0%))</f>
        <v>0</v>
      </c>
      <c r="U68" s="766" t="str">
        <f t="shared" ca="1" si="5"/>
        <v>OK</v>
      </c>
      <c r="V68" s="766"/>
      <c r="W68" s="766"/>
      <c r="X68" s="63">
        <f ca="1">$S68</f>
        <v>0</v>
      </c>
      <c r="Y68" s="63">
        <f ca="1">$S68</f>
        <v>0</v>
      </c>
      <c r="Z68" s="63">
        <f ca="1">$S68</f>
        <v>0</v>
      </c>
    </row>
    <row r="69" spans="1:26" ht="15" customHeight="1" x14ac:dyDescent="0.2">
      <c r="A69"/>
      <c r="B69"/>
      <c r="C69"/>
      <c r="D69"/>
      <c r="E69"/>
      <c r="F69"/>
      <c r="G69"/>
      <c r="I69" t="str">
        <f t="shared" ca="1" si="3"/>
        <v>F</v>
      </c>
      <c r="J69" s="765" t="s">
        <v>680</v>
      </c>
      <c r="K69" s="765"/>
      <c r="L69" s="765"/>
      <c r="M69" s="765"/>
      <c r="N69" s="765"/>
      <c r="O69" s="765"/>
      <c r="P69" s="765"/>
      <c r="Q69" s="765"/>
      <c r="R69" s="64" t="s">
        <v>656</v>
      </c>
      <c r="S69" s="62">
        <f ca="1">IF($J57=$A$145,0,ROUND((((1+S61+S62+S63)*(1+S64)*(1+S65)/(1-(S66+S67)))-1),4))</f>
        <v>0.16800000000000001</v>
      </c>
      <c r="U69" s="767" t="str">
        <f ca="1">IFERROR(IF(AND(OR(S69&gt;=X69,X69="-"),OR(S69&lt;=Z69,Z69="-")),"OK","FORA DO INTERVALO"),IF(S69=0,"OK","Selecione o Tipo de obra"))</f>
        <v>OK</v>
      </c>
      <c r="V69" s="767"/>
      <c r="W69" s="767"/>
      <c r="X69" s="62">
        <f>IF($J57=$A$145,0,VLOOKUP(CONCATENATE($J57,"-",$R69),$C$2:$G$136,3,FALSE))</f>
        <v>0.111</v>
      </c>
      <c r="Y69" s="62">
        <f>IF($J57=$A$145,0,VLOOKUP(CONCATENATE($J57,"-",$R69),$C$2:$G$136,4,FALSE))</f>
        <v>0.14019999999999999</v>
      </c>
      <c r="Z69" s="62">
        <f>IF($J57=$A$145,0,VLOOKUP(CONCATENATE($J57,"-",$R69),$C$2:$G$136,5,FALSE))</f>
        <v>0.16800000000000001</v>
      </c>
    </row>
    <row r="70" spans="1:26" ht="15" customHeight="1" x14ac:dyDescent="0.2">
      <c r="A70"/>
      <c r="B70"/>
      <c r="C70"/>
      <c r="D70"/>
      <c r="E70"/>
      <c r="F70"/>
      <c r="G70"/>
      <c r="I70" t="str">
        <f t="shared" ca="1" si="3"/>
        <v>F</v>
      </c>
      <c r="J70" s="768" t="s">
        <v>681</v>
      </c>
      <c r="K70" s="768"/>
      <c r="L70" s="768"/>
      <c r="M70" s="768"/>
      <c r="N70" s="768"/>
      <c r="O70" s="768"/>
      <c r="P70" s="768"/>
      <c r="Q70" s="768"/>
      <c r="R70" s="65" t="s">
        <v>682</v>
      </c>
      <c r="S70" s="66">
        <f ca="1">IF($J57=$A$145,0,ROUND((((1+S61+S62+S63)*(1+S64)*(1+S65)/(1-(S66+S67+S68)))-1),4))</f>
        <v>0.16800000000000001</v>
      </c>
    </row>
    <row r="71" spans="1:26" ht="15" customHeight="1" x14ac:dyDescent="0.2">
      <c r="A71"/>
      <c r="B71"/>
      <c r="C71"/>
      <c r="D71"/>
      <c r="E71"/>
      <c r="F71"/>
      <c r="G71"/>
      <c r="I71" t="str">
        <f t="shared" ca="1" si="3"/>
        <v>F</v>
      </c>
    </row>
    <row r="72" spans="1:26" ht="15.75" x14ac:dyDescent="0.2">
      <c r="A72"/>
      <c r="B72"/>
      <c r="C72"/>
      <c r="D72"/>
      <c r="E72"/>
      <c r="F72"/>
      <c r="G72"/>
      <c r="I72" t="str">
        <f t="shared" ca="1" si="3"/>
        <v>F</v>
      </c>
      <c r="J72" s="67" t="str">
        <f ca="1">IF(U69&lt;&gt;"ok","X","")</f>
        <v/>
      </c>
      <c r="K72" s="769" t="str">
        <f ca="1">IF(U69&lt;&gt;"ok","Anexo: Relatório Técnico Circunstanciado justificando a adoção do percentual de cada parcela do BDI.","")</f>
        <v/>
      </c>
      <c r="L72" s="769"/>
      <c r="M72" s="769"/>
      <c r="N72" s="769"/>
      <c r="O72" s="769"/>
      <c r="P72" s="769"/>
      <c r="Q72" s="769"/>
      <c r="R72" s="769"/>
      <c r="S72" s="769"/>
    </row>
    <row r="73" spans="1:26" x14ac:dyDescent="0.2">
      <c r="A73"/>
      <c r="B73"/>
      <c r="C73"/>
      <c r="D73"/>
      <c r="E73"/>
      <c r="F73"/>
      <c r="G73"/>
      <c r="I73" t="str">
        <f t="shared" ca="1" si="3"/>
        <v>F</v>
      </c>
    </row>
    <row r="74" spans="1:26" x14ac:dyDescent="0.2">
      <c r="A74"/>
      <c r="B74"/>
      <c r="C74"/>
      <c r="D74"/>
      <c r="E74"/>
      <c r="F74"/>
      <c r="G74"/>
      <c r="I74" t="str">
        <f t="shared" ca="1" si="3"/>
        <v>F</v>
      </c>
      <c r="J74" s="771" t="s">
        <v>683</v>
      </c>
      <c r="K74" s="771"/>
      <c r="L74" s="771"/>
      <c r="M74" s="771"/>
      <c r="N74" s="771"/>
      <c r="O74" s="771"/>
      <c r="P74" s="771"/>
      <c r="Q74" s="771"/>
      <c r="R74" s="771"/>
      <c r="S74" s="771"/>
    </row>
    <row r="75" spans="1:26" ht="15.75" x14ac:dyDescent="0.25">
      <c r="A75"/>
      <c r="B75"/>
      <c r="C75"/>
      <c r="D75"/>
      <c r="E75"/>
      <c r="F75"/>
      <c r="G75"/>
      <c r="I75" t="str">
        <f t="shared" ca="1" si="3"/>
        <v>F</v>
      </c>
      <c r="J75" s="68"/>
      <c r="K75" s="68"/>
      <c r="L75" s="68"/>
      <c r="M75" s="772" t="s">
        <v>684</v>
      </c>
      <c r="N75" s="773" t="str">
        <f>IF($J57=$A$146,"(1+K1+K2)*(1+K3)","(1+AC + S + R + G)*(1 + DF)*(1+L)")</f>
        <v>(1+AC + S + R + G)*(1 + DF)*(1+L)</v>
      </c>
      <c r="O75" s="773"/>
      <c r="P75" s="773"/>
      <c r="Q75" s="774" t="s">
        <v>685</v>
      </c>
      <c r="R75" s="68"/>
      <c r="S75" s="68"/>
    </row>
    <row r="76" spans="1:26" ht="15.75" x14ac:dyDescent="0.2">
      <c r="A76"/>
      <c r="B76"/>
      <c r="C76"/>
      <c r="D76"/>
      <c r="E76"/>
      <c r="F76"/>
      <c r="G76"/>
      <c r="I76" t="str">
        <f t="shared" ca="1" si="3"/>
        <v>F</v>
      </c>
      <c r="J76" s="68"/>
      <c r="K76" s="68"/>
      <c r="L76" s="68"/>
      <c r="M76" s="772"/>
      <c r="N76" s="764" t="s">
        <v>686</v>
      </c>
      <c r="O76" s="764"/>
      <c r="P76" s="764"/>
      <c r="Q76" s="774"/>
      <c r="R76" s="68"/>
      <c r="S76" s="68"/>
    </row>
    <row r="77" spans="1:26" ht="15" customHeight="1" x14ac:dyDescent="0.2">
      <c r="A77"/>
      <c r="B77"/>
      <c r="C77"/>
      <c r="D77"/>
      <c r="E77"/>
      <c r="F77"/>
      <c r="G77"/>
      <c r="I77" t="str">
        <f t="shared" ca="1" si="3"/>
        <v>F</v>
      </c>
      <c r="J77" s="68"/>
      <c r="K77" s="68"/>
      <c r="L77" s="68"/>
      <c r="M77" s="69"/>
      <c r="N77" s="71"/>
      <c r="O77" s="71"/>
      <c r="P77" s="71"/>
      <c r="Q77" s="70"/>
      <c r="R77" s="68"/>
      <c r="S77" s="68"/>
    </row>
    <row r="78" spans="1:26" ht="50.1" customHeight="1" x14ac:dyDescent="0.2">
      <c r="A78"/>
      <c r="B78"/>
      <c r="C78"/>
      <c r="D78"/>
      <c r="E78"/>
      <c r="F78"/>
      <c r="G78"/>
      <c r="I78" t="str">
        <f t="shared" ca="1" si="3"/>
        <v>F</v>
      </c>
      <c r="J78" s="758"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95%, com a respectiva alíquota de 5%.</v>
      </c>
      <c r="K78" s="758"/>
      <c r="L78" s="758"/>
      <c r="M78" s="758"/>
      <c r="N78" s="758"/>
      <c r="O78" s="758"/>
      <c r="P78" s="758"/>
      <c r="Q78" s="758"/>
      <c r="R78" s="758"/>
      <c r="S78" s="758"/>
    </row>
    <row r="79" spans="1:26" x14ac:dyDescent="0.2">
      <c r="A79"/>
      <c r="B79"/>
      <c r="C79"/>
      <c r="D79"/>
      <c r="E79"/>
      <c r="F79"/>
      <c r="G79"/>
      <c r="I79" t="str">
        <f t="shared" ca="1" si="3"/>
        <v>F</v>
      </c>
    </row>
    <row r="80" spans="1:26" ht="50.1" customHeight="1" x14ac:dyDescent="0.2">
      <c r="A80"/>
      <c r="B80"/>
      <c r="C80"/>
      <c r="D80"/>
      <c r="E80"/>
      <c r="F80"/>
      <c r="G80"/>
      <c r="I80" t="str">
        <f t="shared" ca="1" si="3"/>
        <v>F</v>
      </c>
      <c r="J80" s="758"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758"/>
      <c r="L80" s="758"/>
      <c r="M80" s="758"/>
      <c r="N80" s="758"/>
      <c r="O80" s="758"/>
      <c r="P80" s="758"/>
      <c r="Q80" s="758"/>
      <c r="R80" s="758"/>
      <c r="S80" s="758"/>
    </row>
    <row r="81" spans="1:21" x14ac:dyDescent="0.2">
      <c r="A81"/>
      <c r="B81"/>
      <c r="C81"/>
      <c r="D81"/>
      <c r="E81"/>
      <c r="F81"/>
      <c r="G81"/>
      <c r="I81" t="str">
        <f t="shared" ca="1" si="3"/>
        <v>F</v>
      </c>
    </row>
    <row r="82" spans="1:21" x14ac:dyDescent="0.2">
      <c r="A82"/>
      <c r="B82"/>
      <c r="C82"/>
      <c r="D82"/>
      <c r="E82"/>
      <c r="F82"/>
      <c r="G82"/>
      <c r="I82" t="str">
        <f t="shared" ca="1" si="3"/>
        <v>F</v>
      </c>
      <c r="J82" s="49" t="s">
        <v>689</v>
      </c>
    </row>
    <row r="83" spans="1:21" ht="99.95" customHeight="1" x14ac:dyDescent="0.2">
      <c r="A83"/>
      <c r="B83"/>
      <c r="C83"/>
      <c r="D83"/>
      <c r="E83"/>
      <c r="F83"/>
      <c r="G83"/>
      <c r="I83" t="str">
        <f t="shared" ca="1" si="3"/>
        <v>F</v>
      </c>
      <c r="J83" s="759"/>
      <c r="K83" s="759"/>
      <c r="L83" s="759"/>
      <c r="M83" s="759"/>
      <c r="N83" s="759"/>
      <c r="O83" s="759"/>
      <c r="P83" s="759"/>
      <c r="Q83" s="759"/>
      <c r="R83" s="759"/>
      <c r="S83" s="759"/>
    </row>
    <row r="84" spans="1:21" x14ac:dyDescent="0.2">
      <c r="A84"/>
      <c r="B84"/>
      <c r="C84"/>
      <c r="D84"/>
      <c r="E84"/>
      <c r="F84"/>
      <c r="G84"/>
      <c r="I84" t="str">
        <f t="shared" ca="1" si="3"/>
        <v>F</v>
      </c>
    </row>
    <row r="85" spans="1:21" x14ac:dyDescent="0.2">
      <c r="A85"/>
      <c r="B85"/>
      <c r="C85"/>
      <c r="D85"/>
      <c r="E85"/>
      <c r="F85"/>
      <c r="G85"/>
      <c r="I85" t="str">
        <f t="shared" ca="1" si="3"/>
        <v>F</v>
      </c>
      <c r="J85" s="760" t="str">
        <f>Import.Município</f>
        <v>BOA ESPERANÇA</v>
      </c>
      <c r="K85" s="760"/>
      <c r="L85" s="760"/>
      <c r="M85" s="760"/>
      <c r="P85" s="761">
        <f>DADOS!$C$25</f>
        <v>46106</v>
      </c>
      <c r="Q85" s="761"/>
      <c r="R85" s="761"/>
      <c r="S85" s="761"/>
    </row>
    <row r="86" spans="1:21" x14ac:dyDescent="0.2">
      <c r="A86"/>
      <c r="B86"/>
      <c r="C86"/>
      <c r="D86"/>
      <c r="E86"/>
      <c r="F86"/>
      <c r="G86"/>
      <c r="I86" t="str">
        <f t="shared" ca="1" si="3"/>
        <v>F</v>
      </c>
      <c r="J86" s="762" t="s">
        <v>693</v>
      </c>
      <c r="K86" s="762"/>
      <c r="L86" s="762"/>
      <c r="M86" s="762"/>
      <c r="O86" s="73"/>
      <c r="P86" s="74" t="s">
        <v>694</v>
      </c>
      <c r="Q86" s="75"/>
      <c r="R86" s="75"/>
      <c r="S86" s="75"/>
    </row>
    <row r="87" spans="1:21" ht="30" customHeight="1" x14ac:dyDescent="0.2">
      <c r="A87"/>
      <c r="B87"/>
      <c r="C87"/>
      <c r="D87"/>
      <c r="E87"/>
      <c r="F87"/>
      <c r="G87"/>
      <c r="I87" t="str">
        <f t="shared" ca="1" si="3"/>
        <v>F</v>
      </c>
    </row>
    <row r="88" spans="1:21" ht="15" x14ac:dyDescent="0.2">
      <c r="A88"/>
      <c r="B88"/>
      <c r="C88"/>
      <c r="D88"/>
      <c r="E88"/>
      <c r="F88"/>
      <c r="G88"/>
      <c r="I88" t="str">
        <f t="shared" ca="1" si="3"/>
        <v>F</v>
      </c>
      <c r="J88" s="763"/>
      <c r="K88" s="763"/>
      <c r="L88" s="763"/>
      <c r="M88" s="763"/>
      <c r="N88" s="76"/>
    </row>
    <row r="89" spans="1:21" x14ac:dyDescent="0.2">
      <c r="A89"/>
      <c r="B89"/>
      <c r="C89"/>
      <c r="D89"/>
      <c r="E89"/>
      <c r="F89"/>
      <c r="G89"/>
      <c r="I89" t="str">
        <f t="shared" ca="1" si="3"/>
        <v>F</v>
      </c>
      <c r="J89" s="757" t="s">
        <v>696</v>
      </c>
      <c r="K89" s="757"/>
      <c r="L89" s="757"/>
      <c r="M89" s="757"/>
    </row>
    <row r="90" spans="1:21" ht="14.25" x14ac:dyDescent="0.2">
      <c r="A90"/>
      <c r="B90"/>
      <c r="C90"/>
      <c r="D90"/>
      <c r="E90"/>
      <c r="F90"/>
      <c r="G90"/>
      <c r="I90" t="str">
        <f t="shared" ca="1" si="3"/>
        <v>F</v>
      </c>
      <c r="J90" s="77" t="s">
        <v>240</v>
      </c>
      <c r="K90" s="78" t="str">
        <f t="array" ref="K90:K92">Import.RespOrçamento</f>
        <v>LAIZ MOSCARDINI CRUZ NASCIMENTO</v>
      </c>
      <c r="L90" s="79"/>
      <c r="M90" s="79"/>
      <c r="N90" s="76"/>
    </row>
    <row r="91" spans="1:21" ht="14.25" x14ac:dyDescent="0.2">
      <c r="A91"/>
      <c r="B91"/>
      <c r="C91"/>
      <c r="D91"/>
      <c r="E91"/>
      <c r="F91"/>
      <c r="G91"/>
      <c r="I91" t="str">
        <f t="shared" ca="1" si="3"/>
        <v>F</v>
      </c>
      <c r="J91" s="77" t="s">
        <v>243</v>
      </c>
      <c r="K91" s="78" t="str">
        <v>283596/D</v>
      </c>
      <c r="L91" s="79"/>
      <c r="M91" s="79"/>
      <c r="N91" s="76"/>
    </row>
    <row r="92" spans="1:21" ht="14.25" x14ac:dyDescent="0.2">
      <c r="A92"/>
      <c r="B92"/>
      <c r="C92"/>
      <c r="D92"/>
      <c r="E92"/>
      <c r="F92"/>
      <c r="G92"/>
      <c r="I92" t="str">
        <f t="shared" ca="1" si="3"/>
        <v>F</v>
      </c>
      <c r="J92" s="77" t="s">
        <v>246</v>
      </c>
      <c r="K92" s="78" t="str">
        <v>MG20232488275</v>
      </c>
      <c r="L92" s="79"/>
      <c r="M92" s="79"/>
      <c r="N92" s="76"/>
    </row>
    <row r="93" spans="1:21" ht="14.25" x14ac:dyDescent="0.2">
      <c r="A93"/>
      <c r="B93"/>
      <c r="C93"/>
      <c r="D93"/>
      <c r="E93"/>
      <c r="F93"/>
      <c r="G93"/>
      <c r="I93" t="str">
        <f t="shared" ca="1" si="3"/>
        <v>F</v>
      </c>
      <c r="J93" s="77"/>
      <c r="K93" s="80"/>
      <c r="L93" s="79"/>
      <c r="M93" s="79"/>
      <c r="N93" s="76"/>
    </row>
    <row r="94" spans="1:21" ht="15.75" x14ac:dyDescent="0.25">
      <c r="A94"/>
      <c r="B94"/>
      <c r="C94"/>
      <c r="D94"/>
      <c r="E94"/>
      <c r="F94"/>
      <c r="G94"/>
      <c r="I94" t="str">
        <f ca="1">IF($S$109=0,"","F")</f>
        <v/>
      </c>
      <c r="J94" s="779" t="s">
        <v>698</v>
      </c>
      <c r="K94" s="779"/>
      <c r="L94" s="779"/>
      <c r="M94" s="779"/>
      <c r="N94" s="779"/>
      <c r="O94" s="779"/>
      <c r="P94" s="779"/>
      <c r="Q94" s="779"/>
      <c r="R94" s="779"/>
      <c r="S94" s="779"/>
      <c r="U94" s="521" t="str">
        <f>IF(COUNTIF(ORÇAMENTO!$V$15:$V$191,BDI_3.Título)=0,"",IF(OR(Import.BDI.Tipo3="(SELECIONAR)",Import.BDI.Tipo3="",U97&lt;&gt;"",AND($J97&lt;&gt;$A$145,OR(S101="",S102="",AND($J97&lt;&gt;$A$146,OR(S103="",S104="")),S105="",S106=""))),"Falta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777" t="s">
        <v>664</v>
      </c>
      <c r="K96" s="777"/>
      <c r="L96" s="777"/>
      <c r="M96" s="777"/>
      <c r="N96" s="777"/>
      <c r="O96" s="777"/>
      <c r="P96" s="777"/>
      <c r="Q96" s="777"/>
      <c r="R96" s="777"/>
      <c r="S96" s="777"/>
    </row>
    <row r="97" spans="1:26" ht="15" x14ac:dyDescent="0.25">
      <c r="A97"/>
      <c r="B97"/>
      <c r="C97"/>
      <c r="D97"/>
      <c r="E97"/>
      <c r="F97"/>
      <c r="G97"/>
      <c r="I97" t="str">
        <f t="shared" ca="1" si="6"/>
        <v/>
      </c>
      <c r="J97" s="778" t="s">
        <v>665</v>
      </c>
      <c r="K97" s="778"/>
      <c r="L97" s="778"/>
      <c r="M97" s="778"/>
      <c r="N97" s="778"/>
      <c r="O97" s="778"/>
      <c r="P97" s="778"/>
      <c r="Q97" s="778"/>
      <c r="R97" s="778"/>
      <c r="S97" s="778"/>
      <c r="T97" s="563" t="str">
        <f ca="1">IF(U97="","","◄")</f>
        <v/>
      </c>
      <c r="U97" s="562" t="str">
        <f ca="1">IF(AND(OR(S109&gt;0,COUNTIF(ORÇAMENTO!$V$15:$V$191,BDI_3.Título)&gt;0),OR(Import.BDI.Tipo3="(SELECIONAR)",Import.BDI.Tipo3="")),"Selecione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776" t="s">
        <v>666</v>
      </c>
      <c r="K99" s="776"/>
      <c r="L99" s="776"/>
      <c r="M99" s="776"/>
      <c r="N99" s="776"/>
      <c r="O99" s="776"/>
      <c r="P99" s="776"/>
      <c r="Q99" s="776"/>
      <c r="R99" s="776" t="s">
        <v>667</v>
      </c>
      <c r="S99" s="767" t="s">
        <v>668</v>
      </c>
      <c r="U99" s="767" t="s">
        <v>669</v>
      </c>
      <c r="V99" s="767"/>
      <c r="W99" s="767"/>
      <c r="X99" s="775" t="s">
        <v>670</v>
      </c>
      <c r="Y99" s="775" t="s">
        <v>671</v>
      </c>
      <c r="Z99" s="775" t="s">
        <v>672</v>
      </c>
    </row>
    <row r="100" spans="1:26" ht="12.75" customHeight="1" x14ac:dyDescent="0.2">
      <c r="A100"/>
      <c r="B100"/>
      <c r="C100"/>
      <c r="D100"/>
      <c r="E100"/>
      <c r="F100"/>
      <c r="G100"/>
      <c r="I100" t="str">
        <f t="shared" ca="1" si="6"/>
        <v/>
      </c>
      <c r="J100" s="776"/>
      <c r="K100" s="776"/>
      <c r="L100" s="776"/>
      <c r="M100" s="776"/>
      <c r="N100" s="776"/>
      <c r="O100" s="776"/>
      <c r="P100" s="776"/>
      <c r="Q100" s="776"/>
      <c r="R100" s="776"/>
      <c r="S100" s="767"/>
      <c r="U100" s="767"/>
      <c r="V100" s="767"/>
      <c r="W100" s="767"/>
      <c r="X100" s="775"/>
      <c r="Y100" s="775"/>
      <c r="Z100" s="775"/>
    </row>
    <row r="101" spans="1:26" ht="15" customHeight="1" x14ac:dyDescent="0.2">
      <c r="A101"/>
      <c r="B101"/>
      <c r="C101"/>
      <c r="D101"/>
      <c r="E101"/>
      <c r="F101"/>
      <c r="G101"/>
      <c r="I101" t="str">
        <f t="shared" ca="1" si="6"/>
        <v/>
      </c>
      <c r="J101" s="765" t="str">
        <f>IF($J$97=$A$146,"Encargos Sociais incidentes sobre a mão de obra","Administração Central")</f>
        <v>Administração Central</v>
      </c>
      <c r="K101" s="765"/>
      <c r="L101" s="765"/>
      <c r="M101" s="765"/>
      <c r="N101" s="765"/>
      <c r="O101" s="765"/>
      <c r="P101" s="765"/>
      <c r="Q101" s="765"/>
      <c r="R101" s="60" t="str">
        <f>IF($J97=$A$146,"K1","AC")</f>
        <v>AC</v>
      </c>
      <c r="S101" s="61"/>
      <c r="T101" s="572" t="str">
        <f ca="1">IF(AND($U$94&lt;&gt;"",$U$97="",R101&lt;&gt;"",S101=""),"◄","")</f>
        <v/>
      </c>
      <c r="U101" s="766" t="str">
        <f ca="1">IFERROR(IF(T101="◄","FALTA PREENCHER",IF(AND(OR(S101&gt;=X101,X101="-"),OR(S101&lt;=Z101,Z101="-")),"OK","FORA DO INTERVALO")),"-")</f>
        <v>FORA DO INTERVALO</v>
      </c>
      <c r="V101" s="766"/>
      <c r="W101" s="766"/>
      <c r="X101" s="62">
        <f>VLOOKUP(CONCATENATE(J97,"-",R101),$C$2:$G$136,3,FALSE)</f>
        <v>1.4999999999999999E-2</v>
      </c>
      <c r="Y101" s="62">
        <f>VLOOKUP(CONCATENATE(J97,"-",R101),$C$2:$G$136,4,FALSE)</f>
        <v>3.4500000000000003E-2</v>
      </c>
      <c r="Z101" s="62">
        <f>VLOOKUP(CONCATENATE(J97,"-",R101),$C$2:$G$136,5,FALSE)</f>
        <v>4.4900000000000002E-2</v>
      </c>
    </row>
    <row r="102" spans="1:26" ht="15" customHeight="1" x14ac:dyDescent="0.2">
      <c r="A102"/>
      <c r="B102"/>
      <c r="C102"/>
      <c r="D102"/>
      <c r="E102"/>
      <c r="F102"/>
      <c r="G102"/>
      <c r="I102" t="str">
        <f t="shared" ca="1" si="6"/>
        <v/>
      </c>
      <c r="J102" s="765" t="str">
        <f>IF($J$97=$A$146,"Administração Central da empresa ou consultoria - overhead","Seguro e Garantia")</f>
        <v>Seguro e Garantia</v>
      </c>
      <c r="K102" s="765"/>
      <c r="L102" s="765"/>
      <c r="M102" s="765"/>
      <c r="N102" s="765"/>
      <c r="O102" s="765"/>
      <c r="P102" s="765"/>
      <c r="Q102" s="765"/>
      <c r="R102" s="60" t="str">
        <f>IF($J97=$A$146,"K2","SG")</f>
        <v>SG</v>
      </c>
      <c r="S102" s="61"/>
      <c r="T102" s="572" t="str">
        <f t="shared" ref="T102:T106" ca="1" si="7">IF(AND($U$94&lt;&gt;"",$U$97="",R102&lt;&gt;"",S102=""),"◄","")</f>
        <v/>
      </c>
      <c r="U102" s="766" t="str">
        <f t="shared" ref="U102:U108" ca="1" si="8">IFERROR(IF(T102="◄","FALTA PREENCHER",IF(AND(OR(S102&gt;=X102,X102="-"),OR(S102&lt;=Z102,Z102="-")),"OK","FORA DO INTERVALO")),"-")</f>
        <v>FORA DO INTERVALO</v>
      </c>
      <c r="V102" s="766"/>
      <c r="W102" s="766"/>
      <c r="X102" s="62">
        <f>VLOOKUP(CONCATENATE(J97,"-",R102),$C$2:$G$136,3,FALSE)</f>
        <v>3.0000000000000001E-3</v>
      </c>
      <c r="Y102" s="62">
        <f>VLOOKUP(CONCATENATE(J97,"-",R102),$C$2:$G$136,4,FALSE)</f>
        <v>4.7999999999999996E-3</v>
      </c>
      <c r="Z102" s="62">
        <f>VLOOKUP(CONCATENATE(J97,"-",R102),$C$2:$G$136,5,FALSE)</f>
        <v>8.199999999999999E-3</v>
      </c>
    </row>
    <row r="103" spans="1:26" ht="15" customHeight="1" x14ac:dyDescent="0.2">
      <c r="A103"/>
      <c r="B103"/>
      <c r="C103"/>
      <c r="D103"/>
      <c r="E103"/>
      <c r="F103"/>
      <c r="G103"/>
      <c r="I103" t="str">
        <f t="shared" ca="1" si="6"/>
        <v/>
      </c>
      <c r="J103" s="765" t="s">
        <v>942</v>
      </c>
      <c r="K103" s="765"/>
      <c r="L103" s="765"/>
      <c r="M103" s="765"/>
      <c r="N103" s="765"/>
      <c r="O103" s="765"/>
      <c r="P103" s="765"/>
      <c r="Q103" s="765"/>
      <c r="R103" s="60" t="str">
        <f>IF($J97=$A$146,"","R")</f>
        <v>R</v>
      </c>
      <c r="S103" s="61"/>
      <c r="T103" s="572" t="str">
        <f t="shared" ca="1" si="7"/>
        <v/>
      </c>
      <c r="U103" s="766" t="str">
        <f t="shared" ca="1" si="8"/>
        <v>FORA DO INTERVALO</v>
      </c>
      <c r="V103" s="766"/>
      <c r="W103" s="766"/>
      <c r="X103" s="62">
        <f>VLOOKUP(CONCATENATE(J97,"-",R103),$C$2:$G$136,3,FALSE)</f>
        <v>5.6000000000000008E-3</v>
      </c>
      <c r="Y103" s="62">
        <f>VLOOKUP(CONCATENATE(J97,"-",R103),$C$2:$G$136,4,FALSE)</f>
        <v>8.5000000000000006E-3</v>
      </c>
      <c r="Z103" s="62">
        <f>VLOOKUP(CONCATENATE(J97,"-",R103),$C$2:$G$136,5,FALSE)</f>
        <v>8.8999999999999999E-3</v>
      </c>
    </row>
    <row r="104" spans="1:26" ht="15" customHeight="1" x14ac:dyDescent="0.2">
      <c r="A104"/>
      <c r="B104"/>
      <c r="C104"/>
      <c r="D104"/>
      <c r="E104"/>
      <c r="F104"/>
      <c r="G104"/>
      <c r="I104" t="str">
        <f t="shared" ca="1" si="6"/>
        <v/>
      </c>
      <c r="J104" s="765" t="s">
        <v>943</v>
      </c>
      <c r="K104" s="765"/>
      <c r="L104" s="765"/>
      <c r="M104" s="765"/>
      <c r="N104" s="765"/>
      <c r="O104" s="765"/>
      <c r="P104" s="765"/>
      <c r="Q104" s="765"/>
      <c r="R104" s="60" t="str">
        <f>IF($J97=$A$146,"","DF")</f>
        <v>DF</v>
      </c>
      <c r="S104" s="61"/>
      <c r="T104" s="572" t="str">
        <f t="shared" ca="1" si="7"/>
        <v/>
      </c>
      <c r="U104" s="766" t="str">
        <f t="shared" ca="1" si="8"/>
        <v>FORA DO INTERVALO</v>
      </c>
      <c r="V104" s="766"/>
      <c r="W104" s="766"/>
      <c r="X104" s="62">
        <f>VLOOKUP(CONCATENATE(J97,"-",R104),$C$2:$G$136,3,FALSE)</f>
        <v>8.5000000000000006E-3</v>
      </c>
      <c r="Y104" s="62">
        <f>VLOOKUP(CONCATENATE(J97,"-",R104),$C$2:$G$136,4,FALSE)</f>
        <v>8.5000000000000006E-3</v>
      </c>
      <c r="Z104" s="62">
        <f>VLOOKUP(CONCATENATE(J97,"-",R104),$C$2:$G$136,5,FALSE)</f>
        <v>1.11E-2</v>
      </c>
    </row>
    <row r="105" spans="1:26" ht="15" customHeight="1" x14ac:dyDescent="0.2">
      <c r="A105"/>
      <c r="B105"/>
      <c r="C105"/>
      <c r="D105"/>
      <c r="E105"/>
      <c r="F105"/>
      <c r="G105"/>
      <c r="I105" t="str">
        <f t="shared" ca="1" si="6"/>
        <v/>
      </c>
      <c r="J105" s="765" t="str">
        <f>IF($J$57=$A$146,"Margem bruta da empresa de consultoria","Lucro")</f>
        <v>Lucro</v>
      </c>
      <c r="K105" s="765"/>
      <c r="L105" s="765"/>
      <c r="M105" s="765"/>
      <c r="N105" s="765"/>
      <c r="O105" s="765"/>
      <c r="P105" s="765"/>
      <c r="Q105" s="765"/>
      <c r="R105" s="60" t="str">
        <f>IF($J97=$A$146,"K3","L")</f>
        <v>L</v>
      </c>
      <c r="S105" s="61"/>
      <c r="T105" s="572" t="str">
        <f t="shared" ca="1" si="7"/>
        <v/>
      </c>
      <c r="U105" s="766" t="str">
        <f t="shared" ca="1" si="8"/>
        <v>FORA DO INTERVALO</v>
      </c>
      <c r="V105" s="766"/>
      <c r="W105" s="766"/>
      <c r="X105" s="62">
        <f>VLOOKUP(CONCATENATE(J97,"-",R105),$C$2:$G$136,3,FALSE)</f>
        <v>3.5000000000000003E-2</v>
      </c>
      <c r="Y105" s="62">
        <f>VLOOKUP(CONCATENATE(J97,"-",R105),$C$2:$G$136,4,FALSE)</f>
        <v>5.1100000000000007E-2</v>
      </c>
      <c r="Z105" s="62">
        <f>VLOOKUP(CONCATENATE(J97,"-",R105),$C$2:$G$136,5,FALSE)</f>
        <v>6.2199999999999998E-2</v>
      </c>
    </row>
    <row r="106" spans="1:26" ht="15" customHeight="1" x14ac:dyDescent="0.2">
      <c r="A106"/>
      <c r="B106"/>
      <c r="C106"/>
      <c r="D106"/>
      <c r="E106"/>
      <c r="F106"/>
      <c r="G106"/>
      <c r="I106" t="str">
        <f t="shared" ca="1" si="6"/>
        <v/>
      </c>
      <c r="J106" s="765" t="s">
        <v>675</v>
      </c>
      <c r="K106" s="765"/>
      <c r="L106" s="765"/>
      <c r="M106" s="765"/>
      <c r="N106" s="765"/>
      <c r="O106" s="765"/>
      <c r="P106" s="765"/>
      <c r="Q106" s="765"/>
      <c r="R106" s="60" t="s">
        <v>456</v>
      </c>
      <c r="S106" s="61"/>
      <c r="T106" s="572" t="str">
        <f t="shared" ca="1" si="7"/>
        <v/>
      </c>
      <c r="U106" s="766" t="str">
        <f t="shared" ca="1" si="8"/>
        <v>FORA DO INTERVALO</v>
      </c>
      <c r="V106" s="766"/>
      <c r="W106" s="766"/>
      <c r="X106" s="62">
        <f>Y106</f>
        <v>3.6499999999999998E-2</v>
      </c>
      <c r="Y106" s="62">
        <f>IF($J97=$A$145,"-",3.65%)</f>
        <v>3.6499999999999998E-2</v>
      </c>
      <c r="Z106" s="62">
        <f>Y106</f>
        <v>3.6499999999999998E-2</v>
      </c>
    </row>
    <row r="107" spans="1:26" ht="15" customHeight="1" x14ac:dyDescent="0.2">
      <c r="A107"/>
      <c r="B107"/>
      <c r="C107"/>
      <c r="D107"/>
      <c r="E107"/>
      <c r="F107"/>
      <c r="G107"/>
      <c r="I107" t="str">
        <f t="shared" ca="1" si="6"/>
        <v/>
      </c>
      <c r="J107" s="765" t="s">
        <v>676</v>
      </c>
      <c r="K107" s="765"/>
      <c r="L107" s="765"/>
      <c r="M107" s="765"/>
      <c r="N107" s="765"/>
      <c r="O107" s="765"/>
      <c r="P107" s="765"/>
      <c r="Q107" s="765"/>
      <c r="R107" s="60" t="s">
        <v>677</v>
      </c>
      <c r="S107" s="62">
        <f ca="1">IF(AND($J97&lt;&gt;$A$145,COUNTA(OFFSET(S100,1,0,6))&gt;0),$R$11*$R$10,0)</f>
        <v>0</v>
      </c>
      <c r="U107" s="766" t="str">
        <f t="shared" ca="1" si="8"/>
        <v>OK</v>
      </c>
      <c r="V107" s="766"/>
      <c r="W107" s="766"/>
      <c r="X107" s="62">
        <v>0</v>
      </c>
      <c r="Y107" s="62">
        <v>2.5000000000000001E-2</v>
      </c>
      <c r="Z107" s="62">
        <v>0.05</v>
      </c>
    </row>
    <row r="108" spans="1:26" ht="15" customHeight="1" x14ac:dyDescent="0.2">
      <c r="A108"/>
      <c r="B108"/>
      <c r="C108"/>
      <c r="D108"/>
      <c r="E108"/>
      <c r="F108"/>
      <c r="G108"/>
      <c r="I108" t="str">
        <f t="shared" ca="1" si="6"/>
        <v/>
      </c>
      <c r="J108" s="765" t="s">
        <v>678</v>
      </c>
      <c r="K108" s="765"/>
      <c r="L108" s="765"/>
      <c r="M108" s="765"/>
      <c r="N108" s="765"/>
      <c r="O108" s="765"/>
      <c r="P108" s="765"/>
      <c r="Q108" s="765"/>
      <c r="R108" s="60" t="s">
        <v>679</v>
      </c>
      <c r="S108" s="62" cm="1">
        <f t="array" aca="1" ref="S108" ca="1">IF(BDI.Opcao&lt;&gt;"Desonerado",0,IF(AND($J97&lt;&gt;$A$145,COUNTA(OFFSET(S100,1,0,6))&gt;0),IF(YEAR(Import.DataBase)&lt;2025,4.5%,IF(YEAR(Import.DataBase)=2025,3.6%,IF(YEAR(Import.DataBase)=2026,2.7%,IF(YEAR(Import.DataBase)=2027,1.8%,0%)))),0%))</f>
        <v>0</v>
      </c>
      <c r="U108" s="766" t="str">
        <f t="shared" ca="1" si="8"/>
        <v>OK</v>
      </c>
      <c r="V108" s="766"/>
      <c r="W108" s="766"/>
      <c r="X108" s="63">
        <f ca="1">$S108</f>
        <v>0</v>
      </c>
      <c r="Y108" s="63">
        <f ca="1">$S108</f>
        <v>0</v>
      </c>
      <c r="Z108" s="63">
        <f ca="1">$S108</f>
        <v>0</v>
      </c>
    </row>
    <row r="109" spans="1:26" ht="15" customHeight="1" x14ac:dyDescent="0.2">
      <c r="A109"/>
      <c r="B109"/>
      <c r="C109"/>
      <c r="D109"/>
      <c r="E109"/>
      <c r="F109"/>
      <c r="G109"/>
      <c r="I109" t="str">
        <f t="shared" ca="1" si="6"/>
        <v/>
      </c>
      <c r="J109" s="765" t="s">
        <v>680</v>
      </c>
      <c r="K109" s="765"/>
      <c r="L109" s="765"/>
      <c r="M109" s="765"/>
      <c r="N109" s="765"/>
      <c r="O109" s="765"/>
      <c r="P109" s="765"/>
      <c r="Q109" s="765"/>
      <c r="R109" s="64" t="s">
        <v>656</v>
      </c>
      <c r="S109" s="62">
        <f ca="1">IF($J97=$A$145,0,ROUND((((1+S101+S102+S103)*(1+S104)*(1+S105)/(1-(S106+S107)))-1),4))</f>
        <v>0</v>
      </c>
      <c r="U109" s="767" t="str">
        <f ca="1">IFERROR(IF(AND(OR(S109&gt;=X109,X109="-"),OR(S109&lt;=Z109,Z109="-")),"OK","FORA DO INTERVALO"),IF(S109=0,"OK","Selecione o Tipo de obra"))</f>
        <v>FORA DO INTERVALO</v>
      </c>
      <c r="V109" s="767"/>
      <c r="W109" s="767"/>
      <c r="X109" s="62">
        <f>IF($J97=$A$145,0,VLOOKUP(CONCATENATE($J97,"-",$R109),$C$2:$G$136,3,FALSE))</f>
        <v>0.111</v>
      </c>
      <c r="Y109" s="62">
        <f>IF($J97=$A$145,0,VLOOKUP(CONCATENATE($J97,"-",$R109),$C$2:$G$136,4,FALSE))</f>
        <v>0.14019999999999999</v>
      </c>
      <c r="Z109" s="62">
        <f>IF($J97=$A$145,0,VLOOKUP(CONCATENATE($J97,"-",$R109),$C$2:$G$136,5,FALSE))</f>
        <v>0.16800000000000001</v>
      </c>
    </row>
    <row r="110" spans="1:26" ht="15" customHeight="1" x14ac:dyDescent="0.2">
      <c r="A110"/>
      <c r="B110"/>
      <c r="C110"/>
      <c r="D110"/>
      <c r="E110"/>
      <c r="F110"/>
      <c r="G110"/>
      <c r="I110" t="str">
        <f t="shared" ca="1" si="6"/>
        <v/>
      </c>
      <c r="J110" s="768" t="s">
        <v>681</v>
      </c>
      <c r="K110" s="768"/>
      <c r="L110" s="768"/>
      <c r="M110" s="768"/>
      <c r="N110" s="768"/>
      <c r="O110" s="768"/>
      <c r="P110" s="768"/>
      <c r="Q110" s="768"/>
      <c r="R110" s="65" t="s">
        <v>682</v>
      </c>
      <c r="S110" s="66">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7" t="str">
        <f ca="1">IF(U109&lt;&gt;"ok","X","")</f>
        <v>X</v>
      </c>
      <c r="K112" s="769" t="str">
        <f ca="1">IF(U109&lt;&gt;"ok","Anexo: Relatório Técnico Circunstanciado justificando a adoção do percentual de cada parcela do BDI.","")</f>
        <v>Anexo: Relatório Técnico Circunstanciado justificando a adoção do percentual de cada parcela do BDI.</v>
      </c>
      <c r="L112" s="769"/>
      <c r="M112" s="769"/>
      <c r="N112" s="769"/>
      <c r="O112" s="769"/>
      <c r="P112" s="769"/>
      <c r="Q112" s="769"/>
      <c r="R112" s="769"/>
      <c r="S112" s="769"/>
    </row>
    <row r="113" spans="1:19" x14ac:dyDescent="0.2">
      <c r="A113"/>
      <c r="B113"/>
      <c r="C113"/>
      <c r="D113"/>
      <c r="E113"/>
      <c r="F113"/>
      <c r="G113"/>
      <c r="I113" t="str">
        <f t="shared" ca="1" si="6"/>
        <v/>
      </c>
    </row>
    <row r="114" spans="1:19" x14ac:dyDescent="0.2">
      <c r="A114"/>
      <c r="B114"/>
      <c r="C114"/>
      <c r="D114"/>
      <c r="E114"/>
      <c r="F114"/>
      <c r="G114"/>
      <c r="I114" t="str">
        <f t="shared" ca="1" si="6"/>
        <v/>
      </c>
      <c r="J114" s="771" t="s">
        <v>683</v>
      </c>
      <c r="K114" s="771"/>
      <c r="L114" s="771"/>
      <c r="M114" s="771"/>
      <c r="N114" s="771"/>
      <c r="O114" s="771"/>
      <c r="P114" s="771"/>
      <c r="Q114" s="771"/>
      <c r="R114" s="771"/>
      <c r="S114" s="771"/>
    </row>
    <row r="115" spans="1:19" ht="15.75" x14ac:dyDescent="0.25">
      <c r="A115"/>
      <c r="B115"/>
      <c r="C115"/>
      <c r="D115"/>
      <c r="E115"/>
      <c r="F115"/>
      <c r="G115"/>
      <c r="I115" t="str">
        <f t="shared" ca="1" si="6"/>
        <v/>
      </c>
      <c r="J115" s="68"/>
      <c r="K115" s="68"/>
      <c r="L115" s="68"/>
      <c r="M115" s="772" t="s">
        <v>684</v>
      </c>
      <c r="N115" s="773" t="str">
        <f>IF($J97=$A$146,"(1+K1+K2)*(1+K3)","(1+AC + S + R + G)*(1 + DF)*(1+L)")</f>
        <v>(1+AC + S + R + G)*(1 + DF)*(1+L)</v>
      </c>
      <c r="O115" s="773"/>
      <c r="P115" s="773"/>
      <c r="Q115" s="774" t="s">
        <v>685</v>
      </c>
      <c r="R115" s="68"/>
      <c r="S115" s="68"/>
    </row>
    <row r="116" spans="1:19" ht="15.75" x14ac:dyDescent="0.2">
      <c r="A116"/>
      <c r="B116"/>
      <c r="C116"/>
      <c r="D116"/>
      <c r="E116"/>
      <c r="F116"/>
      <c r="G116"/>
      <c r="I116" t="str">
        <f t="shared" ca="1" si="6"/>
        <v/>
      </c>
      <c r="J116" s="68"/>
      <c r="K116" s="68"/>
      <c r="L116" s="68"/>
      <c r="M116" s="772"/>
      <c r="N116" s="764" t="s">
        <v>686</v>
      </c>
      <c r="O116" s="764"/>
      <c r="P116" s="764"/>
      <c r="Q116" s="774"/>
      <c r="R116" s="68"/>
      <c r="S116" s="68"/>
    </row>
    <row r="117" spans="1:19" ht="15" customHeight="1" x14ac:dyDescent="0.2">
      <c r="A117"/>
      <c r="B117"/>
      <c r="C117"/>
      <c r="D117"/>
      <c r="E117"/>
      <c r="F117"/>
      <c r="G117"/>
      <c r="I117" t="str">
        <f t="shared" ca="1" si="6"/>
        <v/>
      </c>
      <c r="J117" s="68"/>
      <c r="K117" s="68"/>
      <c r="L117" s="68"/>
      <c r="M117" s="69"/>
      <c r="N117" s="71"/>
      <c r="O117" s="71"/>
      <c r="P117" s="71"/>
      <c r="Q117" s="70"/>
      <c r="R117" s="68"/>
      <c r="S117" s="68"/>
    </row>
    <row r="118" spans="1:19" ht="50.1" customHeight="1" x14ac:dyDescent="0.2">
      <c r="A118"/>
      <c r="B118"/>
      <c r="C118"/>
      <c r="D118"/>
      <c r="E118"/>
      <c r="F118"/>
      <c r="G118"/>
      <c r="I118" t="str">
        <f t="shared" ca="1" si="6"/>
        <v/>
      </c>
      <c r="J118" s="758"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95%, com a respectiva alíquota de 5%.</v>
      </c>
      <c r="K118" s="758"/>
      <c r="L118" s="758"/>
      <c r="M118" s="758"/>
      <c r="N118" s="758"/>
      <c r="O118" s="758"/>
      <c r="P118" s="758"/>
      <c r="Q118" s="758"/>
      <c r="R118" s="758"/>
      <c r="S118" s="758"/>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758"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758"/>
      <c r="L120" s="758"/>
      <c r="M120" s="758"/>
      <c r="N120" s="758"/>
      <c r="O120" s="758"/>
      <c r="P120" s="758"/>
      <c r="Q120" s="758"/>
      <c r="R120" s="758"/>
      <c r="S120" s="758"/>
    </row>
    <row r="121" spans="1:19" x14ac:dyDescent="0.2">
      <c r="A121"/>
      <c r="B121"/>
      <c r="C121"/>
      <c r="D121"/>
      <c r="E121"/>
      <c r="F121"/>
      <c r="G121"/>
      <c r="I121" t="str">
        <f t="shared" ca="1" si="6"/>
        <v/>
      </c>
    </row>
    <row r="122" spans="1:19" x14ac:dyDescent="0.2">
      <c r="A122"/>
      <c r="B122"/>
      <c r="C122"/>
      <c r="D122"/>
      <c r="E122"/>
      <c r="F122"/>
      <c r="G122"/>
      <c r="I122" t="str">
        <f t="shared" ca="1" si="6"/>
        <v/>
      </c>
      <c r="J122" s="49" t="s">
        <v>689</v>
      </c>
    </row>
    <row r="123" spans="1:19" ht="110.1" customHeight="1" x14ac:dyDescent="0.2">
      <c r="A123"/>
      <c r="B123"/>
      <c r="C123"/>
      <c r="D123"/>
      <c r="E123"/>
      <c r="F123"/>
      <c r="G123"/>
      <c r="I123" t="str">
        <f t="shared" ca="1" si="6"/>
        <v/>
      </c>
      <c r="J123" s="759"/>
      <c r="K123" s="759"/>
      <c r="L123" s="759"/>
      <c r="M123" s="759"/>
      <c r="N123" s="759"/>
      <c r="O123" s="759"/>
      <c r="P123" s="759"/>
      <c r="Q123" s="759"/>
      <c r="R123" s="759"/>
      <c r="S123" s="759"/>
    </row>
    <row r="124" spans="1:19" x14ac:dyDescent="0.2">
      <c r="A124"/>
      <c r="B124"/>
      <c r="C124"/>
      <c r="D124"/>
      <c r="E124"/>
      <c r="F124"/>
      <c r="G124"/>
      <c r="I124" t="str">
        <f t="shared" ca="1" si="6"/>
        <v/>
      </c>
    </row>
    <row r="125" spans="1:19" x14ac:dyDescent="0.2">
      <c r="A125"/>
      <c r="B125"/>
      <c r="C125"/>
      <c r="D125"/>
      <c r="E125"/>
      <c r="F125"/>
      <c r="G125"/>
      <c r="I125" t="str">
        <f t="shared" ca="1" si="6"/>
        <v/>
      </c>
      <c r="J125" s="760" t="str">
        <f>Import.Município</f>
        <v>BOA ESPERANÇA</v>
      </c>
      <c r="K125" s="760"/>
      <c r="L125" s="760"/>
      <c r="M125" s="760"/>
      <c r="P125" s="761">
        <f>DADOS!$C$25</f>
        <v>46106</v>
      </c>
      <c r="Q125" s="761"/>
      <c r="R125" s="761"/>
      <c r="S125" s="761"/>
    </row>
    <row r="126" spans="1:19" x14ac:dyDescent="0.2">
      <c r="A126"/>
      <c r="B126"/>
      <c r="C126"/>
      <c r="D126"/>
      <c r="E126"/>
      <c r="F126"/>
      <c r="G126"/>
      <c r="I126" t="str">
        <f t="shared" ca="1" si="6"/>
        <v/>
      </c>
      <c r="J126" s="762" t="s">
        <v>693</v>
      </c>
      <c r="K126" s="762"/>
      <c r="L126" s="762"/>
      <c r="M126" s="762"/>
      <c r="O126" s="73"/>
      <c r="P126" s="74" t="s">
        <v>694</v>
      </c>
      <c r="Q126" s="75"/>
      <c r="R126" s="75"/>
      <c r="S126" s="75"/>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763"/>
      <c r="K128" s="763"/>
      <c r="L128" s="763"/>
      <c r="M128" s="763"/>
      <c r="N128" s="76"/>
    </row>
    <row r="129" spans="1:14" x14ac:dyDescent="0.2">
      <c r="A129"/>
      <c r="B129"/>
      <c r="C129"/>
      <c r="D129"/>
      <c r="E129"/>
      <c r="F129"/>
      <c r="G129"/>
      <c r="I129" t="str">
        <f t="shared" ca="1" si="6"/>
        <v/>
      </c>
      <c r="J129" s="757" t="s">
        <v>696</v>
      </c>
      <c r="K129" s="757"/>
      <c r="L129" s="757"/>
      <c r="M129" s="757"/>
    </row>
    <row r="130" spans="1:14" ht="14.25" x14ac:dyDescent="0.2">
      <c r="A130"/>
      <c r="B130"/>
      <c r="C130"/>
      <c r="D130"/>
      <c r="E130"/>
      <c r="F130"/>
      <c r="G130"/>
      <c r="I130" t="str">
        <f t="shared" ca="1" si="6"/>
        <v/>
      </c>
      <c r="J130" s="77" t="s">
        <v>240</v>
      </c>
      <c r="K130" s="78" t="str">
        <f t="array" ref="K130:K132">Import.RespOrçamento</f>
        <v>LAIZ MOSCARDINI CRUZ NASCIMENTO</v>
      </c>
      <c r="L130" s="79"/>
      <c r="M130" s="79"/>
      <c r="N130" s="76"/>
    </row>
    <row r="131" spans="1:14" ht="14.25" x14ac:dyDescent="0.2">
      <c r="A131"/>
      <c r="B131"/>
      <c r="C131"/>
      <c r="D131"/>
      <c r="E131"/>
      <c r="F131"/>
      <c r="G131"/>
      <c r="I131" t="str">
        <f t="shared" ca="1" si="6"/>
        <v/>
      </c>
      <c r="J131" s="77" t="s">
        <v>243</v>
      </c>
      <c r="K131" s="78" t="str">
        <v>283596/D</v>
      </c>
      <c r="L131" s="79"/>
      <c r="M131" s="79"/>
      <c r="N131" s="76"/>
    </row>
    <row r="132" spans="1:14" ht="14.25" x14ac:dyDescent="0.2">
      <c r="A132"/>
      <c r="B132"/>
      <c r="C132"/>
      <c r="D132"/>
      <c r="E132"/>
      <c r="F132"/>
      <c r="G132"/>
      <c r="I132" t="str">
        <f t="shared" ca="1" si="6"/>
        <v/>
      </c>
      <c r="J132" s="77" t="s">
        <v>246</v>
      </c>
      <c r="K132" s="78" t="str">
        <v>MG20232488275</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8h0x5NBydCvwWwzp3vf2ccRD+oula4He4wWnefg3QoU4c+my5N9MPStdxRMCkhXioTi/Q/27QIivPYmjGLn7bA==" saltValue="9mn1Lf27aKncDJKU51rsqA==" spinCount="100000" sheet="1" objects="1" scenarios="1" autoFilter="0"/>
  <autoFilter ref="I11:I132" xr:uid="{00000000-0009-0000-0000-000003000000}"/>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1194" priority="11" stopIfTrue="1">
      <formula>DESONERACAO="não"</formula>
    </cfRule>
  </conditionalFormatting>
  <conditionalFormatting sqref="U69:W69 U29:W29 U109:W109">
    <cfRule type="expression" dxfId="1193" priority="12" stopIfTrue="1">
      <formula>AND(U29&lt;&gt;"OK",U29&lt;&gt;"-",U29&lt;&gt;"")</formula>
    </cfRule>
    <cfRule type="cellIs" dxfId="1192" priority="13" stopIfTrue="1" operator="equal">
      <formula>"OK"</formula>
    </cfRule>
  </conditionalFormatting>
  <conditionalFormatting sqref="S29 S69 S109">
    <cfRule type="expression" dxfId="1191" priority="14" stopIfTrue="1">
      <formula>DESONERACAO="não"</formula>
    </cfRule>
  </conditionalFormatting>
  <conditionalFormatting sqref="J23:S24">
    <cfRule type="expression" dxfId="1190" priority="9">
      <formula>$J$17=$A$146</formula>
    </cfRule>
  </conditionalFormatting>
  <conditionalFormatting sqref="S21:S26">
    <cfRule type="expression" dxfId="1189" priority="8">
      <formula>$J$17=$A$145</formula>
    </cfRule>
  </conditionalFormatting>
  <conditionalFormatting sqref="J63:S64">
    <cfRule type="expression" dxfId="1188" priority="7">
      <formula>$J$57=$A$146</formula>
    </cfRule>
  </conditionalFormatting>
  <conditionalFormatting sqref="S61:S66">
    <cfRule type="expression" dxfId="1187" priority="6">
      <formula>$J$57=$A$145</formula>
    </cfRule>
  </conditionalFormatting>
  <conditionalFormatting sqref="J103:S104">
    <cfRule type="expression" dxfId="1186" priority="5">
      <formula>$J$97=$A$146</formula>
    </cfRule>
  </conditionalFormatting>
  <conditionalFormatting sqref="S101:S106">
    <cfRule type="expression" dxfId="1185" priority="4">
      <formula>$J$97=$A$145</formula>
    </cfRule>
  </conditionalFormatting>
  <conditionalFormatting sqref="U21:W28">
    <cfRule type="cellIs" dxfId="1184" priority="3" operator="notEqual">
      <formula>"OK"</formula>
    </cfRule>
  </conditionalFormatting>
  <conditionalFormatting sqref="U61:W68">
    <cfRule type="cellIs" dxfId="1183" priority="2" operator="notEqual">
      <formula>"OK"</formula>
    </cfRule>
  </conditionalFormatting>
  <conditionalFormatting sqref="U101:W108">
    <cfRule type="cellIs" dxfId="1182"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firstPageNumber="0" fitToHeight="0" orientation="landscape"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721"/>
  <sheetViews>
    <sheetView showGridLines="0" zoomScale="80" zoomScaleNormal="80" zoomScaleSheetLayoutView="90" workbookViewId="0">
      <pane xSplit="19" ySplit="15" topLeftCell="T16" activePane="bottomRight" state="frozen"/>
      <selection pane="topRight" activeCell="T1" sqref="T1"/>
      <selection pane="bottomLeft" activeCell="L16" sqref="L16"/>
      <selection pane="bottomRight"/>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62" t="s">
        <v>700</v>
      </c>
      <c r="E2" s="662" t="s">
        <v>701</v>
      </c>
      <c r="F2" s="662" t="s">
        <v>702</v>
      </c>
      <c r="G2" s="662" t="s">
        <v>703</v>
      </c>
      <c r="H2" s="662" t="s">
        <v>704</v>
      </c>
      <c r="I2" s="662" t="s">
        <v>705</v>
      </c>
      <c r="R2" s="83" t="str" cm="1">
        <f t="array" ref="R2">IF(TIPOORCAMENTO="licitado","Orçamento Licitado","Orçamento Base para Licitação")&amp;" - "&amp;import.recurso</f>
        <v>Orçamento Base para Licitação - OGU</v>
      </c>
      <c r="X2" s="11" t="s">
        <v>647</v>
      </c>
      <c r="Y2" s="84"/>
      <c r="Z2" s="84"/>
      <c r="AA2" s="84"/>
      <c r="AB2" s="84"/>
    </row>
    <row r="3" spans="1:40" x14ac:dyDescent="0.2">
      <c r="D3" s="7"/>
      <c r="E3" s="662" t="s">
        <v>750</v>
      </c>
      <c r="F3" s="662" t="s">
        <v>954</v>
      </c>
      <c r="G3" s="662" t="s">
        <v>955</v>
      </c>
      <c r="H3" s="662" t="s">
        <v>956</v>
      </c>
      <c r="I3" s="662" t="s">
        <v>957</v>
      </c>
      <c r="R3" s="86"/>
    </row>
    <row r="4" spans="1:40" x14ac:dyDescent="0.2">
      <c r="A4" s="660" t="s">
        <v>706</v>
      </c>
      <c r="D4" s="7"/>
      <c r="E4" s="7"/>
      <c r="F4" s="662" t="s">
        <v>663</v>
      </c>
      <c r="G4" s="662" t="s">
        <v>697</v>
      </c>
      <c r="H4" s="662" t="s">
        <v>698</v>
      </c>
      <c r="I4" s="663">
        <v>0</v>
      </c>
      <c r="O4" s="777" t="s">
        <v>650</v>
      </c>
      <c r="P4" s="777"/>
      <c r="Q4" s="87" t="s">
        <v>707</v>
      </c>
      <c r="R4" s="87" t="s">
        <v>652</v>
      </c>
      <c r="S4" s="777" t="s">
        <v>708</v>
      </c>
      <c r="T4" s="777"/>
      <c r="U4" s="777"/>
      <c r="V4" s="777"/>
      <c r="W4" s="777"/>
      <c r="X4" s="777"/>
      <c r="Y4" s="77"/>
      <c r="Z4" s="77"/>
      <c r="AA4" s="77"/>
      <c r="AB4" s="77"/>
    </row>
    <row r="5" spans="1:40" ht="12.75" customHeight="1" x14ac:dyDescent="0.2">
      <c r="A5" s="450">
        <f ca="1">MAX($C$15:$C$191)</f>
        <v>2</v>
      </c>
      <c r="B5" s="7"/>
      <c r="C5" s="7"/>
      <c r="D5" s="7"/>
      <c r="E5" s="7"/>
      <c r="F5" s="663">
        <f ca="1">IF(BDI.Opcao="DESONERADO",BDI!$S$30,BDI!$S$29)</f>
        <v>0.24</v>
      </c>
      <c r="G5" s="663">
        <f ca="1">IF(BDI.Opcao="DESONERADO",BDI!$S$70,BDI!$S$69)</f>
        <v>0.16800000000000001</v>
      </c>
      <c r="H5" s="663">
        <f ca="1">IF(BDI.Opcao="DESONERADO",BDI!$S$110,BDI!$S$109)</f>
        <v>0</v>
      </c>
      <c r="I5" s="7"/>
      <c r="O5" s="780" t="str">
        <f>Import.CR</f>
        <v>56000000966/2023</v>
      </c>
      <c r="P5" s="780"/>
      <c r="Q5" s="90" t="str" cm="1">
        <f t="array" ref="Q5">Import.TransfereGOV</f>
        <v>27488/2025</v>
      </c>
      <c r="R5" s="91" t="str">
        <f>Import.Proponente</f>
        <v>MUNICIPIO DE BOA ESPERANCA</v>
      </c>
      <c r="S5" s="780" t="str">
        <f>Import.Apelido</f>
        <v>AMPLIAÇÃO NO SISTEMA DE ÁGUA- BAIRRO NOVA ESPERANÇA</v>
      </c>
      <c r="T5" s="780"/>
      <c r="U5" s="780"/>
      <c r="V5" s="780"/>
      <c r="W5" s="780"/>
      <c r="X5" s="780"/>
      <c r="Y5" s="92"/>
      <c r="Z5" s="92"/>
      <c r="AA5" s="92"/>
      <c r="AB5" s="92"/>
      <c r="AE5" s="787" t="s">
        <v>709</v>
      </c>
      <c r="AF5" s="787"/>
    </row>
    <row r="6" spans="1:40" ht="5.0999999999999996" customHeight="1" x14ac:dyDescent="0.2">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
      <c r="D7" s="7"/>
      <c r="E7" s="7"/>
      <c r="F7" s="662" t="s">
        <v>751</v>
      </c>
      <c r="G7" s="662" t="s">
        <v>958</v>
      </c>
      <c r="H7" s="662" t="s">
        <v>456</v>
      </c>
      <c r="I7" s="662" t="s">
        <v>794</v>
      </c>
      <c r="O7" s="777" t="s">
        <v>710</v>
      </c>
      <c r="P7" s="777"/>
      <c r="Q7" s="87" t="s">
        <v>711</v>
      </c>
      <c r="R7" s="87" t="str" cm="1">
        <f t="array" ref="R7">IF(TIPOORCAMENTO="Licitado","NOME DA EMPRESA","DESCRIÇÃO DO LOTE")</f>
        <v>DESCRIÇÃO DO LOTE</v>
      </c>
      <c r="S7" s="788" t="str" cm="1">
        <f t="array" ref="S7">IF(TIPOORCAMENTO="Licitado","REGIME DE EXECUÇÃO","MUNICÍPIO / UF")</f>
        <v>MUNICÍPIO / UF</v>
      </c>
      <c r="T7" s="788"/>
      <c r="U7" s="788"/>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IF(COUNTIFS($L$15:$L$191,"F",$AC$15:$AC$191,"JUSTIFICAR BDI")&gt;0,"JUSTIFICAR BDI","")</f>
        <v/>
      </c>
      <c r="AE7" s="88" t="s">
        <v>712</v>
      </c>
      <c r="AF7" s="89" t="b">
        <v>1</v>
      </c>
      <c r="AJ7" s="791" t="s">
        <v>713</v>
      </c>
      <c r="AL7" s="789" t="s">
        <v>714</v>
      </c>
    </row>
    <row r="8" spans="1:40" ht="12.75" customHeight="1" x14ac:dyDescent="0.2">
      <c r="A8" s="7"/>
      <c r="B8" s="7"/>
      <c r="C8" s="7"/>
      <c r="E8" s="506" t="s">
        <v>996</v>
      </c>
      <c r="F8" s="792" t="str" cm="1">
        <f t="array" aca="1" ref="F8" ca="1">IF(LEN(INFO("release"))&gt;5,"'Referência "&amp;Excel_BuiltIn_Database&amp;".xlsm'#Banco.$a5:$a$65536","'[Referência "&amp;Excel_BuiltIn_Database&amp;".xlsm]Banco'!$a5:$a$65536")</f>
        <v>'[Referência 01-2026.xlsm]Banco'!$a5:$a$65536</v>
      </c>
      <c r="G8" s="792"/>
      <c r="H8" s="792"/>
      <c r="I8" s="792"/>
      <c r="J8" s="792"/>
      <c r="K8" s="792"/>
      <c r="L8" s="770" t="s">
        <v>655</v>
      </c>
      <c r="O8" s="780" t="str" cm="1">
        <f t="array" aca="1" ref="O8" ca="1">IF(ISERROR(INDIRECT($F$9)),"(N/D: 'Referência "&amp;Excel_BuiltIn_Database&amp;".xlsm)",INDIRECT($F$9))</f>
        <v>BELO HORIZONTE</v>
      </c>
      <c r="P8" s="780"/>
      <c r="Q8" s="99" t="str" cm="1">
        <f t="array" aca="1" ref="Q8" ca="1">TEXT(Import.DataBase,"mm-aa")&amp;IF(DESONERACAO="Sim"," (DES.)"," (N DES.)")</f>
        <v>01-26 (N DES.)</v>
      </c>
      <c r="R8" s="91" t="str" cm="1">
        <f t="array" ref="R8">IF(TIPOORCAMENTO="Licitado",Import.empresa,Import.DescLote)</f>
        <v>Ampliação e modernização do sistema de abastecimento de água do Município de Boa Esperança.</v>
      </c>
      <c r="S8" s="793" t="str" cm="1">
        <f t="array" ref="S8">IF(TIPOORCAMENTO="Licitado",Import.RegimeExecução,Import.Município)</f>
        <v>BOA ESPERANÇA</v>
      </c>
      <c r="T8" s="793"/>
      <c r="U8" s="793"/>
      <c r="V8" s="100" t="str" cm="1">
        <f t="array" aca="1" ref="V8" ca="1">IF(TIPOORCAMENTO="Licitado","",TEXT(F5,"0,00%"))</f>
        <v>24,00%</v>
      </c>
      <c r="W8" s="100" t="str" cm="1">
        <f t="array" aca="1" ref="W8" ca="1">IF(TIPOORCAMENTO="Licitado","",TEXT(G5,"0,00%"))</f>
        <v>16,80%</v>
      </c>
      <c r="X8" s="101" t="str" cm="1">
        <f t="array" aca="1" ref="X8" ca="1">IF(TIPOORCAMENTO="Licitado",Import.CTEF,TEXT(H5,"0,00%"))</f>
        <v>0,00%</v>
      </c>
      <c r="Y8" s="770" t="s">
        <v>715</v>
      </c>
      <c r="Z8" s="770" t="s">
        <v>716</v>
      </c>
      <c r="AA8" s="102"/>
      <c r="AB8" s="102"/>
      <c r="AE8" s="88" t="s">
        <v>717</v>
      </c>
      <c r="AF8" s="89" t="b">
        <v>1</v>
      </c>
      <c r="AJ8" s="791"/>
      <c r="AL8" s="789"/>
    </row>
    <row r="9" spans="1:40" ht="12.75" customHeight="1" x14ac:dyDescent="0.2">
      <c r="E9" s="506" t="s">
        <v>994</v>
      </c>
      <c r="F9" s="792" t="str" cm="1">
        <f t="array" aca="1" ref="F9" ca="1">IF(LEN(INFO("release"))&gt;5,"'Referência "&amp;Excel_BuiltIn_Database&amp;".xlsm'#Banco.$d$3","'[Referência "&amp;Excel_BuiltIn_Database&amp;".xlsm]Banco'!$d$3")</f>
        <v>'[Referência 01-2026.xlsm]Banco'!$d$3</v>
      </c>
      <c r="G9" s="792"/>
      <c r="H9" s="792"/>
      <c r="I9" s="792"/>
      <c r="J9" s="792"/>
      <c r="K9" s="792"/>
      <c r="L9" s="770"/>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770"/>
      <c r="Z9" s="770"/>
      <c r="AE9" s="88" t="s">
        <v>23</v>
      </c>
      <c r="AF9" s="89" t="b">
        <v>1</v>
      </c>
      <c r="AJ9" s="791"/>
      <c r="AL9" s="789"/>
    </row>
    <row r="10" spans="1:40" x14ac:dyDescent="0.2">
      <c r="E10" s="506" t="s">
        <v>995</v>
      </c>
      <c r="F10" s="792" t="str" cm="1">
        <f t="array" aca="1" ref="F10" ca="1">IF(LEN(INFO("release"))&gt;5,"'Referência "&amp;Excel_BuiltIn_Database&amp;".xlsm'#Banco.$B$3","'[Referência "&amp;Excel_BuiltIn_Database&amp;".xlsm]Banco'!$B$3")</f>
        <v>'[Referência 01-2026.xlsm]Banco'!$B$3</v>
      </c>
      <c r="G10" s="792"/>
      <c r="H10" s="792"/>
      <c r="I10" s="792"/>
      <c r="J10" s="792"/>
      <c r="K10" s="792"/>
      <c r="L10" s="770"/>
      <c r="Y10" s="770"/>
      <c r="Z10" s="770"/>
      <c r="AC10" s="103" t="s">
        <v>718</v>
      </c>
      <c r="AE10" s="88" t="s">
        <v>719</v>
      </c>
      <c r="AF10" s="89" t="b">
        <v>1</v>
      </c>
      <c r="AJ10" s="791"/>
      <c r="AL10" s="789"/>
    </row>
    <row r="11" spans="1:40" x14ac:dyDescent="0.2">
      <c r="F11" s="661" t="str" cm="1">
        <f t="array" aca="1" ref="F11" ca="1">IFERROR(INDIRECT(F10),"")</f>
        <v>01/2026</v>
      </c>
      <c r="G11" s="665" t="str" cm="1">
        <f t="array" aca="1" ref="G11" ca="1">IFERROR(TEXT(Import.DataBase,"mm/aaaa"),"")</f>
        <v>01/2026</v>
      </c>
      <c r="H11" s="104"/>
      <c r="L11" s="770"/>
      <c r="Y11" s="770"/>
      <c r="Z11" s="770"/>
      <c r="AC11" s="105" t="str">
        <f ca="1">IF(COUNTIFS($L$15:$L$191,"F",$AC$15:$AC$191,"&lt;&gt;"&amp;" ",$AC$15:$AC$191,"&lt;&gt;"&amp;"JUSTIFICAR BDI")&gt;0,"NÃO OK","OK")</f>
        <v>NÃO OK</v>
      </c>
      <c r="AE11" s="88" t="s">
        <v>720</v>
      </c>
      <c r="AF11" s="89" t="b">
        <v>1</v>
      </c>
      <c r="AJ11" s="791"/>
      <c r="AL11" s="789"/>
    </row>
    <row r="12" spans="1:40" ht="20.100000000000001" customHeight="1" x14ac:dyDescent="0.2">
      <c r="G12" s="85"/>
      <c r="H12" s="85"/>
      <c r="L12" s="770"/>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IF(COUNTIF($AC$15:$AC$191,"FONTE")&gt;0,"Falta preencher a Fonte (coluna P) na Linha "&amp;(14+MATCH("FONTE",$AC$15:$AC$191,0)),
 IF(COUNTIF($AC$15:$AC$191,"CÓDIGO")&gt;0,"Falta preencher o Código (coluna Q) na Linha "&amp;(14+MATCH("CÓDIGO",$AC$15:$AC$191,0)),
 IF(COUNTIF($AC$15:$AC$191,"CÓDIGO N/ID")&gt;0,"Código (coluna Q) não identificado na Linha "&amp;(14+MATCH("CÓDIGO N/ID",$AC$15:$AC$191,0))&amp;". Verifique se o código está correto ou busque outro código",
 IF(COUNTIF($AC$15:$AC$191,"DESCRIÇÃO")&gt;0,"Falta preencher a Descrição (coluna R) na Linha "&amp;(14+MATCH("DESCRIÇÃO",$AC$15:$AC$191,0)),
 IF(COUNTIF($AC$15:$AC$191,"UNIDADE")&gt;0,"Falta preencher a Unidade (coluna S) na Linha "&amp;(14+MATCH("UNIDADE",$AC$15:$AC$191,0)),
 IF(COUNTIF($AC$15:$AC$191,"SEM CUSTO")&gt;0,"Falta preencher o Custo Unitário (coluna U) na Linha "&amp;(14+MATCH("SEM CUSTO",$AC$15:$AC$191,0)),
 IF(COUNTIF($AC$15:$AC$191,"SEM PREÇO")&gt;0,"Falta preencher o Preço Unitário licitado (coluna AL) na Linha "&amp;(14+MATCH("SEM CUSTO",$AC$15:$AC$191,0)),
 IF(COUNTIF($AC$15:$AC$191,"BDI")&gt;0,"Falta definir o BDI (coluna V) na Linha "&amp;(14+MATCH("BDI",$AC$15:$AC$191,0)),
 IF(COUNTIF($AC$15:$AC$191,"ACIMA REF.")&gt;0,
         IF(TIPOORCAMENTO="Proposto","O custo unitário (coluna U) na Linha "&amp;(14+MATCH("ACIMA REF.",$AC$15:$AC$191,0))&amp;" está acima do custo referencial (coluna AG)",
            "O preço unitário licitado (coluna AL) na Linha "&amp;(14+MATCH("ACIMA REF.",$AC$15:$AC$191,0))&amp;" está acima do preço referencial do edital (coluna AN)"),
 IF(COUNTIF($AC$15:$AC$191,"QUANT.")&gt;0,"Falta a Quantidade do serviço na Linha "&amp;(14+MATCH("QUANT.",$AC$15:$AC$191,0))&amp;IF(ACOMPANHAMENTO="PLE",". Preencher na aba CÁLCULO",". Preencher na coluna AJ"),
 IF(COUNTIF($AC$15:$AC$191,"Código &gt;13")&gt;0,"O tamanho do código do serviço no TransfereGOV é limitado a 13 caracteres. Resuma o código (coluna Q) na Linha "&amp;(14+MATCH("Código &gt;13",$AC$15:$AC$191,0)),
 IF(COUNTIF($AC$15:$AC$191,"Descrição &gt;100")&gt;0,"O tamanho da descrição de macrosserviço no TransfereGOV é limitado a 100 caracteres. Resuma a descrição (coluna R) na Linha "&amp;(14+MATCH("Descrição &gt;100",$AC$15:$AC$191,0)),
 IF(COUNTIF($AC$15:$AC$191,"Descrição &gt;500")&gt;0,"O tamanho da descrição de serviço no TransfereGOV é limitado a 500 caracteres. Resuma a descrição (coluna R) na Linha "&amp;(14+MATCH("Descrição &gt;500",$AC$15:$AC$191,0)),
 IF(COUNTIF($AC$15:$AC$191,"Unid. Não Disp")&gt;0,"Unidade não disponível na lista do TransfereGOV. Reveja a unidade (coluna S) na Linha "&amp;(14+MATCH("Unid. Não Disp",$AC$15:$AC$191,0)),
 IF(AND(TIPOORCAMENTO="Proposto",LEFT($O$8,5)="(N/D:"),"Abra o arquivo Referência "&amp;Excel_BuiltIn_Database&amp;".xlsm","")))))))))))))))))</f>
        <v>Unidade não disponível na lista do TransfereGOV. Reveja a unidade (coluna S) na Linha 43</v>
      </c>
      <c r="Y12" s="770"/>
      <c r="Z12" s="770"/>
      <c r="AA12" s="790" t="s">
        <v>721</v>
      </c>
      <c r="AB12" s="790"/>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IF(OR($C14="S",$C14=0),0,MATCH(0,OFFSET($D14,1,$C14,ROW($C$191)-ROW($C14)),0))</f>
        <v>0</v>
      </c>
      <c r="K14">
        <f ca="1">IF(OR($C14="S",$C14=0),0,MATCH(OFFSET($D14,0,$C14)+IF($C14&lt;&gt;1,1,COUNTIF(QCI!$A$13:$A$24,ORÇAMENTO!E14)),OFFSET($D14,1,$C14,ROW($C$191)-ROW($C14)),0))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IF($C14="S",IF(OR(Import.TipoArredondamento&lt;&gt;"TransfereGOV",ACOMPANHAMENTO="BM"),VTOTAL1,SUM(OFFSET(CÁLCULO!$AI$15,ROW($X14)-ROW($X$15),1):OFFSET(CÁLCULO!$BB$15,ROW($X14)-ROW($X$15),-1))),IF($C14=0,0,ROUND(SomaAgrup,15-13*$AF$11)))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0.24</v>
      </c>
      <c r="AJ14" s="431"/>
      <c r="AL14" s="439"/>
      <c r="AM14" s="336">
        <f t="shared" ref="AM14:AM190" ca="1" si="0">$X14</f>
        <v>0</v>
      </c>
      <c r="AN14" s="470" cm="1">
        <f t="array" aca="1" ref="AN14" ca="1">ROUND(ORÇAMENTO.CustoUnitario*(1+$AH14),2)</f>
        <v>0</v>
      </c>
    </row>
    <row r="15" spans="1:40" ht="12.75" customHeight="1" x14ac:dyDescent="0.2">
      <c r="A15">
        <v>0</v>
      </c>
      <c r="C15" t="s">
        <v>654</v>
      </c>
      <c r="D15">
        <f ca="1">COUNTA(OFFSET(D15,1,0):D$191)</f>
        <v>175</v>
      </c>
      <c r="E15">
        <v>0</v>
      </c>
      <c r="L15" s="114" t="s">
        <v>536</v>
      </c>
      <c r="M15" s="130" t="str" cm="1">
        <f t="array" ref="M15">IF(TIPOORCAMENTO="LICITADO","CTEF","LOTE")</f>
        <v>LOTE</v>
      </c>
      <c r="N15" s="130" t="str" cm="1">
        <f t="array" ref="N15">IF(TIPOORCAMENTO="LICITADO","CTEF","LOTE")</f>
        <v>LOTE</v>
      </c>
      <c r="O15" s="795" t="str">
        <f>Import.DescLote</f>
        <v>Ampliação e modernização do sistema de abastecimento de água do Município de Boa Esperança.</v>
      </c>
      <c r="P15" s="796"/>
      <c r="Q15" s="796"/>
      <c r="R15" s="796"/>
      <c r="S15" s="613"/>
      <c r="T15" s="614"/>
      <c r="U15" s="614"/>
      <c r="V15" s="615"/>
      <c r="W15" s="614"/>
      <c r="X15" s="131">
        <f ca="1">SUMIF(OFFSET($C15,1,0,ROW(X191)-ROW(X15)-1),"S",OFFSET(X15,1,0,ROW(X191)-ROW(X15)-1))</f>
        <v>4985084.83</v>
      </c>
      <c r="Y15" s="7"/>
      <c r="Z15" t="str">
        <f ca="1">IF(AND($C15="S",$X15&gt;0),LEFT($Y15,2),"")</f>
        <v/>
      </c>
      <c r="AA15" s="426">
        <f ca="1">SUMIF(OFFSET($C15,1,0,ROW(AA191)-ROW(AA15)-1),"S",OFFSET(AA15,1,0,ROW(AA191)-ROW(AA15)-1))</f>
        <v>0</v>
      </c>
      <c r="AB15" s="132">
        <f ca="1">SUMIF(OFFSET($C15,1,0,ROW(AB191)-ROW(AB15)-1),"S",OFFSET(AB15,1,0,ROW(AB191)-ROW(AB15)-1))</f>
        <v>0</v>
      </c>
      <c r="AC15" s="565" t="s">
        <v>752</v>
      </c>
      <c r="AG15" s="441"/>
      <c r="AH15" s="442"/>
      <c r="AJ15" s="430"/>
      <c r="AL15" s="440"/>
      <c r="AM15" s="471">
        <f t="shared" ca="1" si="0"/>
        <v>4985084.83</v>
      </c>
      <c r="AN15" s="472"/>
    </row>
    <row r="16" spans="1:40" s="670" customFormat="1" x14ac:dyDescent="0.2">
      <c r="A16" s="670">
        <f t="shared" ref="A16:A72" si="1">CHOOSE(1+LOG(1+2*(ORÇAMENTO.Nivel="Meta")+4*(ORÇAMENTO.Nivel="Nível 2")+8*(ORÇAMENTO.Nivel="Nível 3")+16*(ORÇAMENTO.Nivel="Nível 4")+32*(ORÇAMENTO.Nivel="Serviço"),2),0,1,2,3,4,"S")</f>
        <v>1</v>
      </c>
      <c r="B16" s="670">
        <f t="shared" ref="B16:B72" ca="1" si="2">IF(OR(C16="s",C16=0),OFFSET(B16,-1,0),C16)</f>
        <v>1</v>
      </c>
      <c r="C16" s="670">
        <f t="shared" ref="C16:C72" ca="1" si="3">IF(OFFSET(C16,-1,0)="L",1,IF(OFFSET(C16,-1,0)=1,2,IF(OR(A16="s",A16=0),"S",IF(AND(OFFSET(C16,-1,0)=2,A16=4),3,IF(AND(OR(OFFSET(C16,-1,0)="s",OFFSET(C16,-1,0)=0),A16&lt;&gt;"s",A16&gt;OFFSET(B16,-1,0)),OFFSET(B16,-1,0),A16)))))</f>
        <v>1</v>
      </c>
      <c r="D16" s="670">
        <f t="shared" ref="D16:D72" ca="1" si="4">IF(OR(C16="S",C16=0),0,IF(ISERROR(K16),J16,SMALL(J16:K16,1)))</f>
        <v>175</v>
      </c>
      <c r="E16" s="670">
        <f ca="1">IF($C16=1,OFFSET(E16,-1,0)+MAX(1,COUNTIF(QCI!$A$13:$A$24,OFFSET(ORÇAMENTO!E16,-1,0))),OFFSET(E16,-1,0))</f>
        <v>1</v>
      </c>
      <c r="F16" s="670">
        <f t="shared" ref="F16:F72" ca="1" si="5">IF($C16=1,0,IF($C16=2,OFFSET(F16,-1,0)+1,OFFSET(F16,-1,0)))</f>
        <v>0</v>
      </c>
      <c r="G16" s="670">
        <f t="shared" ref="G16:G72" ca="1" si="6">IF(AND($C16&lt;=2,$C16&lt;&gt;0),0,IF($C16=3,OFFSET(G16,-1,0)+1,OFFSET(G16,-1,0)))</f>
        <v>0</v>
      </c>
      <c r="H16" s="670">
        <f t="shared" ref="H16:H72" ca="1" si="7">IF(AND($C16&lt;=3,$C16&lt;&gt;0),0,IF($C16=4,OFFSET(H16,-1,0)+1,OFFSET(H16,-1,0)))</f>
        <v>0</v>
      </c>
      <c r="I16" s="670">
        <f t="shared" ref="I16:I72" ca="1" si="8">IF(AND($C16&lt;=4,$C16&lt;&gt;0),0,IF(AND($C16="S",$X16&gt;0),OFFSET(I16,-1,0)+1,OFFSET(I16,-1,0)))</f>
        <v>0</v>
      </c>
      <c r="J16" s="670">
        <f t="shared" ref="J16:J47" ca="1" si="9">IF(OR($C16="S",$C16=0),0,MATCH(0,OFFSET($D16,1,$C16,ROW($C$191)-ROW($C16)),0))</f>
        <v>175</v>
      </c>
      <c r="K16" s="670" t="e">
        <f ca="1">IF(OR($C16="S",$C16=0),0,MATCH(OFFSET($D16,0,$C16)+IF($C16&lt;&gt;1,1,COUNTIF(QCI!$A$13:$A$24,ORÇAMENTO!E16)),OFFSET($D16,1,$C16,ROW($C$191)-ROW($C16)),0))</f>
        <v>#N/A</v>
      </c>
      <c r="L16" s="114" t="str">
        <f t="shared" ref="L16:L72" ca="1" si="10">IF(OR($X16&gt;0,$C16=1,$C16=2,$C16=3,$C16=4),"F","")</f>
        <v>F</v>
      </c>
      <c r="M16" s="115" t="s">
        <v>701</v>
      </c>
      <c r="N16" s="116" t="str">
        <f t="shared" ref="N16:N72" ca="1" si="11">CHOOSE(1+LOG(1+2*(C16=1)+4*(C16=2)+8*(C16=3)+16*(C16=4)+32*(C16="S"),2),"","Meta","Nível 2","Nível 3","Nível 4","Serviço")</f>
        <v>Meta</v>
      </c>
      <c r="O16" s="117" t="str">
        <f t="shared" ref="O16:O72" ca="1" si="12">IF(OR($C16=0,$L16=""),"-",CONCATENATE(E16&amp;".",IF(AND($A$5&gt;=2,$C16&gt;=2),F16&amp;".",""),IF(AND($A$5&gt;=3,$C16&gt;=3),G16&amp;".",""),IF(AND($A$5&gt;=4,$C16&gt;=4),H16&amp;".",""),IF($C16="S",I16&amp;".","")))</f>
        <v>1.</v>
      </c>
      <c r="P16" s="688" t="s">
        <v>750</v>
      </c>
      <c r="Q16" s="689"/>
      <c r="R16" s="690" t="s">
        <v>1007</v>
      </c>
      <c r="S16" s="691" t="s">
        <v>688</v>
      </c>
      <c r="T16" s="122">
        <f ca="1">OFFSET(CÁLCULO!H$15,ROW($T16)-ROW(T$15),0)</f>
        <v>0</v>
      </c>
      <c r="U16" s="693"/>
      <c r="V16" s="69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IF($C16="S",IF(OR(Import.TipoArredondamento&lt;&gt;"TransfereGOV",ACOMPANHAMENTO="BM"),VTOTAL1,SUM(OFFSET(CÁLCULO!$AI$15,ROW($X16)-ROW($X$15),1):OFFSET(CÁLCULO!$BB$15,ROW($X16)-ROW($X$15),-1))),IF($C16=0,0,ROUND(SomaAgrup,15-13*$AF$11)))</f>
        <v>4985084.83</v>
      </c>
      <c r="Y16" s="126" t="s">
        <v>751</v>
      </c>
      <c r="Z16" s="670" t="str">
        <f t="shared" ref="Z16:Z72" ca="1" si="13">IF(AND($C16="S",$X16&gt;0),IF(ISBLANK($Y16),"RA",LEFT($Y16,2)),"")</f>
        <v/>
      </c>
      <c r="AA16" s="127" cm="1">
        <f t="array" aca="1" ref="AA16" ca="1">IF($C16="S",IF($Z16="CP",$X16,IF($Z16="RA",(($X16)*QCI!$AA$3),0)),SomaAgrup)</f>
        <v>0</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s="670">
        <f ca="1">IF(C16&lt;=CRONO.NivelExibicao,MAX($AD$15:OFFSET(AD16,-1,0))+IF($C16&lt;&gt;1,1,MAX(1,COUNTIF(QCI!$A$13:$A$24,OFFSET($E16,-1,0)))),"")</f>
        <v>1</v>
      </c>
      <c r="AE16" s="668" t="b" cm="1">
        <f t="array" aca="1" ref="AE16" ca="1">IF(AND($C16="S",ORÇAMENTO.CodBarra&lt;&gt;""),IF(ORÇAMENTO.Fonte="",ORÇAMENTO.CodBarra,CONCATENATE(ORÇAMENTO.Fonte," ",ORÇAMENTO.CodBarra)))</f>
        <v>0</v>
      </c>
      <c r="AF16" s="669"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72" ca="1" si="14">ROUND(IF(ISNUMBER(ORÇAMENTO.OpcaoBDI),ORÇAMENTO.OpcaoBDI,IF(LEFT(ORÇAMENTO.OpcaoBDI,3)="BDI",HLOOKUP(ORÇAMENTO.OpcaoBDI,$F$4:$H$5,2,FALSE),0)),15-11*$AF$9)</f>
        <v>0.24</v>
      </c>
      <c r="AJ16" s="431"/>
      <c r="AL16" s="439"/>
      <c r="AM16" s="336">
        <f t="shared" ca="1" si="0"/>
        <v>4985084.83</v>
      </c>
      <c r="AN16" s="470" cm="1">
        <f t="array" aca="1" ref="AN16" ca="1">ROUND(ORÇAMENTO.CustoUnitario*(1+$AH16),2)</f>
        <v>0</v>
      </c>
    </row>
    <row r="17" spans="1:40" s="670" customFormat="1" x14ac:dyDescent="0.2">
      <c r="A17" s="670">
        <f t="shared" si="1"/>
        <v>2</v>
      </c>
      <c r="B17" s="670">
        <f t="shared" ca="1" si="2"/>
        <v>2</v>
      </c>
      <c r="C17" s="670">
        <f t="shared" ca="1" si="3"/>
        <v>2</v>
      </c>
      <c r="D17" s="670">
        <f t="shared" ca="1" si="4"/>
        <v>5</v>
      </c>
      <c r="E17" s="670">
        <f ca="1">IF($C17=1,OFFSET(E17,-1,0)+MAX(1,COUNTIF(QCI!$A$13:$A$24,OFFSET(ORÇAMENTO!E17,-1,0))),OFFSET(E17,-1,0))</f>
        <v>1</v>
      </c>
      <c r="F17" s="670">
        <f t="shared" ca="1" si="5"/>
        <v>1</v>
      </c>
      <c r="G17" s="670">
        <f t="shared" ca="1" si="6"/>
        <v>0</v>
      </c>
      <c r="H17" s="670">
        <f t="shared" ca="1" si="7"/>
        <v>0</v>
      </c>
      <c r="I17" s="670">
        <f t="shared" ca="1" si="8"/>
        <v>0</v>
      </c>
      <c r="J17" s="670">
        <f t="shared" ca="1" si="9"/>
        <v>174</v>
      </c>
      <c r="K17" s="670">
        <f ca="1">IF(OR($C17="S",$C17=0),0,MATCH(OFFSET($D17,0,$C17)+IF($C17&lt;&gt;1,1,COUNTIF(QCI!$A$13:$A$24,ORÇAMENTO!E17)),OFFSET($D17,1,$C17,ROW($C$191)-ROW($C17)),0))</f>
        <v>5</v>
      </c>
      <c r="L17" s="114" t="str">
        <f t="shared" ca="1" si="10"/>
        <v>F</v>
      </c>
      <c r="M17" s="115" t="s">
        <v>702</v>
      </c>
      <c r="N17" s="116" t="str">
        <f t="shared" ca="1" si="11"/>
        <v>Nível 2</v>
      </c>
      <c r="O17" s="117" t="str">
        <f t="shared" ca="1" si="12"/>
        <v>1.1.</v>
      </c>
      <c r="P17" s="688" t="s">
        <v>750</v>
      </c>
      <c r="Q17" s="689"/>
      <c r="R17" s="690" t="s">
        <v>1262</v>
      </c>
      <c r="S17" s="691" t="s">
        <v>688</v>
      </c>
      <c r="T17" s="122">
        <f ca="1">OFFSET(CÁLCULO!H$15,ROW($T17)-ROW(T$15),0)</f>
        <v>0</v>
      </c>
      <c r="U17" s="693"/>
      <c r="V17" s="69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IF($C17="S",IF(OR(Import.TipoArredondamento&lt;&gt;"TransfereGOV",ACOMPANHAMENTO="BM"),VTOTAL1,SUM(OFFSET(CÁLCULO!$AI$15,ROW($X17)-ROW($X$15),1):OFFSET(CÁLCULO!$BB$15,ROW($X17)-ROW($X$15),-1))),IF($C17=0,0,ROUND(SomaAgrup,15-13*$AF$11)))</f>
        <v>17998.599999999999</v>
      </c>
      <c r="Y17" s="126" t="s">
        <v>751</v>
      </c>
      <c r="Z17" s="670" t="str">
        <f t="shared" ca="1" si="13"/>
        <v/>
      </c>
      <c r="AA17" s="127" cm="1">
        <f t="array" aca="1" ref="AA17" ca="1">IF($C17="S",IF($Z17="CP",$X17,IF($Z17="RA",(($X17)*QCI!$AA$3),0)),SomaAgrup)</f>
        <v>0</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s="670">
        <f ca="1">IF(C17&lt;=CRONO.NivelExibicao,MAX($AD$15:OFFSET(AD17,-1,0))+IF($C17&lt;&gt;1,1,MAX(1,COUNTIF(QCI!$A$13:$A$24,OFFSET($E17,-1,0)))),"")</f>
        <v>2</v>
      </c>
      <c r="AE17" s="668" t="b" cm="1">
        <f t="array" aca="1" ref="AE17" ca="1">IF(AND($C17="S",ORÇAMENTO.CodBarra&lt;&gt;""),IF(ORÇAMENTO.Fonte="",ORÇAMENTO.CodBarra,CONCATENATE(ORÇAMENTO.Fonte," ",ORÇAMENTO.CodBarra)))</f>
        <v>0</v>
      </c>
      <c r="AF17" s="669"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0.24</v>
      </c>
      <c r="AJ17" s="431"/>
      <c r="AL17" s="439"/>
      <c r="AM17" s="336">
        <f t="shared" ca="1" si="0"/>
        <v>17998.599999999999</v>
      </c>
      <c r="AN17" s="470" cm="1">
        <f t="array" aca="1" ref="AN17" ca="1">ROUND(ORÇAMENTO.CustoUnitario*(1+$AH17),2)</f>
        <v>0</v>
      </c>
    </row>
    <row r="18" spans="1:40" s="670" customFormat="1" ht="25.5" x14ac:dyDescent="0.2">
      <c r="A18" s="670" t="str">
        <f t="shared" si="1"/>
        <v>S</v>
      </c>
      <c r="B18" s="670">
        <f t="shared" ca="1" si="2"/>
        <v>2</v>
      </c>
      <c r="C18" s="670" t="str">
        <f t="shared" ca="1" si="3"/>
        <v>S</v>
      </c>
      <c r="D18" s="670">
        <f t="shared" ca="1" si="4"/>
        <v>0</v>
      </c>
      <c r="E18" s="670">
        <f ca="1">IF($C18=1,OFFSET(E18,-1,0)+MAX(1,COUNTIF(QCI!$A$13:$A$24,OFFSET(ORÇAMENTO!E18,-1,0))),OFFSET(E18,-1,0))</f>
        <v>1</v>
      </c>
      <c r="F18" s="670">
        <f t="shared" ca="1" si="5"/>
        <v>1</v>
      </c>
      <c r="G18" s="670">
        <f t="shared" ca="1" si="6"/>
        <v>0</v>
      </c>
      <c r="H18" s="670">
        <f t="shared" ca="1" si="7"/>
        <v>0</v>
      </c>
      <c r="I18" s="670">
        <f t="shared" ca="1" si="8"/>
        <v>1</v>
      </c>
      <c r="J18" s="670">
        <f t="shared" ca="1" si="9"/>
        <v>0</v>
      </c>
      <c r="K18" s="670">
        <f ca="1">IF(OR($C18="S",$C18=0),0,MATCH(OFFSET($D18,0,$C18)+IF($C18&lt;&gt;1,1,COUNTIF(QCI!$A$13:$A$24,ORÇAMENTO!E18)),OFFSET($D18,1,$C18,ROW($C$191)-ROW($C18)),0))</f>
        <v>0</v>
      </c>
      <c r="L18" s="114" t="str">
        <f t="shared" ca="1" si="10"/>
        <v>F</v>
      </c>
      <c r="M18" s="115" t="s">
        <v>705</v>
      </c>
      <c r="N18" s="116" t="str">
        <f t="shared" ca="1" si="11"/>
        <v>Serviço</v>
      </c>
      <c r="O18" s="117" t="str">
        <f t="shared" ca="1" si="12"/>
        <v>1.1.1.</v>
      </c>
      <c r="P18" s="688" t="s">
        <v>750</v>
      </c>
      <c r="Q18" s="689" t="s">
        <v>1079</v>
      </c>
      <c r="R18" s="690" t="str" cm="1">
        <f t="array" aca="1" ref="R18" ca="1">IF($C18="S",REFERENCIA.Descricao,"(digite a descrição aqui)")</f>
        <v>FORNECIMENTO E INSTALAÇÃO DE PLACA DE OBRA COM CHAPA GALVANIZADA E ESTRUTURA DE MADEIRA. AF_03/2022_PS</v>
      </c>
      <c r="S18" s="691" t="str" cm="1">
        <f t="array" aca="1" ref="S18" ca="1">REFERENCIA.Unidade</f>
        <v>M2</v>
      </c>
      <c r="T18" s="122">
        <f ca="1">OFFSET(CÁLCULO!H$15,ROW($T18)-ROW(T$15),0)</f>
        <v>6.48</v>
      </c>
      <c r="U18" s="693">
        <f ca="1">AG18</f>
        <v>430.02</v>
      </c>
      <c r="V18" s="694" t="s">
        <v>663</v>
      </c>
      <c r="W18" s="122" cm="1">
        <f t="array" aca="1" ref="W18" ca="1">IF($C18="S",ROUND(IF(TIPOORCAMENTO="Proposto",ORÇAMENTO.CustoUnitario*(1+$AH18),ORÇAMENTO.PrecoUnitarioLicitado),15-13*$AF$10),0)</f>
        <v>533.22</v>
      </c>
      <c r="X18" s="125" cm="1">
        <f t="array" aca="1" ref="X18" ca="1">IF($C18="S",IF(OR(Import.TipoArredondamento&lt;&gt;"TransfereGOV",ACOMPANHAMENTO="BM"),VTOTAL1,SUM(OFFSET(CÁLCULO!$AI$15,ROW($X18)-ROW($X$15),1):OFFSET(CÁLCULO!$BB$15,ROW($X18)-ROW($X$15),-1))),IF($C18=0,0,ROUND(SomaAgrup,15-13*$AF$11)))</f>
        <v>3455.27</v>
      </c>
      <c r="Y18" s="126" t="s">
        <v>751</v>
      </c>
      <c r="Z18" s="670" t="str">
        <f t="shared" ca="1" si="13"/>
        <v>RA</v>
      </c>
      <c r="AA18" s="127" cm="1">
        <f t="array" aca="1" ref="AA18" ca="1">IF($C18="S",IF($Z18="CP",$X18,IF($Z18="RA",(($X18)*QCI!$AA$3),0)),SomaAgrup)</f>
        <v>0</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s="670" t="str">
        <f ca="1">IF(C18&lt;=CRONO.NivelExibicao,MAX($AD$15:OFFSET(AD18,-1,0))+IF($C18&lt;&gt;1,1,MAX(1,COUNTIF(QCI!$A$13:$A$24,OFFSET($E18,-1,0)))),"")</f>
        <v/>
      </c>
      <c r="AE18" s="668" t="str" cm="1">
        <f t="array" aca="1" ref="AE18" ca="1">IF(AND($C18="S",ORÇAMENTO.CodBarra&lt;&gt;""),IF(ORÇAMENTO.Fonte="",ORÇAMENTO.CodBarra,CONCATENATE(ORÇAMENTO.Fonte," ",ORÇAMENTO.CodBarra)))</f>
        <v>SINAPI 103689</v>
      </c>
      <c r="AF18" s="669"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15333</v>
      </c>
      <c r="AG18" s="428" cm="1">
        <f t="array" aca="1" ref="AG18" ca="1">ROUND(IF(DESONERACAO="sim",REFERENCIA.Desonerado,REFERENCIA.NaoDesonerado),2)</f>
        <v>430.02</v>
      </c>
      <c r="AH18" s="429">
        <f t="shared" ca="1" si="14"/>
        <v>0.24</v>
      </c>
      <c r="AJ18" s="431"/>
      <c r="AL18" s="439"/>
      <c r="AM18" s="336">
        <f t="shared" ca="1" si="0"/>
        <v>3455.27</v>
      </c>
      <c r="AN18" s="470" cm="1">
        <f t="array" aca="1" ref="AN18" ca="1">ROUND(ORÇAMENTO.CustoUnitario*(1+$AH18),2)</f>
        <v>533.22</v>
      </c>
    </row>
    <row r="19" spans="1:40" s="670" customFormat="1" ht="89.25" x14ac:dyDescent="0.2">
      <c r="A19" s="670" t="str">
        <f t="shared" si="1"/>
        <v>S</v>
      </c>
      <c r="B19" s="670">
        <f t="shared" ca="1" si="2"/>
        <v>2</v>
      </c>
      <c r="C19" s="670" t="str">
        <f t="shared" ca="1" si="3"/>
        <v>S</v>
      </c>
      <c r="D19" s="670">
        <f t="shared" ca="1" si="4"/>
        <v>0</v>
      </c>
      <c r="E19" s="670">
        <f ca="1">IF($C19=1,OFFSET(E19,-1,0)+MAX(1,COUNTIF(QCI!$A$13:$A$24,OFFSET(ORÇAMENTO!E19,-1,0))),OFFSET(E19,-1,0))</f>
        <v>1</v>
      </c>
      <c r="F19" s="670">
        <f t="shared" ca="1" si="5"/>
        <v>1</v>
      </c>
      <c r="G19" s="670">
        <f t="shared" ca="1" si="6"/>
        <v>0</v>
      </c>
      <c r="H19" s="670">
        <f t="shared" ca="1" si="7"/>
        <v>0</v>
      </c>
      <c r="I19" s="670">
        <f t="shared" ca="1" si="8"/>
        <v>2</v>
      </c>
      <c r="J19" s="670">
        <f t="shared" ca="1" si="9"/>
        <v>0</v>
      </c>
      <c r="K19" s="670">
        <f ca="1">IF(OR($C19="S",$C19=0),0,MATCH(OFFSET($D19,0,$C19)+IF($C19&lt;&gt;1,1,COUNTIF(QCI!$A$13:$A$24,ORÇAMENTO!E19)),OFFSET($D19,1,$C19,ROW($C$191)-ROW($C19)),0))</f>
        <v>0</v>
      </c>
      <c r="L19" s="114" t="str">
        <f t="shared" ca="1" si="10"/>
        <v>F</v>
      </c>
      <c r="M19" s="115" t="s">
        <v>705</v>
      </c>
      <c r="N19" s="116" t="str">
        <f t="shared" ca="1" si="11"/>
        <v>Serviço</v>
      </c>
      <c r="O19" s="117" t="str">
        <f t="shared" ca="1" si="12"/>
        <v>1.1.2.</v>
      </c>
      <c r="P19" s="688" t="s">
        <v>1064</v>
      </c>
      <c r="Q19" s="689" t="s">
        <v>1066</v>
      </c>
      <c r="R19" s="690" t="str" cm="1">
        <f t="array" aca="1" ref="R19" ca="1">IF($C19="S",REFERENCIA.Descricao,"(digite a descrição aqui)")</f>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
      <c r="S19" s="691" t="str" cm="1">
        <f t="array" aca="1" ref="S19" ca="1">REFERENCIA.Unidade</f>
        <v>mês</v>
      </c>
      <c r="T19" s="122">
        <f ca="1">OFFSET(CÁLCULO!H$15,ROW($T19)-ROW(T$15),0)</f>
        <v>12</v>
      </c>
      <c r="U19" s="693">
        <f t="shared" ref="U19:U74" ca="1" si="15">AG19</f>
        <v>858.71</v>
      </c>
      <c r="V19" s="694" t="s">
        <v>663</v>
      </c>
      <c r="W19" s="122" cm="1">
        <f t="array" aca="1" ref="W19" ca="1">IF($C19="S",ROUND(IF(TIPOORCAMENTO="Proposto",ORÇAMENTO.CustoUnitario*(1+$AH19),ORÇAMENTO.PrecoUnitarioLicitado),15-13*$AF$10),0)</f>
        <v>1064.8</v>
      </c>
      <c r="X19" s="125" cm="1">
        <f t="array" aca="1" ref="X19" ca="1">IF($C19="S",IF(OR(Import.TipoArredondamento&lt;&gt;"TransfereGOV",ACOMPANHAMENTO="BM"),VTOTAL1,SUM(OFFSET(CÁLCULO!$AI$15,ROW($X19)-ROW($X$15),1):OFFSET(CÁLCULO!$BB$15,ROW($X19)-ROW($X$15),-1))),IF($C19=0,0,ROUND(SomaAgrup,15-13*$AF$11)))</f>
        <v>12777.6</v>
      </c>
      <c r="Y19" s="126" t="s">
        <v>751</v>
      </c>
      <c r="Z19" s="670" t="str">
        <f t="shared" ca="1" si="13"/>
        <v>RA</v>
      </c>
      <c r="AA19" s="127" cm="1">
        <f t="array" aca="1" ref="AA19" ca="1">IF($C19="S",IF($Z19="CP",$X19,IF($Z19="RA",(($X19)*QCI!$AA$3),0)),SomaAgrup)</f>
        <v>0</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s="670" t="str">
        <f ca="1">IF(C19&lt;=CRONO.NivelExibicao,MAX($AD$15:OFFSET(AD19,-1,0))+IF($C19&lt;&gt;1,1,MAX(1,COUNTIF(QCI!$A$13:$A$24,OFFSET($E19,-1,0)))),"")</f>
        <v/>
      </c>
      <c r="AE19" s="668" t="str" cm="1">
        <f t="array" aca="1" ref="AE19" ca="1">IF(AND($C19="S",ORÇAMENTO.CodBarra&lt;&gt;""),IF(ORÇAMENTO.Fonte="",ORÇAMENTO.CodBarra,CONCATENATE(ORÇAMENTO.Fonte," ",ORÇAMENTO.CodBarra)))</f>
        <v>SETOP ED-16350</v>
      </c>
      <c r="AF19" s="669"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18907</v>
      </c>
      <c r="AG19" s="428" cm="1">
        <f t="array" aca="1" ref="AG19" ca="1">ROUND(IF(DESONERACAO="sim",REFERENCIA.Desonerado,REFERENCIA.NaoDesonerado),2)</f>
        <v>858.71</v>
      </c>
      <c r="AH19" s="429">
        <f t="shared" ca="1" si="14"/>
        <v>0.24</v>
      </c>
      <c r="AJ19" s="431"/>
      <c r="AL19" s="439"/>
      <c r="AM19" s="336">
        <f t="shared" ca="1" si="0"/>
        <v>12777.6</v>
      </c>
      <c r="AN19" s="470" cm="1">
        <f t="array" aca="1" ref="AN19" ca="1">ROUND(ORÇAMENTO.CustoUnitario*(1+$AH19),2)</f>
        <v>1064.8</v>
      </c>
    </row>
    <row r="20" spans="1:40" s="670" customFormat="1" ht="51" x14ac:dyDescent="0.2">
      <c r="A20" s="670" t="str">
        <f t="shared" si="1"/>
        <v>S</v>
      </c>
      <c r="B20" s="670">
        <f t="shared" ca="1" si="2"/>
        <v>2</v>
      </c>
      <c r="C20" s="670" t="str">
        <f t="shared" ca="1" si="3"/>
        <v>S</v>
      </c>
      <c r="D20" s="670">
        <f t="shared" ca="1" si="4"/>
        <v>0</v>
      </c>
      <c r="E20" s="670">
        <f ca="1">IF($C20=1,OFFSET(E20,-1,0)+MAX(1,COUNTIF(QCI!$A$13:$A$24,OFFSET(ORÇAMENTO!E20,-1,0))),OFFSET(E20,-1,0))</f>
        <v>1</v>
      </c>
      <c r="F20" s="670">
        <f t="shared" ca="1" si="5"/>
        <v>1</v>
      </c>
      <c r="G20" s="670">
        <f t="shared" ca="1" si="6"/>
        <v>0</v>
      </c>
      <c r="H20" s="670">
        <f t="shared" ca="1" si="7"/>
        <v>0</v>
      </c>
      <c r="I20" s="670">
        <f t="shared" ca="1" si="8"/>
        <v>3</v>
      </c>
      <c r="J20" s="670">
        <f t="shared" ca="1" si="9"/>
        <v>0</v>
      </c>
      <c r="K20" s="670">
        <f ca="1">IF(OR($C20="S",$C20=0),0,MATCH(OFFSET($D20,0,$C20)+IF($C20&lt;&gt;1,1,COUNTIF(QCI!$A$13:$A$24,ORÇAMENTO!E20)),OFFSET($D20,1,$C20,ROW($C$191)-ROW($C20)),0))</f>
        <v>0</v>
      </c>
      <c r="L20" s="114" t="str">
        <f t="shared" ca="1" si="10"/>
        <v>F</v>
      </c>
      <c r="M20" s="115" t="s">
        <v>705</v>
      </c>
      <c r="N20" s="116" t="str">
        <f t="shared" ca="1" si="11"/>
        <v>Serviço</v>
      </c>
      <c r="O20" s="117" t="str">
        <f t="shared" ca="1" si="12"/>
        <v>1.1.3.</v>
      </c>
      <c r="P20" s="688" t="s">
        <v>1064</v>
      </c>
      <c r="Q20" s="689" t="s">
        <v>1063</v>
      </c>
      <c r="R20" s="690" t="str" cm="1">
        <f t="array" aca="1" ref="R20" ca="1">IF($C20="S",REFERENCIA.Descricao,"(digite a descrição aqui)")</f>
        <v>LIGAÇÃO PROVISÓRIA COM ENTRADA DE ENERGIA AÉREA, PADRÃO CEMIG, CARGA INSTALADA DE 15,1KVA ATÉ 30KVA, TRIFÁSICO, COM SAÍDA SUBTERRÂNEA, INCLUSIVE POSTE, CAIXA PARA MEDIDOR, DISJUNTOR, BARRAMENTO, ATERRAMENTO E ACESSÓRIOS</v>
      </c>
      <c r="S20" s="691" t="str" cm="1">
        <f t="array" aca="1" ref="S20" ca="1">REFERENCIA.Unidade</f>
        <v>un</v>
      </c>
      <c r="T20" s="122">
        <f ca="1">OFFSET(CÁLCULO!H$15,ROW($T20)-ROW(T$15),0)</f>
        <v>1</v>
      </c>
      <c r="U20" s="693">
        <f t="shared" ca="1" si="15"/>
        <v>830.96</v>
      </c>
      <c r="V20" s="694" t="s">
        <v>663</v>
      </c>
      <c r="W20" s="122" cm="1">
        <f t="array" aca="1" ref="W20" ca="1">IF($C20="S",ROUND(IF(TIPOORCAMENTO="Proposto",ORÇAMENTO.CustoUnitario*(1+$AH20),ORÇAMENTO.PrecoUnitarioLicitado),15-13*$AF$10),0)</f>
        <v>1030.3900000000001</v>
      </c>
      <c r="X20" s="125" cm="1">
        <f t="array" aca="1" ref="X20" ca="1">IF($C20="S",IF(OR(Import.TipoArredondamento&lt;&gt;"TransfereGOV",ACOMPANHAMENTO="BM"),VTOTAL1,SUM(OFFSET(CÁLCULO!$AI$15,ROW($X20)-ROW($X$15),1):OFFSET(CÁLCULO!$BB$15,ROW($X20)-ROW($X$15),-1))),IF($C20=0,0,ROUND(SomaAgrup,15-13*$AF$11)))</f>
        <v>1030.3900000000001</v>
      </c>
      <c r="Y20" s="126" t="s">
        <v>751</v>
      </c>
      <c r="Z20" s="670" t="str">
        <f t="shared" ca="1" si="13"/>
        <v>RA</v>
      </c>
      <c r="AA20" s="127" cm="1">
        <f t="array" aca="1" ref="AA20" ca="1">IF($C20="S",IF($Z20="CP",$X20,IF($Z20="RA",(($X20)*QCI!$AA$3),0)),SomaAgrup)</f>
        <v>0</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s="670" t="str">
        <f ca="1">IF(C20&lt;=CRONO.NivelExibicao,MAX($AD$15:OFFSET(AD20,-1,0))+IF($C20&lt;&gt;1,1,MAX(1,COUNTIF(QCI!$A$13:$A$24,OFFSET($E20,-1,0)))),"")</f>
        <v/>
      </c>
      <c r="AE20" s="668" t="str" cm="1">
        <f t="array" aca="1" ref="AE20" ca="1">IF(AND($C20="S",ORÇAMENTO.CodBarra&lt;&gt;""),IF(ORÇAMENTO.Fonte="",ORÇAMENTO.CodBarra,CONCATENATE(ORÇAMENTO.Fonte," ",ORÇAMENTO.CodBarra)))</f>
        <v>SETOP ED-50151</v>
      </c>
      <c r="AF20" s="669"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18876</v>
      </c>
      <c r="AG20" s="428" cm="1">
        <f t="array" aca="1" ref="AG20" ca="1">ROUND(IF(DESONERACAO="sim",REFERENCIA.Desonerado,REFERENCIA.NaoDesonerado),2)</f>
        <v>830.96</v>
      </c>
      <c r="AH20" s="429">
        <f t="shared" ca="1" si="14"/>
        <v>0.24</v>
      </c>
      <c r="AJ20" s="431"/>
      <c r="AL20" s="439"/>
      <c r="AM20" s="336">
        <f t="shared" ca="1" si="0"/>
        <v>1030.3900000000001</v>
      </c>
      <c r="AN20" s="470" cm="1">
        <f t="array" aca="1" ref="AN20" ca="1">ROUND(ORÇAMENTO.CustoUnitario*(1+$AH20),2)</f>
        <v>1030.3900000000001</v>
      </c>
    </row>
    <row r="21" spans="1:40" s="670" customFormat="1" ht="51" x14ac:dyDescent="0.2">
      <c r="A21" s="670" t="str">
        <f t="shared" si="1"/>
        <v>S</v>
      </c>
      <c r="B21" s="670">
        <f t="shared" ca="1" si="2"/>
        <v>2</v>
      </c>
      <c r="C21" s="670" t="str">
        <f t="shared" ca="1" si="3"/>
        <v>S</v>
      </c>
      <c r="D21" s="670">
        <f t="shared" ca="1" si="4"/>
        <v>0</v>
      </c>
      <c r="E21" s="670">
        <f ca="1">IF($C21=1,OFFSET(E21,-1,0)+MAX(1,COUNTIF(QCI!$A$13:$A$24,OFFSET(ORÇAMENTO!E21,-1,0))),OFFSET(E21,-1,0))</f>
        <v>1</v>
      </c>
      <c r="F21" s="670">
        <f t="shared" ca="1" si="5"/>
        <v>1</v>
      </c>
      <c r="G21" s="670">
        <f t="shared" ca="1" si="6"/>
        <v>0</v>
      </c>
      <c r="H21" s="670">
        <f t="shared" ca="1" si="7"/>
        <v>0</v>
      </c>
      <c r="I21" s="670">
        <f t="shared" ca="1" si="8"/>
        <v>4</v>
      </c>
      <c r="J21" s="670">
        <f t="shared" ca="1" si="9"/>
        <v>0</v>
      </c>
      <c r="K21" s="670">
        <f ca="1">IF(OR($C21="S",$C21=0),0,MATCH(OFFSET($D21,0,$C21)+IF($C21&lt;&gt;1,1,COUNTIF(QCI!$A$13:$A$24,ORÇAMENTO!E21)),OFFSET($D21,1,$C21,ROW($C$191)-ROW($C21)),0))</f>
        <v>0</v>
      </c>
      <c r="L21" s="114" t="str">
        <f t="shared" ca="1" si="10"/>
        <v>F</v>
      </c>
      <c r="M21" s="115" t="s">
        <v>705</v>
      </c>
      <c r="N21" s="116" t="str">
        <f t="shared" ca="1" si="11"/>
        <v>Serviço</v>
      </c>
      <c r="O21" s="117" t="str">
        <f t="shared" ca="1" si="12"/>
        <v>1.1.4.</v>
      </c>
      <c r="P21" s="688" t="s">
        <v>1064</v>
      </c>
      <c r="Q21" s="689" t="s">
        <v>1008</v>
      </c>
      <c r="R21" s="690" t="str" cm="1">
        <f t="array" aca="1" ref="R21" ca="1">IF($C21="S",REFERENCIA.Descricao,"(digite a descrição aqui)")</f>
        <v>LIGAÇÃO DE ÁGUA PROVISÓRIA PARA CANTEIRO,  INCLUSIVE HIDRÔMETRO E CAVALETE PARA MEDIÇÃO DE ÁGUA - ENTRADA PRINCIPAL, EM AÇO GALVANIZADO DN 20MM (1/2") - PADRÃO CONCESSIONÁRIA</v>
      </c>
      <c r="S21" s="691" t="str" cm="1">
        <f t="array" aca="1" ref="S21" ca="1">REFERENCIA.Unidade</f>
        <v>un</v>
      </c>
      <c r="T21" s="122">
        <f ca="1">OFFSET(CÁLCULO!H$15,ROW($T21)-ROW(T$15),0)</f>
        <v>1</v>
      </c>
      <c r="U21" s="693">
        <f ca="1">AG21</f>
        <v>593.02</v>
      </c>
      <c r="V21" s="694" t="s">
        <v>663</v>
      </c>
      <c r="W21" s="122" cm="1">
        <f t="array" aca="1" ref="W21" ca="1">IF($C21="S",ROUND(IF(TIPOORCAMENTO="Proposto",ORÇAMENTO.CustoUnitario*(1+$AH21),ORÇAMENTO.PrecoUnitarioLicitado),15-13*$AF$10),0)</f>
        <v>735.34</v>
      </c>
      <c r="X21" s="125" cm="1">
        <f t="array" aca="1" ref="X21" ca="1">IF($C21="S",IF(OR(Import.TipoArredondamento&lt;&gt;"TransfereGOV",ACOMPANHAMENTO="BM"),VTOTAL1,SUM(OFFSET(CÁLCULO!$AI$15,ROW($X21)-ROW($X$15),1):OFFSET(CÁLCULO!$BB$15,ROW($X21)-ROW($X$15),-1))),IF($C21=0,0,ROUND(SomaAgrup,15-13*$AF$11)))</f>
        <v>735.34</v>
      </c>
      <c r="Y21" s="126" t="s">
        <v>751</v>
      </c>
      <c r="Z21" s="670" t="str">
        <f t="shared" ca="1" si="13"/>
        <v>RA</v>
      </c>
      <c r="AA21" s="127" cm="1">
        <f t="array" aca="1" ref="AA21" ca="1">IF($C21="S",IF($Z21="CP",$X21,IF($Z21="RA",(($X21)*QCI!$AA$3),0)),SomaAgrup)</f>
        <v>0</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s="670" t="str">
        <f ca="1">IF(C21&lt;=CRONO.NivelExibicao,MAX($AD$15:OFFSET(AD21,-1,0))+IF($C21&lt;&gt;1,1,MAX(1,COUNTIF(QCI!$A$13:$A$24,OFFSET($E21,-1,0)))),"")</f>
        <v/>
      </c>
      <c r="AE21" s="668" t="str" cm="1">
        <f t="array" aca="1" ref="AE21" ca="1">IF(AND($C21="S",ORÇAMENTO.CodBarra&lt;&gt;""),IF(ORÇAMENTO.Fonte="",ORÇAMENTO.CodBarra,CONCATENATE(ORÇAMENTO.Fonte," ",ORÇAMENTO.CodBarra)))</f>
        <v>SETOP ED-50150</v>
      </c>
      <c r="AF21" s="669"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18874</v>
      </c>
      <c r="AG21" s="428" cm="1">
        <f t="array" aca="1" ref="AG21" ca="1">ROUND(IF(DESONERACAO="sim",REFERENCIA.Desonerado,REFERENCIA.NaoDesonerado),2)</f>
        <v>593.02</v>
      </c>
      <c r="AH21" s="429">
        <f t="shared" ca="1" si="14"/>
        <v>0.24</v>
      </c>
      <c r="AJ21" s="431"/>
      <c r="AL21" s="439"/>
      <c r="AM21" s="336">
        <f t="shared" ca="1" si="0"/>
        <v>735.34</v>
      </c>
      <c r="AN21" s="470" cm="1">
        <f t="array" aca="1" ref="AN21" ca="1">ROUND(ORÇAMENTO.CustoUnitario*(1+$AH21),2)</f>
        <v>735.34</v>
      </c>
    </row>
    <row r="22" spans="1:40" s="728" customFormat="1" x14ac:dyDescent="0.2">
      <c r="A22" s="728">
        <f>CHOOSE(1+LOG(1+2*(ORÇAMENTO.Nivel="Meta")+4*(ORÇAMENTO.Nivel="Nível 2")+8*(ORÇAMENTO.Nivel="Nível 3")+16*(ORÇAMENTO.Nivel="Nível 4")+32*(ORÇAMENTO.Nivel="Serviço"),2),0,1,2,3,4,"S")</f>
        <v>2</v>
      </c>
      <c r="B22" s="728">
        <f ca="1">IF(OR(C22="s",C22=0),OFFSET(B22,-1,0),C22)</f>
        <v>2</v>
      </c>
      <c r="C22" s="728">
        <f ca="1">IF(OFFSET(C22,-1,0)="L",1,IF(OFFSET(C22,-1,0)=1,2,IF(OR(A22="s",A22=0),"S",IF(AND(OFFSET(C22,-1,0)=2,A22=4),3,IF(AND(OR(OFFSET(C22,-1,0)="s",OFFSET(C22,-1,0)=0),A22&lt;&gt;"s",A22&gt;OFFSET(B22,-1,0)),OFFSET(B22,-1,0),A22)))))</f>
        <v>2</v>
      </c>
      <c r="D22" s="728">
        <f ca="1">IF(OR(C22="S",C22=0),0,IF(ISERROR(K22),J22,SMALL(J22:K22,1)))</f>
        <v>5</v>
      </c>
      <c r="E22" s="728">
        <f ca="1">IF($C22=1,OFFSET(E22,-1,0)+MAX(1,COUNTIF(QCI!$A$13:$A$24,OFFSET(ORÇAMENTO!E22,-1,0))),OFFSET(E22,-1,0))</f>
        <v>1</v>
      </c>
      <c r="F22" s="728">
        <f ca="1">IF($C22=1,0,IF($C22=2,OFFSET(F22,-1,0)+1,OFFSET(F22,-1,0)))</f>
        <v>2</v>
      </c>
      <c r="G22" s="728">
        <f ca="1">IF(AND($C22&lt;=2,$C22&lt;&gt;0),0,IF($C22=3,OFFSET(G22,-1,0)+1,OFFSET(G22,-1,0)))</f>
        <v>0</v>
      </c>
      <c r="H22" s="728">
        <f ca="1">IF(AND($C22&lt;=3,$C22&lt;&gt;0),0,IF($C22=4,OFFSET(H22,-1,0)+1,OFFSET(H22,-1,0)))</f>
        <v>0</v>
      </c>
      <c r="I22" s="728">
        <f ca="1">IF(AND($C22&lt;=4,$C22&lt;&gt;0),0,IF(AND($C22="S",$X22&gt;0),OFFSET(I22,-1,0)+1,OFFSET(I22,-1,0)))</f>
        <v>0</v>
      </c>
      <c r="J22" s="728">
        <f t="shared" ca="1" si="9"/>
        <v>169</v>
      </c>
      <c r="K22" s="728">
        <f ca="1">IF(OR($C22="S",$C22=0),0,MATCH(OFFSET($D22,0,$C22)+IF($C22&lt;&gt;1,1,COUNTIF(QCI!$A$13:$A$24,ORÇAMENTO!E22)),OFFSET($D22,1,$C22,ROW($C$191)-ROW($C22)),0))</f>
        <v>5</v>
      </c>
      <c r="L22" s="684" t="str">
        <f ca="1">IF(OR($X22&gt;0,$C22=1,$C22=2,$C22=3,$C22=4),"F","")</f>
        <v>F</v>
      </c>
      <c r="M22" s="685" t="s">
        <v>702</v>
      </c>
      <c r="N22" s="686" t="str">
        <f ca="1">CHOOSE(1+LOG(1+2*(C22=1)+4*(C22=2)+8*(C22=3)+16*(C22=4)+32*(C22="S"),2),"","Meta","Nível 2","Nível 3","Nível 4","Serviço")</f>
        <v>Nível 2</v>
      </c>
      <c r="O22" s="687" t="str">
        <f ca="1">IF(OR($C22=0,$L22=""),"-",CONCATENATE(E22&amp;".",IF(AND($A$5&gt;=2,$C22&gt;=2),F22&amp;".",""),IF(AND($A$5&gt;=3,$C22&gt;=3),G22&amp;".",""),IF(AND($A$5&gt;=4,$C22&gt;=4),H22&amp;".",""),IF($C22="S",I22&amp;".","")))</f>
        <v>1.2.</v>
      </c>
      <c r="P22" s="688" t="s">
        <v>750</v>
      </c>
      <c r="Q22" s="689"/>
      <c r="R22" s="690" t="s">
        <v>1261</v>
      </c>
      <c r="S22" s="691" t="str" cm="1">
        <f t="array" aca="1" ref="S22" ca="1">REFERENCIA.Unidade</f>
        <v>-</v>
      </c>
      <c r="T22" s="692">
        <f ca="1">OFFSET(CÁLCULO!H$15,ROW($T22)-ROW(T$15),0)</f>
        <v>0</v>
      </c>
      <c r="U22" s="693"/>
      <c r="V22" s="694" t="s">
        <v>663</v>
      </c>
      <c r="W22" s="692" cm="1">
        <f t="array" aca="1" ref="W22" ca="1">IF($C22="S",ROUND(IF(TIPOORCAMENTO="Proposto",ORÇAMENTO.CustoUnitario*(1+$AH22),ORÇAMENTO.PrecoUnitarioLicitado),15-13*$AF$10),0)</f>
        <v>0</v>
      </c>
      <c r="X22" s="695" cm="1">
        <f t="array" aca="1" ref="X22" ca="1">IF($C22="S",IF(OR(Import.TipoArredondamento&lt;&gt;"TransfereGOV",ACOMPANHAMENTO="BM"),VTOTAL1,SUM(OFFSET(CÁLCULO!$AI$15,ROW($X22)-ROW($X$15),1):OFFSET(CÁLCULO!$BB$15,ROW($X22)-ROW($X$15),-1))),IF($C22=0,0,ROUND(SomaAgrup,15-13*$AF$11)))</f>
        <v>22366.32</v>
      </c>
      <c r="Y22" s="696" t="s">
        <v>751</v>
      </c>
      <c r="Z22" s="728" t="str">
        <f ca="1">IF(AND($C22="S",$X22&gt;0),IF(ISBLANK($Y22),"RA",LEFT($Y22,2)),"")</f>
        <v/>
      </c>
      <c r="AA22" s="697" cm="1">
        <f t="array" aca="1" ref="AA22" ca="1">IF($C22="S",IF($Z22="CP",$X22,IF($Z22="RA",(($X22)*QCI!$AA$3),0)),SomaAgrup)</f>
        <v>0</v>
      </c>
      <c r="AB22" s="698" cm="1">
        <f t="array" aca="1" ref="AB22" ca="1">IF($C22="S",IF($Z22="OU",ROUND($X22,2),0),SomaAgrup)</f>
        <v>0</v>
      </c>
      <c r="AC22" s="723"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s="728">
        <f ca="1">IF(C22&lt;=CRONO.NivelExibicao,MAX($AD$15:OFFSET(AD22,-1,0))+IF($C22&lt;&gt;1,1,MAX(1,COUNTIF(QCI!$A$13:$A$24,OFFSET($E22,-1,0)))),"")</f>
        <v>3</v>
      </c>
      <c r="AE22" s="725" t="b" cm="1">
        <f t="array" aca="1" ref="AE22" ca="1">IF(AND($C22="S",ORÇAMENTO.CodBarra&lt;&gt;""),IF(ORÇAMENTO.Fonte="",ORÇAMENTO.CodBarra,CONCATENATE(ORÇAMENTO.Fonte," ",ORÇAMENTO.CodBarra)))</f>
        <v>0</v>
      </c>
      <c r="AF22" s="727" t="str"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(Sem Código)</v>
      </c>
      <c r="AG22" s="714" cm="1">
        <f t="array" aca="1" ref="AG22" ca="1">ROUND(IF(DESONERACAO="sim",REFERENCIA.Desonerado,REFERENCIA.NaoDesonerado),2)</f>
        <v>0</v>
      </c>
      <c r="AH22" s="715">
        <f ca="1">ROUND(IF(ISNUMBER(ORÇAMENTO.OpcaoBDI),ORÇAMENTO.OpcaoBDI,IF(LEFT(ORÇAMENTO.OpcaoBDI,3)="BDI",HLOOKUP(ORÇAMENTO.OpcaoBDI,$F$4:$H$5,2,FALSE),0)),15-11*$AF$9)</f>
        <v>0.24</v>
      </c>
      <c r="AJ22" s="716"/>
      <c r="AL22" s="718"/>
      <c r="AM22" s="710">
        <f t="shared" ca="1" si="0"/>
        <v>22366.32</v>
      </c>
      <c r="AN22" s="721" cm="1">
        <f t="array" aca="1" ref="AN22" ca="1">ROUND(ORÇAMENTO.CustoUnitario*(1+$AH22),2)</f>
        <v>0</v>
      </c>
    </row>
    <row r="23" spans="1:40" s="670" customFormat="1" ht="38.25" x14ac:dyDescent="0.2">
      <c r="A23" s="670" t="str">
        <f t="shared" si="1"/>
        <v>S</v>
      </c>
      <c r="B23" s="670">
        <f t="shared" ca="1" si="2"/>
        <v>2</v>
      </c>
      <c r="C23" s="670" t="str">
        <f t="shared" ca="1" si="3"/>
        <v>S</v>
      </c>
      <c r="D23" s="670">
        <f t="shared" ca="1" si="4"/>
        <v>0</v>
      </c>
      <c r="E23" s="670">
        <f ca="1">IF($C23=1,OFFSET(E23,-1,0)+MAX(1,COUNTIF(QCI!$A$13:$A$24,OFFSET(ORÇAMENTO!E23,-1,0))),OFFSET(E23,-1,0))</f>
        <v>1</v>
      </c>
      <c r="F23" s="670">
        <f t="shared" ca="1" si="5"/>
        <v>2</v>
      </c>
      <c r="G23" s="670">
        <f t="shared" ca="1" si="6"/>
        <v>0</v>
      </c>
      <c r="H23" s="670">
        <f t="shared" ca="1" si="7"/>
        <v>0</v>
      </c>
      <c r="I23" s="670">
        <f t="shared" ca="1" si="8"/>
        <v>1</v>
      </c>
      <c r="J23" s="670">
        <f t="shared" ca="1" si="9"/>
        <v>0</v>
      </c>
      <c r="K23" s="670">
        <f ca="1">IF(OR($C23="S",$C23=0),0,MATCH(OFFSET($D23,0,$C23)+IF($C23&lt;&gt;1,1,COUNTIF(QCI!$A$13:$A$24,ORÇAMENTO!E23)),OFFSET($D23,1,$C23,ROW($C$191)-ROW($C23)),0))</f>
        <v>0</v>
      </c>
      <c r="L23" s="114" t="str">
        <f t="shared" ca="1" si="10"/>
        <v>F</v>
      </c>
      <c r="M23" s="115" t="s">
        <v>705</v>
      </c>
      <c r="N23" s="116" t="str">
        <f t="shared" ca="1" si="11"/>
        <v>Serviço</v>
      </c>
      <c r="O23" s="117" t="str">
        <f t="shared" ca="1" si="12"/>
        <v>1.2.1.</v>
      </c>
      <c r="P23" s="688" t="s">
        <v>750</v>
      </c>
      <c r="Q23" s="689" t="s">
        <v>1009</v>
      </c>
      <c r="R23" s="690" t="str" cm="1">
        <f t="array" aca="1" ref="R23" ca="1">IF($C23="S",REFERENCIA.Descricao,"(digite a descrição aqui)")</f>
        <v>LOCAÇÃO CONVENCIONAL DE OBRA, UTILIZANDO GABARITO DE TÁBUAS CORRIDAS PONTALETADAS A CADA 2,00M - 2 UTILIZAÇÕES. AF_03/2024</v>
      </c>
      <c r="S23" s="691" t="str" cm="1">
        <f t="array" aca="1" ref="S23" ca="1">REFERENCIA.Unidade</f>
        <v>M</v>
      </c>
      <c r="T23" s="122">
        <f ca="1">OFFSET(CÁLCULO!H$15,ROW($T23)-ROW(T$15),0)</f>
        <v>100</v>
      </c>
      <c r="U23" s="693">
        <f t="shared" ca="1" si="15"/>
        <v>77.430000000000007</v>
      </c>
      <c r="V23" s="694" t="s">
        <v>663</v>
      </c>
      <c r="W23" s="122" cm="1">
        <f t="array" aca="1" ref="W23" ca="1">IF($C23="S",ROUND(IF(TIPOORCAMENTO="Proposto",ORÇAMENTO.CustoUnitario*(1+$AH23),ORÇAMENTO.PrecoUnitarioLicitado),15-13*$AF$10),0)</f>
        <v>96.01</v>
      </c>
      <c r="X23" s="125" cm="1">
        <f t="array" aca="1" ref="X23" ca="1">IF($C23="S",IF(OR(Import.TipoArredondamento&lt;&gt;"TransfereGOV",ACOMPANHAMENTO="BM"),VTOTAL1,SUM(OFFSET(CÁLCULO!$AI$15,ROW($X23)-ROW($X$15),1):OFFSET(CÁLCULO!$BB$15,ROW($X23)-ROW($X$15),-1))),IF($C23=0,0,ROUND(SomaAgrup,15-13*$AF$11)))</f>
        <v>9601</v>
      </c>
      <c r="Y23" s="126" t="s">
        <v>751</v>
      </c>
      <c r="Z23" s="670" t="str">
        <f t="shared" ca="1" si="13"/>
        <v>RA</v>
      </c>
      <c r="AA23" s="127" cm="1">
        <f t="array" aca="1" ref="AA23" ca="1">IF($C23="S",IF($Z23="CP",$X23,IF($Z23="RA",(($X23)*QCI!$AA$3),0)),SomaAgrup)</f>
        <v>0</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s="670" t="str">
        <f ca="1">IF(C23&lt;=CRONO.NivelExibicao,MAX($AD$15:OFFSET(AD23,-1,0))+IF($C23&lt;&gt;1,1,MAX(1,COUNTIF(QCI!$A$13:$A$24,OFFSET($E23,-1,0)))),"")</f>
        <v/>
      </c>
      <c r="AE23" s="668" t="str" cm="1">
        <f t="array" aca="1" ref="AE23" ca="1">IF(AND($C23="S",ORÇAMENTO.CodBarra&lt;&gt;""),IF(ORÇAMENTO.Fonte="",ORÇAMENTO.CodBarra,CONCATENATE(ORÇAMENTO.Fonte," ",ORÇAMENTO.CodBarra)))</f>
        <v>SINAPI 99059</v>
      </c>
      <c r="AF23" s="669"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13447</v>
      </c>
      <c r="AG23" s="428" cm="1">
        <f t="array" aca="1" ref="AG23" ca="1">ROUND(IF(DESONERACAO="sim",REFERENCIA.Desonerado,REFERENCIA.NaoDesonerado),2)</f>
        <v>77.430000000000007</v>
      </c>
      <c r="AH23" s="429">
        <f t="shared" ca="1" si="14"/>
        <v>0.24</v>
      </c>
      <c r="AJ23" s="431"/>
      <c r="AL23" s="439"/>
      <c r="AM23" s="336">
        <f t="shared" ca="1" si="0"/>
        <v>9601</v>
      </c>
      <c r="AN23" s="470" cm="1">
        <f t="array" aca="1" ref="AN23" ca="1">ROUND(ORÇAMENTO.CustoUnitario*(1+$AH23),2)</f>
        <v>96.01</v>
      </c>
    </row>
    <row r="24" spans="1:40" s="670" customFormat="1" ht="25.5" x14ac:dyDescent="0.2">
      <c r="A24" s="670" t="str">
        <f t="shared" si="1"/>
        <v>S</v>
      </c>
      <c r="B24" s="670">
        <f t="shared" ca="1" si="2"/>
        <v>2</v>
      </c>
      <c r="C24" s="670" t="str">
        <f t="shared" ca="1" si="3"/>
        <v>S</v>
      </c>
      <c r="D24" s="670">
        <f t="shared" ca="1" si="4"/>
        <v>0</v>
      </c>
      <c r="E24" s="670">
        <f ca="1">IF($C24=1,OFFSET(E24,-1,0)+MAX(1,COUNTIF(QCI!$A$13:$A$24,OFFSET(ORÇAMENTO!E24,-1,0))),OFFSET(E24,-1,0))</f>
        <v>1</v>
      </c>
      <c r="F24" s="670">
        <f t="shared" ca="1" si="5"/>
        <v>2</v>
      </c>
      <c r="G24" s="670">
        <f t="shared" ca="1" si="6"/>
        <v>0</v>
      </c>
      <c r="H24" s="670">
        <f t="shared" ca="1" si="7"/>
        <v>0</v>
      </c>
      <c r="I24" s="670">
        <f t="shared" ca="1" si="8"/>
        <v>2</v>
      </c>
      <c r="J24" s="670">
        <f t="shared" ca="1" si="9"/>
        <v>0</v>
      </c>
      <c r="K24" s="670">
        <f ca="1">IF(OR($C24="S",$C24=0),0,MATCH(OFFSET($D24,0,$C24)+IF($C24&lt;&gt;1,1,COUNTIF(QCI!$A$13:$A$24,ORÇAMENTO!E24)),OFFSET($D24,1,$C24,ROW($C$191)-ROW($C24)),0))</f>
        <v>0</v>
      </c>
      <c r="L24" s="114" t="str">
        <f t="shared" ca="1" si="10"/>
        <v>F</v>
      </c>
      <c r="M24" s="115" t="s">
        <v>705</v>
      </c>
      <c r="N24" s="116" t="str">
        <f t="shared" ca="1" si="11"/>
        <v>Serviço</v>
      </c>
      <c r="O24" s="117" t="str">
        <f t="shared" ca="1" si="12"/>
        <v>1.2.2.</v>
      </c>
      <c r="P24" s="688" t="s">
        <v>750</v>
      </c>
      <c r="Q24" s="689" t="s">
        <v>1010</v>
      </c>
      <c r="R24" s="690" t="str" cm="1">
        <f t="array" aca="1" ref="R24" ca="1">IF($C24="S",REFERENCIA.Descricao,"(digite a descrição aqui)")</f>
        <v>LIMPEZA MANUAL DE VEGETAÇÃO EM TERRENO COM ENXADA. AF_03/2024</v>
      </c>
      <c r="S24" s="691" t="str" cm="1">
        <f t="array" aca="1" ref="S24" ca="1">REFERENCIA.Unidade</f>
        <v>M2</v>
      </c>
      <c r="T24" s="122">
        <f ca="1">OFFSET(CÁLCULO!H$15,ROW($T24)-ROW(T$15),0)</f>
        <v>600</v>
      </c>
      <c r="U24" s="693">
        <f ca="1">AG24</f>
        <v>5.3</v>
      </c>
      <c r="V24" s="694" t="s">
        <v>663</v>
      </c>
      <c r="W24" s="122" cm="1">
        <f t="array" aca="1" ref="W24" ca="1">IF($C24="S",ROUND(IF(TIPOORCAMENTO="Proposto",ORÇAMENTO.CustoUnitario*(1+$AH24),ORÇAMENTO.PrecoUnitarioLicitado),15-13*$AF$10),0)</f>
        <v>6.57</v>
      </c>
      <c r="X24" s="125" cm="1">
        <f t="array" aca="1" ref="X24" ca="1">IF($C24="S",IF(OR(Import.TipoArredondamento&lt;&gt;"TransfereGOV",ACOMPANHAMENTO="BM"),VTOTAL1,SUM(OFFSET(CÁLCULO!$AI$15,ROW($X24)-ROW($X$15),1):OFFSET(CÁLCULO!$BB$15,ROW($X24)-ROW($X$15),-1))),IF($C24=0,0,ROUND(SomaAgrup,15-13*$AF$11)))</f>
        <v>3942</v>
      </c>
      <c r="Y24" s="126" t="s">
        <v>751</v>
      </c>
      <c r="Z24" s="670" t="str">
        <f t="shared" ca="1" si="13"/>
        <v>RA</v>
      </c>
      <c r="AA24" s="127" cm="1">
        <f t="array" aca="1" ref="AA24" ca="1">IF($C24="S",IF($Z24="CP",$X24,IF($Z24="RA",(($X24)*QCI!$AA$3),0)),SomaAgrup)</f>
        <v>0</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s="670" t="str">
        <f ca="1">IF(C24&lt;=CRONO.NivelExibicao,MAX($AD$15:OFFSET(AD24,-1,0))+IF($C24&lt;&gt;1,1,MAX(1,COUNTIF(QCI!$A$13:$A$24,OFFSET($E24,-1,0)))),"")</f>
        <v/>
      </c>
      <c r="AE24" s="668" t="str" cm="1">
        <f t="array" aca="1" ref="AE24" ca="1">IF(AND($C24="S",ORÇAMENTO.CodBarra&lt;&gt;""),IF(ORÇAMENTO.Fonte="",ORÇAMENTO.CodBarra,CONCATENATE(ORÇAMENTO.Fonte," ",ORÇAMENTO.CodBarra)))</f>
        <v>SINAPI 98524</v>
      </c>
      <c r="AF24" s="669"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15478</v>
      </c>
      <c r="AG24" s="428" cm="1">
        <f t="array" aca="1" ref="AG24" ca="1">ROUND(IF(DESONERACAO="sim",REFERENCIA.Desonerado,REFERENCIA.NaoDesonerado),2)</f>
        <v>5.3</v>
      </c>
      <c r="AH24" s="429">
        <f t="shared" ca="1" si="14"/>
        <v>0.24</v>
      </c>
      <c r="AJ24" s="431"/>
      <c r="AL24" s="439"/>
      <c r="AM24" s="336">
        <f t="shared" ca="1" si="0"/>
        <v>3942</v>
      </c>
      <c r="AN24" s="470" cm="1">
        <f t="array" aca="1" ref="AN24" ca="1">ROUND(ORÇAMENTO.CustoUnitario*(1+$AH24),2)</f>
        <v>6.57</v>
      </c>
    </row>
    <row r="25" spans="1:40" s="670" customFormat="1" ht="25.5" x14ac:dyDescent="0.2">
      <c r="A25" s="670" t="str">
        <f t="shared" si="1"/>
        <v>S</v>
      </c>
      <c r="B25" s="670">
        <f t="shared" ca="1" si="2"/>
        <v>2</v>
      </c>
      <c r="C25" s="670" t="str">
        <f t="shared" ca="1" si="3"/>
        <v>S</v>
      </c>
      <c r="D25" s="670">
        <f t="shared" ca="1" si="4"/>
        <v>0</v>
      </c>
      <c r="E25" s="670">
        <f ca="1">IF($C25=1,OFFSET(E25,-1,0)+MAX(1,COUNTIF(QCI!$A$13:$A$24,OFFSET(ORÇAMENTO!E25,-1,0))),OFFSET(E25,-1,0))</f>
        <v>1</v>
      </c>
      <c r="F25" s="670">
        <f t="shared" ca="1" si="5"/>
        <v>2</v>
      </c>
      <c r="G25" s="670">
        <f t="shared" ca="1" si="6"/>
        <v>0</v>
      </c>
      <c r="H25" s="670">
        <f t="shared" ca="1" si="7"/>
        <v>0</v>
      </c>
      <c r="I25" s="670">
        <f t="shared" ca="1" si="8"/>
        <v>3</v>
      </c>
      <c r="J25" s="670">
        <f t="shared" ca="1" si="9"/>
        <v>0</v>
      </c>
      <c r="K25" s="670">
        <f ca="1">IF(OR($C25="S",$C25=0),0,MATCH(OFFSET($D25,0,$C25)+IF($C25&lt;&gt;1,1,COUNTIF(QCI!$A$13:$A$24,ORÇAMENTO!E25)),OFFSET($D25,1,$C25,ROW($C$191)-ROW($C25)),0))</f>
        <v>0</v>
      </c>
      <c r="L25" s="114" t="str">
        <f t="shared" ca="1" si="10"/>
        <v>F</v>
      </c>
      <c r="M25" s="115" t="s">
        <v>705</v>
      </c>
      <c r="N25" s="116" t="str">
        <f t="shared" ca="1" si="11"/>
        <v>Serviço</v>
      </c>
      <c r="O25" s="117" t="str">
        <f t="shared" ca="1" si="12"/>
        <v>1.2.3.</v>
      </c>
      <c r="P25" s="688" t="s">
        <v>1064</v>
      </c>
      <c r="Q25" s="689" t="s">
        <v>1011</v>
      </c>
      <c r="R25" s="690" t="str" cm="1">
        <f t="array" aca="1" ref="R25" ca="1">IF($C25="S",REFERENCIA.Descricao,"(digite a descrição aqui)")</f>
        <v>LOCAÇÃO TOPOGRÁFICA ACIMA DE CINQUENTA (50) PONTOS REFERENCIAIS, INCLUSIVE ESTACA (PIQUETE) DE MARCAÇÃO</v>
      </c>
      <c r="S25" s="691" t="str" cm="1">
        <f t="array" aca="1" ref="S25" ca="1">REFERENCIA.Unidade</f>
        <v>un</v>
      </c>
      <c r="T25" s="122">
        <f ca="1">OFFSET(CÁLCULO!H$15,ROW($T25)-ROW(T$15),0)</f>
        <v>4</v>
      </c>
      <c r="U25" s="693">
        <f ca="1">AG25</f>
        <v>43.64</v>
      </c>
      <c r="V25" s="694" t="s">
        <v>663</v>
      </c>
      <c r="W25" s="122" cm="1">
        <f t="array" aca="1" ref="W25" ca="1">IF($C25="S",ROUND(IF(TIPOORCAMENTO="Proposto",ORÇAMENTO.CustoUnitario*(1+$AH25),ORÇAMENTO.PrecoUnitarioLicitado),15-13*$AF$10),0)</f>
        <v>54.11</v>
      </c>
      <c r="X25" s="125" cm="1">
        <f t="array" aca="1" ref="X25" ca="1">IF($C25="S",IF(OR(Import.TipoArredondamento&lt;&gt;"TransfereGOV",ACOMPANHAMENTO="BM"),VTOTAL1,SUM(OFFSET(CÁLCULO!$AI$15,ROW($X25)-ROW($X$15),1):OFFSET(CÁLCULO!$BB$15,ROW($X25)-ROW($X$15),-1))),IF($C25=0,0,ROUND(SomaAgrup,15-13*$AF$11)))</f>
        <v>216.44</v>
      </c>
      <c r="Y25" s="126" t="s">
        <v>751</v>
      </c>
      <c r="Z25" s="670" t="str">
        <f t="shared" ca="1" si="13"/>
        <v>RA</v>
      </c>
      <c r="AA25" s="127" cm="1">
        <f t="array" aca="1" ref="AA25" ca="1">IF($C25="S",IF($Z25="CP",$X25,IF($Z25="RA",(($X25)*QCI!$AA$3),0)),SomaAgrup)</f>
        <v>0</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s="670" t="str">
        <f ca="1">IF(C25&lt;=CRONO.NivelExibicao,MAX($AD$15:OFFSET(AD25,-1,0))+IF($C25&lt;&gt;1,1,MAX(1,COUNTIF(QCI!$A$13:$A$24,OFFSET($E25,-1,0)))),"")</f>
        <v/>
      </c>
      <c r="AE25" s="668" t="str" cm="1">
        <f t="array" aca="1" ref="AE25" ca="1">IF(AND($C25="S",ORÇAMENTO.CodBarra&lt;&gt;""),IF(ORÇAMENTO.Fonte="",ORÇAMENTO.CodBarra,CONCATENATE(ORÇAMENTO.Fonte," ",ORÇAMENTO.CodBarra)))</f>
        <v>SETOP ED-50276</v>
      </c>
      <c r="AF25" s="669"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18916</v>
      </c>
      <c r="AG25" s="428" cm="1">
        <f t="array" aca="1" ref="AG25" ca="1">ROUND(IF(DESONERACAO="sim",REFERENCIA.Desonerado,REFERENCIA.NaoDesonerado),2)</f>
        <v>43.64</v>
      </c>
      <c r="AH25" s="429">
        <f t="shared" ca="1" si="14"/>
        <v>0.24</v>
      </c>
      <c r="AJ25" s="431"/>
      <c r="AL25" s="439"/>
      <c r="AM25" s="336">
        <f t="shared" ca="1" si="0"/>
        <v>216.44</v>
      </c>
      <c r="AN25" s="470" cm="1">
        <f t="array" aca="1" ref="AN25" ca="1">ROUND(ORÇAMENTO.CustoUnitario*(1+$AH25),2)</f>
        <v>54.11</v>
      </c>
    </row>
    <row r="26" spans="1:40" s="670" customFormat="1" x14ac:dyDescent="0.2">
      <c r="A26" s="670" t="str">
        <f t="shared" si="1"/>
        <v>S</v>
      </c>
      <c r="B26" s="670">
        <f t="shared" ca="1" si="2"/>
        <v>2</v>
      </c>
      <c r="C26" s="670" t="str">
        <f t="shared" ca="1" si="3"/>
        <v>S</v>
      </c>
      <c r="D26" s="670">
        <f t="shared" ca="1" si="4"/>
        <v>0</v>
      </c>
      <c r="E26" s="670">
        <f ca="1">IF($C26=1,OFFSET(E26,-1,0)+MAX(1,COUNTIF(QCI!$A$13:$A$24,OFFSET(ORÇAMENTO!E26,-1,0))),OFFSET(E26,-1,0))</f>
        <v>1</v>
      </c>
      <c r="F26" s="670">
        <f t="shared" ca="1" si="5"/>
        <v>2</v>
      </c>
      <c r="G26" s="670">
        <f t="shared" ca="1" si="6"/>
        <v>0</v>
      </c>
      <c r="H26" s="670">
        <f t="shared" ca="1" si="7"/>
        <v>0</v>
      </c>
      <c r="I26" s="670">
        <f t="shared" ca="1" si="8"/>
        <v>4</v>
      </c>
      <c r="J26" s="670">
        <f t="shared" ca="1" si="9"/>
        <v>0</v>
      </c>
      <c r="K26" s="670">
        <f ca="1">IF(OR($C26="S",$C26=0),0,MATCH(OFFSET($D26,0,$C26)+IF($C26&lt;&gt;1,1,COUNTIF(QCI!$A$13:$A$24,ORÇAMENTO!E26)),OFFSET($D26,1,$C26,ROW($C$191)-ROW($C26)),0))</f>
        <v>0</v>
      </c>
      <c r="L26" s="114" t="str">
        <f t="shared" ca="1" si="10"/>
        <v>F</v>
      </c>
      <c r="M26" s="115" t="s">
        <v>705</v>
      </c>
      <c r="N26" s="116" t="str">
        <f t="shared" ca="1" si="11"/>
        <v>Serviço</v>
      </c>
      <c r="O26" s="117" t="str">
        <f t="shared" ca="1" si="12"/>
        <v>1.2.4.</v>
      </c>
      <c r="P26" s="688" t="s">
        <v>1064</v>
      </c>
      <c r="Q26" s="689" t="s">
        <v>1012</v>
      </c>
      <c r="R26" s="690" t="str" cm="1">
        <f t="array" aca="1" ref="R26" ca="1">IF($C26="S",REFERENCIA.Descricao,"(digite a descrição aqui)")</f>
        <v>LIMPEZA FINAL PARA ENTREGA DA OBRA</v>
      </c>
      <c r="S26" s="691" t="str" cm="1">
        <f t="array" aca="1" ref="S26" ca="1">REFERENCIA.Unidade</f>
        <v>m2</v>
      </c>
      <c r="T26" s="122">
        <f ca="1">OFFSET(CÁLCULO!H$15,ROW($T26)-ROW(T$15),0)</f>
        <v>834</v>
      </c>
      <c r="U26" s="693">
        <f ca="1">AG26</f>
        <v>8.32</v>
      </c>
      <c r="V26" s="694" t="s">
        <v>663</v>
      </c>
      <c r="W26" s="122" cm="1">
        <f t="array" aca="1" ref="W26" ca="1">IF($C26="S",ROUND(IF(TIPOORCAMENTO="Proposto",ORÇAMENTO.CustoUnitario*(1+$AH26),ORÇAMENTO.PrecoUnitarioLicitado),15-13*$AF$10),0)</f>
        <v>10.32</v>
      </c>
      <c r="X26" s="125" cm="1">
        <f t="array" aca="1" ref="X26" ca="1">IF($C26="S",IF(OR(Import.TipoArredondamento&lt;&gt;"TransfereGOV",ACOMPANHAMENTO="BM"),VTOTAL1,SUM(OFFSET(CÁLCULO!$AI$15,ROW($X26)-ROW($X$15),1):OFFSET(CÁLCULO!$BB$15,ROW($X26)-ROW($X$15),-1))),IF($C26=0,0,ROUND(SomaAgrup,15-13*$AF$11)))</f>
        <v>8606.8799999999992</v>
      </c>
      <c r="Y26" s="126" t="s">
        <v>751</v>
      </c>
      <c r="Z26" s="670" t="str">
        <f t="shared" ca="1" si="13"/>
        <v>RA</v>
      </c>
      <c r="AA26" s="127" cm="1">
        <f t="array" aca="1" ref="AA26" ca="1">IF($C26="S",IF($Z26="CP",$X26,IF($Z26="RA",(($X26)*QCI!$AA$3),0)),SomaAgrup)</f>
        <v>0</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s="670" t="str">
        <f ca="1">IF(C26&lt;=CRONO.NivelExibicao,MAX($AD$15:OFFSET(AD26,-1,0))+IF($C26&lt;&gt;1,1,MAX(1,COUNTIF(QCI!$A$13:$A$24,OFFSET($E26,-1,0)))),"")</f>
        <v/>
      </c>
      <c r="AE26" s="668" t="str" cm="1">
        <f t="array" aca="1" ref="AE26" ca="1">IF(AND($C26="S",ORÇAMENTO.CodBarra&lt;&gt;""),IF(ORÇAMENTO.Fonte="",ORÇAMENTO.CodBarra,CONCATENATE(ORÇAMENTO.Fonte," ",ORÇAMENTO.CodBarra)))</f>
        <v>SETOP ED-50266</v>
      </c>
      <c r="AF26" s="669"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21617</v>
      </c>
      <c r="AG26" s="428" cm="1">
        <f t="array" aca="1" ref="AG26" ca="1">ROUND(IF(DESONERACAO="sim",REFERENCIA.Desonerado,REFERENCIA.NaoDesonerado),2)</f>
        <v>8.32</v>
      </c>
      <c r="AH26" s="429">
        <f t="shared" ca="1" si="14"/>
        <v>0.24</v>
      </c>
      <c r="AJ26" s="431"/>
      <c r="AL26" s="439"/>
      <c r="AM26" s="336">
        <f t="shared" ca="1" si="0"/>
        <v>8606.8799999999992</v>
      </c>
      <c r="AN26" s="470" cm="1">
        <f t="array" aca="1" ref="AN26" ca="1">ROUND(ORÇAMENTO.CustoUnitario*(1+$AH26),2)</f>
        <v>10.32</v>
      </c>
    </row>
    <row r="27" spans="1:40" s="670" customFormat="1" x14ac:dyDescent="0.2">
      <c r="A27" s="670">
        <f t="shared" si="1"/>
        <v>2</v>
      </c>
      <c r="B27" s="670">
        <f t="shared" ca="1" si="2"/>
        <v>2</v>
      </c>
      <c r="C27" s="670">
        <f t="shared" ca="1" si="3"/>
        <v>2</v>
      </c>
      <c r="D27" s="670">
        <f t="shared" ca="1" si="4"/>
        <v>5</v>
      </c>
      <c r="E27" s="670">
        <f ca="1">IF($C27=1,OFFSET(E27,-1,0)+MAX(1,COUNTIF(QCI!$A$13:$A$24,OFFSET(ORÇAMENTO!E27,-1,0))),OFFSET(E27,-1,0))</f>
        <v>1</v>
      </c>
      <c r="F27" s="670">
        <f t="shared" ca="1" si="5"/>
        <v>3</v>
      </c>
      <c r="G27" s="670">
        <f t="shared" ca="1" si="6"/>
        <v>0</v>
      </c>
      <c r="H27" s="670">
        <f t="shared" ca="1" si="7"/>
        <v>0</v>
      </c>
      <c r="I27" s="670">
        <f t="shared" ca="1" si="8"/>
        <v>0</v>
      </c>
      <c r="J27" s="670">
        <f t="shared" ca="1" si="9"/>
        <v>164</v>
      </c>
      <c r="K27" s="670">
        <f ca="1">IF(OR($C27="S",$C27=0),0,MATCH(OFFSET($D27,0,$C27)+IF($C27&lt;&gt;1,1,COUNTIF(QCI!$A$13:$A$24,ORÇAMENTO!E27)),OFFSET($D27,1,$C27,ROW($C$191)-ROW($C27)),0))</f>
        <v>5</v>
      </c>
      <c r="L27" s="114" t="str">
        <f t="shared" ca="1" si="10"/>
        <v>F</v>
      </c>
      <c r="M27" s="115" t="s">
        <v>702</v>
      </c>
      <c r="N27" s="116" t="str">
        <f t="shared" ca="1" si="11"/>
        <v>Nível 2</v>
      </c>
      <c r="O27" s="117" t="str">
        <f t="shared" ca="1" si="12"/>
        <v>1.3.</v>
      </c>
      <c r="P27" s="688" t="s">
        <v>250</v>
      </c>
      <c r="Q27" s="689" t="s">
        <v>250</v>
      </c>
      <c r="R27" s="690" t="s">
        <v>1078</v>
      </c>
      <c r="S27" s="691" t="s">
        <v>688</v>
      </c>
      <c r="T27" s="122">
        <f ca="1">OFFSET(CÁLCULO!H$15,ROW($T27)-ROW(T$15),0)</f>
        <v>0</v>
      </c>
      <c r="U27" s="693">
        <f t="shared" ca="1" si="15"/>
        <v>0</v>
      </c>
      <c r="V27" s="694" t="s">
        <v>663</v>
      </c>
      <c r="W27" s="122" cm="1">
        <f t="array" aca="1" ref="W27" ca="1">IF($C27="S",ROUND(IF(TIPOORCAMENTO="Proposto",ORÇAMENTO.CustoUnitario*(1+$AH27),ORÇAMENTO.PrecoUnitarioLicitado),15-13*$AF$10),0)</f>
        <v>0</v>
      </c>
      <c r="X27" s="125" cm="1">
        <f t="array" aca="1" ref="X27" ca="1">IF($C27="S",IF(OR(Import.TipoArredondamento&lt;&gt;"TransfereGOV",ACOMPANHAMENTO="BM"),VTOTAL1,SUM(OFFSET(CÁLCULO!$AI$15,ROW($X27)-ROW($X$15),1):OFFSET(CÁLCULO!$BB$15,ROW($X27)-ROW($X$15),-1))),IF($C27=0,0,ROUND(SomaAgrup,15-13*$AF$11)))</f>
        <v>239264.48</v>
      </c>
      <c r="Y27" s="126" t="s">
        <v>751</v>
      </c>
      <c r="Z27" s="670" t="str">
        <f t="shared" ca="1" si="13"/>
        <v/>
      </c>
      <c r="AA27" s="127" cm="1">
        <f t="array" aca="1" ref="AA27" ca="1">IF($C27="S",IF($Z27="CP",$X27,IF($Z27="RA",(($X27)*QCI!$AA$3),0)),SomaAgrup)</f>
        <v>0</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s="670">
        <f ca="1">IF(C27&lt;=CRONO.NivelExibicao,MAX($AD$15:OFFSET(AD27,-1,0))+IF($C27&lt;&gt;1,1,MAX(1,COUNTIF(QCI!$A$13:$A$24,OFFSET($E27,-1,0)))),"")</f>
        <v>4</v>
      </c>
      <c r="AE27" s="668" t="b" cm="1">
        <f t="array" aca="1" ref="AE27" ca="1">IF(AND($C27="S",ORÇAMENTO.CodBarra&lt;&gt;""),IF(ORÇAMENTO.Fonte="",ORÇAMENTO.CodBarra,CONCATENATE(ORÇAMENTO.Fonte," ",ORÇAMENTO.CodBarra)))</f>
        <v>0</v>
      </c>
      <c r="AF27" s="669" t="str"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(Sem Código)</v>
      </c>
      <c r="AG27" s="428" cm="1">
        <f t="array" aca="1" ref="AG27" ca="1">ROUND(IF(DESONERACAO="sim",REFERENCIA.Desonerado,REFERENCIA.NaoDesonerado),2)</f>
        <v>0</v>
      </c>
      <c r="AH27" s="429">
        <f t="shared" ca="1" si="14"/>
        <v>0.24</v>
      </c>
      <c r="AJ27" s="431"/>
      <c r="AL27" s="439"/>
      <c r="AM27" s="336">
        <f t="shared" ca="1" si="0"/>
        <v>239264.48</v>
      </c>
      <c r="AN27" s="470" cm="1">
        <f t="array" aca="1" ref="AN27" ca="1">ROUND(ORÇAMENTO.CustoUnitario*(1+$AH27),2)</f>
        <v>0</v>
      </c>
    </row>
    <row r="28" spans="1:40" s="670" customFormat="1" x14ac:dyDescent="0.2">
      <c r="A28" s="670" t="str">
        <f t="shared" si="1"/>
        <v>S</v>
      </c>
      <c r="B28" s="670">
        <f t="shared" ca="1" si="2"/>
        <v>2</v>
      </c>
      <c r="C28" s="670" t="str">
        <f t="shared" ca="1" si="3"/>
        <v>S</v>
      </c>
      <c r="D28" s="670">
        <f t="shared" ca="1" si="4"/>
        <v>0</v>
      </c>
      <c r="E28" s="670">
        <f ca="1">IF($C28=1,OFFSET(E28,-1,0)+MAX(1,COUNTIF(QCI!$A$13:$A$24,OFFSET(ORÇAMENTO!E28,-1,0))),OFFSET(E28,-1,0))</f>
        <v>1</v>
      </c>
      <c r="F28" s="670">
        <f t="shared" ca="1" si="5"/>
        <v>3</v>
      </c>
      <c r="G28" s="670">
        <f t="shared" ca="1" si="6"/>
        <v>0</v>
      </c>
      <c r="H28" s="670">
        <f t="shared" ca="1" si="7"/>
        <v>0</v>
      </c>
      <c r="I28" s="670">
        <f t="shared" ca="1" si="8"/>
        <v>1</v>
      </c>
      <c r="J28" s="670">
        <f t="shared" ca="1" si="9"/>
        <v>0</v>
      </c>
      <c r="K28" s="670">
        <f ca="1">IF(OR($C28="S",$C28=0),0,MATCH(OFFSET($D28,0,$C28)+IF($C28&lt;&gt;1,1,COUNTIF(QCI!$A$13:$A$24,ORÇAMENTO!E28)),OFFSET($D28,1,$C28,ROW($C$191)-ROW($C28)),0))</f>
        <v>0</v>
      </c>
      <c r="L28" s="114" t="str">
        <f t="shared" ca="1" si="10"/>
        <v>F</v>
      </c>
      <c r="M28" s="115" t="s">
        <v>705</v>
      </c>
      <c r="N28" s="116" t="str">
        <f t="shared" ca="1" si="11"/>
        <v>Serviço</v>
      </c>
      <c r="O28" s="117" t="str">
        <f t="shared" ca="1" si="12"/>
        <v>1.3.1.</v>
      </c>
      <c r="P28" s="688" t="s">
        <v>750</v>
      </c>
      <c r="Q28" s="689" t="s">
        <v>1215</v>
      </c>
      <c r="R28" s="690" t="str" cm="1">
        <f t="array" aca="1" ref="R28" ca="1">IF($C28="S",REFERENCIA.Descricao,"(digite a descrição aqui)")</f>
        <v>TOPOGRAFO COM ENCARGOS COMPLEMENTARES</v>
      </c>
      <c r="S28" s="691" t="str" cm="1">
        <f t="array" aca="1" ref="S28" ca="1">REFERENCIA.Unidade</f>
        <v>MES</v>
      </c>
      <c r="T28" s="122">
        <f ca="1">OFFSET(CÁLCULO!H$15,ROW($T28)-ROW(T$15),0)</f>
        <v>0.2</v>
      </c>
      <c r="U28" s="693">
        <f ca="1">AG28</f>
        <v>8904.85</v>
      </c>
      <c r="V28" s="694" t="s">
        <v>663</v>
      </c>
      <c r="W28" s="122" cm="1">
        <f t="array" aca="1" ref="W28" ca="1">IF($C28="S",ROUND(IF(TIPOORCAMENTO="Proposto",ORÇAMENTO.CustoUnitario*(1+$AH28),ORÇAMENTO.PrecoUnitarioLicitado),15-13*$AF$10),0)</f>
        <v>11042.01</v>
      </c>
      <c r="X28" s="125" cm="1">
        <f t="array" aca="1" ref="X28" ca="1">IF($C28="S",IF(OR(Import.TipoArredondamento&lt;&gt;"TransfereGOV",ACOMPANHAMENTO="BM"),VTOTAL1,SUM(OFFSET(CÁLCULO!$AI$15,ROW($X28)-ROW($X$15),1):OFFSET(CÁLCULO!$BB$15,ROW($X28)-ROW($X$15),-1))),IF($C28=0,0,ROUND(SomaAgrup,15-13*$AF$11)))</f>
        <v>2208.4</v>
      </c>
      <c r="Y28" s="126" t="s">
        <v>751</v>
      </c>
      <c r="Z28" s="670" t="str">
        <f t="shared" ca="1" si="13"/>
        <v>RA</v>
      </c>
      <c r="AA28" s="127" cm="1">
        <f t="array" aca="1" ref="AA28" ca="1">IF($C28="S",IF($Z28="CP",$X28,IF($Z28="RA",(($X28)*QCI!$AA$3),0)),SomaAgrup)</f>
        <v>0</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s="670" t="str">
        <f ca="1">IF(C28&lt;=CRONO.NivelExibicao,MAX($AD$15:OFFSET(AD28,-1,0))+IF($C28&lt;&gt;1,1,MAX(1,COUNTIF(QCI!$A$13:$A$24,OFFSET($E28,-1,0)))),"")</f>
        <v/>
      </c>
      <c r="AE28" s="668" t="str" cm="1">
        <f t="array" aca="1" ref="AE28" ca="1">IF(AND($C28="S",ORÇAMENTO.CodBarra&lt;&gt;""),IF(ORÇAMENTO.Fonte="",ORÇAMENTO.CodBarra,CONCATENATE(ORÇAMENTO.Fonte," ",ORÇAMENTO.CodBarra)))</f>
        <v>SINAPI 94296</v>
      </c>
      <c r="AF28" s="669"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13430</v>
      </c>
      <c r="AG28" s="428" cm="1">
        <f t="array" aca="1" ref="AG28" ca="1">ROUND(IF(DESONERACAO="sim",REFERENCIA.Desonerado,REFERENCIA.NaoDesonerado),2)</f>
        <v>8904.85</v>
      </c>
      <c r="AH28" s="429">
        <f t="shared" ca="1" si="14"/>
        <v>0.24</v>
      </c>
      <c r="AJ28" s="431"/>
      <c r="AL28" s="439"/>
      <c r="AM28" s="336">
        <f t="shared" ca="1" si="0"/>
        <v>2208.4</v>
      </c>
      <c r="AN28" s="470" cm="1">
        <f t="array" aca="1" ref="AN28" ca="1">ROUND(ORÇAMENTO.CustoUnitario*(1+$AH28),2)</f>
        <v>11042.01</v>
      </c>
    </row>
    <row r="29" spans="1:40" s="670" customFormat="1" ht="25.5" x14ac:dyDescent="0.2">
      <c r="A29" s="670" t="str">
        <f t="shared" si="1"/>
        <v>S</v>
      </c>
      <c r="B29" s="670">
        <f t="shared" ca="1" si="2"/>
        <v>2</v>
      </c>
      <c r="C29" s="670" t="str">
        <f t="shared" ca="1" si="3"/>
        <v>S</v>
      </c>
      <c r="D29" s="670">
        <f t="shared" ca="1" si="4"/>
        <v>0</v>
      </c>
      <c r="E29" s="670">
        <f ca="1">IF($C29=1,OFFSET(E29,-1,0)+MAX(1,COUNTIF(QCI!$A$13:$A$24,OFFSET(ORÇAMENTO!E29,-1,0))),OFFSET(E29,-1,0))</f>
        <v>1</v>
      </c>
      <c r="F29" s="670">
        <f t="shared" ca="1" si="5"/>
        <v>3</v>
      </c>
      <c r="G29" s="670">
        <f t="shared" ca="1" si="6"/>
        <v>0</v>
      </c>
      <c r="H29" s="670">
        <f t="shared" ca="1" si="7"/>
        <v>0</v>
      </c>
      <c r="I29" s="670">
        <f t="shared" ca="1" si="8"/>
        <v>2</v>
      </c>
      <c r="J29" s="670">
        <f t="shared" ca="1" si="9"/>
        <v>0</v>
      </c>
      <c r="K29" s="670">
        <f ca="1">IF(OR($C29="S",$C29=0),0,MATCH(OFFSET($D29,0,$C29)+IF($C29&lt;&gt;1,1,COUNTIF(QCI!$A$13:$A$24,ORÇAMENTO!E29)),OFFSET($D29,1,$C29,ROW($C$191)-ROW($C29)),0))</f>
        <v>0</v>
      </c>
      <c r="L29" s="114" t="str">
        <f t="shared" ca="1" si="10"/>
        <v>F</v>
      </c>
      <c r="M29" s="115" t="s">
        <v>705</v>
      </c>
      <c r="N29" s="116" t="str">
        <f t="shared" ca="1" si="11"/>
        <v>Serviço</v>
      </c>
      <c r="O29" s="117" t="str">
        <f t="shared" ca="1" si="12"/>
        <v>1.3.2.</v>
      </c>
      <c r="P29" s="688" t="s">
        <v>750</v>
      </c>
      <c r="Q29" s="689" t="s">
        <v>1217</v>
      </c>
      <c r="R29" s="690" t="str" cm="1">
        <f t="array" aca="1" ref="R29" ca="1">IF($C29="S",REFERENCIA.Descricao,"(digite a descrição aqui)")</f>
        <v>TÉCNICO EM SEGURANÇA DO TRABALHO COM ENCARGOS COMPLEMENTARES</v>
      </c>
      <c r="S29" s="691" t="str" cm="1">
        <f t="array" aca="1" ref="S29" ca="1">REFERENCIA.Unidade</f>
        <v>MES</v>
      </c>
      <c r="T29" s="122">
        <f ca="1">OFFSET(CÁLCULO!H$15,ROW($T29)-ROW(T$15),0)</f>
        <v>0.2</v>
      </c>
      <c r="U29" s="693">
        <f ca="1">AG29</f>
        <v>8570.4599999999991</v>
      </c>
      <c r="V29" s="694" t="s">
        <v>663</v>
      </c>
      <c r="W29" s="122" cm="1">
        <f t="array" aca="1" ref="W29" ca="1">IF($C29="S",ROUND(IF(TIPOORCAMENTO="Proposto",ORÇAMENTO.CustoUnitario*(1+$AH29),ORÇAMENTO.PrecoUnitarioLicitado),15-13*$AF$10),0)</f>
        <v>10627.37</v>
      </c>
      <c r="X29" s="125" cm="1">
        <f t="array" aca="1" ref="X29" ca="1">IF($C29="S",IF(OR(Import.TipoArredondamento&lt;&gt;"TransfereGOV",ACOMPANHAMENTO="BM"),VTOTAL1,SUM(OFFSET(CÁLCULO!$AI$15,ROW($X29)-ROW($X$15),1):OFFSET(CÁLCULO!$BB$15,ROW($X29)-ROW($X$15),-1))),IF($C29=0,0,ROUND(SomaAgrup,15-13*$AF$11)))</f>
        <v>2125.46</v>
      </c>
      <c r="Y29" s="126" t="s">
        <v>751</v>
      </c>
      <c r="Z29" s="670" t="str">
        <f t="shared" ca="1" si="13"/>
        <v>RA</v>
      </c>
      <c r="AA29" s="127" cm="1">
        <f t="array" aca="1" ref="AA29" ca="1">IF($C29="S",IF($Z29="CP",$X29,IF($Z29="RA",(($X29)*QCI!$AA$3),0)),SomaAgrup)</f>
        <v>0</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s="670" t="str">
        <f ca="1">IF(C29&lt;=CRONO.NivelExibicao,MAX($AD$15:OFFSET(AD29,-1,0))+IF($C29&lt;&gt;1,1,MAX(1,COUNTIF(QCI!$A$13:$A$24,OFFSET($E29,-1,0)))),"")</f>
        <v/>
      </c>
      <c r="AE29" s="668" t="str" cm="1">
        <f t="array" aca="1" ref="AE29" ca="1">IF(AND($C29="S",ORÇAMENTO.CodBarra&lt;&gt;""),IF(ORÇAMENTO.Fonte="",ORÇAMENTO.CodBarra,CONCATENATE(ORÇAMENTO.Fonte," ",ORÇAMENTO.CodBarra)))</f>
        <v>SINAPI 100321</v>
      </c>
      <c r="AF29" s="669"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13435</v>
      </c>
      <c r="AG29" s="428" cm="1">
        <f t="array" aca="1" ref="AG29" ca="1">ROUND(IF(DESONERACAO="sim",REFERENCIA.Desonerado,REFERENCIA.NaoDesonerado),2)</f>
        <v>8570.4599999999991</v>
      </c>
      <c r="AH29" s="429">
        <f t="shared" ca="1" si="14"/>
        <v>0.24</v>
      </c>
      <c r="AJ29" s="431"/>
      <c r="AL29" s="439"/>
      <c r="AM29" s="336">
        <f t="shared" ca="1" si="0"/>
        <v>2125.46</v>
      </c>
      <c r="AN29" s="470" cm="1">
        <f t="array" aca="1" ref="AN29" ca="1">ROUND(ORÇAMENTO.CustoUnitario*(1+$AH29),2)</f>
        <v>10627.37</v>
      </c>
    </row>
    <row r="30" spans="1:40" s="670" customFormat="1" ht="25.5" x14ac:dyDescent="0.2">
      <c r="A30" s="670" t="str">
        <f t="shared" si="1"/>
        <v>S</v>
      </c>
      <c r="B30" s="670">
        <f t="shared" ca="1" si="2"/>
        <v>2</v>
      </c>
      <c r="C30" s="670" t="str">
        <f t="shared" ca="1" si="3"/>
        <v>S</v>
      </c>
      <c r="D30" s="670">
        <f t="shared" ca="1" si="4"/>
        <v>0</v>
      </c>
      <c r="E30" s="670">
        <f ca="1">IF($C30=1,OFFSET(E30,-1,0)+MAX(1,COUNTIF(QCI!$A$13:$A$24,OFFSET(ORÇAMENTO!E30,-1,0))),OFFSET(E30,-1,0))</f>
        <v>1</v>
      </c>
      <c r="F30" s="670">
        <f t="shared" ca="1" si="5"/>
        <v>3</v>
      </c>
      <c r="G30" s="670">
        <f t="shared" ca="1" si="6"/>
        <v>0</v>
      </c>
      <c r="H30" s="670">
        <f t="shared" ca="1" si="7"/>
        <v>0</v>
      </c>
      <c r="I30" s="670">
        <f t="shared" ca="1" si="8"/>
        <v>3</v>
      </c>
      <c r="J30" s="670">
        <f t="shared" ca="1" si="9"/>
        <v>0</v>
      </c>
      <c r="K30" s="670">
        <f ca="1">IF(OR($C30="S",$C30=0),0,MATCH(OFFSET($D30,0,$C30)+IF($C30&lt;&gt;1,1,COUNTIF(QCI!$A$13:$A$24,ORÇAMENTO!E30)),OFFSET($D30,1,$C30,ROW($C$191)-ROW($C30)),0))</f>
        <v>0</v>
      </c>
      <c r="L30" s="114" t="str">
        <f t="shared" ca="1" si="10"/>
        <v>F</v>
      </c>
      <c r="M30" s="115" t="s">
        <v>705</v>
      </c>
      <c r="N30" s="116" t="str">
        <f t="shared" ca="1" si="11"/>
        <v>Serviço</v>
      </c>
      <c r="O30" s="117" t="str">
        <f t="shared" ca="1" si="12"/>
        <v>1.3.3.</v>
      </c>
      <c r="P30" s="688" t="s">
        <v>750</v>
      </c>
      <c r="Q30" s="689" t="s">
        <v>1213</v>
      </c>
      <c r="R30" s="690" t="str" cm="1">
        <f t="array" aca="1" ref="R30" ca="1">IF($C30="S",REFERENCIA.Descricao,"(digite a descrição aqui)")</f>
        <v>ENCARREGADO GERAL DE OBRAS COM ENCARGOS COMPLEMENTARES</v>
      </c>
      <c r="S30" s="691" t="str" cm="1">
        <f t="array" aca="1" ref="S30" ca="1">REFERENCIA.Unidade</f>
        <v>MES</v>
      </c>
      <c r="T30" s="122">
        <f ca="1">OFFSET(CÁLCULO!H$15,ROW($T30)-ROW(T$15),0)</f>
        <v>12</v>
      </c>
      <c r="U30" s="693">
        <f ca="1">AG30</f>
        <v>11519.29</v>
      </c>
      <c r="V30" s="694" t="s">
        <v>663</v>
      </c>
      <c r="W30" s="122" cm="1">
        <f t="array" aca="1" ref="W30" ca="1">IF($C30="S",ROUND(IF(TIPOORCAMENTO="Proposto",ORÇAMENTO.CustoUnitario*(1+$AH30),ORÇAMENTO.PrecoUnitarioLicitado),15-13*$AF$10),0)</f>
        <v>14283.92</v>
      </c>
      <c r="X30" s="125" cm="1">
        <f t="array" aca="1" ref="X30" ca="1">IF($C30="S",IF(OR(Import.TipoArredondamento&lt;&gt;"TransfereGOV",ACOMPANHAMENTO="BM"),VTOTAL1,SUM(OFFSET(CÁLCULO!$AI$15,ROW($X30)-ROW($X$15),1):OFFSET(CÁLCULO!$BB$15,ROW($X30)-ROW($X$15),-1))),IF($C30=0,0,ROUND(SomaAgrup,15-13*$AF$11)))</f>
        <v>171407.03000000003</v>
      </c>
      <c r="Y30" s="126" t="s">
        <v>751</v>
      </c>
      <c r="Z30" s="670" t="str">
        <f t="shared" ca="1" si="13"/>
        <v>RA</v>
      </c>
      <c r="AA30" s="127" cm="1">
        <f t="array" aca="1" ref="AA30" ca="1">IF($C30="S",IF($Z30="CP",$X30,IF($Z30="RA",(($X30)*QCI!$AA$3),0)),SomaAgrup)</f>
        <v>0</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s="670" t="str">
        <f ca="1">IF(C30&lt;=CRONO.NivelExibicao,MAX($AD$15:OFFSET(AD30,-1,0))+IF($C30&lt;&gt;1,1,MAX(1,COUNTIF(QCI!$A$13:$A$24,OFFSET($E30,-1,0)))),"")</f>
        <v/>
      </c>
      <c r="AE30" s="668" t="str" cm="1">
        <f t="array" aca="1" ref="AE30" ca="1">IF(AND($C30="S",ORÇAMENTO.CodBarra&lt;&gt;""),IF(ORÇAMENTO.Fonte="",ORÇAMENTO.CodBarra,CONCATENATE(ORÇAMENTO.Fonte," ",ORÇAMENTO.CodBarra)))</f>
        <v>SINAPI 93572</v>
      </c>
      <c r="AF30" s="669"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13323</v>
      </c>
      <c r="AG30" s="428" cm="1">
        <f t="array" aca="1" ref="AG30" ca="1">ROUND(IF(DESONERACAO="sim",REFERENCIA.Desonerado,REFERENCIA.NaoDesonerado),2)</f>
        <v>11519.29</v>
      </c>
      <c r="AH30" s="429">
        <f t="shared" ca="1" si="14"/>
        <v>0.24</v>
      </c>
      <c r="AJ30" s="431"/>
      <c r="AL30" s="439"/>
      <c r="AM30" s="336">
        <f t="shared" ca="1" si="0"/>
        <v>171407.03000000003</v>
      </c>
      <c r="AN30" s="470" cm="1">
        <f t="array" aca="1" ref="AN30" ca="1">ROUND(ORÇAMENTO.CustoUnitario*(1+$AH30),2)</f>
        <v>14283.92</v>
      </c>
    </row>
    <row r="31" spans="1:40" s="670" customFormat="1" ht="25.5" x14ac:dyDescent="0.2">
      <c r="A31" s="670" t="str">
        <f t="shared" si="1"/>
        <v>S</v>
      </c>
      <c r="B31" s="670">
        <f t="shared" ca="1" si="2"/>
        <v>2</v>
      </c>
      <c r="C31" s="670" t="str">
        <f t="shared" ca="1" si="3"/>
        <v>S</v>
      </c>
      <c r="D31" s="670">
        <f t="shared" ca="1" si="4"/>
        <v>0</v>
      </c>
      <c r="E31" s="670">
        <f ca="1">IF($C31=1,OFFSET(E31,-1,0)+MAX(1,COUNTIF(QCI!$A$13:$A$24,OFFSET(ORÇAMENTO!E31,-1,0))),OFFSET(E31,-1,0))</f>
        <v>1</v>
      </c>
      <c r="F31" s="670">
        <f t="shared" ca="1" si="5"/>
        <v>3</v>
      </c>
      <c r="G31" s="670">
        <f t="shared" ca="1" si="6"/>
        <v>0</v>
      </c>
      <c r="H31" s="670">
        <f t="shared" ca="1" si="7"/>
        <v>0</v>
      </c>
      <c r="I31" s="670">
        <f t="shared" ca="1" si="8"/>
        <v>4</v>
      </c>
      <c r="J31" s="670">
        <f t="shared" ca="1" si="9"/>
        <v>0</v>
      </c>
      <c r="K31" s="670">
        <f ca="1">IF(OR($C31="S",$C31=0),0,MATCH(OFFSET($D31,0,$C31)+IF($C31&lt;&gt;1,1,COUNTIF(QCI!$A$13:$A$24,ORÇAMENTO!E31)),OFFSET($D31,1,$C31,ROW($C$191)-ROW($C31)),0))</f>
        <v>0</v>
      </c>
      <c r="L31" s="114" t="str">
        <f t="shared" ca="1" si="10"/>
        <v>F</v>
      </c>
      <c r="M31" s="115" t="s">
        <v>705</v>
      </c>
      <c r="N31" s="116" t="str">
        <f t="shared" ca="1" si="11"/>
        <v>Serviço</v>
      </c>
      <c r="O31" s="117" t="str">
        <f t="shared" ca="1" si="12"/>
        <v>1.3.4.</v>
      </c>
      <c r="P31" s="688" t="s">
        <v>750</v>
      </c>
      <c r="Q31" s="689" t="s">
        <v>1214</v>
      </c>
      <c r="R31" s="690" t="str" cm="1">
        <f t="array" aca="1" ref="R31" ca="1">IF($C31="S",REFERENCIA.Descricao,"(digite a descrição aqui)")</f>
        <v>ENGENHEIRO CIVIL DE OBRA PLENO COM ENCARGOS COMPLEMENTARES</v>
      </c>
      <c r="S31" s="691" t="str" cm="1">
        <f t="array" aca="1" ref="S31" ca="1">REFERENCIA.Unidade</f>
        <v>MES</v>
      </c>
      <c r="T31" s="122">
        <f ca="1">OFFSET(CÁLCULO!H$15,ROW($T31)-ROW(T$15),0)</f>
        <v>2</v>
      </c>
      <c r="U31" s="693">
        <f t="shared" ca="1" si="15"/>
        <v>25614.35</v>
      </c>
      <c r="V31" s="694" t="s">
        <v>663</v>
      </c>
      <c r="W31" s="122" cm="1">
        <f t="array" aca="1" ref="W31" ca="1">IF($C31="S",ROUND(IF(TIPOORCAMENTO="Proposto",ORÇAMENTO.CustoUnitario*(1+$AH31),ORÇAMENTO.PrecoUnitarioLicitado),15-13*$AF$10),0)</f>
        <v>31761.79</v>
      </c>
      <c r="X31" s="125" cm="1">
        <f t="array" aca="1" ref="X31" ca="1">IF($C31="S",IF(OR(Import.TipoArredondamento&lt;&gt;"TransfereGOV",ACOMPANHAMENTO="BM"),VTOTAL1,SUM(OFFSET(CÁLCULO!$AI$15,ROW($X31)-ROW($X$15),1):OFFSET(CÁLCULO!$BB$15,ROW($X31)-ROW($X$15),-1))),IF($C31=0,0,ROUND(SomaAgrup,15-13*$AF$11)))</f>
        <v>63523.590000000004</v>
      </c>
      <c r="Y31" s="126" t="s">
        <v>751</v>
      </c>
      <c r="Z31" s="670" t="str">
        <f t="shared" ca="1" si="13"/>
        <v>RA</v>
      </c>
      <c r="AA31" s="127" cm="1">
        <f t="array" aca="1" ref="AA31" ca="1">IF($C31="S",IF($Z31="CP",$X31,IF($Z31="RA",(($X31)*QCI!$AA$3),0)),SomaAgrup)</f>
        <v>0</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s="670" t="str">
        <f ca="1">IF(C31&lt;=CRONO.NivelExibicao,MAX($AD$15:OFFSET(AD31,-1,0))+IF($C31&lt;&gt;1,1,MAX(1,COUNTIF(QCI!$A$13:$A$24,OFFSET($E31,-1,0)))),"")</f>
        <v/>
      </c>
      <c r="AE31" s="668" t="str" cm="1">
        <f t="array" aca="1" ref="AE31" ca="1">IF(AND($C31="S",ORÇAMENTO.CodBarra&lt;&gt;""),IF(ORÇAMENTO.Fonte="",ORÇAMENTO.CodBarra,CONCATENATE(ORÇAMENTO.Fonte," ",ORÇAMENTO.CodBarra)))</f>
        <v>SINAPI 93567</v>
      </c>
      <c r="AF31" s="669"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13327</v>
      </c>
      <c r="AG31" s="428" cm="1">
        <f t="array" aca="1" ref="AG31" ca="1">ROUND(IF(DESONERACAO="sim",REFERENCIA.Desonerado,REFERENCIA.NaoDesonerado),2)</f>
        <v>25614.35</v>
      </c>
      <c r="AH31" s="429">
        <f t="shared" ca="1" si="14"/>
        <v>0.24</v>
      </c>
      <c r="AJ31" s="431"/>
      <c r="AL31" s="439"/>
      <c r="AM31" s="336">
        <f t="shared" ca="1" si="0"/>
        <v>63523.590000000004</v>
      </c>
      <c r="AN31" s="470" cm="1">
        <f t="array" aca="1" ref="AN31" ca="1">ROUND(ORÇAMENTO.CustoUnitario*(1+$AH31),2)</f>
        <v>31761.79</v>
      </c>
    </row>
    <row r="32" spans="1:40" s="670" customFormat="1" x14ac:dyDescent="0.2">
      <c r="A32" s="670">
        <f t="shared" si="1"/>
        <v>2</v>
      </c>
      <c r="B32" s="670">
        <f t="shared" ca="1" si="2"/>
        <v>2</v>
      </c>
      <c r="C32" s="670">
        <f t="shared" ca="1" si="3"/>
        <v>2</v>
      </c>
      <c r="D32" s="670">
        <f t="shared" ca="1" si="4"/>
        <v>6</v>
      </c>
      <c r="E32" s="670">
        <f ca="1">IF($C32=1,OFFSET(E32,-1,0)+MAX(1,COUNTIF(QCI!$A$13:$A$24,OFFSET(ORÇAMENTO!E32,-1,0))),OFFSET(E32,-1,0))</f>
        <v>1</v>
      </c>
      <c r="F32" s="670">
        <f t="shared" ca="1" si="5"/>
        <v>4</v>
      </c>
      <c r="G32" s="670">
        <f t="shared" ca="1" si="6"/>
        <v>0</v>
      </c>
      <c r="H32" s="670">
        <f t="shared" ca="1" si="7"/>
        <v>0</v>
      </c>
      <c r="I32" s="670">
        <f t="shared" ca="1" si="8"/>
        <v>0</v>
      </c>
      <c r="J32" s="670">
        <f t="shared" ca="1" si="9"/>
        <v>159</v>
      </c>
      <c r="K32" s="670">
        <f ca="1">IF(OR($C32="S",$C32=0),0,MATCH(OFFSET($D32,0,$C32)+IF($C32&lt;&gt;1,1,COUNTIF(QCI!$A$13:$A$24,ORÇAMENTO!E32)),OFFSET($D32,1,$C32,ROW($C$191)-ROW($C32)),0))</f>
        <v>6</v>
      </c>
      <c r="L32" s="114" t="str">
        <f t="shared" ca="1" si="10"/>
        <v>F</v>
      </c>
      <c r="M32" s="115" t="s">
        <v>702</v>
      </c>
      <c r="N32" s="116" t="str">
        <f t="shared" ca="1" si="11"/>
        <v>Nível 2</v>
      </c>
      <c r="O32" s="117" t="str">
        <f t="shared" ca="1" si="12"/>
        <v>1.4.</v>
      </c>
      <c r="P32" s="688" t="s">
        <v>250</v>
      </c>
      <c r="Q32" s="689" t="s">
        <v>250</v>
      </c>
      <c r="R32" s="690" t="s">
        <v>1297</v>
      </c>
      <c r="S32" s="691" t="s">
        <v>688</v>
      </c>
      <c r="T32" s="122">
        <f ca="1">OFFSET(CÁLCULO!H$15,ROW($T32)-ROW(T$15),0)</f>
        <v>0</v>
      </c>
      <c r="U32" s="693">
        <f t="shared" ca="1" si="15"/>
        <v>0</v>
      </c>
      <c r="V32" s="694" t="s">
        <v>663</v>
      </c>
      <c r="W32" s="122" cm="1">
        <f t="array" aca="1" ref="W32" ca="1">IF($C32="S",ROUND(IF(TIPOORCAMENTO="Proposto",ORÇAMENTO.CustoUnitario*(1+$AH32),ORÇAMENTO.PrecoUnitarioLicitado),15-13*$AF$10),0)</f>
        <v>0</v>
      </c>
      <c r="X32" s="125" cm="1">
        <f t="array" aca="1" ref="X32" ca="1">IF($C32="S",IF(OR(Import.TipoArredondamento&lt;&gt;"TransfereGOV",ACOMPANHAMENTO="BM"),VTOTAL1,SUM(OFFSET(CÁLCULO!$AI$15,ROW($X32)-ROW($X$15),1):OFFSET(CÁLCULO!$BB$15,ROW($X32)-ROW($X$15),-1))),IF($C32=0,0,ROUND(SomaAgrup,15-13*$AF$11)))</f>
        <v>249565.41</v>
      </c>
      <c r="Y32" s="126" t="s">
        <v>751</v>
      </c>
      <c r="Z32" s="670" t="str">
        <f t="shared" ca="1" si="13"/>
        <v/>
      </c>
      <c r="AA32" s="127" cm="1">
        <f t="array" aca="1" ref="AA32" ca="1">IF($C32="S",IF($Z32="CP",$X32,IF($Z32="RA",(($X32)*QCI!$AA$3),0)),SomaAgrup)</f>
        <v>0</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s="670">
        <f ca="1">IF(C32&lt;=CRONO.NivelExibicao,MAX($AD$15:OFFSET(AD32,-1,0))+IF($C32&lt;&gt;1,1,MAX(1,COUNTIF(QCI!$A$13:$A$24,OFFSET($E32,-1,0)))),"")</f>
        <v>5</v>
      </c>
      <c r="AE32" s="668" t="b" cm="1">
        <f t="array" aca="1" ref="AE32" ca="1">IF(AND($C32="S",ORÇAMENTO.CodBarra&lt;&gt;""),IF(ORÇAMENTO.Fonte="",ORÇAMENTO.CodBarra,CONCATENATE(ORÇAMENTO.Fonte," ",ORÇAMENTO.CodBarra)))</f>
        <v>0</v>
      </c>
      <c r="AF32" s="669" t="str"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(Sem Código)</v>
      </c>
      <c r="AG32" s="428" cm="1">
        <f t="array" aca="1" ref="AG32" ca="1">ROUND(IF(DESONERACAO="sim",REFERENCIA.Desonerado,REFERENCIA.NaoDesonerado),2)</f>
        <v>0</v>
      </c>
      <c r="AH32" s="429">
        <f t="shared" ca="1" si="14"/>
        <v>0.24</v>
      </c>
      <c r="AJ32" s="431"/>
      <c r="AL32" s="439"/>
      <c r="AM32" s="336">
        <f t="shared" ca="1" si="0"/>
        <v>249565.41</v>
      </c>
      <c r="AN32" s="470" cm="1">
        <f t="array" aca="1" ref="AN32" ca="1">ROUND(ORÇAMENTO.CustoUnitario*(1+$AH32),2)</f>
        <v>0</v>
      </c>
    </row>
    <row r="33" spans="1:40" s="670" customFormat="1" ht="25.5" x14ac:dyDescent="0.2">
      <c r="A33" s="670" t="str">
        <f t="shared" si="1"/>
        <v>S</v>
      </c>
      <c r="B33" s="670">
        <f t="shared" ca="1" si="2"/>
        <v>2</v>
      </c>
      <c r="C33" s="670" t="str">
        <f t="shared" ca="1" si="3"/>
        <v>S</v>
      </c>
      <c r="D33" s="670">
        <f t="shared" ca="1" si="4"/>
        <v>0</v>
      </c>
      <c r="E33" s="670">
        <f ca="1">IF($C33=1,OFFSET(E33,-1,0)+MAX(1,COUNTIF(QCI!$A$13:$A$24,OFFSET(ORÇAMENTO!E33,-1,0))),OFFSET(E33,-1,0))</f>
        <v>1</v>
      </c>
      <c r="F33" s="670">
        <f t="shared" ca="1" si="5"/>
        <v>4</v>
      </c>
      <c r="G33" s="670">
        <f t="shared" ca="1" si="6"/>
        <v>0</v>
      </c>
      <c r="H33" s="670">
        <f t="shared" ca="1" si="7"/>
        <v>0</v>
      </c>
      <c r="I33" s="670">
        <f t="shared" ca="1" si="8"/>
        <v>1</v>
      </c>
      <c r="J33" s="670">
        <f t="shared" ca="1" si="9"/>
        <v>0</v>
      </c>
      <c r="K33" s="670">
        <f ca="1">IF(OR($C33="S",$C33=0),0,MATCH(OFFSET($D33,0,$C33)+IF($C33&lt;&gt;1,1,COUNTIF(QCI!$A$13:$A$24,ORÇAMENTO!E33)),OFFSET($D33,1,$C33,ROW($C$191)-ROW($C33)),0))</f>
        <v>0</v>
      </c>
      <c r="L33" s="114" t="str">
        <f t="shared" ca="1" si="10"/>
        <v>F</v>
      </c>
      <c r="M33" s="115" t="s">
        <v>705</v>
      </c>
      <c r="N33" s="116" t="str">
        <f t="shared" ca="1" si="11"/>
        <v>Serviço</v>
      </c>
      <c r="O33" s="117" t="str">
        <f t="shared" ca="1" si="12"/>
        <v>1.4.1.</v>
      </c>
      <c r="P33" s="688" t="s">
        <v>750</v>
      </c>
      <c r="Q33" s="689" t="s">
        <v>1014</v>
      </c>
      <c r="R33" s="690" t="str" cm="1">
        <f t="array" aca="1" ref="R33" ca="1">IF($C33="S",REFERENCIA.Descricao,"(digite a descrição aqui)")</f>
        <v>ESCAVAÇÃO MANUAL PARA BLOCO DE COROAMENTO OU SAPATA (SEM ESCAVAÇÃO PARA COLOCAÇÃO DE FÔRMAS). AF_01/2024</v>
      </c>
      <c r="S33" s="691" t="str" cm="1">
        <f t="array" aca="1" ref="S33" ca="1">REFERENCIA.Unidade</f>
        <v>M3</v>
      </c>
      <c r="T33" s="122">
        <f ca="1">OFFSET(CÁLCULO!H$15,ROW($T33)-ROW(T$15),0)</f>
        <v>120</v>
      </c>
      <c r="U33" s="693">
        <f ca="1">AG33</f>
        <v>167.07</v>
      </c>
      <c r="V33" s="694" t="s">
        <v>663</v>
      </c>
      <c r="W33" s="122" cm="1">
        <f t="array" aca="1" ref="W33" ca="1">IF($C33="S",ROUND(IF(TIPOORCAMENTO="Proposto",ORÇAMENTO.CustoUnitario*(1+$AH33),ORÇAMENTO.PrecoUnitarioLicitado),15-13*$AF$10),0)</f>
        <v>207.17</v>
      </c>
      <c r="X33" s="125" cm="1">
        <f t="array" aca="1" ref="X33" ca="1">IF($C33="S",IF(OR(Import.TipoArredondamento&lt;&gt;"TransfereGOV",ACOMPANHAMENTO="BM"),VTOTAL1,SUM(OFFSET(CÁLCULO!$AI$15,ROW($X33)-ROW($X$15),1):OFFSET(CÁLCULO!$BB$15,ROW($X33)-ROW($X$15),-1))),IF($C33=0,0,ROUND(SomaAgrup,15-13*$AF$11)))</f>
        <v>24860.400000000001</v>
      </c>
      <c r="Y33" s="126" t="s">
        <v>751</v>
      </c>
      <c r="Z33" s="670" t="str">
        <f t="shared" ca="1" si="13"/>
        <v>RA</v>
      </c>
      <c r="AA33" s="127" cm="1">
        <f t="array" aca="1" ref="AA33" ca="1">IF($C33="S",IF($Z33="CP",$X33,IF($Z33="RA",(($X33)*QCI!$AA$3),0)),SomaAgrup)</f>
        <v>0</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s="670" t="str">
        <f ca="1">IF(C33&lt;=CRONO.NivelExibicao,MAX($AD$15:OFFSET(AD33,-1,0))+IF($C33&lt;&gt;1,1,MAX(1,COUNTIF(QCI!$A$13:$A$24,OFFSET($E33,-1,0)))),"")</f>
        <v/>
      </c>
      <c r="AE33" s="668" t="str" cm="1">
        <f t="array" aca="1" ref="AE33" ca="1">IF(AND($C33="S",ORÇAMENTO.CodBarra&lt;&gt;""),IF(ORÇAMENTO.Fonte="",ORÇAMENTO.CodBarra,CONCATENATE(ORÇAMENTO.Fonte," ",ORÇAMENTO.CodBarra)))</f>
        <v>SINAPI 96522</v>
      </c>
      <c r="AF33" s="669"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10230</v>
      </c>
      <c r="AG33" s="428" cm="1">
        <f t="array" aca="1" ref="AG33" ca="1">ROUND(IF(DESONERACAO="sim",REFERENCIA.Desonerado,REFERENCIA.NaoDesonerado),2)</f>
        <v>167.07</v>
      </c>
      <c r="AH33" s="429">
        <f t="shared" ca="1" si="14"/>
        <v>0.24</v>
      </c>
      <c r="AJ33" s="431"/>
      <c r="AL33" s="439"/>
      <c r="AM33" s="336">
        <f t="shared" ca="1" si="0"/>
        <v>24860.400000000001</v>
      </c>
      <c r="AN33" s="470" cm="1">
        <f t="array" aca="1" ref="AN33" ca="1">ROUND(ORÇAMENTO.CustoUnitario*(1+$AH33),2)</f>
        <v>207.17</v>
      </c>
    </row>
    <row r="34" spans="1:40" s="670" customFormat="1" ht="38.25" x14ac:dyDescent="0.2">
      <c r="A34" s="670" t="str">
        <f t="shared" si="1"/>
        <v>S</v>
      </c>
      <c r="B34" s="670">
        <f t="shared" ca="1" si="2"/>
        <v>2</v>
      </c>
      <c r="C34" s="670" t="str">
        <f t="shared" ca="1" si="3"/>
        <v>S</v>
      </c>
      <c r="D34" s="670">
        <f t="shared" ca="1" si="4"/>
        <v>0</v>
      </c>
      <c r="E34" s="670">
        <f ca="1">IF($C34=1,OFFSET(E34,-1,0)+MAX(1,COUNTIF(QCI!$A$13:$A$24,OFFSET(ORÇAMENTO!E34,-1,0))),OFFSET(E34,-1,0))</f>
        <v>1</v>
      </c>
      <c r="F34" s="670">
        <f t="shared" ca="1" si="5"/>
        <v>4</v>
      </c>
      <c r="G34" s="670">
        <f t="shared" ca="1" si="6"/>
        <v>0</v>
      </c>
      <c r="H34" s="670">
        <f t="shared" ca="1" si="7"/>
        <v>0</v>
      </c>
      <c r="I34" s="670">
        <f t="shared" ca="1" si="8"/>
        <v>2</v>
      </c>
      <c r="J34" s="670">
        <f t="shared" ca="1" si="9"/>
        <v>0</v>
      </c>
      <c r="K34" s="670">
        <f ca="1">IF(OR($C34="S",$C34=0),0,MATCH(OFFSET($D34,0,$C34)+IF($C34&lt;&gt;1,1,COUNTIF(QCI!$A$13:$A$24,ORÇAMENTO!E34)),OFFSET($D34,1,$C34,ROW($C$191)-ROW($C34)),0))</f>
        <v>0</v>
      </c>
      <c r="L34" s="114" t="str">
        <f t="shared" ca="1" si="10"/>
        <v>F</v>
      </c>
      <c r="M34" s="115" t="s">
        <v>705</v>
      </c>
      <c r="N34" s="116" t="str">
        <f t="shared" ca="1" si="11"/>
        <v>Serviço</v>
      </c>
      <c r="O34" s="117" t="str">
        <f t="shared" ca="1" si="12"/>
        <v>1.4.2.</v>
      </c>
      <c r="P34" s="688" t="s">
        <v>750</v>
      </c>
      <c r="Q34" s="689" t="s">
        <v>1015</v>
      </c>
      <c r="R34" s="690" t="str" cm="1">
        <f t="array" aca="1" ref="R34" ca="1">IF($C34="S",REFERENCIA.Descricao,"(digite a descrição aqui)")</f>
        <v>TUBULÃO A CÉU ABERTO, DIÂMETRO DO FUSTE DE 70CM, ESCAVAÇÃO MECÂNICA, SEM ALARGAMENTO DE BASE, CONCRETO FEITO EM OBRA E LANÇADO COM JERICA. AF_05/2020</v>
      </c>
      <c r="S34" s="691" t="str" cm="1">
        <f t="array" aca="1" ref="S34" ca="1">REFERENCIA.Unidade</f>
        <v>M3</v>
      </c>
      <c r="T34" s="122">
        <f ca="1">OFFSET(CÁLCULO!H$15,ROW($T34)-ROW(T$15),0)</f>
        <v>63</v>
      </c>
      <c r="U34" s="693">
        <f t="shared" ca="1" si="15"/>
        <v>1058.93</v>
      </c>
      <c r="V34" s="694" t="s">
        <v>663</v>
      </c>
      <c r="W34" s="122" cm="1">
        <f t="array" aca="1" ref="W34" ca="1">IF($C34="S",ROUND(IF(TIPOORCAMENTO="Proposto",ORÇAMENTO.CustoUnitario*(1+$AH34),ORÇAMENTO.PrecoUnitarioLicitado),15-13*$AF$10),0)</f>
        <v>1313.07</v>
      </c>
      <c r="X34" s="125" cm="1">
        <f t="array" aca="1" ref="X34" ca="1">IF($C34="S",IF(OR(Import.TipoArredondamento&lt;&gt;"TransfereGOV",ACOMPANHAMENTO="BM"),VTOTAL1,SUM(OFFSET(CÁLCULO!$AI$15,ROW($X34)-ROW($X$15),1):OFFSET(CÁLCULO!$BB$15,ROW($X34)-ROW($X$15),-1))),IF($C34=0,0,ROUND(SomaAgrup,15-13*$AF$11)))</f>
        <v>82723.41</v>
      </c>
      <c r="Y34" s="126" t="s">
        <v>751</v>
      </c>
      <c r="Z34" s="670" t="str">
        <f t="shared" ca="1" si="13"/>
        <v>RA</v>
      </c>
      <c r="AA34" s="127" cm="1">
        <f t="array" aca="1" ref="AA34" ca="1">IF($C34="S",IF($Z34="CP",$X34,IF($Z34="RA",(($X34)*QCI!$AA$3),0)),SomaAgrup)</f>
        <v>0</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s="670" t="str">
        <f ca="1">IF(C34&lt;=CRONO.NivelExibicao,MAX($AD$15:OFFSET(AD34,-1,0))+IF($C34&lt;&gt;1,1,MAX(1,COUNTIF(QCI!$A$13:$A$24,OFFSET($E34,-1,0)))),"")</f>
        <v/>
      </c>
      <c r="AE34" s="668" t="str" cm="1">
        <f t="array" aca="1" ref="AE34" ca="1">IF(AND($C34="S",ORÇAMENTO.CodBarra&lt;&gt;""),IF(ORÇAMENTO.Fonte="",ORÇAMENTO.CodBarra,CONCATENATE(ORÇAMENTO.Fonte," ",ORÇAMENTO.CodBarra)))</f>
        <v>SINAPI 101100</v>
      </c>
      <c r="AF34" s="669"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15982</v>
      </c>
      <c r="AG34" s="428" cm="1">
        <f t="array" aca="1" ref="AG34" ca="1">ROUND(IF(DESONERACAO="sim",REFERENCIA.Desonerado,REFERENCIA.NaoDesonerado),2)</f>
        <v>1058.93</v>
      </c>
      <c r="AH34" s="429">
        <f t="shared" ca="1" si="14"/>
        <v>0.24</v>
      </c>
      <c r="AJ34" s="431"/>
      <c r="AL34" s="439"/>
      <c r="AM34" s="336">
        <f t="shared" ca="1" si="0"/>
        <v>82723.41</v>
      </c>
      <c r="AN34" s="470" cm="1">
        <f t="array" aca="1" ref="AN34" ca="1">ROUND(ORÇAMENTO.CustoUnitario*(1+$AH34),2)</f>
        <v>1313.07</v>
      </c>
    </row>
    <row r="35" spans="1:40" s="676" customFormat="1" ht="38.25" x14ac:dyDescent="0.2">
      <c r="A35" s="676" t="str">
        <f>CHOOSE(1+LOG(1+2*(ORÇAMENTO.Nivel="Meta")+4*(ORÇAMENTO.Nivel="Nível 2")+8*(ORÇAMENTO.Nivel="Nível 3")+16*(ORÇAMENTO.Nivel="Nível 4")+32*(ORÇAMENTO.Nivel="Serviço"),2),0,1,2,3,4,"S")</f>
        <v>S</v>
      </c>
      <c r="B35" s="676">
        <f ca="1">IF(OR(C35="s",C35=0),OFFSET(B35,-1,0),C35)</f>
        <v>2</v>
      </c>
      <c r="C35" s="676" t="str">
        <f ca="1">IF(OFFSET(C35,-1,0)="L",1,IF(OFFSET(C35,-1,0)=1,2,IF(OR(A35="s",A35=0),"S",IF(AND(OFFSET(C35,-1,0)=2,A35=4),3,IF(AND(OR(OFFSET(C35,-1,0)="s",OFFSET(C35,-1,0)=0),A35&lt;&gt;"s",A35&gt;OFFSET(B35,-1,0)),OFFSET(B35,-1,0),A35)))))</f>
        <v>S</v>
      </c>
      <c r="D35" s="676">
        <f ca="1">IF(OR(C35="S",C35=0),0,IF(ISERROR(K35),J35,SMALL(J35:K35,1)))</f>
        <v>0</v>
      </c>
      <c r="E35" s="676">
        <f ca="1">IF($C35=1,OFFSET(E35,-1,0)+MAX(1,COUNTIF(QCI!$A$13:$A$24,OFFSET(ORÇAMENTO!E35,-1,0))),OFFSET(E35,-1,0))</f>
        <v>1</v>
      </c>
      <c r="F35" s="676">
        <f ca="1">IF($C35=1,0,IF($C35=2,OFFSET(F35,-1,0)+1,OFFSET(F35,-1,0)))</f>
        <v>4</v>
      </c>
      <c r="G35" s="676">
        <f ca="1">IF(AND($C35&lt;=2,$C35&lt;&gt;0),0,IF($C35=3,OFFSET(G35,-1,0)+1,OFFSET(G35,-1,0)))</f>
        <v>0</v>
      </c>
      <c r="H35" s="676">
        <f ca="1">IF(AND($C35&lt;=3,$C35&lt;&gt;0),0,IF($C35=4,OFFSET(H35,-1,0)+1,OFFSET(H35,-1,0)))</f>
        <v>0</v>
      </c>
      <c r="I35" s="676">
        <f ca="1">IF(AND($C35&lt;=4,$C35&lt;&gt;0),0,IF(AND($C35="S",$X35&gt;0),OFFSET(I35,-1,0)+1,OFFSET(I35,-1,0)))</f>
        <v>3</v>
      </c>
      <c r="J35" s="676">
        <f t="shared" ca="1" si="9"/>
        <v>0</v>
      </c>
      <c r="K35" s="676">
        <f ca="1">IF(OR($C35="S",$C35=0),0,MATCH(OFFSET($D35,0,$C35)+IF($C35&lt;&gt;1,1,COUNTIF(QCI!$A$13:$A$24,ORÇAMENTO!E35)),OFFSET($D35,1,$C35,ROW($C$191)-ROW($C35)),0))</f>
        <v>0</v>
      </c>
      <c r="L35" s="114" t="str">
        <f ca="1">IF(OR($X35&gt;0,$C35=1,$C35=2,$C35=3,$C35=4),"F","")</f>
        <v>F</v>
      </c>
      <c r="M35" s="115" t="s">
        <v>705</v>
      </c>
      <c r="N35" s="116" t="str">
        <f ca="1">CHOOSE(1+LOG(1+2*(C35=1)+4*(C35=2)+8*(C35=3)+16*(C35=4)+32*(C35="S"),2),"","Meta","Nível 2","Nível 3","Nível 4","Serviço")</f>
        <v>Serviço</v>
      </c>
      <c r="O35" s="117" t="str">
        <f ca="1">IF(OR($C35=0,$L35=""),"-",CONCATENATE(E35&amp;".",IF(AND($A$5&gt;=2,$C35&gt;=2),F35&amp;".",""),IF(AND($A$5&gt;=3,$C35&gt;=3),G35&amp;".",""),IF(AND($A$5&gt;=4,$C35&gt;=4),H35&amp;".",""),IF($C35="S",I35&amp;".","")))</f>
        <v>1.4.3.</v>
      </c>
      <c r="P35" s="688" t="s">
        <v>1064</v>
      </c>
      <c r="Q35" s="689" t="s">
        <v>1016</v>
      </c>
      <c r="R35" s="690" t="str" cm="1">
        <f t="array" aca="1" ref="R35" ca="1">IF($C35="S",REFERENCIA.Descricao,"(digite a descrição aqui)")</f>
        <v>FORNECIMENTO DE CONCRETO ESTRUTURAL, USINADO BOMBEADO, COM FCK 40MPA, INCLUSIVE LANÇAMENTO, ADENSAMENTO E ACABAMENTO</v>
      </c>
      <c r="S35" s="691" t="str" cm="1">
        <f t="array" aca="1" ref="S35" ca="1">REFERENCIA.Unidade</f>
        <v>m3</v>
      </c>
      <c r="T35" s="122">
        <f ca="1">OFFSET(CÁLCULO!H$15,ROW($T35)-ROW(T$15),0)</f>
        <v>40</v>
      </c>
      <c r="U35" s="693">
        <f t="shared" ca="1" si="15"/>
        <v>764.55</v>
      </c>
      <c r="V35" s="694" t="s">
        <v>663</v>
      </c>
      <c r="W35" s="122" cm="1">
        <f t="array" aca="1" ref="W35" ca="1">IF($C35="S",ROUND(IF(TIPOORCAMENTO="Proposto",ORÇAMENTO.CustoUnitario*(1+$AH35),ORÇAMENTO.PrecoUnitarioLicitado),15-13*$AF$10),0)</f>
        <v>948.04</v>
      </c>
      <c r="X35" s="125" cm="1">
        <f t="array" aca="1" ref="X35" ca="1">IF($C35="S",IF(OR(Import.TipoArredondamento&lt;&gt;"TransfereGOV",ACOMPANHAMENTO="BM"),VTOTAL1,SUM(OFFSET(CÁLCULO!$AI$15,ROW($X35)-ROW($X$15),1):OFFSET(CÁLCULO!$BB$15,ROW($X35)-ROW($X$15),-1))),IF($C35=0,0,ROUND(SomaAgrup,15-13*$AF$11)))</f>
        <v>37921.599999999999</v>
      </c>
      <c r="Y35" s="126" t="s">
        <v>751</v>
      </c>
      <c r="Z35" s="676" t="str">
        <f ca="1">IF(AND($C35="S",$X35&gt;0),IF(ISBLANK($Y35),"RA",LEFT($Y35,2)),"")</f>
        <v>RA</v>
      </c>
      <c r="AA35" s="127" cm="1">
        <f t="array" aca="1" ref="AA35" ca="1">IF($C35="S",IF($Z35="CP",$X35,IF($Z35="RA",(($X35)*QCI!$AA$3),0)),SomaAgrup)</f>
        <v>0</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s="676" t="str">
        <f ca="1">IF(C35&lt;=CRONO.NivelExibicao,MAX($AD$15:OFFSET(AD35,-1,0))+IF($C35&lt;&gt;1,1,MAX(1,COUNTIF(QCI!$A$13:$A$24,OFFSET($E35,-1,0)))),"")</f>
        <v/>
      </c>
      <c r="AE35" s="674" t="str" cm="1">
        <f t="array" aca="1" ref="AE35" ca="1">IF(AND($C35="S",ORÇAMENTO.CodBarra&lt;&gt;""),IF(ORÇAMENTO.Fonte="",ORÇAMENTO.CodBarra,CONCATENATE(ORÇAMENTO.Fonte," ",ORÇAMENTO.CodBarra)))</f>
        <v>SETOP ED-49641</v>
      </c>
      <c r="AF35" s="675"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19146</v>
      </c>
      <c r="AG35" s="428" cm="1">
        <f t="array" aca="1" ref="AG35" ca="1">ROUND(IF(DESONERACAO="sim",REFERENCIA.Desonerado,REFERENCIA.NaoDesonerado),2)</f>
        <v>764.55</v>
      </c>
      <c r="AH35" s="429">
        <f ca="1">ROUND(IF(ISNUMBER(ORÇAMENTO.OpcaoBDI),ORÇAMENTO.OpcaoBDI,IF(LEFT(ORÇAMENTO.OpcaoBDI,3)="BDI",HLOOKUP(ORÇAMENTO.OpcaoBDI,$F$4:$H$5,2,FALSE),0)),15-11*$AF$9)</f>
        <v>0.24</v>
      </c>
      <c r="AJ35" s="431"/>
      <c r="AL35" s="439"/>
      <c r="AM35" s="336">
        <f t="shared" ca="1" si="0"/>
        <v>37921.599999999999</v>
      </c>
      <c r="AN35" s="470" cm="1">
        <f t="array" aca="1" ref="AN35" ca="1">ROUND(ORÇAMENTO.CustoUnitario*(1+$AH35),2)</f>
        <v>948.04</v>
      </c>
    </row>
    <row r="36" spans="1:40" s="670" customFormat="1" x14ac:dyDescent="0.2">
      <c r="A36" s="670" t="str">
        <f t="shared" si="1"/>
        <v>S</v>
      </c>
      <c r="B36" s="670">
        <f t="shared" ca="1" si="2"/>
        <v>2</v>
      </c>
      <c r="C36" s="670" t="str">
        <f t="shared" ca="1" si="3"/>
        <v>S</v>
      </c>
      <c r="D36" s="670">
        <f t="shared" ca="1" si="4"/>
        <v>0</v>
      </c>
      <c r="E36" s="670">
        <f ca="1">IF($C36=1,OFFSET(E36,-1,0)+MAX(1,COUNTIF(QCI!$A$13:$A$24,OFFSET(ORÇAMENTO!E36,-1,0))),OFFSET(E36,-1,0))</f>
        <v>1</v>
      </c>
      <c r="F36" s="670">
        <f t="shared" ca="1" si="5"/>
        <v>4</v>
      </c>
      <c r="G36" s="670">
        <f t="shared" ca="1" si="6"/>
        <v>0</v>
      </c>
      <c r="H36" s="670">
        <f t="shared" ca="1" si="7"/>
        <v>0</v>
      </c>
      <c r="I36" s="670">
        <f t="shared" ca="1" si="8"/>
        <v>4</v>
      </c>
      <c r="J36" s="670">
        <f t="shared" ca="1" si="9"/>
        <v>0</v>
      </c>
      <c r="K36" s="670">
        <f ca="1">IF(OR($C36="S",$C36=0),0,MATCH(OFFSET($D36,0,$C36)+IF($C36&lt;&gt;1,1,COUNTIF(QCI!$A$13:$A$24,ORÇAMENTO!E36)),OFFSET($D36,1,$C36,ROW($C$191)-ROW($C36)),0))</f>
        <v>0</v>
      </c>
      <c r="L36" s="114" t="str">
        <f t="shared" ca="1" si="10"/>
        <v>F</v>
      </c>
      <c r="M36" s="115" t="s">
        <v>705</v>
      </c>
      <c r="N36" s="116" t="str">
        <f t="shared" ca="1" si="11"/>
        <v>Serviço</v>
      </c>
      <c r="O36" s="117" t="str">
        <f t="shared" ca="1" si="12"/>
        <v>1.4.4.</v>
      </c>
      <c r="P36" s="688" t="s">
        <v>750</v>
      </c>
      <c r="Q36" s="689" t="s">
        <v>1247</v>
      </c>
      <c r="R36" s="690" t="str" cm="1">
        <f t="array" aca="1" ref="R36" ca="1">IF($C36="S",REFERENCIA.Descricao,"(digite a descrição aqui)")</f>
        <v>CORTE E DOBRA DE AÇO CA-25, DIÂMETRO DE 20,0 MM. AF_06/2022</v>
      </c>
      <c r="S36" s="691" t="str" cm="1">
        <f t="array" aca="1" ref="S36" ca="1">REFERENCIA.Unidade</f>
        <v>KG</v>
      </c>
      <c r="T36" s="122">
        <f ca="1">OFFSET(CÁLCULO!H$15,ROW($T36)-ROW(T$15),0)</f>
        <v>4400</v>
      </c>
      <c r="U36" s="693">
        <f t="shared" ca="1" si="15"/>
        <v>9</v>
      </c>
      <c r="V36" s="694" t="s">
        <v>697</v>
      </c>
      <c r="W36" s="122" cm="1">
        <f t="array" aca="1" ref="W36" ca="1">IF($C36="S",ROUND(IF(TIPOORCAMENTO="Proposto",ORÇAMENTO.CustoUnitario*(1+$AH36),ORÇAMENTO.PrecoUnitarioLicitado),15-13*$AF$10),0)</f>
        <v>10.51</v>
      </c>
      <c r="X36" s="125" cm="1">
        <f t="array" aca="1" ref="X36" ca="1">IF($C36="S",IF(OR(Import.TipoArredondamento&lt;&gt;"TransfereGOV",ACOMPANHAMENTO="BM"),VTOTAL1,SUM(OFFSET(CÁLCULO!$AI$15,ROW($X36)-ROW($X$15),1):OFFSET(CÁLCULO!$BB$15,ROW($X36)-ROW($X$15),-1))),IF($C36=0,0,ROUND(SomaAgrup,15-13*$AF$11)))</f>
        <v>46244</v>
      </c>
      <c r="Y36" s="126" t="s">
        <v>751</v>
      </c>
      <c r="Z36" s="670" t="str">
        <f t="shared" ca="1" si="13"/>
        <v>RA</v>
      </c>
      <c r="AA36" s="127" cm="1">
        <f t="array" aca="1" ref="AA36" ca="1">IF($C36="S",IF($Z36="CP",$X36,IF($Z36="RA",(($X36)*QCI!$AA$3),0)),SomaAgrup)</f>
        <v>0</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s="670" t="str">
        <f ca="1">IF(C36&lt;=CRONO.NivelExibicao,MAX($AD$15:OFFSET(AD36,-1,0))+IF($C36&lt;&gt;1,1,MAX(1,COUNTIF(QCI!$A$13:$A$24,OFFSET($E36,-1,0)))),"")</f>
        <v/>
      </c>
      <c r="AE36" s="668" t="str" cm="1">
        <f t="array" aca="1" ref="AE36" ca="1">IF(AND($C36="S",ORÇAMENTO.CodBarra&lt;&gt;""),IF(ORÇAMENTO.Fonte="",ORÇAMENTO.CodBarra,CONCATENATE(ORÇAMENTO.Fonte," ",ORÇAMENTO.CodBarra)))</f>
        <v>SINAPI 92880</v>
      </c>
      <c r="AF36" s="669"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6356</v>
      </c>
      <c r="AG36" s="428" cm="1">
        <f t="array" aca="1" ref="AG36" ca="1">ROUND(IF(DESONERACAO="sim",REFERENCIA.Desonerado,REFERENCIA.NaoDesonerado),2)</f>
        <v>9</v>
      </c>
      <c r="AH36" s="429">
        <f t="shared" ca="1" si="14"/>
        <v>0.16800000000000001</v>
      </c>
      <c r="AJ36" s="431"/>
      <c r="AL36" s="439"/>
      <c r="AM36" s="336">
        <f t="shared" ca="1" si="0"/>
        <v>46244</v>
      </c>
      <c r="AN36" s="470" cm="1">
        <f t="array" aca="1" ref="AN36" ca="1">ROUND(ORÇAMENTO.CustoUnitario*(1+$AH36),2)</f>
        <v>10.51</v>
      </c>
    </row>
    <row r="37" spans="1:40" s="680" customFormat="1" ht="25.5" x14ac:dyDescent="0.2">
      <c r="A37" s="680" t="str">
        <f>CHOOSE(1+LOG(1+2*(ORÇAMENTO.Nivel="Meta")+4*(ORÇAMENTO.Nivel="Nível 2")+8*(ORÇAMENTO.Nivel="Nível 3")+16*(ORÇAMENTO.Nivel="Nível 4")+32*(ORÇAMENTO.Nivel="Serviço"),2),0,1,2,3,4,"S")</f>
        <v>S</v>
      </c>
      <c r="B37" s="680">
        <f ca="1">IF(OR(C37="s",C37=0),OFFSET(B37,-1,0),C37)</f>
        <v>2</v>
      </c>
      <c r="C37" s="680" t="str">
        <f ca="1">IF(OFFSET(C37,-1,0)="L",1,IF(OFFSET(C37,-1,0)=1,2,IF(OR(A37="s",A37=0),"S",IF(AND(OFFSET(C37,-1,0)=2,A37=4),3,IF(AND(OR(OFFSET(C37,-1,0)="s",OFFSET(C37,-1,0)=0),A37&lt;&gt;"s",A37&gt;OFFSET(B37,-1,0)),OFFSET(B37,-1,0),A37)))))</f>
        <v>S</v>
      </c>
      <c r="D37" s="680">
        <f ca="1">IF(OR(C37="S",C37=0),0,IF(ISERROR(K37),J37,SMALL(J37:K37,1)))</f>
        <v>0</v>
      </c>
      <c r="E37" s="680">
        <f ca="1">IF($C37=1,OFFSET(E37,-1,0)+MAX(1,COUNTIF(QCI!$A$13:$A$24,OFFSET(ORÇAMENTO!E37,-1,0))),OFFSET(E37,-1,0))</f>
        <v>1</v>
      </c>
      <c r="F37" s="680">
        <f ca="1">IF($C37=1,0,IF($C37=2,OFFSET(F37,-1,0)+1,OFFSET(F37,-1,0)))</f>
        <v>4</v>
      </c>
      <c r="G37" s="680">
        <f ca="1">IF(AND($C37&lt;=2,$C37&lt;&gt;0),0,IF($C37=3,OFFSET(G37,-1,0)+1,OFFSET(G37,-1,0)))</f>
        <v>0</v>
      </c>
      <c r="H37" s="680">
        <f ca="1">IF(AND($C37&lt;=3,$C37&lt;&gt;0),0,IF($C37=4,OFFSET(H37,-1,0)+1,OFFSET(H37,-1,0)))</f>
        <v>0</v>
      </c>
      <c r="I37" s="680">
        <f ca="1">IF(AND($C37&lt;=4,$C37&lt;&gt;0),0,IF(AND($C37="S",$X37&gt;0),OFFSET(I37,-1,0)+1,OFFSET(I37,-1,0)))</f>
        <v>5</v>
      </c>
      <c r="J37" s="680">
        <f t="shared" ca="1" si="9"/>
        <v>0</v>
      </c>
      <c r="K37" s="680">
        <f ca="1">IF(OR($C37="S",$C37=0),0,MATCH(OFFSET($D37,0,$C37)+IF($C37&lt;&gt;1,1,COUNTIF(QCI!$A$13:$A$24,ORÇAMENTO!E37)),OFFSET($D37,1,$C37,ROW($C$191)-ROW($C37)),0))</f>
        <v>0</v>
      </c>
      <c r="L37" s="684" t="str">
        <f ca="1">IF(OR($X37&gt;0,$C37=1,$C37=2,$C37=3,$C37=4),"F","")</f>
        <v>F</v>
      </c>
      <c r="M37" s="685" t="s">
        <v>705</v>
      </c>
      <c r="N37" s="686" t="str">
        <f ca="1">CHOOSE(1+LOG(1+2*(C37=1)+4*(C37=2)+8*(C37=3)+16*(C37=4)+32*(C37="S"),2),"","Meta","Nível 2","Nível 3","Nível 4","Serviço")</f>
        <v>Serviço</v>
      </c>
      <c r="O37" s="687" t="str">
        <f ca="1">IF(OR($C37=0,$L37=""),"-",CONCATENATE(E37&amp;".",IF(AND($A$5&gt;=2,$C37&gt;=2),F37&amp;".",""),IF(AND($A$5&gt;=3,$C37&gt;=3),G37&amp;".",""),IF(AND($A$5&gt;=4,$C37&gt;=4),H37&amp;".",""),IF($C37="S",I37&amp;".","")))</f>
        <v>1.4.5.</v>
      </c>
      <c r="P37" s="688" t="s">
        <v>750</v>
      </c>
      <c r="Q37" s="689" t="s">
        <v>1224</v>
      </c>
      <c r="R37" s="690" t="str" cm="1">
        <f t="array" aca="1" ref="R37" ca="1">IF($C37="S",REFERENCIA.Descricao,"(digite a descrição aqui)")</f>
        <v>ARMAÇÃO DE BLOCO, SAPATA ISOLADA E SAPATA CORRIDA UTILIZANDO AÇO CA-50 DE 20 MM - MONTAGEM. AF_01/2024</v>
      </c>
      <c r="S37" s="691" t="str" cm="1">
        <f t="array" aca="1" ref="S37" ca="1">REFERENCIA.Unidade</f>
        <v>KG</v>
      </c>
      <c r="T37" s="692">
        <f ca="1">OFFSET(CÁLCULO!H$15,ROW($T37)-ROW(T$15),0)</f>
        <v>4400</v>
      </c>
      <c r="U37" s="693">
        <f t="shared" ca="1" si="15"/>
        <v>10.6</v>
      </c>
      <c r="V37" s="694" t="s">
        <v>663</v>
      </c>
      <c r="W37" s="692" cm="1">
        <f t="array" aca="1" ref="W37" ca="1">IF($C37="S",ROUND(IF(TIPOORCAMENTO="Proposto",ORÇAMENTO.CustoUnitario*(1+$AH37),ORÇAMENTO.PrecoUnitarioLicitado),15-13*$AF$10),0)</f>
        <v>13.14</v>
      </c>
      <c r="X37" s="695" cm="1">
        <f t="array" aca="1" ref="X37" ca="1">IF($C37="S",IF(OR(Import.TipoArredondamento&lt;&gt;"TransfereGOV",ACOMPANHAMENTO="BM"),VTOTAL1,SUM(OFFSET(CÁLCULO!$AI$15,ROW($X37)-ROW($X$15),1):OFFSET(CÁLCULO!$BB$15,ROW($X37)-ROW($X$15),-1))),IF($C37=0,0,ROUND(SomaAgrup,15-13*$AF$11)))</f>
        <v>57816</v>
      </c>
      <c r="Y37" s="696" t="s">
        <v>751</v>
      </c>
      <c r="Z37" s="680" t="str">
        <f ca="1">IF(AND($C37="S",$X37&gt;0),IF(ISBLANK($Y37),"RA",LEFT($Y37,2)),"")</f>
        <v>RA</v>
      </c>
      <c r="AA37" s="697" cm="1">
        <f t="array" aca="1" ref="AA37" ca="1">IF($C37="S",IF($Z37="CP",$X37,IF($Z37="RA",(($X37)*QCI!$AA$3),0)),SomaAgrup)</f>
        <v>0</v>
      </c>
      <c r="AB37" s="698" cm="1">
        <f t="array" aca="1" ref="AB37" ca="1">IF($C37="S",IF($Z37="OU",ROUND($X37,2),0),SomaAgrup)</f>
        <v>0</v>
      </c>
      <c r="AC37" s="723"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s="680" t="str">
        <f ca="1">IF(C37&lt;=CRONO.NivelExibicao,MAX($AD$15:OFFSET(AD37,-1,0))+IF($C37&lt;&gt;1,1,MAX(1,COUNTIF(QCI!$A$13:$A$24,OFFSET($E37,-1,0)))),"")</f>
        <v/>
      </c>
      <c r="AE37" s="681" t="str" cm="1">
        <f t="array" aca="1" ref="AE37" ca="1">IF(AND($C37="S",ORÇAMENTO.CodBarra&lt;&gt;""),IF(ORÇAMENTO.Fonte="",ORÇAMENTO.CodBarra,CONCATENATE(ORÇAMENTO.Fonte," ",ORÇAMENTO.CodBarra)))</f>
        <v>SINAPI 104922</v>
      </c>
      <c r="AF37" s="682"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10216</v>
      </c>
      <c r="AG37" s="714" cm="1">
        <f t="array" aca="1" ref="AG37" ca="1">ROUND(IF(DESONERACAO="sim",REFERENCIA.Desonerado,REFERENCIA.NaoDesonerado),2)</f>
        <v>10.6</v>
      </c>
      <c r="AH37" s="715">
        <f ca="1">ROUND(IF(ISNUMBER(ORÇAMENTO.OpcaoBDI),ORÇAMENTO.OpcaoBDI,IF(LEFT(ORÇAMENTO.OpcaoBDI,3)="BDI",HLOOKUP(ORÇAMENTO.OpcaoBDI,$F$4:$H$5,2,FALSE),0)),15-11*$AF$9)</f>
        <v>0.24</v>
      </c>
      <c r="AJ37" s="716"/>
      <c r="AL37" s="718"/>
      <c r="AM37" s="710">
        <f t="shared" ca="1" si="0"/>
        <v>57816</v>
      </c>
      <c r="AN37" s="721" cm="1">
        <f t="array" aca="1" ref="AN37" ca="1">ROUND(ORÇAMENTO.CustoUnitario*(1+$AH37),2)</f>
        <v>13.14</v>
      </c>
    </row>
    <row r="38" spans="1:40" s="670" customFormat="1" x14ac:dyDescent="0.2">
      <c r="A38" s="670">
        <f t="shared" si="1"/>
        <v>2</v>
      </c>
      <c r="B38" s="670">
        <f t="shared" ca="1" si="2"/>
        <v>2</v>
      </c>
      <c r="C38" s="670">
        <f t="shared" ca="1" si="3"/>
        <v>2</v>
      </c>
      <c r="D38" s="670">
        <f t="shared" ca="1" si="4"/>
        <v>4</v>
      </c>
      <c r="E38" s="670">
        <f ca="1">IF($C38=1,OFFSET(E38,-1,0)+MAX(1,COUNTIF(QCI!$A$13:$A$24,OFFSET(ORÇAMENTO!E38,-1,0))),OFFSET(E38,-1,0))</f>
        <v>1</v>
      </c>
      <c r="F38" s="670">
        <f t="shared" ca="1" si="5"/>
        <v>5</v>
      </c>
      <c r="G38" s="670">
        <f t="shared" ca="1" si="6"/>
        <v>0</v>
      </c>
      <c r="H38" s="670">
        <f t="shared" ca="1" si="7"/>
        <v>0</v>
      </c>
      <c r="I38" s="670">
        <f t="shared" ca="1" si="8"/>
        <v>0</v>
      </c>
      <c r="J38" s="670">
        <f t="shared" ca="1" si="9"/>
        <v>153</v>
      </c>
      <c r="K38" s="670">
        <f ca="1">IF(OR($C38="S",$C38=0),0,MATCH(OFFSET($D38,0,$C38)+IF($C38&lt;&gt;1,1,COUNTIF(QCI!$A$13:$A$24,ORÇAMENTO!E38)),OFFSET($D38,1,$C38,ROW($C$191)-ROW($C38)),0))</f>
        <v>4</v>
      </c>
      <c r="L38" s="114" t="str">
        <f t="shared" ca="1" si="10"/>
        <v>F</v>
      </c>
      <c r="M38" s="115" t="s">
        <v>702</v>
      </c>
      <c r="N38" s="116" t="str">
        <f t="shared" ca="1" si="11"/>
        <v>Nível 2</v>
      </c>
      <c r="O38" s="117" t="str">
        <f t="shared" ca="1" si="12"/>
        <v>1.5.</v>
      </c>
      <c r="P38" s="688" t="s">
        <v>250</v>
      </c>
      <c r="Q38" s="689" t="s">
        <v>250</v>
      </c>
      <c r="R38" s="690" t="s">
        <v>1298</v>
      </c>
      <c r="S38" s="691" t="s">
        <v>688</v>
      </c>
      <c r="T38" s="122">
        <f ca="1">OFFSET(CÁLCULO!H$15,ROW($T38)-ROW(T$15),0)</f>
        <v>0</v>
      </c>
      <c r="U38" s="693">
        <f t="shared" ca="1" si="15"/>
        <v>0</v>
      </c>
      <c r="V38" s="694" t="s">
        <v>663</v>
      </c>
      <c r="W38" s="122" cm="1">
        <f t="array" aca="1" ref="W38" ca="1">IF($C38="S",ROUND(IF(TIPOORCAMENTO="Proposto",ORÇAMENTO.CustoUnitario*(1+$AH38),ORÇAMENTO.PrecoUnitarioLicitado),15-13*$AF$10),0)</f>
        <v>0</v>
      </c>
      <c r="X38" s="125" cm="1">
        <f t="array" aca="1" ref="X38" ca="1">IF($C38="S",IF(OR(Import.TipoArredondamento&lt;&gt;"TransfereGOV",ACOMPANHAMENTO="BM"),VTOTAL1,SUM(OFFSET(CÁLCULO!$AI$15,ROW($X38)-ROW($X$15),1):OFFSET(CÁLCULO!$BB$15,ROW($X38)-ROW($X$15),-1))),IF($C38=0,0,ROUND(SomaAgrup,15-13*$AF$11)))</f>
        <v>102850.02</v>
      </c>
      <c r="Y38" s="126" t="s">
        <v>751</v>
      </c>
      <c r="Z38" s="670" t="str">
        <f t="shared" ca="1" si="13"/>
        <v/>
      </c>
      <c r="AA38" s="127" cm="1">
        <f t="array" aca="1" ref="AA38" ca="1">IF($C38="S",IF($Z38="CP",$X38,IF($Z38="RA",(($X38)*QCI!$AA$3),0)),SomaAgrup)</f>
        <v>0</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s="670">
        <f ca="1">IF(C38&lt;=CRONO.NivelExibicao,MAX($AD$15:OFFSET(AD38,-1,0))+IF($C38&lt;&gt;1,1,MAX(1,COUNTIF(QCI!$A$13:$A$24,OFFSET($E38,-1,0)))),"")</f>
        <v>6</v>
      </c>
      <c r="AE38" s="668" t="b" cm="1">
        <f t="array" aca="1" ref="AE38" ca="1">IF(AND($C38="S",ORÇAMENTO.CodBarra&lt;&gt;""),IF(ORÇAMENTO.Fonte="",ORÇAMENTO.CodBarra,CONCATENATE(ORÇAMENTO.Fonte," ",ORÇAMENTO.CodBarra)))</f>
        <v>0</v>
      </c>
      <c r="AF38" s="669" t="str"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(Sem Código)</v>
      </c>
      <c r="AG38" s="428" cm="1">
        <f t="array" aca="1" ref="AG38" ca="1">ROUND(IF(DESONERACAO="sim",REFERENCIA.Desonerado,REFERENCIA.NaoDesonerado),2)</f>
        <v>0</v>
      </c>
      <c r="AH38" s="429">
        <f t="shared" ca="1" si="14"/>
        <v>0.24</v>
      </c>
      <c r="AJ38" s="431"/>
      <c r="AL38" s="439"/>
      <c r="AM38" s="336">
        <f t="shared" ca="1" si="0"/>
        <v>102850.02</v>
      </c>
      <c r="AN38" s="470" cm="1">
        <f t="array" aca="1" ref="AN38" ca="1">ROUND(ORÇAMENTO.CustoUnitario*(1+$AH38),2)</f>
        <v>0</v>
      </c>
    </row>
    <row r="39" spans="1:40" s="670" customFormat="1" ht="38.25" x14ac:dyDescent="0.2">
      <c r="A39" s="670" t="str">
        <f t="shared" si="1"/>
        <v>S</v>
      </c>
      <c r="B39" s="670">
        <f t="shared" ca="1" si="2"/>
        <v>2</v>
      </c>
      <c r="C39" s="670" t="str">
        <f t="shared" ca="1" si="3"/>
        <v>S</v>
      </c>
      <c r="D39" s="670">
        <f t="shared" ca="1" si="4"/>
        <v>0</v>
      </c>
      <c r="E39" s="670">
        <f ca="1">IF($C39=1,OFFSET(E39,-1,0)+MAX(1,COUNTIF(QCI!$A$13:$A$24,OFFSET(ORÇAMENTO!E39,-1,0))),OFFSET(E39,-1,0))</f>
        <v>1</v>
      </c>
      <c r="F39" s="670">
        <f t="shared" ca="1" si="5"/>
        <v>5</v>
      </c>
      <c r="G39" s="670">
        <f t="shared" ca="1" si="6"/>
        <v>0</v>
      </c>
      <c r="H39" s="670">
        <f t="shared" ca="1" si="7"/>
        <v>0</v>
      </c>
      <c r="I39" s="670">
        <f t="shared" ca="1" si="8"/>
        <v>1</v>
      </c>
      <c r="J39" s="670">
        <f t="shared" ca="1" si="9"/>
        <v>0</v>
      </c>
      <c r="K39" s="670">
        <f ca="1">IF(OR($C39="S",$C39=0),0,MATCH(OFFSET($D39,0,$C39)+IF($C39&lt;&gt;1,1,COUNTIF(QCI!$A$13:$A$24,ORÇAMENTO!E39)),OFFSET($D39,1,$C39,ROW($C$191)-ROW($C39)),0))</f>
        <v>0</v>
      </c>
      <c r="L39" s="114" t="str">
        <f t="shared" ca="1" si="10"/>
        <v>F</v>
      </c>
      <c r="M39" s="115" t="s">
        <v>705</v>
      </c>
      <c r="N39" s="116" t="str">
        <f t="shared" ca="1" si="11"/>
        <v>Serviço</v>
      </c>
      <c r="O39" s="117" t="str">
        <f t="shared" ca="1" si="12"/>
        <v>1.5.1.</v>
      </c>
      <c r="P39" s="688" t="s">
        <v>750</v>
      </c>
      <c r="Q39" s="689" t="s">
        <v>1083</v>
      </c>
      <c r="R39" s="690" t="str" cm="1">
        <f t="array" aca="1" ref="R39" ca="1">IF($C39="S",REFERENCIA.Descricao,"(digite a descrição aqui)")</f>
        <v>CONCRETO FCK = 40MPA, TRAÇO 1:1,6:1,9 (EM MASSA SECA DE CIMENTO/ AREIA MÉDIA/ BRITA 1) - PREPARO MECÂNICO COM BETONEIRA 400 L. AF_05/2021</v>
      </c>
      <c r="S39" s="691" t="str" cm="1">
        <f t="array" aca="1" ref="S39" ca="1">REFERENCIA.Unidade</f>
        <v>M3</v>
      </c>
      <c r="T39" s="122">
        <f ca="1">OFFSET(CÁLCULO!H$15,ROW($T39)-ROW(T$15),0)</f>
        <v>17.5</v>
      </c>
      <c r="U39" s="693">
        <f t="shared" ca="1" si="15"/>
        <v>673.94</v>
      </c>
      <c r="V39" s="694" t="s">
        <v>663</v>
      </c>
      <c r="W39" s="122" cm="1">
        <f t="array" aca="1" ref="W39" ca="1">IF($C39="S",ROUND(IF(TIPOORCAMENTO="Proposto",ORÇAMENTO.CustoUnitario*(1+$AH39),ORÇAMENTO.PrecoUnitarioLicitado),15-13*$AF$10),0)</f>
        <v>835.69</v>
      </c>
      <c r="X39" s="125" cm="1">
        <f t="array" aca="1" ref="X39" ca="1">IF($C39="S",IF(OR(Import.TipoArredondamento&lt;&gt;"TransfereGOV",ACOMPANHAMENTO="BM"),VTOTAL1,SUM(OFFSET(CÁLCULO!$AI$15,ROW($X39)-ROW($X$15),1):OFFSET(CÁLCULO!$BB$15,ROW($X39)-ROW($X$15),-1))),IF($C39=0,0,ROUND(SomaAgrup,15-13*$AF$11)))</f>
        <v>14624.58</v>
      </c>
      <c r="Y39" s="126" t="s">
        <v>751</v>
      </c>
      <c r="Z39" s="670" t="str">
        <f t="shared" ca="1" si="13"/>
        <v>RA</v>
      </c>
      <c r="AA39" s="127" cm="1">
        <f t="array" aca="1" ref="AA39" ca="1">IF($C39="S",IF($Z39="CP",$X39,IF($Z39="RA",(($X39)*QCI!$AA$3),0)),SomaAgrup)</f>
        <v>0</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s="670" t="str">
        <f ca="1">IF(C39&lt;=CRONO.NivelExibicao,MAX($AD$15:OFFSET(AD39,-1,0))+IF($C39&lt;&gt;1,1,MAX(1,COUNTIF(QCI!$A$13:$A$24,OFFSET($E39,-1,0)))),"")</f>
        <v/>
      </c>
      <c r="AE39" s="668" t="str" cm="1">
        <f t="array" aca="1" ref="AE39" ca="1">IF(AND($C39="S",ORÇAMENTO.CodBarra&lt;&gt;""),IF(ORÇAMENTO.Fonte="",ORÇAMENTO.CodBarra,CONCATENATE(ORÇAMENTO.Fonte," ",ORÇAMENTO.CodBarra)))</f>
        <v>SINAPI 94967</v>
      </c>
      <c r="AF39" s="669"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14699</v>
      </c>
      <c r="AG39" s="428" cm="1">
        <f t="array" aca="1" ref="AG39" ca="1">ROUND(IF(DESONERACAO="sim",REFERENCIA.Desonerado,REFERENCIA.NaoDesonerado),2)</f>
        <v>673.94</v>
      </c>
      <c r="AH39" s="429">
        <f t="shared" ca="1" si="14"/>
        <v>0.24</v>
      </c>
      <c r="AJ39" s="431"/>
      <c r="AL39" s="439"/>
      <c r="AM39" s="336">
        <f t="shared" ca="1" si="0"/>
        <v>14624.58</v>
      </c>
      <c r="AN39" s="470" cm="1">
        <f t="array" aca="1" ref="AN39" ca="1">ROUND(ORÇAMENTO.CustoUnitario*(1+$AH39),2)</f>
        <v>835.69</v>
      </c>
    </row>
    <row r="40" spans="1:40" s="670" customFormat="1" ht="38.25" x14ac:dyDescent="0.2">
      <c r="A40" s="670" t="str">
        <f t="shared" si="1"/>
        <v>S</v>
      </c>
      <c r="B40" s="670">
        <f t="shared" ca="1" si="2"/>
        <v>2</v>
      </c>
      <c r="C40" s="670" t="str">
        <f t="shared" ca="1" si="3"/>
        <v>S</v>
      </c>
      <c r="D40" s="670">
        <f t="shared" ca="1" si="4"/>
        <v>0</v>
      </c>
      <c r="E40" s="670">
        <f ca="1">IF($C40=1,OFFSET(E40,-1,0)+MAX(1,COUNTIF(QCI!$A$13:$A$24,OFFSET(ORÇAMENTO!E40,-1,0))),OFFSET(E40,-1,0))</f>
        <v>1</v>
      </c>
      <c r="F40" s="670">
        <f t="shared" ca="1" si="5"/>
        <v>5</v>
      </c>
      <c r="G40" s="670">
        <f t="shared" ca="1" si="6"/>
        <v>0</v>
      </c>
      <c r="H40" s="670">
        <f t="shared" ca="1" si="7"/>
        <v>0</v>
      </c>
      <c r="I40" s="670">
        <f t="shared" ca="1" si="8"/>
        <v>2</v>
      </c>
      <c r="J40" s="670">
        <f t="shared" ca="1" si="9"/>
        <v>0</v>
      </c>
      <c r="K40" s="670">
        <f ca="1">IF(OR($C40="S",$C40=0),0,MATCH(OFFSET($D40,0,$C40)+IF($C40&lt;&gt;1,1,COUNTIF(QCI!$A$13:$A$24,ORÇAMENTO!E40)),OFFSET($D40,1,$C40,ROW($C$191)-ROW($C40)),0))</f>
        <v>0</v>
      </c>
      <c r="L40" s="114" t="str">
        <f t="shared" ca="1" si="10"/>
        <v>F</v>
      </c>
      <c r="M40" s="115" t="s">
        <v>705</v>
      </c>
      <c r="N40" s="116" t="str">
        <f t="shared" ca="1" si="11"/>
        <v>Serviço</v>
      </c>
      <c r="O40" s="117" t="str">
        <f t="shared" ca="1" si="12"/>
        <v>1.5.2.</v>
      </c>
      <c r="P40" s="688" t="s">
        <v>1064</v>
      </c>
      <c r="Q40" s="689" t="s">
        <v>1016</v>
      </c>
      <c r="R40" s="690" t="str" cm="1">
        <f t="array" aca="1" ref="R40" ca="1">IF($C40="S",REFERENCIA.Descricao,"(digite a descrição aqui)")</f>
        <v>FORNECIMENTO DE CONCRETO ESTRUTURAL, USINADO BOMBEADO, COM FCK 40MPA, INCLUSIVE LANÇAMENTO, ADENSAMENTO E ACABAMENTO</v>
      </c>
      <c r="S40" s="691" t="str" cm="1">
        <f t="array" aca="1" ref="S40" ca="1">REFERENCIA.Unidade</f>
        <v>m3</v>
      </c>
      <c r="T40" s="122">
        <f ca="1">OFFSET(CÁLCULO!H$15,ROW($T40)-ROW(T$15),0)</f>
        <v>91</v>
      </c>
      <c r="U40" s="693">
        <f t="shared" ca="1" si="15"/>
        <v>764.55</v>
      </c>
      <c r="V40" s="694" t="s">
        <v>663</v>
      </c>
      <c r="W40" s="122" cm="1">
        <f t="array" aca="1" ref="W40" ca="1">IF($C40="S",ROUND(IF(TIPOORCAMENTO="Proposto",ORÇAMENTO.CustoUnitario*(1+$AH40),ORÇAMENTO.PrecoUnitarioLicitado),15-13*$AF$10),0)</f>
        <v>948.04</v>
      </c>
      <c r="X40" s="125" cm="1">
        <f t="array" aca="1" ref="X40" ca="1">IF($C40="S",IF(OR(Import.TipoArredondamento&lt;&gt;"TransfereGOV",ACOMPANHAMENTO="BM"),VTOTAL1,SUM(OFFSET(CÁLCULO!$AI$15,ROW($X40)-ROW($X$15),1):OFFSET(CÁLCULO!$BB$15,ROW($X40)-ROW($X$15),-1))),IF($C40=0,0,ROUND(SomaAgrup,15-13*$AF$11)))</f>
        <v>86271.64</v>
      </c>
      <c r="Y40" s="126" t="s">
        <v>751</v>
      </c>
      <c r="Z40" s="670" t="str">
        <f t="shared" ca="1" si="13"/>
        <v>RA</v>
      </c>
      <c r="AA40" s="127" cm="1">
        <f t="array" aca="1" ref="AA40" ca="1">IF($C40="S",IF($Z40="CP",$X40,IF($Z40="RA",(($X40)*QCI!$AA$3),0)),SomaAgrup)</f>
        <v>0</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s="670" t="str">
        <f ca="1">IF(C40&lt;=CRONO.NivelExibicao,MAX($AD$15:OFFSET(AD40,-1,0))+IF($C40&lt;&gt;1,1,MAX(1,COUNTIF(QCI!$A$13:$A$24,OFFSET($E40,-1,0)))),"")</f>
        <v/>
      </c>
      <c r="AE40" s="668" t="str" cm="1">
        <f t="array" aca="1" ref="AE40" ca="1">IF(AND($C40="S",ORÇAMENTO.CodBarra&lt;&gt;""),IF(ORÇAMENTO.Fonte="",ORÇAMENTO.CodBarra,CONCATENATE(ORÇAMENTO.Fonte," ",ORÇAMENTO.CodBarra)))</f>
        <v>SETOP ED-49641</v>
      </c>
      <c r="AF40" s="669"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19146</v>
      </c>
      <c r="AG40" s="428" cm="1">
        <f t="array" aca="1" ref="AG40" ca="1">ROUND(IF(DESONERACAO="sim",REFERENCIA.Desonerado,REFERENCIA.NaoDesonerado),2)</f>
        <v>764.55</v>
      </c>
      <c r="AH40" s="429">
        <f t="shared" ca="1" si="14"/>
        <v>0.24</v>
      </c>
      <c r="AJ40" s="431"/>
      <c r="AL40" s="439"/>
      <c r="AM40" s="336">
        <f t="shared" ca="1" si="0"/>
        <v>86271.64</v>
      </c>
      <c r="AN40" s="470" cm="1">
        <f t="array" aca="1" ref="AN40" ca="1">ROUND(ORÇAMENTO.CustoUnitario*(1+$AH40),2)</f>
        <v>948.04</v>
      </c>
    </row>
    <row r="41" spans="1:40" s="670" customFormat="1" ht="25.5" x14ac:dyDescent="0.2">
      <c r="A41" s="670" t="str">
        <f t="shared" si="1"/>
        <v>S</v>
      </c>
      <c r="B41" s="670">
        <f t="shared" ca="1" si="2"/>
        <v>2</v>
      </c>
      <c r="C41" s="670" t="str">
        <f t="shared" ca="1" si="3"/>
        <v>S</v>
      </c>
      <c r="D41" s="670">
        <f t="shared" ca="1" si="4"/>
        <v>0</v>
      </c>
      <c r="E41" s="670">
        <f ca="1">IF($C41=1,OFFSET(E41,-1,0)+MAX(1,COUNTIF(QCI!$A$13:$A$24,OFFSET(ORÇAMENTO!E41,-1,0))),OFFSET(E41,-1,0))</f>
        <v>1</v>
      </c>
      <c r="F41" s="670">
        <f t="shared" ca="1" si="5"/>
        <v>5</v>
      </c>
      <c r="G41" s="670">
        <f t="shared" ca="1" si="6"/>
        <v>0</v>
      </c>
      <c r="H41" s="670">
        <f t="shared" ca="1" si="7"/>
        <v>0</v>
      </c>
      <c r="I41" s="670">
        <f t="shared" ca="1" si="8"/>
        <v>3</v>
      </c>
      <c r="J41" s="670">
        <f t="shared" ca="1" si="9"/>
        <v>0</v>
      </c>
      <c r="K41" s="670">
        <f ca="1">IF(OR($C41="S",$C41=0),0,MATCH(OFFSET($D41,0,$C41)+IF($C41&lt;&gt;1,1,COUNTIF(QCI!$A$13:$A$24,ORÇAMENTO!E41)),OFFSET($D41,1,$C41,ROW($C$191)-ROW($C41)),0))</f>
        <v>0</v>
      </c>
      <c r="L41" s="114" t="str">
        <f t="shared" ca="1" si="10"/>
        <v>F</v>
      </c>
      <c r="M41" s="115" t="s">
        <v>705</v>
      </c>
      <c r="N41" s="116" t="str">
        <f t="shared" ca="1" si="11"/>
        <v>Serviço</v>
      </c>
      <c r="O41" s="117" t="str">
        <f t="shared" ca="1" si="12"/>
        <v>1.5.3.</v>
      </c>
      <c r="P41" s="688" t="s">
        <v>1064</v>
      </c>
      <c r="Q41" s="689" t="s">
        <v>1017</v>
      </c>
      <c r="R41" s="690" t="str" cm="1">
        <f t="array" aca="1" ref="R41" ca="1">IF($C41="S",REFERENCIA.Descricao,"(digite a descrição aqui)")</f>
        <v>FÔRMA E DESFORMA PARA VIGA-CINTA/BLOCO COM COMPENSADO PLASTIFICADO, ESP. 12MM, REAPROVEITAMENTO (3X) (FUNDAÇÃO)</v>
      </c>
      <c r="S41" s="691" t="str" cm="1">
        <f t="array" aca="1" ref="S41" ca="1">REFERENCIA.Unidade</f>
        <v>m2</v>
      </c>
      <c r="T41" s="122">
        <f ca="1">OFFSET(CÁLCULO!H$15,ROW($T41)-ROW(T$15),0)</f>
        <v>20</v>
      </c>
      <c r="U41" s="693">
        <f t="shared" ca="1" si="15"/>
        <v>78.78</v>
      </c>
      <c r="V41" s="694" t="s">
        <v>663</v>
      </c>
      <c r="W41" s="122" cm="1">
        <f t="array" aca="1" ref="W41" ca="1">IF($C41="S",ROUND(IF(TIPOORCAMENTO="Proposto",ORÇAMENTO.CustoUnitario*(1+$AH41),ORÇAMENTO.PrecoUnitarioLicitado),15-13*$AF$10),0)</f>
        <v>97.69</v>
      </c>
      <c r="X41" s="125" cm="1">
        <f t="array" aca="1" ref="X41" ca="1">IF($C41="S",IF(OR(Import.TipoArredondamento&lt;&gt;"TransfereGOV",ACOMPANHAMENTO="BM"),VTOTAL1,SUM(OFFSET(CÁLCULO!$AI$15,ROW($X41)-ROW($X$15),1):OFFSET(CÁLCULO!$BB$15,ROW($X41)-ROW($X$15),-1))),IF($C41=0,0,ROUND(SomaAgrup,15-13*$AF$11)))</f>
        <v>1953.8</v>
      </c>
      <c r="Y41" s="126" t="s">
        <v>751</v>
      </c>
      <c r="Z41" s="670" t="str">
        <f t="shared" ca="1" si="13"/>
        <v>RA</v>
      </c>
      <c r="AA41" s="127" cm="1">
        <f t="array" aca="1" ref="AA41" ca="1">IF($C41="S",IF($Z41="CP",$X41,IF($Z41="RA",(($X41)*QCI!$AA$3),0)),SomaAgrup)</f>
        <v>0</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s="670" t="str">
        <f ca="1">IF(C41&lt;=CRONO.NivelExibicao,MAX($AD$15:OFFSET(AD41,-1,0))+IF($C41&lt;&gt;1,1,MAX(1,COUNTIF(QCI!$A$13:$A$24,OFFSET($E41,-1,0)))),"")</f>
        <v/>
      </c>
      <c r="AE41" s="668" t="str" cm="1">
        <f t="array" aca="1" ref="AE41" ca="1">IF(AND($C41="S",ORÇAMENTO.CodBarra&lt;&gt;""),IF(ORÇAMENTO.Fonte="",ORÇAMENTO.CodBarra,CONCATENATE(ORÇAMENTO.Fonte," ",ORÇAMENTO.CodBarra)))</f>
        <v>SETOP ED-8571</v>
      </c>
      <c r="AF41" s="669"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19042</v>
      </c>
      <c r="AG41" s="428" cm="1">
        <f t="array" aca="1" ref="AG41" ca="1">ROUND(IF(DESONERACAO="sim",REFERENCIA.Desonerado,REFERENCIA.NaoDesonerado),2)</f>
        <v>78.78</v>
      </c>
      <c r="AH41" s="429">
        <f t="shared" ca="1" si="14"/>
        <v>0.24</v>
      </c>
      <c r="AJ41" s="431"/>
      <c r="AL41" s="439"/>
      <c r="AM41" s="336">
        <f t="shared" ca="1" si="0"/>
        <v>1953.8</v>
      </c>
      <c r="AN41" s="470" cm="1">
        <f t="array" aca="1" ref="AN41" ca="1">ROUND(ORÇAMENTO.CustoUnitario*(1+$AH41),2)</f>
        <v>97.69</v>
      </c>
    </row>
    <row r="42" spans="1:40" s="670" customFormat="1" x14ac:dyDescent="0.2">
      <c r="A42" s="670">
        <f t="shared" si="1"/>
        <v>2</v>
      </c>
      <c r="B42" s="670">
        <f t="shared" ca="1" si="2"/>
        <v>2</v>
      </c>
      <c r="C42" s="670">
        <f t="shared" ca="1" si="3"/>
        <v>2</v>
      </c>
      <c r="D42" s="670">
        <f t="shared" ca="1" si="4"/>
        <v>2</v>
      </c>
      <c r="E42" s="670">
        <f ca="1">IF($C42=1,OFFSET(E42,-1,0)+MAX(1,COUNTIF(QCI!$A$13:$A$24,OFFSET(ORÇAMENTO!E42,-1,0))),OFFSET(E42,-1,0))</f>
        <v>1</v>
      </c>
      <c r="F42" s="670">
        <f t="shared" ca="1" si="5"/>
        <v>6</v>
      </c>
      <c r="G42" s="670">
        <f t="shared" ca="1" si="6"/>
        <v>0</v>
      </c>
      <c r="H42" s="670">
        <f t="shared" ca="1" si="7"/>
        <v>0</v>
      </c>
      <c r="I42" s="670">
        <f t="shared" ca="1" si="8"/>
        <v>0</v>
      </c>
      <c r="J42" s="670">
        <f t="shared" ca="1" si="9"/>
        <v>149</v>
      </c>
      <c r="K42" s="670">
        <f ca="1">IF(OR($C42="S",$C42=0),0,MATCH(OFFSET($D42,0,$C42)+IF($C42&lt;&gt;1,1,COUNTIF(QCI!$A$13:$A$24,ORÇAMENTO!E42)),OFFSET($D42,1,$C42,ROW($C$191)-ROW($C42)),0))</f>
        <v>2</v>
      </c>
      <c r="L42" s="114" t="str">
        <f t="shared" ca="1" si="10"/>
        <v>F</v>
      </c>
      <c r="M42" s="115" t="s">
        <v>702</v>
      </c>
      <c r="N42" s="116" t="str">
        <f t="shared" ca="1" si="11"/>
        <v>Nível 2</v>
      </c>
      <c r="O42" s="117" t="str">
        <f t="shared" ca="1" si="12"/>
        <v>1.6.</v>
      </c>
      <c r="P42" s="688" t="s">
        <v>250</v>
      </c>
      <c r="Q42" s="689" t="s">
        <v>250</v>
      </c>
      <c r="R42" s="690" t="s">
        <v>1125</v>
      </c>
      <c r="S42" s="691" t="s">
        <v>688</v>
      </c>
      <c r="T42" s="122">
        <f ca="1">OFFSET(CÁLCULO!H$15,ROW($T42)-ROW(T$15),0)</f>
        <v>0</v>
      </c>
      <c r="U42" s="693">
        <f t="shared" ca="1" si="15"/>
        <v>0</v>
      </c>
      <c r="V42" s="694" t="s">
        <v>663</v>
      </c>
      <c r="W42" s="122" cm="1">
        <f t="array" aca="1" ref="W42" ca="1">IF($C42="S",ROUND(IF(TIPOORCAMENTO="Proposto",ORÇAMENTO.CustoUnitario*(1+$AH42),ORÇAMENTO.PrecoUnitarioLicitado),15-13*$AF$10),0)</f>
        <v>0</v>
      </c>
      <c r="X42" s="125" cm="1">
        <f t="array" aca="1" ref="X42" ca="1">IF($C42="S",IF(OR(Import.TipoArredondamento&lt;&gt;"TransfereGOV",ACOMPANHAMENTO="BM"),VTOTAL1,SUM(OFFSET(CÁLCULO!$AI$15,ROW($X42)-ROW($X$15),1):OFFSET(CÁLCULO!$BB$15,ROW($X42)-ROW($X$15),-1))),IF($C42=0,0,ROUND(SomaAgrup,15-13*$AF$11)))</f>
        <v>513137.44</v>
      </c>
      <c r="Y42" s="126" t="s">
        <v>751</v>
      </c>
      <c r="Z42" s="670" t="str">
        <f t="shared" ca="1" si="13"/>
        <v/>
      </c>
      <c r="AA42" s="127" cm="1">
        <f t="array" aca="1" ref="AA42" ca="1">IF($C42="S",IF($Z42="CP",$X42,IF($Z42="RA",(($X42)*QCI!$AA$3),0)),SomaAgrup)</f>
        <v>0</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s="670">
        <f ca="1">IF(C42&lt;=CRONO.NivelExibicao,MAX($AD$15:OFFSET(AD42,-1,0))+IF($C42&lt;&gt;1,1,MAX(1,COUNTIF(QCI!$A$13:$A$24,OFFSET($E42,-1,0)))),"")</f>
        <v>7</v>
      </c>
      <c r="AE42" s="668" t="b" cm="1">
        <f t="array" aca="1" ref="AE42" ca="1">IF(AND($C42="S",ORÇAMENTO.CodBarra&lt;&gt;""),IF(ORÇAMENTO.Fonte="",ORÇAMENTO.CodBarra,CONCATENATE(ORÇAMENTO.Fonte," ",ORÇAMENTO.CodBarra)))</f>
        <v>0</v>
      </c>
      <c r="AF42" s="669" t="str"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(Sem Código)</v>
      </c>
      <c r="AG42" s="428" cm="1">
        <f t="array" aca="1" ref="AG42" ca="1">ROUND(IF(DESONERACAO="sim",REFERENCIA.Desonerado,REFERENCIA.NaoDesonerado),2)</f>
        <v>0</v>
      </c>
      <c r="AH42" s="429">
        <f t="shared" ca="1" si="14"/>
        <v>0.24</v>
      </c>
      <c r="AJ42" s="431"/>
      <c r="AL42" s="439"/>
      <c r="AM42" s="336">
        <f t="shared" ca="1" si="0"/>
        <v>513137.44</v>
      </c>
      <c r="AN42" s="470" cm="1">
        <f t="array" aca="1" ref="AN42" ca="1">ROUND(ORÇAMENTO.CustoUnitario*(1+$AH42),2)</f>
        <v>0</v>
      </c>
    </row>
    <row r="43" spans="1:40" s="670" customFormat="1" x14ac:dyDescent="0.2">
      <c r="A43" s="670" t="str">
        <f t="shared" si="1"/>
        <v>S</v>
      </c>
      <c r="B43" s="670">
        <f t="shared" ca="1" si="2"/>
        <v>2</v>
      </c>
      <c r="C43" s="670" t="str">
        <f t="shared" ca="1" si="3"/>
        <v>S</v>
      </c>
      <c r="D43" s="670">
        <f t="shared" ca="1" si="4"/>
        <v>0</v>
      </c>
      <c r="E43" s="670">
        <f ca="1">IF($C43=1,OFFSET(E43,-1,0)+MAX(1,COUNTIF(QCI!$A$13:$A$24,OFFSET(ORÇAMENTO!E43,-1,0))),OFFSET(E43,-1,0))</f>
        <v>1</v>
      </c>
      <c r="F43" s="670">
        <f t="shared" ca="1" si="5"/>
        <v>6</v>
      </c>
      <c r="G43" s="670">
        <f t="shared" ca="1" si="6"/>
        <v>0</v>
      </c>
      <c r="H43" s="670">
        <f t="shared" ca="1" si="7"/>
        <v>0</v>
      </c>
      <c r="I43" s="670">
        <f t="shared" ca="1" si="8"/>
        <v>1</v>
      </c>
      <c r="J43" s="670">
        <f t="shared" ca="1" si="9"/>
        <v>0</v>
      </c>
      <c r="K43" s="670">
        <f ca="1">IF(OR($C43="S",$C43=0),0,MATCH(OFFSET($D43,0,$C43)+IF($C43&lt;&gt;1,1,COUNTIF(QCI!$A$13:$A$24,ORÇAMENTO!E43)),OFFSET($D43,1,$C43,ROW($C$191)-ROW($C43)),0))</f>
        <v>0</v>
      </c>
      <c r="L43" s="114" t="str">
        <f t="shared" ca="1" si="10"/>
        <v>F</v>
      </c>
      <c r="M43" s="115" t="s">
        <v>705</v>
      </c>
      <c r="N43" s="116" t="str">
        <f t="shared" ca="1" si="11"/>
        <v>Serviço</v>
      </c>
      <c r="O43" s="117" t="str">
        <f t="shared" ca="1" si="12"/>
        <v>1.6.1.</v>
      </c>
      <c r="P43" s="688" t="s">
        <v>957</v>
      </c>
      <c r="Q43" s="689" t="s">
        <v>1080</v>
      </c>
      <c r="R43" s="690" t="str" cm="1">
        <f t="array" aca="1" ref="R43" ca="1">IF($C43="S",REFERENCIA.Descricao,"(digite a descrição aqui)")</f>
        <v>RESERVATÓRIO- 320³</v>
      </c>
      <c r="S43" s="691" t="str" cm="1">
        <f t="array" aca="1" ref="S43" ca="1">REFERENCIA.Unidade</f>
        <v>UNIDADE</v>
      </c>
      <c r="T43" s="122">
        <f ca="1">OFFSET(CÁLCULO!H$15,ROW($T43)-ROW(T$15),0)</f>
        <v>1</v>
      </c>
      <c r="U43" s="693">
        <f t="shared" ca="1" si="15"/>
        <v>439330</v>
      </c>
      <c r="V43" s="694" t="s">
        <v>697</v>
      </c>
      <c r="W43" s="122" cm="1">
        <f t="array" aca="1" ref="W43" ca="1">IF($C43="S",ROUND(IF(TIPOORCAMENTO="Proposto",ORÇAMENTO.CustoUnitario*(1+$AH43),ORÇAMENTO.PrecoUnitarioLicitado),15-13*$AF$10),0)</f>
        <v>513137.44</v>
      </c>
      <c r="X43" s="125" cm="1">
        <f t="array" aca="1" ref="X43" ca="1">IF($C43="S",IF(OR(Import.TipoArredondamento&lt;&gt;"TransfereGOV",ACOMPANHAMENTO="BM"),VTOTAL1,SUM(OFFSET(CÁLCULO!$AI$15,ROW($X43)-ROW($X$15),1):OFFSET(CÁLCULO!$BB$15,ROW($X43)-ROW($X$15),-1))),IF($C43=0,0,ROUND(SomaAgrup,15-13*$AF$11)))</f>
        <v>513137.44</v>
      </c>
      <c r="Y43" s="126" t="s">
        <v>751</v>
      </c>
      <c r="Z43" s="670" t="str">
        <f t="shared" ca="1" si="13"/>
        <v>RA</v>
      </c>
      <c r="AA43" s="127" cm="1">
        <f t="array" aca="1" ref="AA43" ca="1">IF($C43="S",IF($Z43="CP",$X43,IF($Z43="RA",(($X43)*QCI!$AA$3),0)),SomaAgrup)</f>
        <v>0</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Unid. Não Disp</v>
      </c>
      <c r="AD43" s="670" t="str">
        <f ca="1">IF(C43&lt;=CRONO.NivelExibicao,MAX($AD$15:OFFSET(AD43,-1,0))+IF($C43&lt;&gt;1,1,MAX(1,COUNTIF(QCI!$A$13:$A$24,OFFSET($E43,-1,0)))),"")</f>
        <v/>
      </c>
      <c r="AE43" s="668" t="str" cm="1">
        <f t="array" aca="1" ref="AE43" ca="1">IF(AND($C43="S",ORÇAMENTO.CodBarra&lt;&gt;""),IF(ORÇAMENTO.Fonte="",ORÇAMENTO.CodBarra,CONCATENATE(ORÇAMENTO.Fonte," ",ORÇAMENTO.CodBarra)))</f>
        <v>Cotação 01</v>
      </c>
      <c r="AF43" s="669"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10</v>
      </c>
      <c r="AG43" s="428" cm="1">
        <f t="array" aca="1" ref="AG43" ca="1">ROUND(IF(DESONERACAO="sim",REFERENCIA.Desonerado,REFERENCIA.NaoDesonerado),2)</f>
        <v>439330</v>
      </c>
      <c r="AH43" s="429">
        <f t="shared" ca="1" si="14"/>
        <v>0.16800000000000001</v>
      </c>
      <c r="AJ43" s="431"/>
      <c r="AL43" s="439"/>
      <c r="AM43" s="336">
        <f t="shared" ca="1" si="0"/>
        <v>513137.44</v>
      </c>
      <c r="AN43" s="470" cm="1">
        <f t="array" aca="1" ref="AN43" ca="1">ROUND(ORÇAMENTO.CustoUnitario*(1+$AH43),2)</f>
        <v>513137.44</v>
      </c>
    </row>
    <row r="44" spans="1:40" s="670" customFormat="1" x14ac:dyDescent="0.2">
      <c r="A44" s="670">
        <f t="shared" si="1"/>
        <v>2</v>
      </c>
      <c r="B44" s="670">
        <f t="shared" ca="1" si="2"/>
        <v>2</v>
      </c>
      <c r="C44" s="670">
        <f t="shared" ca="1" si="3"/>
        <v>2</v>
      </c>
      <c r="D44" s="670">
        <f t="shared" ca="1" si="4"/>
        <v>7</v>
      </c>
      <c r="E44" s="670">
        <f ca="1">IF($C44=1,OFFSET(E44,-1,0)+MAX(1,COUNTIF(QCI!$A$13:$A$24,OFFSET(ORÇAMENTO!E44,-1,0))),OFFSET(E44,-1,0))</f>
        <v>1</v>
      </c>
      <c r="F44" s="670">
        <f t="shared" ca="1" si="5"/>
        <v>7</v>
      </c>
      <c r="G44" s="670">
        <f t="shared" ca="1" si="6"/>
        <v>0</v>
      </c>
      <c r="H44" s="670">
        <f t="shared" ca="1" si="7"/>
        <v>0</v>
      </c>
      <c r="I44" s="670">
        <f t="shared" ca="1" si="8"/>
        <v>0</v>
      </c>
      <c r="J44" s="670">
        <f t="shared" ca="1" si="9"/>
        <v>147</v>
      </c>
      <c r="K44" s="670">
        <f ca="1">IF(OR($C44="S",$C44=0),0,MATCH(OFFSET($D44,0,$C44)+IF($C44&lt;&gt;1,1,COUNTIF(QCI!$A$13:$A$24,ORÇAMENTO!E44)),OFFSET($D44,1,$C44,ROW($C$191)-ROW($C44)),0))</f>
        <v>7</v>
      </c>
      <c r="L44" s="114" t="str">
        <f t="shared" ca="1" si="10"/>
        <v>F</v>
      </c>
      <c r="M44" s="115" t="s">
        <v>702</v>
      </c>
      <c r="N44" s="116" t="str">
        <f t="shared" ca="1" si="11"/>
        <v>Nível 2</v>
      </c>
      <c r="O44" s="117" t="str">
        <f t="shared" ca="1" si="12"/>
        <v>1.7.</v>
      </c>
      <c r="P44" s="688" t="s">
        <v>250</v>
      </c>
      <c r="Q44" s="689" t="s">
        <v>250</v>
      </c>
      <c r="R44" s="690" t="s">
        <v>1299</v>
      </c>
      <c r="S44" s="691" t="s">
        <v>688</v>
      </c>
      <c r="T44" s="122">
        <f ca="1">OFFSET(CÁLCULO!H$15,ROW($T44)-ROW(T$15),0)</f>
        <v>0</v>
      </c>
      <c r="U44" s="693">
        <f t="shared" ca="1" si="15"/>
        <v>0</v>
      </c>
      <c r="V44" s="694" t="s">
        <v>663</v>
      </c>
      <c r="W44" s="122" cm="1">
        <f t="array" aca="1" ref="W44" ca="1">IF($C44="S",ROUND(IF(TIPOORCAMENTO="Proposto",ORÇAMENTO.CustoUnitario*(1+$AH44),ORÇAMENTO.PrecoUnitarioLicitado),15-13*$AF$10),0)</f>
        <v>0</v>
      </c>
      <c r="X44" s="125" cm="1">
        <f t="array" aca="1" ref="X44" ca="1">IF($C44="S",IF(OR(Import.TipoArredondamento&lt;&gt;"TransfereGOV",ACOMPANHAMENTO="BM"),VTOTAL1,SUM(OFFSET(CÁLCULO!$AI$15,ROW($X44)-ROW($X$15),1):OFFSET(CÁLCULO!$BB$15,ROW($X44)-ROW($X$15),-1))),IF($C44=0,0,ROUND(SomaAgrup,15-13*$AF$11)))</f>
        <v>105007.97</v>
      </c>
      <c r="Y44" s="126" t="s">
        <v>751</v>
      </c>
      <c r="Z44" s="670" t="str">
        <f t="shared" ca="1" si="13"/>
        <v/>
      </c>
      <c r="AA44" s="127" cm="1">
        <f t="array" aca="1" ref="AA44" ca="1">IF($C44="S",IF($Z44="CP",$X44,IF($Z44="RA",(($X44)*QCI!$AA$3),0)),SomaAgrup)</f>
        <v>0</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s="670">
        <f ca="1">IF(C44&lt;=CRONO.NivelExibicao,MAX($AD$15:OFFSET(AD44,-1,0))+IF($C44&lt;&gt;1,1,MAX(1,COUNTIF(QCI!$A$13:$A$24,OFFSET($E44,-1,0)))),"")</f>
        <v>8</v>
      </c>
      <c r="AE44" s="668" t="b" cm="1">
        <f t="array" aca="1" ref="AE44" ca="1">IF(AND($C44="S",ORÇAMENTO.CodBarra&lt;&gt;""),IF(ORÇAMENTO.Fonte="",ORÇAMENTO.CodBarra,CONCATENATE(ORÇAMENTO.Fonte," ",ORÇAMENTO.CodBarra)))</f>
        <v>0</v>
      </c>
      <c r="AF44" s="669" t="str"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(Sem Código)</v>
      </c>
      <c r="AG44" s="428" cm="1">
        <f t="array" aca="1" ref="AG44" ca="1">ROUND(IF(DESONERACAO="sim",REFERENCIA.Desonerado,REFERENCIA.NaoDesonerado),2)</f>
        <v>0</v>
      </c>
      <c r="AH44" s="429">
        <f t="shared" ca="1" si="14"/>
        <v>0.24</v>
      </c>
      <c r="AJ44" s="431"/>
      <c r="AL44" s="439"/>
      <c r="AM44" s="336">
        <f t="shared" ca="1" si="0"/>
        <v>105007.97</v>
      </c>
      <c r="AN44" s="470" cm="1">
        <f t="array" aca="1" ref="AN44" ca="1">ROUND(ORÇAMENTO.CustoUnitario*(1+$AH44),2)</f>
        <v>0</v>
      </c>
    </row>
    <row r="45" spans="1:40" s="670" customFormat="1" x14ac:dyDescent="0.2">
      <c r="A45" s="670" t="str">
        <f t="shared" si="1"/>
        <v>S</v>
      </c>
      <c r="B45" s="670">
        <f t="shared" ca="1" si="2"/>
        <v>2</v>
      </c>
      <c r="C45" s="670" t="str">
        <f t="shared" ca="1" si="3"/>
        <v>S</v>
      </c>
      <c r="D45" s="670">
        <f t="shared" ca="1" si="4"/>
        <v>0</v>
      </c>
      <c r="E45" s="670">
        <f ca="1">IF($C45=1,OFFSET(E45,-1,0)+MAX(1,COUNTIF(QCI!$A$13:$A$24,OFFSET(ORÇAMENTO!E45,-1,0))),OFFSET(E45,-1,0))</f>
        <v>1</v>
      </c>
      <c r="F45" s="670">
        <f t="shared" ca="1" si="5"/>
        <v>7</v>
      </c>
      <c r="G45" s="670">
        <f t="shared" ca="1" si="6"/>
        <v>0</v>
      </c>
      <c r="H45" s="670">
        <f t="shared" ca="1" si="7"/>
        <v>0</v>
      </c>
      <c r="I45" s="670">
        <f t="shared" ca="1" si="8"/>
        <v>1</v>
      </c>
      <c r="J45" s="670">
        <f t="shared" ca="1" si="9"/>
        <v>0</v>
      </c>
      <c r="K45" s="670">
        <f ca="1">IF(OR($C45="S",$C45=0),0,MATCH(OFFSET($D45,0,$C45)+IF($C45&lt;&gt;1,1,COUNTIF(QCI!$A$13:$A$24,ORÇAMENTO!E45)),OFFSET($D45,1,$C45,ROW($C$191)-ROW($C45)),0))</f>
        <v>0</v>
      </c>
      <c r="L45" s="114" t="str">
        <f t="shared" ca="1" si="10"/>
        <v>F</v>
      </c>
      <c r="M45" s="115" t="s">
        <v>705</v>
      </c>
      <c r="N45" s="116" t="str">
        <f t="shared" ca="1" si="11"/>
        <v>Serviço</v>
      </c>
      <c r="O45" s="117" t="str">
        <f t="shared" ca="1" si="12"/>
        <v>1.7.1.</v>
      </c>
      <c r="P45" s="688" t="s">
        <v>957</v>
      </c>
      <c r="Q45" s="689" t="s">
        <v>1106</v>
      </c>
      <c r="R45" s="690" t="str" cm="1">
        <f t="array" aca="1" ref="R45" ca="1">IF($C45="S",REFERENCIA.Descricao,"(digite a descrição aqui)")</f>
        <v>tubo em ferro fundido, c/ flanges PN 10, diam. =  200mm, L=1,00m</v>
      </c>
      <c r="S45" s="691" t="str" cm="1">
        <f t="array" aca="1" ref="S45" ca="1">REFERENCIA.Unidade</f>
        <v>UNIDADE</v>
      </c>
      <c r="T45" s="122">
        <f ca="1">OFFSET(CÁLCULO!H$15,ROW($T45)-ROW(T$15),0)</f>
        <v>20</v>
      </c>
      <c r="U45" s="693">
        <f ca="1">AG45</f>
        <v>3414.29</v>
      </c>
      <c r="V45" s="694" t="s">
        <v>697</v>
      </c>
      <c r="W45" s="122" cm="1">
        <f t="array" aca="1" ref="W45" ca="1">IF($C45="S",ROUND(IF(TIPOORCAMENTO="Proposto",ORÇAMENTO.CustoUnitario*(1+$AH45),ORÇAMENTO.PrecoUnitarioLicitado),15-13*$AF$10),0)</f>
        <v>3987.89</v>
      </c>
      <c r="X45" s="125" cm="1">
        <f t="array" aca="1" ref="X45" ca="1">IF($C45="S",IF(OR(Import.TipoArredondamento&lt;&gt;"TransfereGOV",ACOMPANHAMENTO="BM"),VTOTAL1,SUM(OFFSET(CÁLCULO!$AI$15,ROW($X45)-ROW($X$15),1):OFFSET(CÁLCULO!$BB$15,ROW($X45)-ROW($X$15),-1))),IF($C45=0,0,ROUND(SomaAgrup,15-13*$AF$11)))</f>
        <v>79757.8</v>
      </c>
      <c r="Y45" s="126" t="s">
        <v>751</v>
      </c>
      <c r="Z45" s="670" t="str">
        <f t="shared" ca="1" si="13"/>
        <v>RA</v>
      </c>
      <c r="AA45" s="127" cm="1">
        <f t="array" aca="1" ref="AA45" ca="1">IF($C45="S",IF($Z45="CP",$X45,IF($Z45="RA",(($X45)*QCI!$AA$3),0)),SomaAgrup)</f>
        <v>0</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Unid. Não Disp</v>
      </c>
      <c r="AD45" s="670" t="str">
        <f ca="1">IF(C45&lt;=CRONO.NivelExibicao,MAX($AD$15:OFFSET(AD45,-1,0))+IF($C45&lt;&gt;1,1,MAX(1,COUNTIF(QCI!$A$13:$A$24,OFFSET($E45,-1,0)))),"")</f>
        <v/>
      </c>
      <c r="AE45" s="668" t="str" cm="1">
        <f t="array" aca="1" ref="AE45" ca="1">IF(AND($C45="S",ORÇAMENTO.CodBarra&lt;&gt;""),IF(ORÇAMENTO.Fonte="",ORÇAMENTO.CodBarra,CONCATENATE(ORÇAMENTO.Fonte," ",ORÇAMENTO.CodBarra)))</f>
        <v>Cotação 20</v>
      </c>
      <c r="AF45" s="669"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29</v>
      </c>
      <c r="AG45" s="428" cm="1">
        <f t="array" aca="1" ref="AG45" ca="1">ROUND(IF(DESONERACAO="sim",REFERENCIA.Desonerado,REFERENCIA.NaoDesonerado),2)</f>
        <v>3414.29</v>
      </c>
      <c r="AH45" s="429">
        <f t="shared" ca="1" si="14"/>
        <v>0.16800000000000001</v>
      </c>
      <c r="AJ45" s="431"/>
      <c r="AL45" s="439"/>
      <c r="AM45" s="336">
        <f t="shared" ca="1" si="0"/>
        <v>79757.8</v>
      </c>
      <c r="AN45" s="470" cm="1">
        <f t="array" aca="1" ref="AN45" ca="1">ROUND(ORÇAMENTO.CustoUnitario*(1+$AH45),2)</f>
        <v>3987.89</v>
      </c>
    </row>
    <row r="46" spans="1:40" s="680" customFormat="1" ht="51" x14ac:dyDescent="0.2">
      <c r="A46" s="680" t="str">
        <f>CHOOSE(1+LOG(1+2*(ORÇAMENTO.Nivel="Meta")+4*(ORÇAMENTO.Nivel="Nível 2")+8*(ORÇAMENTO.Nivel="Nível 3")+16*(ORÇAMENTO.Nivel="Nível 4")+32*(ORÇAMENTO.Nivel="Serviço"),2),0,1,2,3,4,"S")</f>
        <v>S</v>
      </c>
      <c r="B46" s="680">
        <f ca="1">IF(OR(C46="s",C46=0),OFFSET(B46,-1,0),C46)</f>
        <v>2</v>
      </c>
      <c r="C46" s="680" t="str">
        <f ca="1">IF(OFFSET(C46,-1,0)="L",1,IF(OFFSET(C46,-1,0)=1,2,IF(OR(A46="s",A46=0),"S",IF(AND(OFFSET(C46,-1,0)=2,A46=4),3,IF(AND(OR(OFFSET(C46,-1,0)="s",OFFSET(C46,-1,0)=0),A46&lt;&gt;"s",A46&gt;OFFSET(B46,-1,0)),OFFSET(B46,-1,0),A46)))))</f>
        <v>S</v>
      </c>
      <c r="D46" s="680">
        <f ca="1">IF(OR(C46="S",C46=0),0,IF(ISERROR(K46),J46,SMALL(J46:K46,1)))</f>
        <v>0</v>
      </c>
      <c r="E46" s="680">
        <f ca="1">IF($C46=1,OFFSET(E46,-1,0)+MAX(1,COUNTIF(QCI!$A$13:$A$24,OFFSET(ORÇAMENTO!E46,-1,0))),OFFSET(E46,-1,0))</f>
        <v>1</v>
      </c>
      <c r="F46" s="680">
        <f ca="1">IF($C46=1,0,IF($C46=2,OFFSET(F46,-1,0)+1,OFFSET(F46,-1,0)))</f>
        <v>7</v>
      </c>
      <c r="G46" s="680">
        <f ca="1">IF(AND($C46&lt;=2,$C46&lt;&gt;0),0,IF($C46=3,OFFSET(G46,-1,0)+1,OFFSET(G46,-1,0)))</f>
        <v>0</v>
      </c>
      <c r="H46" s="680">
        <f ca="1">IF(AND($C46&lt;=3,$C46&lt;&gt;0),0,IF($C46=4,OFFSET(H46,-1,0)+1,OFFSET(H46,-1,0)))</f>
        <v>0</v>
      </c>
      <c r="I46" s="680">
        <f ca="1">IF(AND($C46&lt;=4,$C46&lt;&gt;0),0,IF(AND($C46="S",$X46&gt;0),OFFSET(I46,-1,0)+1,OFFSET(I46,-1,0)))</f>
        <v>2</v>
      </c>
      <c r="J46" s="680">
        <f t="shared" ca="1" si="9"/>
        <v>0</v>
      </c>
      <c r="K46" s="680">
        <f ca="1">IF(OR($C46="S",$C46=0),0,MATCH(OFFSET($D46,0,$C46)+IF($C46&lt;&gt;1,1,COUNTIF(QCI!$A$13:$A$24,ORÇAMENTO!E46)),OFFSET($D46,1,$C46,ROW($C$191)-ROW($C46)),0))</f>
        <v>0</v>
      </c>
      <c r="L46" s="684" t="str">
        <f ca="1">IF(OR($X46&gt;0,$C46=1,$C46=2,$C46=3,$C46=4),"F","")</f>
        <v>F</v>
      </c>
      <c r="M46" s="685" t="s">
        <v>705</v>
      </c>
      <c r="N46" s="686" t="str">
        <f ca="1">CHOOSE(1+LOG(1+2*(C46=1)+4*(C46=2)+8*(C46=3)+16*(C46=4)+32*(C46="S"),2),"","Meta","Nível 2","Nível 3","Nível 4","Serviço")</f>
        <v>Serviço</v>
      </c>
      <c r="O46" s="687" t="str">
        <f ca="1">IF(OR($C46=0,$L46=""),"-",CONCATENATE(E46&amp;".",IF(AND($A$5&gt;=2,$C46&gt;=2),F46&amp;".",""),IF(AND($A$5&gt;=3,$C46&gt;=3),G46&amp;".",""),IF(AND($A$5&gt;=4,$C46&gt;=4),H46&amp;".",""),IF($C46="S",I46&amp;".","")))</f>
        <v>1.7.2.</v>
      </c>
      <c r="P46" s="688" t="s">
        <v>750</v>
      </c>
      <c r="Q46" s="689" t="s">
        <v>1228</v>
      </c>
      <c r="R46" s="690" t="str" cm="1">
        <f t="array" aca="1" ref="R46" ca="1">IF($C46="S",REFERENCIA.Descricao,"(digite a descrição aqui)")</f>
        <v>ASSENTAMENTO DE TUBO DE FERRO FUNDIDO PARA REDE DE ÁGUA, DN 200 MM, JUNTA ELÁSTICA, INSTALADO EM LOCAL COM NÍVEL ALTO DE INTERFERÊNCIAS (NÃO INCLUI FORNECIMENTO). AF_05/2024</v>
      </c>
      <c r="S46" s="691" t="str" cm="1">
        <f t="array" aca="1" ref="S46" ca="1">REFERENCIA.Unidade</f>
        <v>M</v>
      </c>
      <c r="T46" s="692">
        <f ca="1">OFFSET(CÁLCULO!H$15,ROW($T46)-ROW(T$15),0)</f>
        <v>20</v>
      </c>
      <c r="U46" s="693">
        <f t="shared" ca="1" si="15"/>
        <v>10.61</v>
      </c>
      <c r="V46" s="694" t="s">
        <v>663</v>
      </c>
      <c r="W46" s="692" cm="1">
        <f t="array" aca="1" ref="W46" ca="1">IF($C46="S",ROUND(IF(TIPOORCAMENTO="Proposto",ORÇAMENTO.CustoUnitario*(1+$AH46),ORÇAMENTO.PrecoUnitarioLicitado),15-13*$AF$10),0)</f>
        <v>13.16</v>
      </c>
      <c r="X46" s="695" cm="1">
        <f t="array" aca="1" ref="X46" ca="1">IF($C46="S",IF(OR(Import.TipoArredondamento&lt;&gt;"TransfereGOV",ACOMPANHAMENTO="BM"),VTOTAL1,SUM(OFFSET(CÁLCULO!$AI$15,ROW($X46)-ROW($X$15),1):OFFSET(CÁLCULO!$BB$15,ROW($X46)-ROW($X$15),-1))),IF($C46=0,0,ROUND(SomaAgrup,15-13*$AF$11)))</f>
        <v>263.2</v>
      </c>
      <c r="Y46" s="696" t="s">
        <v>751</v>
      </c>
      <c r="Z46" s="680" t="str">
        <f ca="1">IF(AND($C46="S",$X46&gt;0),IF(ISBLANK($Y46),"RA",LEFT($Y46,2)),"")</f>
        <v>RA</v>
      </c>
      <c r="AA46" s="697" cm="1">
        <f t="array" aca="1" ref="AA46" ca="1">IF($C46="S",IF($Z46="CP",$X46,IF($Z46="RA",(($X46)*QCI!$AA$3),0)),SomaAgrup)</f>
        <v>0</v>
      </c>
      <c r="AB46" s="698" cm="1">
        <f t="array" aca="1" ref="AB46" ca="1">IF($C46="S",IF($Z46="OU",ROUND($X46,2),0),SomaAgrup)</f>
        <v>0</v>
      </c>
      <c r="AC46" s="723"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s="680" t="str">
        <f ca="1">IF(C46&lt;=CRONO.NivelExibicao,MAX($AD$15:OFFSET(AD46,-1,0))+IF($C46&lt;&gt;1,1,MAX(1,COUNTIF(QCI!$A$13:$A$24,OFFSET($E46,-1,0)))),"")</f>
        <v/>
      </c>
      <c r="AE46" s="681" t="str" cm="1">
        <f t="array" aca="1" ref="AE46" ca="1">IF(AND($C46="S",ORÇAMENTO.CodBarra&lt;&gt;""),IF(ORÇAMENTO.Fonte="",ORÇAMENTO.CodBarra,CONCATENATE(ORÇAMENTO.Fonte," ",ORÇAMENTO.CodBarra)))</f>
        <v>SINAPI 97144</v>
      </c>
      <c r="AF46" s="682"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6591</v>
      </c>
      <c r="AG46" s="714" cm="1">
        <f t="array" aca="1" ref="AG46" ca="1">ROUND(IF(DESONERACAO="sim",REFERENCIA.Desonerado,REFERENCIA.NaoDesonerado),2)</f>
        <v>10.61</v>
      </c>
      <c r="AH46" s="715">
        <f ca="1">ROUND(IF(ISNUMBER(ORÇAMENTO.OpcaoBDI),ORÇAMENTO.OpcaoBDI,IF(LEFT(ORÇAMENTO.OpcaoBDI,3)="BDI",HLOOKUP(ORÇAMENTO.OpcaoBDI,$F$4:$H$5,2,FALSE),0)),15-11*$AF$9)</f>
        <v>0.24</v>
      </c>
      <c r="AJ46" s="716"/>
      <c r="AL46" s="718"/>
      <c r="AM46" s="710">
        <f t="shared" ca="1" si="0"/>
        <v>263.2</v>
      </c>
      <c r="AN46" s="721" cm="1">
        <f t="array" aca="1" ref="AN46" ca="1">ROUND(ORÇAMENTO.CustoUnitario*(1+$AH46),2)</f>
        <v>13.16</v>
      </c>
    </row>
    <row r="47" spans="1:40" s="670" customFormat="1" ht="25.5" x14ac:dyDescent="0.2">
      <c r="A47" s="670" t="str">
        <f t="shared" si="1"/>
        <v>S</v>
      </c>
      <c r="B47" s="670">
        <f t="shared" ca="1" si="2"/>
        <v>2</v>
      </c>
      <c r="C47" s="670" t="str">
        <f t="shared" ca="1" si="3"/>
        <v>S</v>
      </c>
      <c r="D47" s="670">
        <f t="shared" ca="1" si="4"/>
        <v>0</v>
      </c>
      <c r="E47" s="670">
        <f ca="1">IF($C47=1,OFFSET(E47,-1,0)+MAX(1,COUNTIF(QCI!$A$13:$A$24,OFFSET(ORÇAMENTO!E47,-1,0))),OFFSET(E47,-1,0))</f>
        <v>1</v>
      </c>
      <c r="F47" s="670">
        <f t="shared" ca="1" si="5"/>
        <v>7</v>
      </c>
      <c r="G47" s="670">
        <f t="shared" ca="1" si="6"/>
        <v>0</v>
      </c>
      <c r="H47" s="670">
        <f t="shared" ca="1" si="7"/>
        <v>0</v>
      </c>
      <c r="I47" s="670">
        <f t="shared" ca="1" si="8"/>
        <v>3</v>
      </c>
      <c r="J47" s="670">
        <f t="shared" ca="1" si="9"/>
        <v>0</v>
      </c>
      <c r="K47" s="670">
        <f ca="1">IF(OR($C47="S",$C47=0),0,MATCH(OFFSET($D47,0,$C47)+IF($C47&lt;&gt;1,1,COUNTIF(QCI!$A$13:$A$24,ORÇAMENTO!E47)),OFFSET($D47,1,$C47,ROW($C$191)-ROW($C47)),0))</f>
        <v>0</v>
      </c>
      <c r="L47" s="114" t="str">
        <f t="shared" ca="1" si="10"/>
        <v>F</v>
      </c>
      <c r="M47" s="115" t="s">
        <v>705</v>
      </c>
      <c r="N47" s="116" t="str">
        <f t="shared" ca="1" si="11"/>
        <v>Serviço</v>
      </c>
      <c r="O47" s="117" t="str">
        <f t="shared" ca="1" si="12"/>
        <v>1.7.3.</v>
      </c>
      <c r="P47" s="688" t="s">
        <v>957</v>
      </c>
      <c r="Q47" s="689" t="s">
        <v>1229</v>
      </c>
      <c r="R47" s="690" t="str" cm="1">
        <f t="array" aca="1" ref="R47" ca="1">IF($C47="S",REFERENCIA.Descricao,"(digite a descrição aqui)")</f>
        <v>CURVA 90° EM  FERRO FUNDIDO, COM FLANGES PN 10,  DIAMETRO: 200MM</v>
      </c>
      <c r="S47" s="691" t="str" cm="1">
        <f t="array" aca="1" ref="S47" ca="1">REFERENCIA.Unidade</f>
        <v>UNIDADE</v>
      </c>
      <c r="T47" s="122">
        <f ca="1">OFFSET(CÁLCULO!H$15,ROW($T47)-ROW(T$15),0)</f>
        <v>3</v>
      </c>
      <c r="U47" s="693">
        <f t="shared" ca="1" si="15"/>
        <v>1134.43</v>
      </c>
      <c r="V47" s="694" t="s">
        <v>663</v>
      </c>
      <c r="W47" s="122" cm="1">
        <f t="array" aca="1" ref="W47" ca="1">IF($C47="S",ROUND(IF(TIPOORCAMENTO="Proposto",ORÇAMENTO.CustoUnitario*(1+$AH47),ORÇAMENTO.PrecoUnitarioLicitado),15-13*$AF$10),0)</f>
        <v>1406.69</v>
      </c>
      <c r="X47" s="125" cm="1">
        <f t="array" aca="1" ref="X47" ca="1">IF($C47="S",IF(OR(Import.TipoArredondamento&lt;&gt;"TransfereGOV",ACOMPANHAMENTO="BM"),VTOTAL1,SUM(OFFSET(CÁLCULO!$AI$15,ROW($X47)-ROW($X$15),1):OFFSET(CÁLCULO!$BB$15,ROW($X47)-ROW($X$15),-1))),IF($C47=0,0,ROUND(SomaAgrup,15-13*$AF$11)))</f>
        <v>4220.07</v>
      </c>
      <c r="Y47" s="126" t="s">
        <v>751</v>
      </c>
      <c r="Z47" s="670" t="str">
        <f t="shared" ca="1" si="13"/>
        <v>RA</v>
      </c>
      <c r="AA47" s="127" cm="1">
        <f t="array" aca="1" ref="AA47" ca="1">IF($C47="S",IF($Z47="CP",$X47,IF($Z47="RA",(($X47)*QCI!$AA$3),0)),SomaAgrup)</f>
        <v>0</v>
      </c>
      <c r="AB47" s="128" cm="1">
        <f t="array" aca="1" ref="AB47" ca="1">IF($C47="S",IF($Z47="OU",ROUND($X47,2),0),SomaAgrup)</f>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Unid. Não Disp</v>
      </c>
      <c r="AD47" s="670" t="str">
        <f ca="1">IF(C47&lt;=CRONO.NivelExibicao,MAX($AD$15:OFFSET(AD47,-1,0))+IF($C47&lt;&gt;1,1,MAX(1,COUNTIF(QCI!$A$13:$A$24,OFFSET($E47,-1,0)))),"")</f>
        <v/>
      </c>
      <c r="AE47" s="668" t="str" cm="1">
        <f t="array" aca="1" ref="AE47" ca="1">IF(AND($C47="S",ORÇAMENTO.CodBarra&lt;&gt;""),IF(ORÇAMENTO.Fonte="",ORÇAMENTO.CodBarra,CONCATENATE(ORÇAMENTO.Fonte," ",ORÇAMENTO.CodBarra)))</f>
        <v>Cotação 05</v>
      </c>
      <c r="AF47" s="669"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14</v>
      </c>
      <c r="AG47" s="428" cm="1">
        <f t="array" aca="1" ref="AG47" ca="1">ROUND(IF(DESONERACAO="sim",REFERENCIA.Desonerado,REFERENCIA.NaoDesonerado),2)</f>
        <v>1134.43</v>
      </c>
      <c r="AH47" s="429">
        <f t="shared" ca="1" si="14"/>
        <v>0.24</v>
      </c>
      <c r="AJ47" s="431"/>
      <c r="AL47" s="439"/>
      <c r="AM47" s="336">
        <f t="shared" ca="1" si="0"/>
        <v>4220.07</v>
      </c>
      <c r="AN47" s="470" cm="1">
        <f t="array" aca="1" ref="AN47" ca="1">ROUND(ORÇAMENTO.CustoUnitario*(1+$AH47),2)</f>
        <v>1406.69</v>
      </c>
    </row>
    <row r="48" spans="1:40" s="670" customFormat="1" x14ac:dyDescent="0.2">
      <c r="A48" s="670" t="str">
        <f t="shared" si="1"/>
        <v>S</v>
      </c>
      <c r="B48" s="670">
        <f t="shared" ca="1" si="2"/>
        <v>2</v>
      </c>
      <c r="C48" s="670" t="str">
        <f t="shared" ca="1" si="3"/>
        <v>S</v>
      </c>
      <c r="D48" s="670">
        <f t="shared" ca="1" si="4"/>
        <v>0</v>
      </c>
      <c r="E48" s="670">
        <f ca="1">IF($C48=1,OFFSET(E48,-1,0)+MAX(1,COUNTIF(QCI!$A$13:$A$24,OFFSET(ORÇAMENTO!E48,-1,0))),OFFSET(E48,-1,0))</f>
        <v>1</v>
      </c>
      <c r="F48" s="670">
        <f t="shared" ca="1" si="5"/>
        <v>7</v>
      </c>
      <c r="G48" s="670">
        <f t="shared" ca="1" si="6"/>
        <v>0</v>
      </c>
      <c r="H48" s="670">
        <f t="shared" ca="1" si="7"/>
        <v>0</v>
      </c>
      <c r="I48" s="670">
        <f t="shared" ca="1" si="8"/>
        <v>4</v>
      </c>
      <c r="J48" s="670">
        <f t="shared" ref="J48:J72" ca="1" si="16">IF(OR($C48="S",$C48=0),0,MATCH(0,OFFSET($D48,1,$C48,ROW($C$191)-ROW($C48)),0))</f>
        <v>0</v>
      </c>
      <c r="K48" s="670">
        <f ca="1">IF(OR($C48="S",$C48=0),0,MATCH(OFFSET($D48,0,$C48)+IF($C48&lt;&gt;1,1,COUNTIF(QCI!$A$13:$A$24,ORÇAMENTO!E48)),OFFSET($D48,1,$C48,ROW($C$191)-ROW($C48)),0))</f>
        <v>0</v>
      </c>
      <c r="L48" s="114" t="str">
        <f t="shared" ca="1" si="10"/>
        <v>F</v>
      </c>
      <c r="M48" s="115" t="s">
        <v>705</v>
      </c>
      <c r="N48" s="116" t="str">
        <f t="shared" ca="1" si="11"/>
        <v>Serviço</v>
      </c>
      <c r="O48" s="117" t="str">
        <f t="shared" ca="1" si="12"/>
        <v>1.7.4.</v>
      </c>
      <c r="P48" s="688" t="s">
        <v>957</v>
      </c>
      <c r="Q48" s="689" t="s">
        <v>1109</v>
      </c>
      <c r="R48" s="690" t="str" cm="1">
        <f t="array" aca="1" ref="R48" ca="1">IF($C48="S",REFERENCIA.Descricao,"(digite a descrição aqui)")</f>
        <v>FLANGE AVULSO EM FERRO FUNDIDO, CLASSE PN-10, DN= 200MM</v>
      </c>
      <c r="S48" s="691" t="str" cm="1">
        <f t="array" aca="1" ref="S48" ca="1">REFERENCIA.Unidade</f>
        <v>UNIDADE</v>
      </c>
      <c r="T48" s="122">
        <f ca="1">OFFSET(CÁLCULO!H$15,ROW($T48)-ROW(T$15),0)</f>
        <v>12</v>
      </c>
      <c r="U48" s="693">
        <f t="shared" ca="1" si="15"/>
        <v>438.85</v>
      </c>
      <c r="V48" s="694" t="s">
        <v>663</v>
      </c>
      <c r="W48" s="122" cm="1">
        <f t="array" aca="1" ref="W48" ca="1">IF($C48="S",ROUND(IF(TIPOORCAMENTO="Proposto",ORÇAMENTO.CustoUnitario*(1+$AH48),ORÇAMENTO.PrecoUnitarioLicitado),15-13*$AF$10),0)</f>
        <v>544.16999999999996</v>
      </c>
      <c r="X48" s="125" cm="1">
        <f t="array" aca="1" ref="X48" ca="1">IF($C48="S",IF(OR(Import.TipoArredondamento&lt;&gt;"TransfereGOV",ACOMPANHAMENTO="BM"),VTOTAL1,SUM(OFFSET(CÁLCULO!$AI$15,ROW($X48)-ROW($X$15),1):OFFSET(CÁLCULO!$BB$15,ROW($X48)-ROW($X$15),-1))),IF($C48=0,0,ROUND(SomaAgrup,15-13*$AF$11)))</f>
        <v>6530.04</v>
      </c>
      <c r="Y48" s="126" t="s">
        <v>751</v>
      </c>
      <c r="Z48" s="670" t="str">
        <f t="shared" ca="1" si="13"/>
        <v>RA</v>
      </c>
      <c r="AA48" s="127" cm="1">
        <f t="array" aca="1" ref="AA48" ca="1">IF($C48="S",IF($Z48="CP",$X48,IF($Z48="RA",(($X48)*QCI!$AA$3),0)),SomaAgrup)</f>
        <v>0</v>
      </c>
      <c r="AB48" s="128" cm="1">
        <f t="array" aca="1" ref="AB48" ca="1">IF($C48="S",IF($Z48="OU",ROUND($X48,2),0),SomaAgrup)</f>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Unid. Não Disp</v>
      </c>
      <c r="AD48" s="670" t="str">
        <f ca="1">IF(C48&lt;=CRONO.NivelExibicao,MAX($AD$15:OFFSET(AD48,-1,0))+IF($C48&lt;&gt;1,1,MAX(1,COUNTIF(QCI!$A$13:$A$24,OFFSET($E48,-1,0)))),"")</f>
        <v/>
      </c>
      <c r="AE48" s="668" t="str" cm="1">
        <f t="array" aca="1" ref="AE48" ca="1">IF(AND($C48="S",ORÇAMENTO.CodBarra&lt;&gt;""),IF(ORÇAMENTO.Fonte="",ORÇAMENTO.CodBarra,CONCATENATE(ORÇAMENTO.Fonte," ",ORÇAMENTO.CodBarra)))</f>
        <v>Cotação 23</v>
      </c>
      <c r="AF48" s="669"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32</v>
      </c>
      <c r="AG48" s="428" cm="1">
        <f t="array" aca="1" ref="AG48" ca="1">ROUND(IF(DESONERACAO="sim",REFERENCIA.Desonerado,REFERENCIA.NaoDesonerado),2)</f>
        <v>438.85</v>
      </c>
      <c r="AH48" s="429">
        <f t="shared" ca="1" si="14"/>
        <v>0.24</v>
      </c>
      <c r="AJ48" s="431"/>
      <c r="AL48" s="439"/>
      <c r="AM48" s="336">
        <f t="shared" ca="1" si="0"/>
        <v>6530.04</v>
      </c>
      <c r="AN48" s="470" cm="1">
        <f t="array" aca="1" ref="AN48" ca="1">ROUND(ORÇAMENTO.CustoUnitario*(1+$AH48),2)</f>
        <v>544.16999999999996</v>
      </c>
    </row>
    <row r="49" spans="1:40" s="670" customFormat="1" x14ac:dyDescent="0.2">
      <c r="A49" s="670" t="str">
        <f t="shared" si="1"/>
        <v>S</v>
      </c>
      <c r="B49" s="670">
        <f t="shared" ca="1" si="2"/>
        <v>2</v>
      </c>
      <c r="C49" s="670" t="str">
        <f t="shared" ca="1" si="3"/>
        <v>S</v>
      </c>
      <c r="D49" s="670">
        <f t="shared" ca="1" si="4"/>
        <v>0</v>
      </c>
      <c r="E49" s="670">
        <f ca="1">IF($C49=1,OFFSET(E49,-1,0)+MAX(1,COUNTIF(QCI!$A$13:$A$24,OFFSET(ORÇAMENTO!E49,-1,0))),OFFSET(E49,-1,0))</f>
        <v>1</v>
      </c>
      <c r="F49" s="670">
        <f t="shared" ca="1" si="5"/>
        <v>7</v>
      </c>
      <c r="G49" s="670">
        <f t="shared" ca="1" si="6"/>
        <v>0</v>
      </c>
      <c r="H49" s="670">
        <f t="shared" ca="1" si="7"/>
        <v>0</v>
      </c>
      <c r="I49" s="670">
        <f t="shared" ca="1" si="8"/>
        <v>5</v>
      </c>
      <c r="J49" s="670">
        <f t="shared" ca="1" si="16"/>
        <v>0</v>
      </c>
      <c r="K49" s="670">
        <f ca="1">IF(OR($C49="S",$C49=0),0,MATCH(OFFSET($D49,0,$C49)+IF($C49&lt;&gt;1,1,COUNTIF(QCI!$A$13:$A$24,ORÇAMENTO!E49)),OFFSET($D49,1,$C49,ROW($C$191)-ROW($C49)),0))</f>
        <v>0</v>
      </c>
      <c r="L49" s="114" t="str">
        <f t="shared" ca="1" si="10"/>
        <v>F</v>
      </c>
      <c r="M49" s="115" t="s">
        <v>705</v>
      </c>
      <c r="N49" s="116" t="str">
        <f t="shared" ca="1" si="11"/>
        <v>Serviço</v>
      </c>
      <c r="O49" s="117" t="str">
        <f t="shared" ca="1" si="12"/>
        <v>1.7.5.</v>
      </c>
      <c r="P49" s="688" t="s">
        <v>957</v>
      </c>
      <c r="Q49" s="689" t="s">
        <v>1230</v>
      </c>
      <c r="R49" s="690" t="str" cm="1">
        <f t="array" aca="1" ref="R49" ca="1">IF($C49="S",REFERENCIA.Descricao,"(digite a descrição aqui)")</f>
        <v>REGISTRO DE GAVETA FF 200mm</v>
      </c>
      <c r="S49" s="691" t="str" cm="1">
        <f t="array" aca="1" ref="S49" ca="1">REFERENCIA.Unidade</f>
        <v>UNIDADE</v>
      </c>
      <c r="T49" s="122">
        <f ca="1">OFFSET(CÁLCULO!H$15,ROW($T49)-ROW(T$15),0)</f>
        <v>3</v>
      </c>
      <c r="U49" s="693">
        <f t="shared" ca="1" si="15"/>
        <v>3706.92</v>
      </c>
      <c r="V49" s="694" t="s">
        <v>663</v>
      </c>
      <c r="W49" s="122" cm="1">
        <f t="array" aca="1" ref="W49" ca="1">IF($C49="S",ROUND(IF(TIPOORCAMENTO="Proposto",ORÇAMENTO.CustoUnitario*(1+$AH49),ORÇAMENTO.PrecoUnitarioLicitado),15-13*$AF$10),0)</f>
        <v>4596.58</v>
      </c>
      <c r="X49" s="125" cm="1">
        <f t="array" aca="1" ref="X49" ca="1">IF($C49="S",IF(OR(Import.TipoArredondamento&lt;&gt;"TransfereGOV",ACOMPANHAMENTO="BM"),VTOTAL1,SUM(OFFSET(CÁLCULO!$AI$15,ROW($X49)-ROW($X$15),1):OFFSET(CÁLCULO!$BB$15,ROW($X49)-ROW($X$15),-1))),IF($C49=0,0,ROUND(SomaAgrup,15-13*$AF$11)))</f>
        <v>13789.74</v>
      </c>
      <c r="Y49" s="126" t="s">
        <v>751</v>
      </c>
      <c r="Z49" s="670" t="str">
        <f t="shared" ca="1" si="13"/>
        <v>RA</v>
      </c>
      <c r="AA49" s="127" cm="1">
        <f t="array" aca="1" ref="AA49" ca="1">IF($C49="S",IF($Z49="CP",$X49,IF($Z49="RA",(($X49)*QCI!$AA$3),0)),SomaAgrup)</f>
        <v>0</v>
      </c>
      <c r="AB49" s="128" cm="1">
        <f t="array" aca="1" ref="AB49" ca="1">IF($C49="S",IF($Z49="OU",ROUND($X49,2),0),SomaAgrup)</f>
        <v>0</v>
      </c>
      <c r="AC49" s="565"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Unid. Não Disp</v>
      </c>
      <c r="AD49" s="670" t="str">
        <f ca="1">IF(C49&lt;=CRONO.NivelExibicao,MAX($AD$15:OFFSET(AD49,-1,0))+IF($C49&lt;&gt;1,1,MAX(1,COUNTIF(QCI!$A$13:$A$24,OFFSET($E49,-1,0)))),"")</f>
        <v/>
      </c>
      <c r="AE49" s="668" t="str" cm="1">
        <f t="array" aca="1" ref="AE49" ca="1">IF(AND($C49="S",ORÇAMENTO.CodBarra&lt;&gt;""),IF(ORÇAMENTO.Fonte="",ORÇAMENTO.CodBarra,CONCATENATE(ORÇAMENTO.Fonte," ",ORÇAMENTO.CodBarra)))</f>
        <v>Cotação 25</v>
      </c>
      <c r="AF49" s="669"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34</v>
      </c>
      <c r="AG49" s="428" cm="1">
        <f t="array" aca="1" ref="AG49" ca="1">ROUND(IF(DESONERACAO="sim",REFERENCIA.Desonerado,REFERENCIA.NaoDesonerado),2)</f>
        <v>3706.92</v>
      </c>
      <c r="AH49" s="429">
        <f t="shared" ca="1" si="14"/>
        <v>0.24</v>
      </c>
      <c r="AJ49" s="431"/>
      <c r="AL49" s="439"/>
      <c r="AM49" s="336">
        <f t="shared" ca="1" si="0"/>
        <v>13789.74</v>
      </c>
      <c r="AN49" s="470" cm="1">
        <f t="array" aca="1" ref="AN49" ca="1">ROUND(ORÇAMENTO.CustoUnitario*(1+$AH49),2)</f>
        <v>4596.58</v>
      </c>
    </row>
    <row r="50" spans="1:40" s="680" customFormat="1" ht="25.5" x14ac:dyDescent="0.2">
      <c r="A50" s="680" t="str">
        <f>CHOOSE(1+LOG(1+2*(ORÇAMENTO.Nivel="Meta")+4*(ORÇAMENTO.Nivel="Nível 2")+8*(ORÇAMENTO.Nivel="Nível 3")+16*(ORÇAMENTO.Nivel="Nível 4")+32*(ORÇAMENTO.Nivel="Serviço"),2),0,1,2,3,4,"S")</f>
        <v>S</v>
      </c>
      <c r="B50" s="680">
        <f ca="1">IF(OR(C50="s",C50=0),OFFSET(B50,-1,0),C50)</f>
        <v>2</v>
      </c>
      <c r="C50" s="680" t="str">
        <f ca="1">IF(OFFSET(C50,-1,0)="L",1,IF(OFFSET(C50,-1,0)=1,2,IF(OR(A50="s",A50=0),"S",IF(AND(OFFSET(C50,-1,0)=2,A50=4),3,IF(AND(OR(OFFSET(C50,-1,0)="s",OFFSET(C50,-1,0)=0),A50&lt;&gt;"s",A50&gt;OFFSET(B50,-1,0)),OFFSET(B50,-1,0),A50)))))</f>
        <v>S</v>
      </c>
      <c r="D50" s="680">
        <f ca="1">IF(OR(C50="S",C50=0),0,IF(ISERROR(K50),J50,SMALL(J50:K50,1)))</f>
        <v>0</v>
      </c>
      <c r="E50" s="680">
        <f ca="1">IF($C50=1,OFFSET(E50,-1,0)+MAX(1,COUNTIF(QCI!$A$13:$A$24,OFFSET(ORÇAMENTO!E50,-1,0))),OFFSET(E50,-1,0))</f>
        <v>1</v>
      </c>
      <c r="F50" s="680">
        <f ca="1">IF($C50=1,0,IF($C50=2,OFFSET(F50,-1,0)+1,OFFSET(F50,-1,0)))</f>
        <v>7</v>
      </c>
      <c r="G50" s="680">
        <f ca="1">IF(AND($C50&lt;=2,$C50&lt;&gt;0),0,IF($C50=3,OFFSET(G50,-1,0)+1,OFFSET(G50,-1,0)))</f>
        <v>0</v>
      </c>
      <c r="H50" s="680">
        <f ca="1">IF(AND($C50&lt;=3,$C50&lt;&gt;0),0,IF($C50=4,OFFSET(H50,-1,0)+1,OFFSET(H50,-1,0)))</f>
        <v>0</v>
      </c>
      <c r="I50" s="680">
        <f ca="1">IF(AND($C50&lt;=4,$C50&lt;&gt;0),0,IF(AND($C50="S",$X50&gt;0),OFFSET(I50,-1,0)+1,OFFSET(I50,-1,0)))</f>
        <v>6</v>
      </c>
      <c r="J50" s="680">
        <f t="shared" ca="1" si="16"/>
        <v>0</v>
      </c>
      <c r="K50" s="680">
        <f ca="1">IF(OR($C50="S",$C50=0),0,MATCH(OFFSET($D50,0,$C50)+IF($C50&lt;&gt;1,1,COUNTIF(QCI!$A$13:$A$24,ORÇAMENTO!E50)),OFFSET($D50,1,$C50,ROW($C$191)-ROW($C50)),0))</f>
        <v>0</v>
      </c>
      <c r="L50" s="684" t="str">
        <f ca="1">IF(OR($X50&gt;0,$C50=1,$C50=2,$C50=3,$C50=4),"F","")</f>
        <v>F</v>
      </c>
      <c r="M50" s="685" t="s">
        <v>705</v>
      </c>
      <c r="N50" s="686" t="str">
        <f ca="1">CHOOSE(1+LOG(1+2*(C50=1)+4*(C50=2)+8*(C50=3)+16*(C50=4)+32*(C50="S"),2),"","Meta","Nível 2","Nível 3","Nível 4","Serviço")</f>
        <v>Serviço</v>
      </c>
      <c r="O50" s="687" t="str">
        <f ca="1">IF(OR($C50=0,$L50=""),"-",CONCATENATE(E50&amp;".",IF(AND($A$5&gt;=2,$C50&gt;=2),F50&amp;".",""),IF(AND($A$5&gt;=3,$C50&gt;=3),G50&amp;".",""),IF(AND($A$5&gt;=4,$C50&gt;=4),H50&amp;".",""),IF($C50="S",I50&amp;".","")))</f>
        <v>1.7.6.</v>
      </c>
      <c r="P50" s="688" t="s">
        <v>957</v>
      </c>
      <c r="Q50" s="689" t="s">
        <v>1212</v>
      </c>
      <c r="R50" s="690" t="str" cm="1">
        <f t="array" aca="1" ref="R50" ca="1">IF($C50="S",REFERENCIA.Descricao,"(digite a descrição aqui)")</f>
        <v>MONTAGEM DE CONEXÕES DE FERRO FUNDIDO, COM FLANGES, DIAM.= 200 MM. INC_05/2020</v>
      </c>
      <c r="S50" s="691" t="str" cm="1">
        <f t="array" aca="1" ref="S50" ca="1">REFERENCIA.Unidade</f>
        <v>UNIDADE</v>
      </c>
      <c r="T50" s="692">
        <f ca="1">OFFSET(CÁLCULO!H$15,ROW($T50)-ROW(T$15),0)</f>
        <v>18</v>
      </c>
      <c r="U50" s="693">
        <f t="shared" ca="1" si="15"/>
        <v>20.03</v>
      </c>
      <c r="V50" s="694" t="s">
        <v>663</v>
      </c>
      <c r="W50" s="692" cm="1">
        <f t="array" aca="1" ref="W50" ca="1">IF($C50="S",ROUND(IF(TIPOORCAMENTO="Proposto",ORÇAMENTO.CustoUnitario*(1+$AH50),ORÇAMENTO.PrecoUnitarioLicitado),15-13*$AF$10),0)</f>
        <v>24.84</v>
      </c>
      <c r="X50" s="695" cm="1">
        <f t="array" aca="1" ref="X50" ca="1">IF($C50="S",IF(OR(Import.TipoArredondamento&lt;&gt;"TransfereGOV",ACOMPANHAMENTO="BM"),VTOTAL1,SUM(OFFSET(CÁLCULO!$AI$15,ROW($X50)-ROW($X$15),1):OFFSET(CÁLCULO!$BB$15,ROW($X50)-ROW($X$15),-1))),IF($C50=0,0,ROUND(SomaAgrup,15-13*$AF$11)))</f>
        <v>447.12</v>
      </c>
      <c r="Y50" s="696" t="s">
        <v>751</v>
      </c>
      <c r="Z50" s="680" t="str">
        <f ca="1">IF(AND($C50="S",$X50&gt;0),IF(ISBLANK($Y50),"RA",LEFT($Y50,2)),"")</f>
        <v>RA</v>
      </c>
      <c r="AA50" s="697" cm="1">
        <f t="array" aca="1" ref="AA50" ca="1">IF($C50="S",IF($Z50="CP",$X50,IF($Z50="RA",(($X50)*QCI!$AA$3),0)),SomaAgrup)</f>
        <v>0</v>
      </c>
      <c r="AB50" s="698" cm="1">
        <f t="array" aca="1" ref="AB50" ca="1">IF($C50="S",IF($Z50="OU",ROUND($X50,2),0),SomaAgrup)</f>
        <v>0</v>
      </c>
      <c r="AC50" s="723"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Unid. Não Disp</v>
      </c>
      <c r="AD50" s="680" t="str">
        <f ca="1">IF(C50&lt;=CRONO.NivelExibicao,MAX($AD$15:OFFSET(AD50,-1,0))+IF($C50&lt;&gt;1,1,MAX(1,COUNTIF(QCI!$A$13:$A$24,OFFSET($E50,-1,0)))),"")</f>
        <v/>
      </c>
      <c r="AE50" s="681" t="str" cm="1">
        <f t="array" aca="1" ref="AE50" ca="1">IF(AND($C50="S",ORÇAMENTO.CodBarra&lt;&gt;""),IF(ORÇAMENTO.Fonte="",ORÇAMENTO.CodBarra,CONCATENATE(ORÇAMENTO.Fonte," ",ORÇAMENTO.CodBarra)))</f>
        <v>Cotação 41</v>
      </c>
      <c r="AF50" s="682"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50</v>
      </c>
      <c r="AG50" s="714" cm="1">
        <f t="array" aca="1" ref="AG50" ca="1">ROUND(IF(DESONERACAO="sim",REFERENCIA.Desonerado,REFERENCIA.NaoDesonerado),2)</f>
        <v>20.03</v>
      </c>
      <c r="AH50" s="715">
        <f ca="1">ROUND(IF(ISNUMBER(ORÇAMENTO.OpcaoBDI),ORÇAMENTO.OpcaoBDI,IF(LEFT(ORÇAMENTO.OpcaoBDI,3)="BDI",HLOOKUP(ORÇAMENTO.OpcaoBDI,$F$4:$H$5,2,FALSE),0)),15-11*$AF$9)</f>
        <v>0.24</v>
      </c>
      <c r="AJ50" s="716"/>
      <c r="AL50" s="718"/>
      <c r="AM50" s="710">
        <f t="shared" ca="1" si="0"/>
        <v>447.12</v>
      </c>
      <c r="AN50" s="721" cm="1">
        <f t="array" aca="1" ref="AN50" ca="1">ROUND(ORÇAMENTO.CustoUnitario*(1+$AH50),2)</f>
        <v>24.84</v>
      </c>
    </row>
    <row r="51" spans="1:40" s="670" customFormat="1" x14ac:dyDescent="0.2">
      <c r="A51" s="670">
        <f t="shared" si="1"/>
        <v>2</v>
      </c>
      <c r="B51" s="670">
        <f t="shared" ca="1" si="2"/>
        <v>2</v>
      </c>
      <c r="C51" s="670">
        <f t="shared" ca="1" si="3"/>
        <v>2</v>
      </c>
      <c r="D51" s="670">
        <f t="shared" ca="1" si="4"/>
        <v>13</v>
      </c>
      <c r="E51" s="670">
        <f ca="1">IF($C51=1,OFFSET(E51,-1,0)+MAX(1,COUNTIF(QCI!$A$13:$A$24,OFFSET(ORÇAMENTO!E51,-1,0))),OFFSET(E51,-1,0))</f>
        <v>1</v>
      </c>
      <c r="F51" s="670">
        <f t="shared" ca="1" si="5"/>
        <v>8</v>
      </c>
      <c r="G51" s="670">
        <f t="shared" ca="1" si="6"/>
        <v>0</v>
      </c>
      <c r="H51" s="670">
        <f t="shared" ca="1" si="7"/>
        <v>0</v>
      </c>
      <c r="I51" s="670">
        <f t="shared" ca="1" si="8"/>
        <v>0</v>
      </c>
      <c r="J51" s="670">
        <f t="shared" ca="1" si="16"/>
        <v>140</v>
      </c>
      <c r="K51" s="670">
        <f ca="1">IF(OR($C51="S",$C51=0),0,MATCH(OFFSET($D51,0,$C51)+IF($C51&lt;&gt;1,1,COUNTIF(QCI!$A$13:$A$24,ORÇAMENTO!E51)),OFFSET($D51,1,$C51,ROW($C$191)-ROW($C51)),0))</f>
        <v>13</v>
      </c>
      <c r="L51" s="114" t="str">
        <f t="shared" ca="1" si="10"/>
        <v>F</v>
      </c>
      <c r="M51" s="115" t="s">
        <v>702</v>
      </c>
      <c r="N51" s="116" t="str">
        <f t="shared" ca="1" si="11"/>
        <v>Nível 2</v>
      </c>
      <c r="O51" s="117" t="str">
        <f t="shared" ca="1" si="12"/>
        <v>1.8.</v>
      </c>
      <c r="P51" s="688" t="s">
        <v>250</v>
      </c>
      <c r="Q51" s="689" t="s">
        <v>250</v>
      </c>
      <c r="R51" s="690" t="s">
        <v>1126</v>
      </c>
      <c r="S51" s="691" t="s">
        <v>688</v>
      </c>
      <c r="T51" s="122">
        <f ca="1">OFFSET(CÁLCULO!H$15,ROW($T51)-ROW(T$15),0)</f>
        <v>0</v>
      </c>
      <c r="U51" s="693">
        <f t="shared" ca="1" si="15"/>
        <v>0</v>
      </c>
      <c r="V51" s="694" t="s">
        <v>663</v>
      </c>
      <c r="W51" s="122" cm="1">
        <f t="array" aca="1" ref="W51" ca="1">IF($C51="S",ROUND(IF(TIPOORCAMENTO="Proposto",ORÇAMENTO.CustoUnitario*(1+$AH51),ORÇAMENTO.PrecoUnitarioLicitado),15-13*$AF$10),0)</f>
        <v>0</v>
      </c>
      <c r="X51" s="125" cm="1">
        <f t="array" aca="1" ref="X51" ca="1">IF($C51="S",IF(OR(Import.TipoArredondamento&lt;&gt;"TransfereGOV",ACOMPANHAMENTO="BM"),VTOTAL1,SUM(OFFSET(CÁLCULO!$AI$15,ROW($X51)-ROW($X$15),1):OFFSET(CÁLCULO!$BB$15,ROW($X51)-ROW($X$15),-1))),IF($C51=0,0,ROUND(SomaAgrup,15-13*$AF$11)))</f>
        <v>192295.65</v>
      </c>
      <c r="Y51" s="126" t="s">
        <v>751</v>
      </c>
      <c r="Z51" s="670" t="str">
        <f t="shared" ca="1" si="13"/>
        <v/>
      </c>
      <c r="AA51" s="127" cm="1">
        <f t="array" aca="1" ref="AA51" ca="1">IF($C51="S",IF($Z51="CP",$X51,IF($Z51="RA",(($X51)*QCI!$AA$3),0)),SomaAgrup)</f>
        <v>0</v>
      </c>
      <c r="AB51" s="128" cm="1">
        <f t="array" aca="1" ref="AB51" ca="1">IF($C51="S",IF($Z51="OU",ROUND($X51,2),0),SomaAgrup)</f>
        <v>0</v>
      </c>
      <c r="AC51" s="565"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s="670">
        <f ca="1">IF(C51&lt;=CRONO.NivelExibicao,MAX($AD$15:OFFSET(AD51,-1,0))+IF($C51&lt;&gt;1,1,MAX(1,COUNTIF(QCI!$A$13:$A$24,OFFSET($E51,-1,0)))),"")</f>
        <v>9</v>
      </c>
      <c r="AE51" s="668" t="b" cm="1">
        <f t="array" aca="1" ref="AE51" ca="1">IF(AND($C51="S",ORÇAMENTO.CodBarra&lt;&gt;""),IF(ORÇAMENTO.Fonte="",ORÇAMENTO.CodBarra,CONCATENATE(ORÇAMENTO.Fonte," ",ORÇAMENTO.CodBarra)))</f>
        <v>0</v>
      </c>
      <c r="AF51" s="669" t="str"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(Sem Código)</v>
      </c>
      <c r="AG51" s="428" cm="1">
        <f t="array" aca="1" ref="AG51" ca="1">ROUND(IF(DESONERACAO="sim",REFERENCIA.Desonerado,REFERENCIA.NaoDesonerado),2)</f>
        <v>0</v>
      </c>
      <c r="AH51" s="429">
        <f t="shared" ca="1" si="14"/>
        <v>0.24</v>
      </c>
      <c r="AJ51" s="431"/>
      <c r="AL51" s="439"/>
      <c r="AM51" s="336">
        <f t="shared" ca="1" si="0"/>
        <v>192295.65</v>
      </c>
      <c r="AN51" s="470" cm="1">
        <f t="array" aca="1" ref="AN51" ca="1">ROUND(ORÇAMENTO.CustoUnitario*(1+$AH51),2)</f>
        <v>0</v>
      </c>
    </row>
    <row r="52" spans="1:40" s="670" customFormat="1" ht="25.5" x14ac:dyDescent="0.2">
      <c r="A52" s="670" t="str">
        <f t="shared" si="1"/>
        <v>S</v>
      </c>
      <c r="B52" s="670">
        <f t="shared" ca="1" si="2"/>
        <v>2</v>
      </c>
      <c r="C52" s="670" t="str">
        <f t="shared" ca="1" si="3"/>
        <v>S</v>
      </c>
      <c r="D52" s="670">
        <f t="shared" ca="1" si="4"/>
        <v>0</v>
      </c>
      <c r="E52" s="670">
        <f ca="1">IF($C52=1,OFFSET(E52,-1,0)+MAX(1,COUNTIF(QCI!$A$13:$A$24,OFFSET(ORÇAMENTO!E52,-1,0))),OFFSET(E52,-1,0))</f>
        <v>1</v>
      </c>
      <c r="F52" s="670">
        <f t="shared" ca="1" si="5"/>
        <v>8</v>
      </c>
      <c r="G52" s="670">
        <f t="shared" ca="1" si="6"/>
        <v>0</v>
      </c>
      <c r="H52" s="670">
        <f t="shared" ca="1" si="7"/>
        <v>0</v>
      </c>
      <c r="I52" s="670">
        <f t="shared" ca="1" si="8"/>
        <v>1</v>
      </c>
      <c r="J52" s="670">
        <f t="shared" ca="1" si="16"/>
        <v>0</v>
      </c>
      <c r="K52" s="670">
        <f ca="1">IF(OR($C52="S",$C52=0),0,MATCH(OFFSET($D52,0,$C52)+IF($C52&lt;&gt;1,1,COUNTIF(QCI!$A$13:$A$24,ORÇAMENTO!E52)),OFFSET($D52,1,$C52,ROW($C$191)-ROW($C52)),0))</f>
        <v>0</v>
      </c>
      <c r="L52" s="114" t="str">
        <f t="shared" ca="1" si="10"/>
        <v>F</v>
      </c>
      <c r="M52" s="115" t="s">
        <v>705</v>
      </c>
      <c r="N52" s="116" t="str">
        <f t="shared" ca="1" si="11"/>
        <v>Serviço</v>
      </c>
      <c r="O52" s="117" t="str">
        <f t="shared" ca="1" si="12"/>
        <v>1.8.1.</v>
      </c>
      <c r="P52" s="688" t="s">
        <v>750</v>
      </c>
      <c r="Q52" s="689" t="s">
        <v>1018</v>
      </c>
      <c r="R52" s="690" t="str" cm="1">
        <f t="array" aca="1" ref="R52" ca="1">IF($C52="S",REFERENCIA.Descricao,"(digite a descrição aqui)")</f>
        <v>REMOÇÃO DE TRAMA METÁLICA PARA COBERTURA, DE FORMA MANUAL, SEM REAPROVEITAMENTO. AF_09/2023</v>
      </c>
      <c r="S52" s="691" t="str" cm="1">
        <f t="array" aca="1" ref="S52" ca="1">REFERENCIA.Unidade</f>
        <v>M2</v>
      </c>
      <c r="T52" s="122">
        <f ca="1">OFFSET(CÁLCULO!H$15,ROW($T52)-ROW(T$15),0)</f>
        <v>210.1</v>
      </c>
      <c r="U52" s="693">
        <f ca="1">AG52</f>
        <v>36.130000000000003</v>
      </c>
      <c r="V52" s="694" t="s">
        <v>663</v>
      </c>
      <c r="W52" s="122" cm="1">
        <f t="array" aca="1" ref="W52" ca="1">IF($C52="S",ROUND(IF(TIPOORCAMENTO="Proposto",ORÇAMENTO.CustoUnitario*(1+$AH52),ORÇAMENTO.PrecoUnitarioLicitado),15-13*$AF$10),0)</f>
        <v>44.8</v>
      </c>
      <c r="X52" s="125" cm="1">
        <f t="array" aca="1" ref="X52" ca="1">IF($C52="S",IF(OR(Import.TipoArredondamento&lt;&gt;"TransfereGOV",ACOMPANHAMENTO="BM"),VTOTAL1,SUM(OFFSET(CÁLCULO!$AI$15,ROW($X52)-ROW($X$15),1):OFFSET(CÁLCULO!$BB$15,ROW($X52)-ROW($X$15),-1))),IF($C52=0,0,ROUND(SomaAgrup,15-13*$AF$11)))</f>
        <v>9412.48</v>
      </c>
      <c r="Y52" s="126" t="s">
        <v>751</v>
      </c>
      <c r="Z52" s="670" t="str">
        <f t="shared" ca="1" si="13"/>
        <v>RA</v>
      </c>
      <c r="AA52" s="127" cm="1">
        <f t="array" aca="1" ref="AA52" ca="1">IF($C52="S",IF($Z52="CP",$X52,IF($Z52="RA",(($X52)*QCI!$AA$3),0)),SomaAgrup)</f>
        <v>0</v>
      </c>
      <c r="AB52" s="128" cm="1">
        <f t="array" aca="1" ref="AB52" ca="1">IF($C52="S",IF($Z52="OU",ROUND($X52,2),0),SomaAgrup)</f>
        <v>0</v>
      </c>
      <c r="AC52" s="565"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s="670" t="str">
        <f ca="1">IF(C52&lt;=CRONO.NivelExibicao,MAX($AD$15:OFFSET(AD52,-1,0))+IF($C52&lt;&gt;1,1,MAX(1,COUNTIF(QCI!$A$13:$A$24,OFFSET($E52,-1,0)))),"")</f>
        <v/>
      </c>
      <c r="AE52" s="668" t="str" cm="1">
        <f t="array" aca="1" ref="AE52" ca="1">IF(AND($C52="S",ORÇAMENTO.CodBarra&lt;&gt;""),IF(ORÇAMENTO.Fonte="",ORÇAMENTO.CodBarra,CONCATENATE(ORÇAMENTO.Fonte," ",ORÇAMENTO.CodBarra)))</f>
        <v>SINAPI 97655</v>
      </c>
      <c r="AF52" s="669"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8004</v>
      </c>
      <c r="AG52" s="428" cm="1">
        <f t="array" aca="1" ref="AG52" ca="1">ROUND(IF(DESONERACAO="sim",REFERENCIA.Desonerado,REFERENCIA.NaoDesonerado),2)</f>
        <v>36.130000000000003</v>
      </c>
      <c r="AH52" s="429">
        <f t="shared" ca="1" si="14"/>
        <v>0.24</v>
      </c>
      <c r="AJ52" s="431"/>
      <c r="AL52" s="439"/>
      <c r="AM52" s="336">
        <f t="shared" ca="1" si="0"/>
        <v>9412.48</v>
      </c>
      <c r="AN52" s="470" cm="1">
        <f t="array" aca="1" ref="AN52" ca="1">ROUND(ORÇAMENTO.CustoUnitario*(1+$AH52),2)</f>
        <v>44.8</v>
      </c>
    </row>
    <row r="53" spans="1:40" s="670" customFormat="1" x14ac:dyDescent="0.2">
      <c r="A53" s="670" t="str">
        <f t="shared" si="1"/>
        <v>S</v>
      </c>
      <c r="B53" s="670">
        <f t="shared" ca="1" si="2"/>
        <v>2</v>
      </c>
      <c r="C53" s="670" t="str">
        <f t="shared" ca="1" si="3"/>
        <v>S</v>
      </c>
      <c r="D53" s="670">
        <f t="shared" ca="1" si="4"/>
        <v>0</v>
      </c>
      <c r="E53" s="670">
        <f ca="1">IF($C53=1,OFFSET(E53,-1,0)+MAX(1,COUNTIF(QCI!$A$13:$A$24,OFFSET(ORÇAMENTO!E53,-1,0))),OFFSET(E53,-1,0))</f>
        <v>1</v>
      </c>
      <c r="F53" s="670">
        <f t="shared" ca="1" si="5"/>
        <v>8</v>
      </c>
      <c r="G53" s="670">
        <f t="shared" ca="1" si="6"/>
        <v>0</v>
      </c>
      <c r="H53" s="670">
        <f t="shared" ca="1" si="7"/>
        <v>0</v>
      </c>
      <c r="I53" s="670">
        <f t="shared" ca="1" si="8"/>
        <v>2</v>
      </c>
      <c r="J53" s="670">
        <f t="shared" ca="1" si="16"/>
        <v>0</v>
      </c>
      <c r="K53" s="670">
        <f ca="1">IF(OR($C53="S",$C53=0),0,MATCH(OFFSET($D53,0,$C53)+IF($C53&lt;&gt;1,1,COUNTIF(QCI!$A$13:$A$24,ORÇAMENTO!E53)),OFFSET($D53,1,$C53,ROW($C$191)-ROW($C53)),0))</f>
        <v>0</v>
      </c>
      <c r="L53" s="114" t="str">
        <f t="shared" ca="1" si="10"/>
        <v>F</v>
      </c>
      <c r="M53" s="115" t="s">
        <v>705</v>
      </c>
      <c r="N53" s="116" t="str">
        <f t="shared" ca="1" si="11"/>
        <v>Serviço</v>
      </c>
      <c r="O53" s="117" t="str">
        <f t="shared" ca="1" si="12"/>
        <v>1.8.2.</v>
      </c>
      <c r="P53" s="688" t="s">
        <v>1064</v>
      </c>
      <c r="Q53" s="689" t="s">
        <v>1012</v>
      </c>
      <c r="R53" s="690" t="str" cm="1">
        <f t="array" aca="1" ref="R53" ca="1">IF($C53="S",REFERENCIA.Descricao,"(digite a descrição aqui)")</f>
        <v>LIMPEZA FINAL PARA ENTREGA DA OBRA</v>
      </c>
      <c r="S53" s="691" t="str" cm="1">
        <f t="array" aca="1" ref="S53" ca="1">REFERENCIA.Unidade</f>
        <v>m2</v>
      </c>
      <c r="T53" s="122">
        <f ca="1">OFFSET(CÁLCULO!H$15,ROW($T53)-ROW(T$15),0)</f>
        <v>1.98</v>
      </c>
      <c r="U53" s="693">
        <f t="shared" ca="1" si="15"/>
        <v>8.32</v>
      </c>
      <c r="V53" s="694" t="s">
        <v>663</v>
      </c>
      <c r="W53" s="122" cm="1">
        <f t="array" aca="1" ref="W53" ca="1">IF($C53="S",ROUND(IF(TIPOORCAMENTO="Proposto",ORÇAMENTO.CustoUnitario*(1+$AH53),ORÇAMENTO.PrecoUnitarioLicitado),15-13*$AF$10),0)</f>
        <v>10.32</v>
      </c>
      <c r="X53" s="125" cm="1">
        <f t="array" aca="1" ref="X53" ca="1">IF($C53="S",IF(OR(Import.TipoArredondamento&lt;&gt;"TransfereGOV",ACOMPANHAMENTO="BM"),VTOTAL1,SUM(OFFSET(CÁLCULO!$AI$15,ROW($X53)-ROW($X$15),1):OFFSET(CÁLCULO!$BB$15,ROW($X53)-ROW($X$15),-1))),IF($C53=0,0,ROUND(SomaAgrup,15-13*$AF$11)))</f>
        <v>20.43</v>
      </c>
      <c r="Y53" s="126" t="s">
        <v>751</v>
      </c>
      <c r="Z53" s="670" t="str">
        <f t="shared" ca="1" si="13"/>
        <v>RA</v>
      </c>
      <c r="AA53" s="127" cm="1">
        <f t="array" aca="1" ref="AA53" ca="1">IF($C53="S",IF($Z53="CP",$X53,IF($Z53="RA",(($X53)*QCI!$AA$3),0)),SomaAgrup)</f>
        <v>0</v>
      </c>
      <c r="AB53" s="128" cm="1">
        <f t="array" aca="1" ref="AB53" ca="1">IF($C53="S",IF($Z53="OU",ROUND($X53,2),0),SomaAgrup)</f>
        <v>0</v>
      </c>
      <c r="AC53" s="565"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s="670" t="str">
        <f ca="1">IF(C53&lt;=CRONO.NivelExibicao,MAX($AD$15:OFFSET(AD53,-1,0))+IF($C53&lt;&gt;1,1,MAX(1,COUNTIF(QCI!$A$13:$A$24,OFFSET($E53,-1,0)))),"")</f>
        <v/>
      </c>
      <c r="AE53" s="668" t="str" cm="1">
        <f t="array" aca="1" ref="AE53" ca="1">IF(AND($C53="S",ORÇAMENTO.CodBarra&lt;&gt;""),IF(ORÇAMENTO.Fonte="",ORÇAMENTO.CodBarra,CONCATENATE(ORÇAMENTO.Fonte," ",ORÇAMENTO.CodBarra)))</f>
        <v>SETOP ED-50266</v>
      </c>
      <c r="AF53" s="669"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21617</v>
      </c>
      <c r="AG53" s="428" cm="1">
        <f t="array" aca="1" ref="AG53" ca="1">ROUND(IF(DESONERACAO="sim",REFERENCIA.Desonerado,REFERENCIA.NaoDesonerado),2)</f>
        <v>8.32</v>
      </c>
      <c r="AH53" s="429">
        <f t="shared" ca="1" si="14"/>
        <v>0.24</v>
      </c>
      <c r="AJ53" s="431"/>
      <c r="AL53" s="439"/>
      <c r="AM53" s="336">
        <f t="shared" ca="1" si="0"/>
        <v>20.43</v>
      </c>
      <c r="AN53" s="470" cm="1">
        <f t="array" aca="1" ref="AN53" ca="1">ROUND(ORÇAMENTO.CustoUnitario*(1+$AH53),2)</f>
        <v>10.32</v>
      </c>
    </row>
    <row r="54" spans="1:40" s="670" customFormat="1" x14ac:dyDescent="0.2">
      <c r="A54" s="670" t="str">
        <f t="shared" si="1"/>
        <v>S</v>
      </c>
      <c r="B54" s="670">
        <f t="shared" ca="1" si="2"/>
        <v>2</v>
      </c>
      <c r="C54" s="670" t="str">
        <f t="shared" ca="1" si="3"/>
        <v>S</v>
      </c>
      <c r="D54" s="670">
        <f t="shared" ca="1" si="4"/>
        <v>0</v>
      </c>
      <c r="E54" s="670">
        <f ca="1">IF($C54=1,OFFSET(E54,-1,0)+MAX(1,COUNTIF(QCI!$A$13:$A$24,OFFSET(ORÇAMENTO!E54,-1,0))),OFFSET(E54,-1,0))</f>
        <v>1</v>
      </c>
      <c r="F54" s="670">
        <f t="shared" ca="1" si="5"/>
        <v>8</v>
      </c>
      <c r="G54" s="670">
        <f t="shared" ca="1" si="6"/>
        <v>0</v>
      </c>
      <c r="H54" s="670">
        <f t="shared" ca="1" si="7"/>
        <v>0</v>
      </c>
      <c r="I54" s="670">
        <f t="shared" ca="1" si="8"/>
        <v>3</v>
      </c>
      <c r="J54" s="670">
        <f t="shared" ca="1" si="16"/>
        <v>0</v>
      </c>
      <c r="K54" s="670">
        <f ca="1">IF(OR($C54="S",$C54=0),0,MATCH(OFFSET($D54,0,$C54)+IF($C54&lt;&gt;1,1,COUNTIF(QCI!$A$13:$A$24,ORÇAMENTO!E54)),OFFSET($D54,1,$C54,ROW($C$191)-ROW($C54)),0))</f>
        <v>0</v>
      </c>
      <c r="L54" s="114" t="str">
        <f t="shared" ca="1" si="10"/>
        <v>F</v>
      </c>
      <c r="M54" s="115" t="s">
        <v>705</v>
      </c>
      <c r="N54" s="116" t="str">
        <f t="shared" ca="1" si="11"/>
        <v>Serviço</v>
      </c>
      <c r="O54" s="117" t="str">
        <f t="shared" ca="1" si="12"/>
        <v>1.8.3.</v>
      </c>
      <c r="P54" s="688" t="s">
        <v>750</v>
      </c>
      <c r="Q54" s="689" t="s">
        <v>1019</v>
      </c>
      <c r="R54" s="690" t="str" cm="1">
        <f t="array" aca="1" ref="R54" ca="1">IF($C54="S",REFERENCIA.Descricao,"(digite a descrição aqui)")</f>
        <v>ESCAVAÇÃO MANUAL DE VALA. AF_09/2024</v>
      </c>
      <c r="S54" s="691" t="str" cm="1">
        <f t="array" aca="1" ref="S54" ca="1">REFERENCIA.Unidade</f>
        <v>M3</v>
      </c>
      <c r="T54" s="122">
        <f ca="1">OFFSET(CÁLCULO!H$15,ROW($T54)-ROW(T$15),0)</f>
        <v>59.53</v>
      </c>
      <c r="U54" s="693">
        <f t="shared" ca="1" si="15"/>
        <v>98.41</v>
      </c>
      <c r="V54" s="694" t="s">
        <v>663</v>
      </c>
      <c r="W54" s="122" cm="1">
        <f t="array" aca="1" ref="W54" ca="1">IF($C54="S",ROUND(IF(TIPOORCAMENTO="Proposto",ORÇAMENTO.CustoUnitario*(1+$AH54),ORÇAMENTO.PrecoUnitarioLicitado),15-13*$AF$10),0)</f>
        <v>122.03</v>
      </c>
      <c r="X54" s="125" cm="1">
        <f t="array" aca="1" ref="X54" ca="1">IF($C54="S",IF(OR(Import.TipoArredondamento&lt;&gt;"TransfereGOV",ACOMPANHAMENTO="BM"),VTOTAL1,SUM(OFFSET(CÁLCULO!$AI$15,ROW($X54)-ROW($X$15),1):OFFSET(CÁLCULO!$BB$15,ROW($X54)-ROW($X$15),-1))),IF($C54=0,0,ROUND(SomaAgrup,15-13*$AF$11)))</f>
        <v>7264.45</v>
      </c>
      <c r="Y54" s="126" t="s">
        <v>751</v>
      </c>
      <c r="Z54" s="670" t="str">
        <f t="shared" ca="1" si="13"/>
        <v>RA</v>
      </c>
      <c r="AA54" s="127" cm="1">
        <f t="array" aca="1" ref="AA54" ca="1">IF($C54="S",IF($Z54="CP",$X54,IF($Z54="RA",(($X54)*QCI!$AA$3),0)),SomaAgrup)</f>
        <v>0</v>
      </c>
      <c r="AB54" s="128" cm="1">
        <f t="array" aca="1" ref="AB54" ca="1">IF($C54="S",IF($Z54="OU",ROUND($X54,2),0),SomaAgrup)</f>
        <v>0</v>
      </c>
      <c r="AC54" s="565"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s="670" t="str">
        <f ca="1">IF(C54&lt;=CRONO.NivelExibicao,MAX($AD$15:OFFSET(AD54,-1,0))+IF($C54&lt;&gt;1,1,MAX(1,COUNTIF(QCI!$A$13:$A$24,OFFSET($E54,-1,0)))),"")</f>
        <v/>
      </c>
      <c r="AE54" s="668" t="str" cm="1">
        <f t="array" aca="1" ref="AE54" ca="1">IF(AND($C54="S",ORÇAMENTO.CodBarra&lt;&gt;""),IF(ORÇAMENTO.Fonte="",ORÇAMENTO.CodBarra,CONCATENATE(ORÇAMENTO.Fonte," ",ORÇAMENTO.CodBarra)))</f>
        <v>SINAPI 93358</v>
      </c>
      <c r="AF54" s="669" cm="1">
        <f t="array" aca="1" ref="AF54" ca="1">IF(ISERROR(ORÇAMENTO.BancoRef),"(abra o arquivo 'Referência "&amp;Excel_BuiltIn_Database&amp;".xlsm)",IF(OR($C54&lt;&gt;"S",ORÇAMENTO.CodBarra=""),"(Sem Código)",IF(ISERROR(MATCH($AE54,INDIRECT(ORÇAMENTO.BancoRef),0)),"(Código não identificado nas referências)",MATCH($AE54,INDIRECT(ORÇAMENTO.BancoRef),0))))</f>
        <v>9487</v>
      </c>
      <c r="AG54" s="428" cm="1">
        <f t="array" aca="1" ref="AG54" ca="1">ROUND(IF(DESONERACAO="sim",REFERENCIA.Desonerado,REFERENCIA.NaoDesonerado),2)</f>
        <v>98.41</v>
      </c>
      <c r="AH54" s="429">
        <f t="shared" ca="1" si="14"/>
        <v>0.24</v>
      </c>
      <c r="AJ54" s="431"/>
      <c r="AL54" s="439"/>
      <c r="AM54" s="336">
        <f t="shared" ca="1" si="0"/>
        <v>7264.45</v>
      </c>
      <c r="AN54" s="470" cm="1">
        <f t="array" aca="1" ref="AN54" ca="1">ROUND(ORÇAMENTO.CustoUnitario*(1+$AH54),2)</f>
        <v>122.03</v>
      </c>
    </row>
    <row r="55" spans="1:40" s="670" customFormat="1" ht="25.5" x14ac:dyDescent="0.2">
      <c r="A55" s="670" t="str">
        <f t="shared" si="1"/>
        <v>S</v>
      </c>
      <c r="B55" s="670">
        <f t="shared" ca="1" si="2"/>
        <v>2</v>
      </c>
      <c r="C55" s="670" t="str">
        <f t="shared" ca="1" si="3"/>
        <v>S</v>
      </c>
      <c r="D55" s="670">
        <f t="shared" ca="1" si="4"/>
        <v>0</v>
      </c>
      <c r="E55" s="670">
        <f ca="1">IF($C55=1,OFFSET(E55,-1,0)+MAX(1,COUNTIF(QCI!$A$13:$A$24,OFFSET(ORÇAMENTO!E55,-1,0))),OFFSET(E55,-1,0))</f>
        <v>1</v>
      </c>
      <c r="F55" s="670">
        <f t="shared" ca="1" si="5"/>
        <v>8</v>
      </c>
      <c r="G55" s="670">
        <f t="shared" ca="1" si="6"/>
        <v>0</v>
      </c>
      <c r="H55" s="670">
        <f t="shared" ca="1" si="7"/>
        <v>0</v>
      </c>
      <c r="I55" s="670">
        <f t="shared" ca="1" si="8"/>
        <v>4</v>
      </c>
      <c r="J55" s="670">
        <f t="shared" ca="1" si="16"/>
        <v>0</v>
      </c>
      <c r="K55" s="670">
        <f ca="1">IF(OR($C55="S",$C55=0),0,MATCH(OFFSET($D55,0,$C55)+IF($C55&lt;&gt;1,1,COUNTIF(QCI!$A$13:$A$24,ORÇAMENTO!E55)),OFFSET($D55,1,$C55,ROW($C$191)-ROW($C55)),0))</f>
        <v>0</v>
      </c>
      <c r="L55" s="114" t="str">
        <f t="shared" ca="1" si="10"/>
        <v>F</v>
      </c>
      <c r="M55" s="115" t="s">
        <v>705</v>
      </c>
      <c r="N55" s="116" t="str">
        <f t="shared" ca="1" si="11"/>
        <v>Serviço</v>
      </c>
      <c r="O55" s="117" t="str">
        <f t="shared" ca="1" si="12"/>
        <v>1.8.4.</v>
      </c>
      <c r="P55" s="688" t="s">
        <v>1064</v>
      </c>
      <c r="Q55" s="689" t="s">
        <v>1067</v>
      </c>
      <c r="R55" s="690" t="str" cm="1">
        <f t="array" aca="1" ref="R55" ca="1">IF($C55="S",REFERENCIA.Descricao,"(digite a descrição aqui)")</f>
        <v>REATERRO MANUAL DE VALA, INCLUSIVE ESPALHAMENTO E COMPACTAÇÃO MANUAL COM SOQUETE</v>
      </c>
      <c r="S55" s="691" t="str" cm="1">
        <f t="array" aca="1" ref="S55" ca="1">REFERENCIA.Unidade</f>
        <v>m3</v>
      </c>
      <c r="T55" s="122">
        <f ca="1">OFFSET(CÁLCULO!H$15,ROW($T55)-ROW(T$15),0)</f>
        <v>43.21</v>
      </c>
      <c r="U55" s="693">
        <f t="shared" ca="1" si="15"/>
        <v>77.290000000000006</v>
      </c>
      <c r="V55" s="694" t="s">
        <v>663</v>
      </c>
      <c r="W55" s="122" cm="1">
        <f t="array" aca="1" ref="W55" ca="1">IF($C55="S",ROUND(IF(TIPOORCAMENTO="Proposto",ORÇAMENTO.CustoUnitario*(1+$AH55),ORÇAMENTO.PrecoUnitarioLicitado),15-13*$AF$10),0)</f>
        <v>95.84</v>
      </c>
      <c r="X55" s="125" cm="1">
        <f t="array" aca="1" ref="X55" ca="1">IF($C55="S",IF(OR(Import.TipoArredondamento&lt;&gt;"TransfereGOV",ACOMPANHAMENTO="BM"),VTOTAL1,SUM(OFFSET(CÁLCULO!$AI$15,ROW($X55)-ROW($X$15),1):OFFSET(CÁLCULO!$BB$15,ROW($X55)-ROW($X$15),-1))),IF($C55=0,0,ROUND(SomaAgrup,15-13*$AF$11)))</f>
        <v>4141.25</v>
      </c>
      <c r="Y55" s="126" t="s">
        <v>751</v>
      </c>
      <c r="Z55" s="670" t="str">
        <f t="shared" ca="1" si="13"/>
        <v>RA</v>
      </c>
      <c r="AA55" s="127" cm="1">
        <f t="array" aca="1" ref="AA55" ca="1">IF($C55="S",IF($Z55="CP",$X55,IF($Z55="RA",(($X55)*QCI!$AA$3),0)),SomaAgrup)</f>
        <v>0</v>
      </c>
      <c r="AB55" s="128" cm="1">
        <f t="array" aca="1" ref="AB55" ca="1">IF($C55="S",IF($Z55="OU",ROUND($X55,2),0),SomaAgrup)</f>
        <v>0</v>
      </c>
      <c r="AC55" s="565"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s="670" t="str">
        <f ca="1">IF(C55&lt;=CRONO.NivelExibicao,MAX($AD$15:OFFSET(AD55,-1,0))+IF($C55&lt;&gt;1,1,MAX(1,COUNTIF(QCI!$A$13:$A$24,OFFSET($E55,-1,0)))),"")</f>
        <v/>
      </c>
      <c r="AE55" s="668" t="str" cm="1">
        <f t="array" aca="1" ref="AE55" ca="1">IF(AND($C55="S",ORÇAMENTO.CodBarra&lt;&gt;""),IF(ORÇAMENTO.Fonte="",ORÇAMENTO.CodBarra,CONCATENATE(ORÇAMENTO.Fonte," ",ORÇAMENTO.CodBarra)))</f>
        <v>SETOP ED-51120</v>
      </c>
      <c r="AF55" s="669" cm="1">
        <f t="array" aca="1" ref="AF55" ca="1">IF(ISERROR(ORÇAMENTO.BancoRef),"(abra o arquivo 'Referência "&amp;Excel_BuiltIn_Database&amp;".xlsm)",IF(OR($C55&lt;&gt;"S",ORÇAMENTO.CodBarra=""),"(Sem Código)",IF(ISERROR(MATCH($AE55,INDIRECT(ORÇAMENTO.BancoRef),0)),"(Código não identificado nas referências)",MATCH($AE55,INDIRECT(ORÇAMENTO.BancoRef),0))))</f>
        <v>18982</v>
      </c>
      <c r="AG55" s="428" cm="1">
        <f t="array" aca="1" ref="AG55" ca="1">ROUND(IF(DESONERACAO="sim",REFERENCIA.Desonerado,REFERENCIA.NaoDesonerado),2)</f>
        <v>77.290000000000006</v>
      </c>
      <c r="AH55" s="429">
        <f t="shared" ca="1" si="14"/>
        <v>0.24</v>
      </c>
      <c r="AJ55" s="431"/>
      <c r="AL55" s="439"/>
      <c r="AM55" s="336">
        <f t="shared" ca="1" si="0"/>
        <v>4141.25</v>
      </c>
      <c r="AN55" s="470" cm="1">
        <f t="array" aca="1" ref="AN55" ca="1">ROUND(ORÇAMENTO.CustoUnitario*(1+$AH55),2)</f>
        <v>95.84</v>
      </c>
    </row>
    <row r="56" spans="1:40" s="670" customFormat="1" ht="25.5" x14ac:dyDescent="0.2">
      <c r="A56" s="670" t="str">
        <f t="shared" si="1"/>
        <v>S</v>
      </c>
      <c r="B56" s="670">
        <f t="shared" ca="1" si="2"/>
        <v>2</v>
      </c>
      <c r="C56" s="670" t="str">
        <f t="shared" ca="1" si="3"/>
        <v>S</v>
      </c>
      <c r="D56" s="670">
        <f t="shared" ca="1" si="4"/>
        <v>0</v>
      </c>
      <c r="E56" s="670">
        <f ca="1">IF($C56=1,OFFSET(E56,-1,0)+MAX(1,COUNTIF(QCI!$A$13:$A$24,OFFSET(ORÇAMENTO!E56,-1,0))),OFFSET(E56,-1,0))</f>
        <v>1</v>
      </c>
      <c r="F56" s="670">
        <f t="shared" ca="1" si="5"/>
        <v>8</v>
      </c>
      <c r="G56" s="670">
        <f t="shared" ca="1" si="6"/>
        <v>0</v>
      </c>
      <c r="H56" s="670">
        <f t="shared" ca="1" si="7"/>
        <v>0</v>
      </c>
      <c r="I56" s="670">
        <f t="shared" ca="1" si="8"/>
        <v>5</v>
      </c>
      <c r="J56" s="670">
        <f t="shared" ca="1" si="16"/>
        <v>0</v>
      </c>
      <c r="K56" s="670">
        <f ca="1">IF(OR($C56="S",$C56=0),0,MATCH(OFFSET($D56,0,$C56)+IF($C56&lt;&gt;1,1,COUNTIF(QCI!$A$13:$A$24,ORÇAMENTO!E56)),OFFSET($D56,1,$C56,ROW($C$191)-ROW($C56)),0))</f>
        <v>0</v>
      </c>
      <c r="L56" s="114" t="str">
        <f t="shared" ca="1" si="10"/>
        <v>F</v>
      </c>
      <c r="M56" s="115" t="s">
        <v>705</v>
      </c>
      <c r="N56" s="116" t="str">
        <f t="shared" ca="1" si="11"/>
        <v>Serviço</v>
      </c>
      <c r="O56" s="117" t="str">
        <f t="shared" ca="1" si="12"/>
        <v>1.8.5.</v>
      </c>
      <c r="P56" s="688" t="s">
        <v>1064</v>
      </c>
      <c r="Q56" s="689" t="s">
        <v>1068</v>
      </c>
      <c r="R56" s="690" t="str" cm="1">
        <f t="array" aca="1" ref="R56" ca="1">IF($C56="S",REFERENCIA.Descricao,"(digite a descrição aqui)")</f>
        <v>ALVENARIA ESTRUTURAL COM BLOCO DE CONCRETO, ESP. 14CM, (FBK 4,5MPA), INCLUSIVE ARGAMASSA PARA ASSENTAMENTO</v>
      </c>
      <c r="S56" s="691" t="str" cm="1">
        <f t="array" aca="1" ref="S56" ca="1">REFERENCIA.Unidade</f>
        <v>m2</v>
      </c>
      <c r="T56" s="122">
        <f ca="1">OFFSET(CÁLCULO!H$15,ROW($T56)-ROW(T$15),0)</f>
        <v>300</v>
      </c>
      <c r="U56" s="693">
        <f t="shared" ca="1" si="15"/>
        <v>86.83</v>
      </c>
      <c r="V56" s="694" t="s">
        <v>663</v>
      </c>
      <c r="W56" s="122" cm="1">
        <f t="array" aca="1" ref="W56" ca="1">IF($C56="S",ROUND(IF(TIPOORCAMENTO="Proposto",ORÇAMENTO.CustoUnitario*(1+$AH56),ORÇAMENTO.PrecoUnitarioLicitado),15-13*$AF$10),0)</f>
        <v>107.67</v>
      </c>
      <c r="X56" s="125" cm="1">
        <f t="array" aca="1" ref="X56" ca="1">IF($C56="S",IF(OR(Import.TipoArredondamento&lt;&gt;"TransfereGOV",ACOMPANHAMENTO="BM"),VTOTAL1,SUM(OFFSET(CÁLCULO!$AI$15,ROW($X56)-ROW($X$15),1):OFFSET(CÁLCULO!$BB$15,ROW($X56)-ROW($X$15),-1))),IF($C56=0,0,ROUND(SomaAgrup,15-13*$AF$11)))</f>
        <v>32301</v>
      </c>
      <c r="Y56" s="126" t="s">
        <v>751</v>
      </c>
      <c r="Z56" s="670" t="str">
        <f t="shared" ca="1" si="13"/>
        <v>RA</v>
      </c>
      <c r="AA56" s="127" cm="1">
        <f t="array" aca="1" ref="AA56" ca="1">IF($C56="S",IF($Z56="CP",$X56,IF($Z56="RA",(($X56)*QCI!$AA$3),0)),SomaAgrup)</f>
        <v>0</v>
      </c>
      <c r="AB56" s="128" cm="1">
        <f t="array" aca="1" ref="AB56" ca="1">IF($C56="S",IF($Z56="OU",ROUND($X56,2),0),SomaAgrup)</f>
        <v>0</v>
      </c>
      <c r="AC56" s="565"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s="670" t="str">
        <f ca="1">IF(C56&lt;=CRONO.NivelExibicao,MAX($AD$15:OFFSET(AD56,-1,0))+IF($C56&lt;&gt;1,1,MAX(1,COUNTIF(QCI!$A$13:$A$24,OFFSET($E56,-1,0)))),"")</f>
        <v/>
      </c>
      <c r="AE56" s="668" t="str" cm="1">
        <f t="array" aca="1" ref="AE56" ca="1">IF(AND($C56="S",ORÇAMENTO.CodBarra&lt;&gt;""),IF(ORÇAMENTO.Fonte="",ORÇAMENTO.CodBarra,CONCATENATE(ORÇAMENTO.Fonte," ",ORÇAMENTO.CodBarra)))</f>
        <v>SETOP ED-48201</v>
      </c>
      <c r="AF56" s="669" cm="1">
        <f t="array" aca="1" ref="AF56" ca="1">IF(ISERROR(ORÇAMENTO.BancoRef),"(abra o arquivo 'Referência "&amp;Excel_BuiltIn_Database&amp;".xlsm)",IF(OR($C56&lt;&gt;"S",ORÇAMENTO.CodBarra=""),"(Sem Código)",IF(ISERROR(MATCH($AE56,INDIRECT(ORÇAMENTO.BancoRef),0)),"(Código não identificado nas referências)",MATCH($AE56,INDIRECT(ORÇAMENTO.BancoRef),0))))</f>
        <v>19237</v>
      </c>
      <c r="AG56" s="428" cm="1">
        <f t="array" aca="1" ref="AG56" ca="1">ROUND(IF(DESONERACAO="sim",REFERENCIA.Desonerado,REFERENCIA.NaoDesonerado),2)</f>
        <v>86.83</v>
      </c>
      <c r="AH56" s="429">
        <f t="shared" ca="1" si="14"/>
        <v>0.24</v>
      </c>
      <c r="AJ56" s="431"/>
      <c r="AL56" s="439"/>
      <c r="AM56" s="336">
        <f t="shared" ca="1" si="0"/>
        <v>32301</v>
      </c>
      <c r="AN56" s="470" cm="1">
        <f t="array" aca="1" ref="AN56" ca="1">ROUND(ORÇAMENTO.CustoUnitario*(1+$AH56),2)</f>
        <v>107.67</v>
      </c>
    </row>
    <row r="57" spans="1:40" s="670" customFormat="1" ht="51" x14ac:dyDescent="0.2">
      <c r="A57" s="670" t="str">
        <f t="shared" si="1"/>
        <v>S</v>
      </c>
      <c r="B57" s="670">
        <f t="shared" ca="1" si="2"/>
        <v>2</v>
      </c>
      <c r="C57" s="670" t="str">
        <f t="shared" ca="1" si="3"/>
        <v>S</v>
      </c>
      <c r="D57" s="670">
        <f t="shared" ca="1" si="4"/>
        <v>0</v>
      </c>
      <c r="E57" s="670">
        <f ca="1">IF($C57=1,OFFSET(E57,-1,0)+MAX(1,COUNTIF(QCI!$A$13:$A$24,OFFSET(ORÇAMENTO!E57,-1,0))),OFFSET(E57,-1,0))</f>
        <v>1</v>
      </c>
      <c r="F57" s="670">
        <f t="shared" ca="1" si="5"/>
        <v>8</v>
      </c>
      <c r="G57" s="670">
        <f t="shared" ca="1" si="6"/>
        <v>0</v>
      </c>
      <c r="H57" s="670">
        <f t="shared" ca="1" si="7"/>
        <v>0</v>
      </c>
      <c r="I57" s="670">
        <f t="shared" ca="1" si="8"/>
        <v>6</v>
      </c>
      <c r="J57" s="670">
        <f t="shared" ca="1" si="16"/>
        <v>0</v>
      </c>
      <c r="K57" s="670">
        <f ca="1">IF(OR($C57="S",$C57=0),0,MATCH(OFFSET($D57,0,$C57)+IF($C57&lt;&gt;1,1,COUNTIF(QCI!$A$13:$A$24,ORÇAMENTO!E57)),OFFSET($D57,1,$C57,ROW($C$191)-ROW($C57)),0))</f>
        <v>0</v>
      </c>
      <c r="L57" s="114" t="str">
        <f t="shared" ca="1" si="10"/>
        <v>F</v>
      </c>
      <c r="M57" s="115" t="s">
        <v>705</v>
      </c>
      <c r="N57" s="116" t="str">
        <f t="shared" ca="1" si="11"/>
        <v>Serviço</v>
      </c>
      <c r="O57" s="117" t="str">
        <f t="shared" ca="1" si="12"/>
        <v>1.8.6.</v>
      </c>
      <c r="P57" s="688" t="s">
        <v>750</v>
      </c>
      <c r="Q57" s="689" t="s">
        <v>1248</v>
      </c>
      <c r="R57" s="690" t="str" cm="1">
        <f t="array" aca="1" ref="R57" ca="1">IF($C57="S",REFERENCIA.Descricao,"(digite a descrição aqui)")</f>
        <v>CONCRETAGEM DE EDIFICAÇÕES (PAREDES E LAJES) FEITAS COM SISTEMA DE FÔRMAS MANUSEÁVEIS, COM CONCRETO USINADO BOMBEÁVEL FCK 25 MPA - LANÇAMENTO, ADENSAMENTO E ACABAMENTO. AF_09/2024</v>
      </c>
      <c r="S57" s="691" t="str" cm="1">
        <f t="array" aca="1" ref="S57" ca="1">REFERENCIA.Unidade</f>
        <v>M3</v>
      </c>
      <c r="T57" s="122">
        <f ca="1">OFFSET(CÁLCULO!H$15,ROW($T57)-ROW(T$15),0)</f>
        <v>1.7</v>
      </c>
      <c r="U57" s="693">
        <f t="shared" ca="1" si="15"/>
        <v>747.66</v>
      </c>
      <c r="V57" s="694" t="s">
        <v>663</v>
      </c>
      <c r="W57" s="122" cm="1">
        <f t="array" aca="1" ref="W57" ca="1">IF($C57="S",ROUND(IF(TIPOORCAMENTO="Proposto",ORÇAMENTO.CustoUnitario*(1+$AH57),ORÇAMENTO.PrecoUnitarioLicitado),15-13*$AF$10),0)</f>
        <v>927.1</v>
      </c>
      <c r="X57" s="125" cm="1">
        <f t="array" aca="1" ref="X57" ca="1">IF($C57="S",IF(OR(Import.TipoArredondamento&lt;&gt;"TransfereGOV",ACOMPANHAMENTO="BM"),VTOTAL1,SUM(OFFSET(CÁLCULO!$AI$15,ROW($X57)-ROW($X$15),1):OFFSET(CÁLCULO!$BB$15,ROW($X57)-ROW($X$15),-1))),IF($C57=0,0,ROUND(SomaAgrup,15-13*$AF$11)))</f>
        <v>1576.07</v>
      </c>
      <c r="Y57" s="126" t="s">
        <v>751</v>
      </c>
      <c r="Z57" s="670" t="str">
        <f t="shared" ca="1" si="13"/>
        <v>RA</v>
      </c>
      <c r="AA57" s="127" cm="1">
        <f t="array" aca="1" ref="AA57" ca="1">IF($C57="S",IF($Z57="CP",$X57,IF($Z57="RA",(($X57)*QCI!$AA$3),0)),SomaAgrup)</f>
        <v>0</v>
      </c>
      <c r="AB57" s="128" cm="1">
        <f t="array" aca="1" ref="AB57" ca="1">IF($C57="S",IF($Z57="OU",ROUND($X57,2),0),SomaAgrup)</f>
        <v>0</v>
      </c>
      <c r="AC57" s="565"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s="670" t="str">
        <f ca="1">IF(C57&lt;=CRONO.NivelExibicao,MAX($AD$15:OFFSET(AD57,-1,0))+IF($C57&lt;&gt;1,1,MAX(1,COUNTIF(QCI!$A$13:$A$24,OFFSET($E57,-1,0)))),"")</f>
        <v/>
      </c>
      <c r="AE57" s="668" t="str" cm="1">
        <f t="array" aca="1" ref="AE57" ca="1">IF(AND($C57="S",ORÇAMENTO.CodBarra&lt;&gt;""),IF(ORÇAMENTO.Fonte="",ORÇAMENTO.CodBarra,CONCATENATE(ORÇAMENTO.Fonte," ",ORÇAMENTO.CodBarra)))</f>
        <v>SINAPI 99439</v>
      </c>
      <c r="AF57" s="669" cm="1">
        <f t="array" aca="1" ref="AF57" ca="1">IF(ISERROR(ORÇAMENTO.BancoRef),"(abra o arquivo 'Referência "&amp;Excel_BuiltIn_Database&amp;".xlsm)",IF(OR($C57&lt;&gt;"S",ORÇAMENTO.CodBarra=""),"(Sem Código)",IF(ISERROR(MATCH($AE57,INDIRECT(ORÇAMENTO.BancoRef),0)),"(Código não identificado nas referências)",MATCH($AE57,INDIRECT(ORÇAMENTO.BancoRef),0))))</f>
        <v>13913</v>
      </c>
      <c r="AG57" s="428" cm="1">
        <f t="array" aca="1" ref="AG57" ca="1">ROUND(IF(DESONERACAO="sim",REFERENCIA.Desonerado,REFERENCIA.NaoDesonerado),2)</f>
        <v>747.66</v>
      </c>
      <c r="AH57" s="429">
        <f t="shared" ca="1" si="14"/>
        <v>0.24</v>
      </c>
      <c r="AJ57" s="431"/>
      <c r="AL57" s="439"/>
      <c r="AM57" s="336">
        <f t="shared" ca="1" si="0"/>
        <v>1576.07</v>
      </c>
      <c r="AN57" s="470" cm="1">
        <f t="array" aca="1" ref="AN57" ca="1">ROUND(ORÇAMENTO.CustoUnitario*(1+$AH57),2)</f>
        <v>927.1</v>
      </c>
    </row>
    <row r="58" spans="1:40" s="680" customFormat="1" ht="25.5" x14ac:dyDescent="0.2">
      <c r="A58" s="680" t="str">
        <f>CHOOSE(1+LOG(1+2*(ORÇAMENTO.Nivel="Meta")+4*(ORÇAMENTO.Nivel="Nível 2")+8*(ORÇAMENTO.Nivel="Nível 3")+16*(ORÇAMENTO.Nivel="Nível 4")+32*(ORÇAMENTO.Nivel="Serviço"),2),0,1,2,3,4,"S")</f>
        <v>S</v>
      </c>
      <c r="B58" s="680">
        <f ca="1">IF(OR(C58="s",C58=0),OFFSET(B58,-1,0),C58)</f>
        <v>2</v>
      </c>
      <c r="C58" s="680" t="str">
        <f ca="1">IF(OFFSET(C58,-1,0)="L",1,IF(OFFSET(C58,-1,0)=1,2,IF(OR(A58="s",A58=0),"S",IF(AND(OFFSET(C58,-1,0)=2,A58=4),3,IF(AND(OR(OFFSET(C58,-1,0)="s",OFFSET(C58,-1,0)=0),A58&lt;&gt;"s",A58&gt;OFFSET(B58,-1,0)),OFFSET(B58,-1,0),A58)))))</f>
        <v>S</v>
      </c>
      <c r="D58" s="680">
        <f ca="1">IF(OR(C58="S",C58=0),0,IF(ISERROR(K58),J58,SMALL(J58:K58,1)))</f>
        <v>0</v>
      </c>
      <c r="E58" s="680">
        <f ca="1">IF($C58=1,OFFSET(E58,-1,0)+MAX(1,COUNTIF(QCI!$A$13:$A$24,OFFSET(ORÇAMENTO!E58,-1,0))),OFFSET(E58,-1,0))</f>
        <v>1</v>
      </c>
      <c r="F58" s="680">
        <f ca="1">IF($C58=1,0,IF($C58=2,OFFSET(F58,-1,0)+1,OFFSET(F58,-1,0)))</f>
        <v>8</v>
      </c>
      <c r="G58" s="680">
        <f ca="1">IF(AND($C58&lt;=2,$C58&lt;&gt;0),0,IF($C58=3,OFFSET(G58,-1,0)+1,OFFSET(G58,-1,0)))</f>
        <v>0</v>
      </c>
      <c r="H58" s="680">
        <f ca="1">IF(AND($C58&lt;=3,$C58&lt;&gt;0),0,IF($C58=4,OFFSET(H58,-1,0)+1,OFFSET(H58,-1,0)))</f>
        <v>0</v>
      </c>
      <c r="I58" s="680">
        <f ca="1">IF(AND($C58&lt;=4,$C58&lt;&gt;0),0,IF(AND($C58="S",$X58&gt;0),OFFSET(I58,-1,0)+1,OFFSET(I58,-1,0)))</f>
        <v>7</v>
      </c>
      <c r="J58" s="680">
        <f t="shared" ca="1" si="16"/>
        <v>0</v>
      </c>
      <c r="K58" s="680">
        <f ca="1">IF(OR($C58="S",$C58=0),0,MATCH(OFFSET($D58,0,$C58)+IF($C58&lt;&gt;1,1,COUNTIF(QCI!$A$13:$A$24,ORÇAMENTO!E58)),OFFSET($D58,1,$C58,ROW($C$191)-ROW($C58)),0))</f>
        <v>0</v>
      </c>
      <c r="L58" s="684" t="str">
        <f ca="1">IF(OR($X58&gt;0,$C58=1,$C58=2,$C58=3,$C58=4),"F","")</f>
        <v>F</v>
      </c>
      <c r="M58" s="685" t="s">
        <v>705</v>
      </c>
      <c r="N58" s="686" t="str">
        <f ca="1">CHOOSE(1+LOG(1+2*(C58=1)+4*(C58=2)+8*(C58=3)+16*(C58=4)+32*(C58="S"),2),"","Meta","Nível 2","Nível 3","Nível 4","Serviço")</f>
        <v>Serviço</v>
      </c>
      <c r="O58" s="687" t="str">
        <f ca="1">IF(OR($C58=0,$L58=""),"-",CONCATENATE(E58&amp;".",IF(AND($A$5&gt;=2,$C58&gt;=2),F58&amp;".",""),IF(AND($A$5&gt;=3,$C58&gt;=3),G58&amp;".",""),IF(AND($A$5&gt;=4,$C58&gt;=4),H58&amp;".",""),IF($C58="S",I58&amp;".","")))</f>
        <v>1.8.7.</v>
      </c>
      <c r="P58" s="688" t="s">
        <v>750</v>
      </c>
      <c r="Q58" s="689" t="s">
        <v>1221</v>
      </c>
      <c r="R58" s="690" t="str" cm="1">
        <f t="array" aca="1" ref="R58" ca="1">IF($C58="S",REFERENCIA.Descricao,"(digite a descrição aqui)")</f>
        <v>LANÇAMENTO COM USO DE BOMBA, ADENSAMENTO E ACABAMENTO DE CONCRETO EM ESTRUTURAS. AF_02/2022</v>
      </c>
      <c r="S58" s="691" t="str" cm="1">
        <f t="array" aca="1" ref="S58" ca="1">REFERENCIA.Unidade</f>
        <v>M3</v>
      </c>
      <c r="T58" s="692">
        <f ca="1">OFFSET(CÁLCULO!H$15,ROW($T58)-ROW(T$15),0)</f>
        <v>28.3</v>
      </c>
      <c r="U58" s="693">
        <f t="shared" ca="1" si="15"/>
        <v>48.55</v>
      </c>
      <c r="V58" s="694" t="s">
        <v>663</v>
      </c>
      <c r="W58" s="692" cm="1">
        <f t="array" aca="1" ref="W58" ca="1">IF($C58="S",ROUND(IF(TIPOORCAMENTO="Proposto",ORÇAMENTO.CustoUnitario*(1+$AH58),ORÇAMENTO.PrecoUnitarioLicitado),15-13*$AF$10),0)</f>
        <v>60.2</v>
      </c>
      <c r="X58" s="695" cm="1">
        <f t="array" aca="1" ref="X58" ca="1">IF($C58="S",IF(OR(Import.TipoArredondamento&lt;&gt;"TransfereGOV",ACOMPANHAMENTO="BM"),VTOTAL1,SUM(OFFSET(CÁLCULO!$AI$15,ROW($X58)-ROW($X$15),1):OFFSET(CÁLCULO!$BB$15,ROW($X58)-ROW($X$15),-1))),IF($C58=0,0,ROUND(SomaAgrup,15-13*$AF$11)))</f>
        <v>1703.66</v>
      </c>
      <c r="Y58" s="696" t="s">
        <v>751</v>
      </c>
      <c r="Z58" s="680" t="str">
        <f ca="1">IF(AND($C58="S",$X58&gt;0),IF(ISBLANK($Y58),"RA",LEFT($Y58,2)),"")</f>
        <v>RA</v>
      </c>
      <c r="AA58" s="697" cm="1">
        <f t="array" aca="1" ref="AA58" ca="1">IF($C58="S",IF($Z58="CP",$X58,IF($Z58="RA",(($X58)*QCI!$AA$3),0)),SomaAgrup)</f>
        <v>0</v>
      </c>
      <c r="AB58" s="698" cm="1">
        <f t="array" aca="1" ref="AB58" ca="1">IF($C58="S",IF($Z58="OU",ROUND($X58,2),0),SomaAgrup)</f>
        <v>0</v>
      </c>
      <c r="AC58" s="723"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s="680" t="str">
        <f ca="1">IF(C58&lt;=CRONO.NivelExibicao,MAX($AD$15:OFFSET(AD58,-1,0))+IF($C58&lt;&gt;1,1,MAX(1,COUNTIF(QCI!$A$13:$A$24,OFFSET($E58,-1,0)))),"")</f>
        <v/>
      </c>
      <c r="AE58" s="681" t="str" cm="1">
        <f t="array" aca="1" ref="AE58" ca="1">IF(AND($C58="S",ORÇAMENTO.CodBarra&lt;&gt;""),IF(ORÇAMENTO.Fonte="",ORÇAMENTO.CodBarra,CONCATENATE(ORÇAMENTO.Fonte," ",ORÇAMENTO.CodBarra)))</f>
        <v>SINAPI 103673</v>
      </c>
      <c r="AF58" s="682" cm="1">
        <f t="array" aca="1" ref="AF58" ca="1">IF(ISERROR(ORÇAMENTO.BancoRef),"(abra o arquivo 'Referência "&amp;Excel_BuiltIn_Database&amp;".xlsm)",IF(OR($C58&lt;&gt;"S",ORÇAMENTO.CodBarra=""),"(Sem Código)",IF(ISERROR(MATCH($AE58,INDIRECT(ORÇAMENTO.BancoRef),0)),"(Código não identificado nas referências)",MATCH($AE58,INDIRECT(ORÇAMENTO.BancoRef),0))))</f>
        <v>7372</v>
      </c>
      <c r="AG58" s="714" cm="1">
        <f t="array" aca="1" ref="AG58" ca="1">ROUND(IF(DESONERACAO="sim",REFERENCIA.Desonerado,REFERENCIA.NaoDesonerado),2)</f>
        <v>48.55</v>
      </c>
      <c r="AH58" s="715">
        <f ca="1">ROUND(IF(ISNUMBER(ORÇAMENTO.OpcaoBDI),ORÇAMENTO.OpcaoBDI,IF(LEFT(ORÇAMENTO.OpcaoBDI,3)="BDI",HLOOKUP(ORÇAMENTO.OpcaoBDI,$F$4:$H$5,2,FALSE),0)),15-11*$AF$9)</f>
        <v>0.24</v>
      </c>
      <c r="AJ58" s="716"/>
      <c r="AL58" s="718"/>
      <c r="AM58" s="710">
        <f t="shared" ca="1" si="0"/>
        <v>1703.66</v>
      </c>
      <c r="AN58" s="721" cm="1">
        <f t="array" aca="1" ref="AN58" ca="1">ROUND(ORÇAMENTO.CustoUnitario*(1+$AH58),2)</f>
        <v>60.2</v>
      </c>
    </row>
    <row r="59" spans="1:40" s="670" customFormat="1" ht="51" x14ac:dyDescent="0.2">
      <c r="A59" s="670" t="str">
        <f t="shared" si="1"/>
        <v>S</v>
      </c>
      <c r="B59" s="670">
        <f t="shared" ca="1" si="2"/>
        <v>2</v>
      </c>
      <c r="C59" s="670" t="str">
        <f t="shared" ca="1" si="3"/>
        <v>S</v>
      </c>
      <c r="D59" s="670">
        <f t="shared" ca="1" si="4"/>
        <v>0</v>
      </c>
      <c r="E59" s="670">
        <f ca="1">IF($C59=1,OFFSET(E59,-1,0)+MAX(1,COUNTIF(QCI!$A$13:$A$24,OFFSET(ORÇAMENTO!E59,-1,0))),OFFSET(E59,-1,0))</f>
        <v>1</v>
      </c>
      <c r="F59" s="670">
        <f t="shared" ca="1" si="5"/>
        <v>8</v>
      </c>
      <c r="G59" s="670">
        <f t="shared" ca="1" si="6"/>
        <v>0</v>
      </c>
      <c r="H59" s="670">
        <f t="shared" ca="1" si="7"/>
        <v>0</v>
      </c>
      <c r="I59" s="670">
        <f t="shared" ca="1" si="8"/>
        <v>8</v>
      </c>
      <c r="J59" s="670">
        <f t="shared" ca="1" si="16"/>
        <v>0</v>
      </c>
      <c r="K59" s="670">
        <f ca="1">IF(OR($C59="S",$C59=0),0,MATCH(OFFSET($D59,0,$C59)+IF($C59&lt;&gt;1,1,COUNTIF(QCI!$A$13:$A$24,ORÇAMENTO!E59)),OFFSET($D59,1,$C59,ROW($C$191)-ROW($C59)),0))</f>
        <v>0</v>
      </c>
      <c r="L59" s="114" t="str">
        <f t="shared" ca="1" si="10"/>
        <v>F</v>
      </c>
      <c r="M59" s="115" t="s">
        <v>705</v>
      </c>
      <c r="N59" s="116" t="str">
        <f t="shared" ca="1" si="11"/>
        <v>Serviço</v>
      </c>
      <c r="O59" s="117" t="str">
        <f t="shared" ca="1" si="12"/>
        <v>1.8.8.</v>
      </c>
      <c r="P59" s="688" t="s">
        <v>750</v>
      </c>
      <c r="Q59" s="689" t="s">
        <v>1248</v>
      </c>
      <c r="R59" s="690" t="str" cm="1">
        <f t="array" aca="1" ref="R59" ca="1">IF($C59="S",REFERENCIA.Descricao,"(digite a descrição aqui)")</f>
        <v>CONCRETAGEM DE EDIFICAÇÕES (PAREDES E LAJES) FEITAS COM SISTEMA DE FÔRMAS MANUSEÁVEIS, COM CONCRETO USINADO BOMBEÁVEL FCK 25 MPA - LANÇAMENTO, ADENSAMENTO E ACABAMENTO. AF_09/2024</v>
      </c>
      <c r="S59" s="691" t="str" cm="1">
        <f t="array" aca="1" ref="S59" ca="1">REFERENCIA.Unidade</f>
        <v>M3</v>
      </c>
      <c r="T59" s="122">
        <f ca="1">OFFSET(CÁLCULO!H$15,ROW($T59)-ROW(T$15),0)</f>
        <v>26.6</v>
      </c>
      <c r="U59" s="693">
        <f t="shared" ca="1" si="15"/>
        <v>747.66</v>
      </c>
      <c r="V59" s="694" t="s">
        <v>663</v>
      </c>
      <c r="W59" s="122" cm="1">
        <f t="array" aca="1" ref="W59" ca="1">IF($C59="S",ROUND(IF(TIPOORCAMENTO="Proposto",ORÇAMENTO.CustoUnitario*(1+$AH59),ORÇAMENTO.PrecoUnitarioLicitado),15-13*$AF$10),0)</f>
        <v>927.1</v>
      </c>
      <c r="X59" s="125" cm="1">
        <f t="array" aca="1" ref="X59" ca="1">IF($C59="S",IF(OR(Import.TipoArredondamento&lt;&gt;"TransfereGOV",ACOMPANHAMENTO="BM"),VTOTAL1,SUM(OFFSET(CÁLCULO!$AI$15,ROW($X59)-ROW($X$15),1):OFFSET(CÁLCULO!$BB$15,ROW($X59)-ROW($X$15),-1))),IF($C59=0,0,ROUND(SomaAgrup,15-13*$AF$11)))</f>
        <v>24660.86</v>
      </c>
      <c r="Y59" s="126" t="s">
        <v>751</v>
      </c>
      <c r="Z59" s="670" t="str">
        <f t="shared" ca="1" si="13"/>
        <v>RA</v>
      </c>
      <c r="AA59" s="127" cm="1">
        <f t="array" aca="1" ref="AA59" ca="1">IF($C59="S",IF($Z59="CP",$X59,IF($Z59="RA",(($X59)*QCI!$AA$3),0)),SomaAgrup)</f>
        <v>0</v>
      </c>
      <c r="AB59" s="128" cm="1">
        <f t="array" aca="1" ref="AB59" ca="1">IF($C59="S",IF($Z59="OU",ROUND($X59,2),0),SomaAgrup)</f>
        <v>0</v>
      </c>
      <c r="AC59" s="565"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D59" s="670" t="str">
        <f ca="1">IF(C59&lt;=CRONO.NivelExibicao,MAX($AD$15:OFFSET(AD59,-1,0))+IF($C59&lt;&gt;1,1,MAX(1,COUNTIF(QCI!$A$13:$A$24,OFFSET($E59,-1,0)))),"")</f>
        <v/>
      </c>
      <c r="AE59" s="668" t="str" cm="1">
        <f t="array" aca="1" ref="AE59" ca="1">IF(AND($C59="S",ORÇAMENTO.CodBarra&lt;&gt;""),IF(ORÇAMENTO.Fonte="",ORÇAMENTO.CodBarra,CONCATENATE(ORÇAMENTO.Fonte," ",ORÇAMENTO.CodBarra)))</f>
        <v>SINAPI 99439</v>
      </c>
      <c r="AF59" s="669" cm="1">
        <f t="array" aca="1" ref="AF59" ca="1">IF(ISERROR(ORÇAMENTO.BancoRef),"(abra o arquivo 'Referência "&amp;Excel_BuiltIn_Database&amp;".xlsm)",IF(OR($C59&lt;&gt;"S",ORÇAMENTO.CodBarra=""),"(Sem Código)",IF(ISERROR(MATCH($AE59,INDIRECT(ORÇAMENTO.BancoRef),0)),"(Código não identificado nas referências)",MATCH($AE59,INDIRECT(ORÇAMENTO.BancoRef),0))))</f>
        <v>13913</v>
      </c>
      <c r="AG59" s="428" cm="1">
        <f t="array" aca="1" ref="AG59" ca="1">ROUND(IF(DESONERACAO="sim",REFERENCIA.Desonerado,REFERENCIA.NaoDesonerado),2)</f>
        <v>747.66</v>
      </c>
      <c r="AH59" s="429">
        <f t="shared" ca="1" si="14"/>
        <v>0.24</v>
      </c>
      <c r="AJ59" s="431"/>
      <c r="AL59" s="439"/>
      <c r="AM59" s="336">
        <f t="shared" ca="1" si="0"/>
        <v>24660.86</v>
      </c>
      <c r="AN59" s="470" cm="1">
        <f t="array" aca="1" ref="AN59" ca="1">ROUND(ORÇAMENTO.CustoUnitario*(1+$AH59),2)</f>
        <v>927.1</v>
      </c>
    </row>
    <row r="60" spans="1:40" s="670" customFormat="1" ht="38.25" x14ac:dyDescent="0.2">
      <c r="A60" s="670" t="str">
        <f t="shared" si="1"/>
        <v>S</v>
      </c>
      <c r="B60" s="670">
        <f t="shared" ca="1" si="2"/>
        <v>2</v>
      </c>
      <c r="C60" s="670" t="str">
        <f t="shared" ca="1" si="3"/>
        <v>S</v>
      </c>
      <c r="D60" s="670">
        <f t="shared" ca="1" si="4"/>
        <v>0</v>
      </c>
      <c r="E60" s="670">
        <f ca="1">IF($C60=1,OFFSET(E60,-1,0)+MAX(1,COUNTIF(QCI!$A$13:$A$24,OFFSET(ORÇAMENTO!E60,-1,0))),OFFSET(E60,-1,0))</f>
        <v>1</v>
      </c>
      <c r="F60" s="670">
        <f t="shared" ca="1" si="5"/>
        <v>8</v>
      </c>
      <c r="G60" s="670">
        <f t="shared" ca="1" si="6"/>
        <v>0</v>
      </c>
      <c r="H60" s="670">
        <f t="shared" ca="1" si="7"/>
        <v>0</v>
      </c>
      <c r="I60" s="670">
        <f t="shared" ca="1" si="8"/>
        <v>9</v>
      </c>
      <c r="J60" s="670">
        <f t="shared" ca="1" si="16"/>
        <v>0</v>
      </c>
      <c r="K60" s="670">
        <f ca="1">IF(OR($C60="S",$C60=0),0,MATCH(OFFSET($D60,0,$C60)+IF($C60&lt;&gt;1,1,COUNTIF(QCI!$A$13:$A$24,ORÇAMENTO!E60)),OFFSET($D60,1,$C60,ROW($C$191)-ROW($C60)),0))</f>
        <v>0</v>
      </c>
      <c r="L60" s="114" t="str">
        <f t="shared" ca="1" si="10"/>
        <v>F</v>
      </c>
      <c r="M60" s="115" t="s">
        <v>705</v>
      </c>
      <c r="N60" s="116" t="str">
        <f t="shared" ca="1" si="11"/>
        <v>Serviço</v>
      </c>
      <c r="O60" s="117" t="str">
        <f t="shared" ca="1" si="12"/>
        <v>1.8.9.</v>
      </c>
      <c r="P60" s="688" t="s">
        <v>750</v>
      </c>
      <c r="Q60" s="689" t="s">
        <v>1020</v>
      </c>
      <c r="R60" s="690" t="str" cm="1">
        <f t="array" aca="1" ref="R60" ca="1">IF($C60="S",REFERENCIA.Descricao,"(digite a descrição aqui)")</f>
        <v>FABRICAÇÃO DE FÔRMA PARA PILARES E ESTRUTURAS SIMILARES, EM CHAPA DE MADEIRA COMPENSADA RESINADA, E = 17 MM. AF_09/2020</v>
      </c>
      <c r="S60" s="691" t="str" cm="1">
        <f t="array" aca="1" ref="S60" ca="1">REFERENCIA.Unidade</f>
        <v>M2</v>
      </c>
      <c r="T60" s="122">
        <f ca="1">OFFSET(CÁLCULO!H$15,ROW($T60)-ROW(T$15),0)</f>
        <v>281.94</v>
      </c>
      <c r="U60" s="693">
        <f t="shared" ca="1" si="15"/>
        <v>173.86</v>
      </c>
      <c r="V60" s="694" t="s">
        <v>663</v>
      </c>
      <c r="W60" s="122" cm="1">
        <f t="array" aca="1" ref="W60" ca="1">IF($C60="S",ROUND(IF(TIPOORCAMENTO="Proposto",ORÇAMENTO.CustoUnitario*(1+$AH60),ORÇAMENTO.PrecoUnitarioLicitado),15-13*$AF$10),0)</f>
        <v>215.59</v>
      </c>
      <c r="X60" s="125" cm="1">
        <f t="array" aca="1" ref="X60" ca="1">IF($C60="S",IF(OR(Import.TipoArredondamento&lt;&gt;"TransfereGOV",ACOMPANHAMENTO="BM"),VTOTAL1,SUM(OFFSET(CÁLCULO!$AI$15,ROW($X60)-ROW($X$15),1):OFFSET(CÁLCULO!$BB$15,ROW($X60)-ROW($X$15),-1))),IF($C60=0,0,ROUND(SomaAgrup,15-13*$AF$11)))</f>
        <v>60783.44</v>
      </c>
      <c r="Y60" s="126" t="s">
        <v>751</v>
      </c>
      <c r="Z60" s="670" t="str">
        <f t="shared" ca="1" si="13"/>
        <v>RA</v>
      </c>
      <c r="AA60" s="127" cm="1">
        <f t="array" aca="1" ref="AA60" ca="1">IF($C60="S",IF($Z60="CP",$X60,IF($Z60="RA",(($X60)*QCI!$AA$3),0)),SomaAgrup)</f>
        <v>0</v>
      </c>
      <c r="AB60" s="128" cm="1">
        <f t="array" aca="1" ref="AB60" ca="1">IF($C60="S",IF($Z60="OU",ROUND($X60,2),0),SomaAgrup)</f>
        <v>0</v>
      </c>
      <c r="AC60" s="565"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 xml:space="preserve"> </v>
      </c>
      <c r="AD60" s="670" t="str">
        <f ca="1">IF(C60&lt;=CRONO.NivelExibicao,MAX($AD$15:OFFSET(AD60,-1,0))+IF($C60&lt;&gt;1,1,MAX(1,COUNTIF(QCI!$A$13:$A$24,OFFSET($E60,-1,0)))),"")</f>
        <v/>
      </c>
      <c r="AE60" s="668" t="str" cm="1">
        <f t="array" aca="1" ref="AE60" ca="1">IF(AND($C60="S",ORÇAMENTO.CodBarra&lt;&gt;""),IF(ORÇAMENTO.Fonte="",ORÇAMENTO.CodBarra,CONCATENATE(ORÇAMENTO.Fonte," ",ORÇAMENTO.CodBarra)))</f>
        <v>SINAPI 92263</v>
      </c>
      <c r="AF60" s="669" cm="1">
        <f t="array" aca="1" ref="AF60" ca="1">IF(ISERROR(ORÇAMENTO.BancoRef),"(abra o arquivo 'Referência "&amp;Excel_BuiltIn_Database&amp;".xlsm)",IF(OR($C60&lt;&gt;"S",ORÇAMENTO.CodBarra=""),"(Sem Código)",IF(ISERROR(MATCH($AE60,INDIRECT(ORÇAMENTO.BancoRef),0)),"(Código não identificado nas referências)",MATCH($AE60,INDIRECT(ORÇAMENTO.BancoRef),0))))</f>
        <v>10270</v>
      </c>
      <c r="AG60" s="428" cm="1">
        <f t="array" aca="1" ref="AG60" ca="1">ROUND(IF(DESONERACAO="sim",REFERENCIA.Desonerado,REFERENCIA.NaoDesonerado),2)</f>
        <v>173.86</v>
      </c>
      <c r="AH60" s="429">
        <f t="shared" ca="1" si="14"/>
        <v>0.24</v>
      </c>
      <c r="AJ60" s="431"/>
      <c r="AL60" s="439"/>
      <c r="AM60" s="336">
        <f t="shared" ca="1" si="0"/>
        <v>60783.44</v>
      </c>
      <c r="AN60" s="470" cm="1">
        <f t="array" aca="1" ref="AN60" ca="1">ROUND(ORÇAMENTO.CustoUnitario*(1+$AH60),2)</f>
        <v>215.59</v>
      </c>
    </row>
    <row r="61" spans="1:40" s="670" customFormat="1" x14ac:dyDescent="0.2">
      <c r="A61" s="670" t="str">
        <f t="shared" si="1"/>
        <v>S</v>
      </c>
      <c r="B61" s="670">
        <f t="shared" ca="1" si="2"/>
        <v>2</v>
      </c>
      <c r="C61" s="670" t="str">
        <f t="shared" ca="1" si="3"/>
        <v>S</v>
      </c>
      <c r="D61" s="670">
        <f t="shared" ca="1" si="4"/>
        <v>0</v>
      </c>
      <c r="E61" s="670">
        <f ca="1">IF($C61=1,OFFSET(E61,-1,0)+MAX(1,COUNTIF(QCI!$A$13:$A$24,OFFSET(ORÇAMENTO!E61,-1,0))),OFFSET(E61,-1,0))</f>
        <v>1</v>
      </c>
      <c r="F61" s="670">
        <f t="shared" ca="1" si="5"/>
        <v>8</v>
      </c>
      <c r="G61" s="670">
        <f t="shared" ca="1" si="6"/>
        <v>0</v>
      </c>
      <c r="H61" s="670">
        <f t="shared" ca="1" si="7"/>
        <v>0</v>
      </c>
      <c r="I61" s="670">
        <f t="shared" ca="1" si="8"/>
        <v>10</v>
      </c>
      <c r="J61" s="670">
        <f t="shared" ca="1" si="16"/>
        <v>0</v>
      </c>
      <c r="K61" s="670">
        <f ca="1">IF(OR($C61="S",$C61=0),0,MATCH(OFFSET($D61,0,$C61)+IF($C61&lt;&gt;1,1,COUNTIF(QCI!$A$13:$A$24,ORÇAMENTO!E61)),OFFSET($D61,1,$C61,ROW($C$191)-ROW($C61)),0))</f>
        <v>0</v>
      </c>
      <c r="L61" s="114" t="str">
        <f t="shared" ca="1" si="10"/>
        <v>F</v>
      </c>
      <c r="M61" s="115" t="s">
        <v>705</v>
      </c>
      <c r="N61" s="116" t="str">
        <f t="shared" ca="1" si="11"/>
        <v>Serviço</v>
      </c>
      <c r="O61" s="117" t="str">
        <f t="shared" ca="1" si="12"/>
        <v>1.8.10.</v>
      </c>
      <c r="P61" s="688" t="s">
        <v>750</v>
      </c>
      <c r="Q61" s="689" t="s">
        <v>1247</v>
      </c>
      <c r="R61" s="690" t="str" cm="1">
        <f t="array" aca="1" ref="R61" ca="1">IF($C61="S",REFERENCIA.Descricao,"(digite a descrição aqui)")</f>
        <v>CORTE E DOBRA DE AÇO CA-25, DIÂMETRO DE 20,0 MM. AF_06/2022</v>
      </c>
      <c r="S61" s="691" t="str" cm="1">
        <f t="array" aca="1" ref="S61" ca="1">REFERENCIA.Unidade</f>
        <v>KG</v>
      </c>
      <c r="T61" s="122">
        <f ca="1">OFFSET(CÁLCULO!H$15,ROW($T61)-ROW(T$15),0)</f>
        <v>1791.8</v>
      </c>
      <c r="U61" s="693">
        <f t="shared" ca="1" si="15"/>
        <v>9</v>
      </c>
      <c r="V61" s="694" t="s">
        <v>697</v>
      </c>
      <c r="W61" s="122" cm="1">
        <f t="array" aca="1" ref="W61" ca="1">IF($C61="S",ROUND(IF(TIPOORCAMENTO="Proposto",ORÇAMENTO.CustoUnitario*(1+$AH61),ORÇAMENTO.PrecoUnitarioLicitado),15-13*$AF$10),0)</f>
        <v>10.51</v>
      </c>
      <c r="X61" s="125" cm="1">
        <f t="array" aca="1" ref="X61" ca="1">IF($C61="S",IF(OR(Import.TipoArredondamento&lt;&gt;"TransfereGOV",ACOMPANHAMENTO="BM"),VTOTAL1,SUM(OFFSET(CÁLCULO!$AI$15,ROW($X61)-ROW($X$15),1):OFFSET(CÁLCULO!$BB$15,ROW($X61)-ROW($X$15),-1))),IF($C61=0,0,ROUND(SomaAgrup,15-13*$AF$11)))</f>
        <v>18831.82</v>
      </c>
      <c r="Y61" s="126" t="s">
        <v>751</v>
      </c>
      <c r="Z61" s="670" t="str">
        <f t="shared" ca="1" si="13"/>
        <v>RA</v>
      </c>
      <c r="AA61" s="127" cm="1">
        <f t="array" aca="1" ref="AA61" ca="1">IF($C61="S",IF($Z61="CP",$X61,IF($Z61="RA",(($X61)*QCI!$AA$3),0)),SomaAgrup)</f>
        <v>0</v>
      </c>
      <c r="AB61" s="128" cm="1">
        <f t="array" aca="1" ref="AB61" ca="1">IF($C61="S",IF($Z61="OU",ROUND($X61,2),0),SomaAgrup)</f>
        <v>0</v>
      </c>
      <c r="AC61" s="565"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s="670" t="str">
        <f ca="1">IF(C61&lt;=CRONO.NivelExibicao,MAX($AD$15:OFFSET(AD61,-1,0))+IF($C61&lt;&gt;1,1,MAX(1,COUNTIF(QCI!$A$13:$A$24,OFFSET($E61,-1,0)))),"")</f>
        <v/>
      </c>
      <c r="AE61" s="668" t="str" cm="1">
        <f t="array" aca="1" ref="AE61" ca="1">IF(AND($C61="S",ORÇAMENTO.CodBarra&lt;&gt;""),IF(ORÇAMENTO.Fonte="",ORÇAMENTO.CodBarra,CONCATENATE(ORÇAMENTO.Fonte," ",ORÇAMENTO.CodBarra)))</f>
        <v>SINAPI 92880</v>
      </c>
      <c r="AF61" s="669" cm="1">
        <f t="array" aca="1" ref="AF61" ca="1">IF(ISERROR(ORÇAMENTO.BancoRef),"(abra o arquivo 'Referência "&amp;Excel_BuiltIn_Database&amp;".xlsm)",IF(OR($C61&lt;&gt;"S",ORÇAMENTO.CodBarra=""),"(Sem Código)",IF(ISERROR(MATCH($AE61,INDIRECT(ORÇAMENTO.BancoRef),0)),"(Código não identificado nas referências)",MATCH($AE61,INDIRECT(ORÇAMENTO.BancoRef),0))))</f>
        <v>6356</v>
      </c>
      <c r="AG61" s="428" cm="1">
        <f t="array" aca="1" ref="AG61" ca="1">ROUND(IF(DESONERACAO="sim",REFERENCIA.Desonerado,REFERENCIA.NaoDesonerado),2)</f>
        <v>9</v>
      </c>
      <c r="AH61" s="429">
        <f t="shared" ca="1" si="14"/>
        <v>0.16800000000000001</v>
      </c>
      <c r="AJ61" s="431"/>
      <c r="AL61" s="439"/>
      <c r="AM61" s="336">
        <f t="shared" ca="1" si="0"/>
        <v>18831.82</v>
      </c>
      <c r="AN61" s="470" cm="1">
        <f t="array" aca="1" ref="AN61" ca="1">ROUND(ORÇAMENTO.CustoUnitario*(1+$AH61),2)</f>
        <v>10.51</v>
      </c>
    </row>
    <row r="62" spans="1:40" s="680" customFormat="1" ht="25.5" x14ac:dyDescent="0.2">
      <c r="A62" s="680" t="str">
        <f>CHOOSE(1+LOG(1+2*(ORÇAMENTO.Nivel="Meta")+4*(ORÇAMENTO.Nivel="Nível 2")+8*(ORÇAMENTO.Nivel="Nível 3")+16*(ORÇAMENTO.Nivel="Nível 4")+32*(ORÇAMENTO.Nivel="Serviço"),2),0,1,2,3,4,"S")</f>
        <v>S</v>
      </c>
      <c r="B62" s="680">
        <f ca="1">IF(OR(C62="s",C62=0),OFFSET(B62,-1,0),C62)</f>
        <v>2</v>
      </c>
      <c r="C62" s="680" t="str">
        <f ca="1">IF(OFFSET(C62,-1,0)="L",1,IF(OFFSET(C62,-1,0)=1,2,IF(OR(A62="s",A62=0),"S",IF(AND(OFFSET(C62,-1,0)=2,A62=4),3,IF(AND(OR(OFFSET(C62,-1,0)="s",OFFSET(C62,-1,0)=0),A62&lt;&gt;"s",A62&gt;OFFSET(B62,-1,0)),OFFSET(B62,-1,0),A62)))))</f>
        <v>S</v>
      </c>
      <c r="D62" s="680">
        <f ca="1">IF(OR(C62="S",C62=0),0,IF(ISERROR(K62),J62,SMALL(J62:K62,1)))</f>
        <v>0</v>
      </c>
      <c r="E62" s="680">
        <f ca="1">IF($C62=1,OFFSET(E62,-1,0)+MAX(1,COUNTIF(QCI!$A$13:$A$24,OFFSET(ORÇAMENTO!E62,-1,0))),OFFSET(E62,-1,0))</f>
        <v>1</v>
      </c>
      <c r="F62" s="680">
        <f ca="1">IF($C62=1,0,IF($C62=2,OFFSET(F62,-1,0)+1,OFFSET(F62,-1,0)))</f>
        <v>8</v>
      </c>
      <c r="G62" s="680">
        <f ca="1">IF(AND($C62&lt;=2,$C62&lt;&gt;0),0,IF($C62=3,OFFSET(G62,-1,0)+1,OFFSET(G62,-1,0)))</f>
        <v>0</v>
      </c>
      <c r="H62" s="680">
        <f ca="1">IF(AND($C62&lt;=3,$C62&lt;&gt;0),0,IF($C62=4,OFFSET(H62,-1,0)+1,OFFSET(H62,-1,0)))</f>
        <v>0</v>
      </c>
      <c r="I62" s="680">
        <f ca="1">IF(AND($C62&lt;=4,$C62&lt;&gt;0),0,IF(AND($C62="S",$X62&gt;0),OFFSET(I62,-1,0)+1,OFFSET(I62,-1,0)))</f>
        <v>11</v>
      </c>
      <c r="J62" s="680">
        <f t="shared" ca="1" si="16"/>
        <v>0</v>
      </c>
      <c r="K62" s="680">
        <f ca="1">IF(OR($C62="S",$C62=0),0,MATCH(OFFSET($D62,0,$C62)+IF($C62&lt;&gt;1,1,COUNTIF(QCI!$A$13:$A$24,ORÇAMENTO!E62)),OFFSET($D62,1,$C62,ROW($C$191)-ROW($C62)),0))</f>
        <v>0</v>
      </c>
      <c r="L62" s="684" t="str">
        <f ca="1">IF(OR($X62&gt;0,$C62=1,$C62=2,$C62=3,$C62=4),"F","")</f>
        <v>F</v>
      </c>
      <c r="M62" s="685" t="s">
        <v>705</v>
      </c>
      <c r="N62" s="686" t="str">
        <f ca="1">CHOOSE(1+LOG(1+2*(C62=1)+4*(C62=2)+8*(C62=3)+16*(C62=4)+32*(C62="S"),2),"","Meta","Nível 2","Nível 3","Nível 4","Serviço")</f>
        <v>Serviço</v>
      </c>
      <c r="O62" s="687" t="str">
        <f ca="1">IF(OR($C62=0,$L62=""),"-",CONCATENATE(E62&amp;".",IF(AND($A$5&gt;=2,$C62&gt;=2),F62&amp;".",""),IF(AND($A$5&gt;=3,$C62&gt;=3),G62&amp;".",""),IF(AND($A$5&gt;=4,$C62&gt;=4),H62&amp;".",""),IF($C62="S",I62&amp;".","")))</f>
        <v>1.8.11.</v>
      </c>
      <c r="P62" s="688" t="s">
        <v>750</v>
      </c>
      <c r="Q62" s="689" t="s">
        <v>1224</v>
      </c>
      <c r="R62" s="690" t="str" cm="1">
        <f t="array" aca="1" ref="R62" ca="1">IF($C62="S",REFERENCIA.Descricao,"(digite a descrição aqui)")</f>
        <v>ARMAÇÃO DE BLOCO, SAPATA ISOLADA E SAPATA CORRIDA UTILIZANDO AÇO CA-50 DE 20 MM - MONTAGEM. AF_01/2024</v>
      </c>
      <c r="S62" s="691" t="str" cm="1">
        <f t="array" aca="1" ref="S62" ca="1">REFERENCIA.Unidade</f>
        <v>KG</v>
      </c>
      <c r="T62" s="692">
        <f ca="1">OFFSET(CÁLCULO!H$15,ROW($T62)-ROW(T$15),0)</f>
        <v>1791.8</v>
      </c>
      <c r="U62" s="693">
        <f t="shared" ca="1" si="15"/>
        <v>10.6</v>
      </c>
      <c r="V62" s="694" t="s">
        <v>663</v>
      </c>
      <c r="W62" s="692" cm="1">
        <f t="array" aca="1" ref="W62" ca="1">IF($C62="S",ROUND(IF(TIPOORCAMENTO="Proposto",ORÇAMENTO.CustoUnitario*(1+$AH62),ORÇAMENTO.PrecoUnitarioLicitado),15-13*$AF$10),0)</f>
        <v>13.14</v>
      </c>
      <c r="X62" s="695" cm="1">
        <f t="array" aca="1" ref="X62" ca="1">IF($C62="S",IF(OR(Import.TipoArredondamento&lt;&gt;"TransfereGOV",ACOMPANHAMENTO="BM"),VTOTAL1,SUM(OFFSET(CÁLCULO!$AI$15,ROW($X62)-ROW($X$15),1):OFFSET(CÁLCULO!$BB$15,ROW($X62)-ROW($X$15),-1))),IF($C62=0,0,ROUND(SomaAgrup,15-13*$AF$11)))</f>
        <v>23544.25</v>
      </c>
      <c r="Y62" s="696" t="s">
        <v>751</v>
      </c>
      <c r="Z62" s="680" t="str">
        <f ca="1">IF(AND($C62="S",$X62&gt;0),IF(ISBLANK($Y62),"RA",LEFT($Y62,2)),"")</f>
        <v>RA</v>
      </c>
      <c r="AA62" s="697" cm="1">
        <f t="array" aca="1" ref="AA62" ca="1">IF($C62="S",IF($Z62="CP",$X62,IF($Z62="RA",(($X62)*QCI!$AA$3),0)),SomaAgrup)</f>
        <v>0</v>
      </c>
      <c r="AB62" s="698" cm="1">
        <f t="array" aca="1" ref="AB62" ca="1">IF($C62="S",IF($Z62="OU",ROUND($X62,2),0),SomaAgrup)</f>
        <v>0</v>
      </c>
      <c r="AC62" s="723"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s="680" t="str">
        <f ca="1">IF(C62&lt;=CRONO.NivelExibicao,MAX($AD$15:OFFSET(AD62,-1,0))+IF($C62&lt;&gt;1,1,MAX(1,COUNTIF(QCI!$A$13:$A$24,OFFSET($E62,-1,0)))),"")</f>
        <v/>
      </c>
      <c r="AE62" s="681" t="str" cm="1">
        <f t="array" aca="1" ref="AE62" ca="1">IF(AND($C62="S",ORÇAMENTO.CodBarra&lt;&gt;""),IF(ORÇAMENTO.Fonte="",ORÇAMENTO.CodBarra,CONCATENATE(ORÇAMENTO.Fonte," ",ORÇAMENTO.CodBarra)))</f>
        <v>SINAPI 104922</v>
      </c>
      <c r="AF62" s="682" cm="1">
        <f t="array" aca="1" ref="AF62" ca="1">IF(ISERROR(ORÇAMENTO.BancoRef),"(abra o arquivo 'Referência "&amp;Excel_BuiltIn_Database&amp;".xlsm)",IF(OR($C62&lt;&gt;"S",ORÇAMENTO.CodBarra=""),"(Sem Código)",IF(ISERROR(MATCH($AE62,INDIRECT(ORÇAMENTO.BancoRef),0)),"(Código não identificado nas referências)",MATCH($AE62,INDIRECT(ORÇAMENTO.BancoRef),0))))</f>
        <v>10216</v>
      </c>
      <c r="AG62" s="714" cm="1">
        <f t="array" aca="1" ref="AG62" ca="1">ROUND(IF(DESONERACAO="sim",REFERENCIA.Desonerado,REFERENCIA.NaoDesonerado),2)</f>
        <v>10.6</v>
      </c>
      <c r="AH62" s="715">
        <f ca="1">ROUND(IF(ISNUMBER(ORÇAMENTO.OpcaoBDI),ORÇAMENTO.OpcaoBDI,IF(LEFT(ORÇAMENTO.OpcaoBDI,3)="BDI",HLOOKUP(ORÇAMENTO.OpcaoBDI,$F$4:$H$5,2,FALSE),0)),15-11*$AF$9)</f>
        <v>0.24</v>
      </c>
      <c r="AJ62" s="716"/>
      <c r="AL62" s="718"/>
      <c r="AM62" s="710">
        <f t="shared" ca="1" si="0"/>
        <v>23544.25</v>
      </c>
      <c r="AN62" s="721" cm="1">
        <f t="array" aca="1" ref="AN62" ca="1">ROUND(ORÇAMENTO.CustoUnitario*(1+$AH62),2)</f>
        <v>13.14</v>
      </c>
    </row>
    <row r="63" spans="1:40" s="670" customFormat="1" ht="25.5" x14ac:dyDescent="0.2">
      <c r="A63" s="670" t="str">
        <f t="shared" si="1"/>
        <v>S</v>
      </c>
      <c r="B63" s="670">
        <f t="shared" ca="1" si="2"/>
        <v>2</v>
      </c>
      <c r="C63" s="670" t="str">
        <f t="shared" ca="1" si="3"/>
        <v>S</v>
      </c>
      <c r="D63" s="670">
        <f t="shared" ca="1" si="4"/>
        <v>0</v>
      </c>
      <c r="E63" s="670">
        <f ca="1">IF($C63=1,OFFSET(E63,-1,0)+MAX(1,COUNTIF(QCI!$A$13:$A$24,OFFSET(ORÇAMENTO!E63,-1,0))),OFFSET(E63,-1,0))</f>
        <v>1</v>
      </c>
      <c r="F63" s="670">
        <f t="shared" ca="1" si="5"/>
        <v>8</v>
      </c>
      <c r="G63" s="670">
        <f t="shared" ca="1" si="6"/>
        <v>0</v>
      </c>
      <c r="H63" s="670">
        <f t="shared" ca="1" si="7"/>
        <v>0</v>
      </c>
      <c r="I63" s="670">
        <f t="shared" ca="1" si="8"/>
        <v>12</v>
      </c>
      <c r="J63" s="670">
        <f t="shared" ca="1" si="16"/>
        <v>0</v>
      </c>
      <c r="K63" s="670">
        <f ca="1">IF(OR($C63="S",$C63=0),0,MATCH(OFFSET($D63,0,$C63)+IF($C63&lt;&gt;1,1,COUNTIF(QCI!$A$13:$A$24,ORÇAMENTO!E63)),OFFSET($D63,1,$C63,ROW($C$191)-ROW($C63)),0))</f>
        <v>0</v>
      </c>
      <c r="L63" s="114" t="str">
        <f t="shared" ca="1" si="10"/>
        <v>F</v>
      </c>
      <c r="M63" s="115" t="s">
        <v>705</v>
      </c>
      <c r="N63" s="116" t="str">
        <f t="shared" ca="1" si="11"/>
        <v>Serviço</v>
      </c>
      <c r="O63" s="117" t="str">
        <f t="shared" ca="1" si="12"/>
        <v>1.8.12.</v>
      </c>
      <c r="P63" s="688" t="s">
        <v>1065</v>
      </c>
      <c r="Q63" s="689" t="s">
        <v>1255</v>
      </c>
      <c r="R63" s="690" t="str" cm="1">
        <f t="array" aca="1" ref="R63" ca="1">IF($C63="S",REFERENCIA.Descricao,"(digite a descrição aqui)")</f>
        <v>PORTÃO COM TUBOS E TELAS DE AÇO, 1 FOLHA - SOLDADO EM ESTRUTURA - FORNECIMENTO E INSTALAÇÃO</v>
      </c>
      <c r="S63" s="691" t="str" cm="1">
        <f t="array" aca="1" ref="S63" ca="1">REFERENCIA.Unidade</f>
        <v>M2</v>
      </c>
      <c r="T63" s="122">
        <f ca="1">OFFSET(CÁLCULO!H$15,ROW($T63)-ROW(T$15),0)</f>
        <v>19.2</v>
      </c>
      <c r="U63" s="693">
        <f t="shared" ca="1" si="15"/>
        <v>338.37</v>
      </c>
      <c r="V63" s="694" t="s">
        <v>663</v>
      </c>
      <c r="W63" s="122" cm="1">
        <f t="array" aca="1" ref="W63" ca="1">IF($C63="S",ROUND(IF(TIPOORCAMENTO="Proposto",ORÇAMENTO.CustoUnitario*(1+$AH63),ORÇAMENTO.PrecoUnitarioLicitado),15-13*$AF$10),0)</f>
        <v>419.58</v>
      </c>
      <c r="X63" s="125" cm="1">
        <f t="array" aca="1" ref="X63" ca="1">IF($C63="S",IF(OR(Import.TipoArredondamento&lt;&gt;"TransfereGOV",ACOMPANHAMENTO="BM"),VTOTAL1,SUM(OFFSET(CÁLCULO!$AI$15,ROW($X63)-ROW($X$15),1):OFFSET(CÁLCULO!$BB$15,ROW($X63)-ROW($X$15),-1))),IF($C63=0,0,ROUND(SomaAgrup,15-13*$AF$11)))</f>
        <v>8055.94</v>
      </c>
      <c r="Y63" s="126" t="s">
        <v>751</v>
      </c>
      <c r="Z63" s="670" t="str">
        <f t="shared" ca="1" si="13"/>
        <v>RA</v>
      </c>
      <c r="AA63" s="127" cm="1">
        <f t="array" aca="1" ref="AA63" ca="1">IF($C63="S",IF($Z63="CP",$X63,IF($Z63="RA",(($X63)*QCI!$AA$3),0)),SomaAgrup)</f>
        <v>0</v>
      </c>
      <c r="AB63" s="128" cm="1">
        <f t="array" aca="1" ref="AB63" ca="1">IF($C63="S",IF($Z63="OU",ROUND($X63,2),0),SomaAgrup)</f>
        <v>0</v>
      </c>
      <c r="AC63" s="565"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s="670" t="str">
        <f ca="1">IF(C63&lt;=CRONO.NivelExibicao,MAX($AD$15:OFFSET(AD63,-1,0))+IF($C63&lt;&gt;1,1,MAX(1,COUNTIF(QCI!$A$13:$A$24,OFFSET($E63,-1,0)))),"")</f>
        <v/>
      </c>
      <c r="AE63" s="668" t="str" cm="1">
        <f t="array" aca="1" ref="AE63" ca="1">IF(AND($C63="S",ORÇAMENTO.CodBarra&lt;&gt;""),IF(ORÇAMENTO.Fonte="",ORÇAMENTO.CodBarra,CONCATENATE(ORÇAMENTO.Fonte," ",ORÇAMENTO.CodBarra)))</f>
        <v>SUDECAP 13.31.12</v>
      </c>
      <c r="AF63" s="669" cm="1">
        <f t="array" aca="1" ref="AF63" ca="1">IF(ISERROR(ORÇAMENTO.BancoRef),"(abra o arquivo 'Referência "&amp;Excel_BuiltIn_Database&amp;".xlsm)",IF(OR($C63&lt;&gt;"S",ORÇAMENTO.CodBarra=""),"(Sem Código)",IF(ISERROR(MATCH($AE63,INDIRECT(ORÇAMENTO.BancoRef),0)),"(Código não identificado nas referências)",MATCH($AE63,INDIRECT(ORÇAMENTO.BancoRef),0))))</f>
        <v>17797</v>
      </c>
      <c r="AG63" s="428" cm="1">
        <f t="array" aca="1" ref="AG63" ca="1">ROUND(IF(DESONERACAO="sim",REFERENCIA.Desonerado,REFERENCIA.NaoDesonerado),2)</f>
        <v>338.37</v>
      </c>
      <c r="AH63" s="429">
        <f t="shared" ca="1" si="14"/>
        <v>0.24</v>
      </c>
      <c r="AJ63" s="431"/>
      <c r="AL63" s="439"/>
      <c r="AM63" s="336">
        <f t="shared" ca="1" si="0"/>
        <v>8055.94</v>
      </c>
      <c r="AN63" s="470" cm="1">
        <f t="array" aca="1" ref="AN63" ca="1">ROUND(ORÇAMENTO.CustoUnitario*(1+$AH63),2)</f>
        <v>419.58</v>
      </c>
    </row>
    <row r="64" spans="1:40" s="670" customFormat="1" ht="25.5" x14ac:dyDescent="0.2">
      <c r="A64" s="670">
        <f t="shared" si="1"/>
        <v>2</v>
      </c>
      <c r="B64" s="670">
        <f t="shared" ca="1" si="2"/>
        <v>2</v>
      </c>
      <c r="C64" s="670">
        <f t="shared" ca="1" si="3"/>
        <v>2</v>
      </c>
      <c r="D64" s="670">
        <f t="shared" ca="1" si="4"/>
        <v>11</v>
      </c>
      <c r="E64" s="670">
        <f ca="1">IF($C64=1,OFFSET(E64,-1,0)+MAX(1,COUNTIF(QCI!$A$13:$A$24,OFFSET(ORÇAMENTO!E64,-1,0))),OFFSET(E64,-1,0))</f>
        <v>1</v>
      </c>
      <c r="F64" s="670">
        <f t="shared" ca="1" si="5"/>
        <v>9</v>
      </c>
      <c r="G64" s="670">
        <f t="shared" ca="1" si="6"/>
        <v>0</v>
      </c>
      <c r="H64" s="670">
        <f t="shared" ca="1" si="7"/>
        <v>0</v>
      </c>
      <c r="I64" s="670">
        <f t="shared" ca="1" si="8"/>
        <v>0</v>
      </c>
      <c r="J64" s="670">
        <f t="shared" ca="1" si="16"/>
        <v>127</v>
      </c>
      <c r="K64" s="670">
        <f ca="1">IF(OR($C64="S",$C64=0),0,MATCH(OFFSET($D64,0,$C64)+IF($C64&lt;&gt;1,1,COUNTIF(QCI!$A$13:$A$24,ORÇAMENTO!E64)),OFFSET($D64,1,$C64,ROW($C$191)-ROW($C64)),0))</f>
        <v>11</v>
      </c>
      <c r="L64" s="114" t="str">
        <f t="shared" ca="1" si="10"/>
        <v>F</v>
      </c>
      <c r="M64" s="115" t="s">
        <v>702</v>
      </c>
      <c r="N64" s="116" t="str">
        <f t="shared" ca="1" si="11"/>
        <v>Nível 2</v>
      </c>
      <c r="O64" s="117" t="str">
        <f t="shared" ca="1" si="12"/>
        <v>1.9.</v>
      </c>
      <c r="P64" s="688" t="s">
        <v>250</v>
      </c>
      <c r="Q64" s="689" t="s">
        <v>250</v>
      </c>
      <c r="R64" s="690" t="s">
        <v>1300</v>
      </c>
      <c r="S64" s="691" t="s">
        <v>688</v>
      </c>
      <c r="T64" s="122">
        <f ca="1">OFFSET(CÁLCULO!H$15,ROW($T64)-ROW(T$15),0)</f>
        <v>0</v>
      </c>
      <c r="U64" s="693">
        <f t="shared" ca="1" si="15"/>
        <v>0</v>
      </c>
      <c r="V64" s="694" t="s">
        <v>663</v>
      </c>
      <c r="W64" s="122" cm="1">
        <f t="array" aca="1" ref="W64" ca="1">IF($C64="S",ROUND(IF(TIPOORCAMENTO="Proposto",ORÇAMENTO.CustoUnitario*(1+$AH64),ORÇAMENTO.PrecoUnitarioLicitado),15-13*$AF$10),0)</f>
        <v>0</v>
      </c>
      <c r="X64" s="125" cm="1">
        <f t="array" aca="1" ref="X64" ca="1">IF($C64="S",IF(OR(Import.TipoArredondamento&lt;&gt;"TransfereGOV",ACOMPANHAMENTO="BM"),VTOTAL1,SUM(OFFSET(CÁLCULO!$AI$15,ROW($X64)-ROW($X$15),1):OFFSET(CÁLCULO!$BB$15,ROW($X64)-ROW($X$15),-1))),IF($C64=0,0,ROUND(SomaAgrup,15-13*$AF$11)))</f>
        <v>1126964.55</v>
      </c>
      <c r="Y64" s="126" t="s">
        <v>751</v>
      </c>
      <c r="Z64" s="670" t="str">
        <f t="shared" ca="1" si="13"/>
        <v/>
      </c>
      <c r="AA64" s="127" cm="1">
        <f t="array" aca="1" ref="AA64" ca="1">IF($C64="S",IF($Z64="CP",$X64,IF($Z64="RA",(($X64)*QCI!$AA$3),0)),SomaAgrup)</f>
        <v>0</v>
      </c>
      <c r="AB64" s="128" cm="1">
        <f t="array" aca="1" ref="AB64" ca="1">IF($C64="S",IF($Z64="OU",ROUND($X64,2),0),SomaAgrup)</f>
        <v>0</v>
      </c>
      <c r="AC64" s="565"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D64" s="670">
        <f ca="1">IF(C64&lt;=CRONO.NivelExibicao,MAX($AD$15:OFFSET(AD64,-1,0))+IF($C64&lt;&gt;1,1,MAX(1,COUNTIF(QCI!$A$13:$A$24,OFFSET($E64,-1,0)))),"")</f>
        <v>10</v>
      </c>
      <c r="AE64" s="668" t="b" cm="1">
        <f t="array" aca="1" ref="AE64" ca="1">IF(AND($C64="S",ORÇAMENTO.CodBarra&lt;&gt;""),IF(ORÇAMENTO.Fonte="",ORÇAMENTO.CodBarra,CONCATENATE(ORÇAMENTO.Fonte," ",ORÇAMENTO.CodBarra)))</f>
        <v>0</v>
      </c>
      <c r="AF64" s="669" t="str" cm="1">
        <f t="array" aca="1" ref="AF64" ca="1">IF(ISERROR(ORÇAMENTO.BancoRef),"(abra o arquivo 'Referência "&amp;Excel_BuiltIn_Database&amp;".xlsm)",IF(OR($C64&lt;&gt;"S",ORÇAMENTO.CodBarra=""),"(Sem Código)",IF(ISERROR(MATCH($AE64,INDIRECT(ORÇAMENTO.BancoRef),0)),"(Código não identificado nas referências)",MATCH($AE64,INDIRECT(ORÇAMENTO.BancoRef),0))))</f>
        <v>(Sem Código)</v>
      </c>
      <c r="AG64" s="428" cm="1">
        <f t="array" aca="1" ref="AG64" ca="1">ROUND(IF(DESONERACAO="sim",REFERENCIA.Desonerado,REFERENCIA.NaoDesonerado),2)</f>
        <v>0</v>
      </c>
      <c r="AH64" s="429">
        <f t="shared" ca="1" si="14"/>
        <v>0.24</v>
      </c>
      <c r="AJ64" s="431"/>
      <c r="AL64" s="439"/>
      <c r="AM64" s="336">
        <f t="shared" ca="1" si="0"/>
        <v>1126964.55</v>
      </c>
      <c r="AN64" s="470" cm="1">
        <f t="array" aca="1" ref="AN64" ca="1">ROUND(ORÇAMENTO.CustoUnitario*(1+$AH64),2)</f>
        <v>0</v>
      </c>
    </row>
    <row r="65" spans="1:40" s="670" customFormat="1" ht="25.5" x14ac:dyDescent="0.2">
      <c r="A65" s="670" t="str">
        <f t="shared" si="1"/>
        <v>S</v>
      </c>
      <c r="B65" s="670">
        <f t="shared" ca="1" si="2"/>
        <v>2</v>
      </c>
      <c r="C65" s="670" t="str">
        <f t="shared" ca="1" si="3"/>
        <v>S</v>
      </c>
      <c r="D65" s="670">
        <f t="shared" ca="1" si="4"/>
        <v>0</v>
      </c>
      <c r="E65" s="670">
        <f ca="1">IF($C65=1,OFFSET(E65,-1,0)+MAX(1,COUNTIF(QCI!$A$13:$A$24,OFFSET(ORÇAMENTO!E65,-1,0))),OFFSET(E65,-1,0))</f>
        <v>1</v>
      </c>
      <c r="F65" s="670">
        <f t="shared" ca="1" si="5"/>
        <v>9</v>
      </c>
      <c r="G65" s="670">
        <f t="shared" ca="1" si="6"/>
        <v>0</v>
      </c>
      <c r="H65" s="670">
        <f t="shared" ca="1" si="7"/>
        <v>0</v>
      </c>
      <c r="I65" s="670">
        <f t="shared" ca="1" si="8"/>
        <v>1</v>
      </c>
      <c r="J65" s="670">
        <f t="shared" ca="1" si="16"/>
        <v>0</v>
      </c>
      <c r="K65" s="670">
        <f ca="1">IF(OR($C65="S",$C65=0),0,MATCH(OFFSET($D65,0,$C65)+IF($C65&lt;&gt;1,1,COUNTIF(QCI!$A$13:$A$24,ORÇAMENTO!E65)),OFFSET($D65,1,$C65,ROW($C$191)-ROW($C65)),0))</f>
        <v>0</v>
      </c>
      <c r="L65" s="114" t="str">
        <f t="shared" ca="1" si="10"/>
        <v>F</v>
      </c>
      <c r="M65" s="115" t="s">
        <v>705</v>
      </c>
      <c r="N65" s="116" t="str">
        <f t="shared" ca="1" si="11"/>
        <v>Serviço</v>
      </c>
      <c r="O65" s="117" t="str">
        <f t="shared" ca="1" si="12"/>
        <v>1.9.1.</v>
      </c>
      <c r="P65" s="688" t="s">
        <v>954</v>
      </c>
      <c r="Q65" s="689" t="s">
        <v>1021</v>
      </c>
      <c r="R65" s="690" t="str" cm="1">
        <f t="array" aca="1" ref="R65" ca="1">IF($C65="S",REFERENCIA.Descricao,"(digite a descrição aqui)")</f>
        <v>TUBO PVC DEFOFO, JEI, 1 MPA, DN 200 MM, PARA REDE DE AGUA (NBR 7665)</v>
      </c>
      <c r="S65" s="691" t="str" cm="1">
        <f t="array" aca="1" ref="S65" ca="1">REFERENCIA.Unidade</f>
        <v>M</v>
      </c>
      <c r="T65" s="122">
        <f ca="1">OFFSET(CÁLCULO!H$15,ROW($T65)-ROW(T$15),0)</f>
        <v>3390</v>
      </c>
      <c r="U65" s="693">
        <f t="shared" ca="1" si="15"/>
        <v>254.33</v>
      </c>
      <c r="V65" s="694" t="s">
        <v>697</v>
      </c>
      <c r="W65" s="122" cm="1">
        <f t="array" aca="1" ref="W65" ca="1">IF($C65="S",ROUND(IF(TIPOORCAMENTO="Proposto",ORÇAMENTO.CustoUnitario*(1+$AH65),ORÇAMENTO.PrecoUnitarioLicitado),15-13*$AF$10),0)</f>
        <v>297.06</v>
      </c>
      <c r="X65" s="125" cm="1">
        <f t="array" aca="1" ref="X65" ca="1">IF($C65="S",IF(OR(Import.TipoArredondamento&lt;&gt;"TransfereGOV",ACOMPANHAMENTO="BM"),VTOTAL1,SUM(OFFSET(CÁLCULO!$AI$15,ROW($X65)-ROW($X$15),1):OFFSET(CÁLCULO!$BB$15,ROW($X65)-ROW($X$15),-1))),IF($C65=0,0,ROUND(SomaAgrup,15-13*$AF$11)))</f>
        <v>1007033.4</v>
      </c>
      <c r="Y65" s="126" t="s">
        <v>751</v>
      </c>
      <c r="Z65" s="670" t="str">
        <f t="shared" ca="1" si="13"/>
        <v>RA</v>
      </c>
      <c r="AA65" s="127" cm="1">
        <f t="array" aca="1" ref="AA65" ca="1">IF($C65="S",IF($Z65="CP",$X65,IF($Z65="RA",(($X65)*QCI!$AA$3),0)),SomaAgrup)</f>
        <v>0</v>
      </c>
      <c r="AB65" s="128" cm="1">
        <f t="array" aca="1" ref="AB65" ca="1">IF($C65="S",IF($Z65="OU",ROUND($X65,2),0),SomaAgrup)</f>
        <v>0</v>
      </c>
      <c r="AC65" s="565"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s="670" t="str">
        <f ca="1">IF(C65&lt;=CRONO.NivelExibicao,MAX($AD$15:OFFSET(AD65,-1,0))+IF($C65&lt;&gt;1,1,MAX(1,COUNTIF(QCI!$A$13:$A$24,OFFSET($E65,-1,0)))),"")</f>
        <v/>
      </c>
      <c r="AE65" s="668" t="str" cm="1">
        <f t="array" aca="1" ref="AE65" ca="1">IF(AND($C65="S",ORÇAMENTO.CodBarra&lt;&gt;""),IF(ORÇAMENTO.Fonte="",ORÇAMENTO.CodBarra,CONCATENATE(ORÇAMENTO.Fonte," ",ORÇAMENTO.CodBarra)))</f>
        <v>SINAPI-I 9829</v>
      </c>
      <c r="AF65" s="669" cm="1">
        <f t="array" aca="1" ref="AF65" ca="1">IF(ISERROR(ORÇAMENTO.BancoRef),"(abra o arquivo 'Referência "&amp;Excel_BuiltIn_Database&amp;".xlsm)",IF(OR($C65&lt;&gt;"S",ORÇAMENTO.CodBarra=""),"(Sem Código)",IF(ISERROR(MATCH($AE65,INDIRECT(ORÇAMENTO.BancoRef),0)),"(Código não identificado nas referências)",MATCH($AE65,INDIRECT(ORÇAMENTO.BancoRef),0))))</f>
        <v>4694</v>
      </c>
      <c r="AG65" s="428" cm="1">
        <f t="array" aca="1" ref="AG65" ca="1">ROUND(IF(DESONERACAO="sim",REFERENCIA.Desonerado,REFERENCIA.NaoDesonerado),2)</f>
        <v>254.33</v>
      </c>
      <c r="AH65" s="429">
        <f t="shared" ca="1" si="14"/>
        <v>0.16800000000000001</v>
      </c>
      <c r="AJ65" s="431"/>
      <c r="AL65" s="439"/>
      <c r="AM65" s="336">
        <f t="shared" ca="1" si="0"/>
        <v>1007033.4</v>
      </c>
      <c r="AN65" s="470" cm="1">
        <f t="array" aca="1" ref="AN65" ca="1">ROUND(ORÇAMENTO.CustoUnitario*(1+$AH65),2)</f>
        <v>297.06</v>
      </c>
    </row>
    <row r="66" spans="1:40" s="680" customFormat="1" ht="51" x14ac:dyDescent="0.2">
      <c r="A66" s="680" t="str">
        <f>CHOOSE(1+LOG(1+2*(ORÇAMENTO.Nivel="Meta")+4*(ORÇAMENTO.Nivel="Nível 2")+8*(ORÇAMENTO.Nivel="Nível 3")+16*(ORÇAMENTO.Nivel="Nível 4")+32*(ORÇAMENTO.Nivel="Serviço"),2),0,1,2,3,4,"S")</f>
        <v>S</v>
      </c>
      <c r="B66" s="680">
        <f ca="1">IF(OR(C66="s",C66=0),OFFSET(B66,-1,0),C66)</f>
        <v>2</v>
      </c>
      <c r="C66" s="680" t="str">
        <f ca="1">IF(OFFSET(C66,-1,0)="L",1,IF(OFFSET(C66,-1,0)=1,2,IF(OR(A66="s",A66=0),"S",IF(AND(OFFSET(C66,-1,0)=2,A66=4),3,IF(AND(OR(OFFSET(C66,-1,0)="s",OFFSET(C66,-1,0)=0),A66&lt;&gt;"s",A66&gt;OFFSET(B66,-1,0)),OFFSET(B66,-1,0),A66)))))</f>
        <v>S</v>
      </c>
      <c r="D66" s="680">
        <f ca="1">IF(OR(C66="S",C66=0),0,IF(ISERROR(K66),J66,SMALL(J66:K66,1)))</f>
        <v>0</v>
      </c>
      <c r="E66" s="680">
        <f ca="1">IF($C66=1,OFFSET(E66,-1,0)+MAX(1,COUNTIF(QCI!$A$13:$A$24,OFFSET(ORÇAMENTO!E66,-1,0))),OFFSET(E66,-1,0))</f>
        <v>1</v>
      </c>
      <c r="F66" s="680">
        <f ca="1">IF($C66=1,0,IF($C66=2,OFFSET(F66,-1,0)+1,OFFSET(F66,-1,0)))</f>
        <v>9</v>
      </c>
      <c r="G66" s="680">
        <f ca="1">IF(AND($C66&lt;=2,$C66&lt;&gt;0),0,IF($C66=3,OFFSET(G66,-1,0)+1,OFFSET(G66,-1,0)))</f>
        <v>0</v>
      </c>
      <c r="H66" s="680">
        <f ca="1">IF(AND($C66&lt;=3,$C66&lt;&gt;0),0,IF($C66=4,OFFSET(H66,-1,0)+1,OFFSET(H66,-1,0)))</f>
        <v>0</v>
      </c>
      <c r="I66" s="680">
        <f ca="1">IF(AND($C66&lt;=4,$C66&lt;&gt;0),0,IF(AND($C66="S",$X66&gt;0),OFFSET(I66,-1,0)+1,OFFSET(I66,-1,0)))</f>
        <v>2</v>
      </c>
      <c r="J66" s="680">
        <f t="shared" ca="1" si="16"/>
        <v>0</v>
      </c>
      <c r="K66" s="680">
        <f ca="1">IF(OR($C66="S",$C66=0),0,MATCH(OFFSET($D66,0,$C66)+IF($C66&lt;&gt;1,1,COUNTIF(QCI!$A$13:$A$24,ORÇAMENTO!E66)),OFFSET($D66,1,$C66,ROW($C$191)-ROW($C66)),0))</f>
        <v>0</v>
      </c>
      <c r="L66" s="684" t="str">
        <f ca="1">IF(OR($X66&gt;0,$C66=1,$C66=2,$C66=3,$C66=4),"F","")</f>
        <v>F</v>
      </c>
      <c r="M66" s="685" t="s">
        <v>705</v>
      </c>
      <c r="N66" s="686" t="str">
        <f ca="1">CHOOSE(1+LOG(1+2*(C66=1)+4*(C66=2)+8*(C66=3)+16*(C66=4)+32*(C66="S"),2),"","Meta","Nível 2","Nível 3","Nível 4","Serviço")</f>
        <v>Serviço</v>
      </c>
      <c r="O66" s="687" t="str">
        <f ca="1">IF(OR($C66=0,$L66=""),"-",CONCATENATE(E66&amp;".",IF(AND($A$5&gt;=2,$C66&gt;=2),F66&amp;".",""),IF(AND($A$5&gt;=3,$C66&gt;=3),G66&amp;".",""),IF(AND($A$5&gt;=4,$C66&gt;=4),H66&amp;".",""),IF($C66="S",I66&amp;".","")))</f>
        <v>1.9.2.</v>
      </c>
      <c r="P66" s="688" t="s">
        <v>750</v>
      </c>
      <c r="Q66" s="689" t="s">
        <v>1228</v>
      </c>
      <c r="R66" s="690" t="str" cm="1">
        <f t="array" aca="1" ref="R66" ca="1">IF($C66="S",REFERENCIA.Descricao,"(digite a descrição aqui)")</f>
        <v>ASSENTAMENTO DE TUBO DE FERRO FUNDIDO PARA REDE DE ÁGUA, DN 200 MM, JUNTA ELÁSTICA, INSTALADO EM LOCAL COM NÍVEL ALTO DE INTERFERÊNCIAS (NÃO INCLUI FORNECIMENTO). AF_05/2024</v>
      </c>
      <c r="S66" s="691" t="str" cm="1">
        <f t="array" aca="1" ref="S66" ca="1">REFERENCIA.Unidade</f>
        <v>M</v>
      </c>
      <c r="T66" s="692">
        <f ca="1">OFFSET(CÁLCULO!H$15,ROW($T66)-ROW(T$15),0)</f>
        <v>3390</v>
      </c>
      <c r="U66" s="693">
        <f t="shared" ca="1" si="15"/>
        <v>10.61</v>
      </c>
      <c r="V66" s="694" t="s">
        <v>663</v>
      </c>
      <c r="W66" s="692" cm="1">
        <f t="array" aca="1" ref="W66" ca="1">IF($C66="S",ROUND(IF(TIPOORCAMENTO="Proposto",ORÇAMENTO.CustoUnitario*(1+$AH66),ORÇAMENTO.PrecoUnitarioLicitado),15-13*$AF$10),0)</f>
        <v>13.16</v>
      </c>
      <c r="X66" s="695" cm="1">
        <f t="array" aca="1" ref="X66" ca="1">IF($C66="S",IF(OR(Import.TipoArredondamento&lt;&gt;"TransfereGOV",ACOMPANHAMENTO="BM"),VTOTAL1,SUM(OFFSET(CÁLCULO!$AI$15,ROW($X66)-ROW($X$15),1):OFFSET(CÁLCULO!$BB$15,ROW($X66)-ROW($X$15),-1))),IF($C66=0,0,ROUND(SomaAgrup,15-13*$AF$11)))</f>
        <v>44612.4</v>
      </c>
      <c r="Y66" s="696" t="s">
        <v>751</v>
      </c>
      <c r="Z66" s="680" t="str">
        <f ca="1">IF(AND($C66="S",$X66&gt;0),IF(ISBLANK($Y66),"RA",LEFT($Y66,2)),"")</f>
        <v>RA</v>
      </c>
      <c r="AA66" s="697" cm="1">
        <f t="array" aca="1" ref="AA66" ca="1">IF($C66="S",IF($Z66="CP",$X66,IF($Z66="RA",(($X66)*QCI!$AA$3),0)),SomaAgrup)</f>
        <v>0</v>
      </c>
      <c r="AB66" s="698" cm="1">
        <f t="array" aca="1" ref="AB66" ca="1">IF($C66="S",IF($Z66="OU",ROUND($X66,2),0),SomaAgrup)</f>
        <v>0</v>
      </c>
      <c r="AC66" s="723"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s="680" t="str">
        <f ca="1">IF(C66&lt;=CRONO.NivelExibicao,MAX($AD$15:OFFSET(AD66,-1,0))+IF($C66&lt;&gt;1,1,MAX(1,COUNTIF(QCI!$A$13:$A$24,OFFSET($E66,-1,0)))),"")</f>
        <v/>
      </c>
      <c r="AE66" s="681" t="str" cm="1">
        <f t="array" aca="1" ref="AE66" ca="1">IF(AND($C66="S",ORÇAMENTO.CodBarra&lt;&gt;""),IF(ORÇAMENTO.Fonte="",ORÇAMENTO.CodBarra,CONCATENATE(ORÇAMENTO.Fonte," ",ORÇAMENTO.CodBarra)))</f>
        <v>SINAPI 97144</v>
      </c>
      <c r="AF66" s="682" cm="1">
        <f t="array" aca="1" ref="AF66" ca="1">IF(ISERROR(ORÇAMENTO.BancoRef),"(abra o arquivo 'Referência "&amp;Excel_BuiltIn_Database&amp;".xlsm)",IF(OR($C66&lt;&gt;"S",ORÇAMENTO.CodBarra=""),"(Sem Código)",IF(ISERROR(MATCH($AE66,INDIRECT(ORÇAMENTO.BancoRef),0)),"(Código não identificado nas referências)",MATCH($AE66,INDIRECT(ORÇAMENTO.BancoRef),0))))</f>
        <v>6591</v>
      </c>
      <c r="AG66" s="714" cm="1">
        <f t="array" aca="1" ref="AG66" ca="1">ROUND(IF(DESONERACAO="sim",REFERENCIA.Desonerado,REFERENCIA.NaoDesonerado),2)</f>
        <v>10.61</v>
      </c>
      <c r="AH66" s="715">
        <f ca="1">ROUND(IF(ISNUMBER(ORÇAMENTO.OpcaoBDI),ORÇAMENTO.OpcaoBDI,IF(LEFT(ORÇAMENTO.OpcaoBDI,3)="BDI",HLOOKUP(ORÇAMENTO.OpcaoBDI,$F$4:$H$5,2,FALSE),0)),15-11*$AF$9)</f>
        <v>0.24</v>
      </c>
      <c r="AJ66" s="716"/>
      <c r="AL66" s="718"/>
      <c r="AM66" s="710">
        <f t="shared" ca="1" si="0"/>
        <v>44612.4</v>
      </c>
      <c r="AN66" s="721" cm="1">
        <f t="array" aca="1" ref="AN66" ca="1">ROUND(ORÇAMENTO.CustoUnitario*(1+$AH66),2)</f>
        <v>13.16</v>
      </c>
    </row>
    <row r="67" spans="1:40" s="670" customFormat="1" x14ac:dyDescent="0.2">
      <c r="A67" s="670" t="str">
        <f t="shared" si="1"/>
        <v>S</v>
      </c>
      <c r="B67" s="670">
        <f t="shared" ca="1" si="2"/>
        <v>2</v>
      </c>
      <c r="C67" s="670" t="str">
        <f t="shared" ca="1" si="3"/>
        <v>S</v>
      </c>
      <c r="D67" s="670">
        <f t="shared" ca="1" si="4"/>
        <v>0</v>
      </c>
      <c r="E67" s="670">
        <f ca="1">IF($C67=1,OFFSET(E67,-1,0)+MAX(1,COUNTIF(QCI!$A$13:$A$24,OFFSET(ORÇAMENTO!E67,-1,0))),OFFSET(E67,-1,0))</f>
        <v>1</v>
      </c>
      <c r="F67" s="670">
        <f t="shared" ca="1" si="5"/>
        <v>9</v>
      </c>
      <c r="G67" s="670">
        <f t="shared" ca="1" si="6"/>
        <v>0</v>
      </c>
      <c r="H67" s="670">
        <f t="shared" ca="1" si="7"/>
        <v>0</v>
      </c>
      <c r="I67" s="670">
        <f t="shared" ca="1" si="8"/>
        <v>3</v>
      </c>
      <c r="J67" s="670">
        <f t="shared" ca="1" si="16"/>
        <v>0</v>
      </c>
      <c r="K67" s="670">
        <f ca="1">IF(OR($C67="S",$C67=0),0,MATCH(OFFSET($D67,0,$C67)+IF($C67&lt;&gt;1,1,COUNTIF(QCI!$A$13:$A$24,ORÇAMENTO!E67)),OFFSET($D67,1,$C67,ROW($C$191)-ROW($C67)),0))</f>
        <v>0</v>
      </c>
      <c r="L67" s="114" t="str">
        <f t="shared" ca="1" si="10"/>
        <v>F</v>
      </c>
      <c r="M67" s="115" t="s">
        <v>705</v>
      </c>
      <c r="N67" s="116" t="str">
        <f t="shared" ca="1" si="11"/>
        <v>Serviço</v>
      </c>
      <c r="O67" s="117" t="str">
        <f t="shared" ca="1" si="12"/>
        <v>1.9.3.</v>
      </c>
      <c r="P67" s="688" t="s">
        <v>957</v>
      </c>
      <c r="Q67" s="689" t="s">
        <v>1090</v>
      </c>
      <c r="R67" s="690" t="str" cm="1">
        <f t="array" aca="1" ref="R67" ca="1">IF($C67="S",REFERENCIA.Descricao,"(digite a descrição aqui)")</f>
        <v>Curva 90º, em ferro fundido, com flanges pn 10, diam. =  200mm</v>
      </c>
      <c r="S67" s="691" t="str" cm="1">
        <f t="array" aca="1" ref="S67" ca="1">REFERENCIA.Unidade</f>
        <v>UNIDADE</v>
      </c>
      <c r="T67" s="122">
        <f ca="1">OFFSET(CÁLCULO!H$15,ROW($T67)-ROW(T$15),0)</f>
        <v>6</v>
      </c>
      <c r="U67" s="693">
        <f t="shared" ca="1" si="15"/>
        <v>1134.43</v>
      </c>
      <c r="V67" s="694" t="s">
        <v>697</v>
      </c>
      <c r="W67" s="122" cm="1">
        <f t="array" aca="1" ref="W67" ca="1">IF($C67="S",ROUND(IF(TIPOORCAMENTO="Proposto",ORÇAMENTO.CustoUnitario*(1+$AH67),ORÇAMENTO.PrecoUnitarioLicitado),15-13*$AF$10),0)</f>
        <v>1325.01</v>
      </c>
      <c r="X67" s="125" cm="1">
        <f t="array" aca="1" ref="X67" ca="1">IF($C67="S",IF(OR(Import.TipoArredondamento&lt;&gt;"TransfereGOV",ACOMPANHAMENTO="BM"),VTOTAL1,SUM(OFFSET(CÁLCULO!$AI$15,ROW($X67)-ROW($X$15),1):OFFSET(CÁLCULO!$BB$15,ROW($X67)-ROW($X$15),-1))),IF($C67=0,0,ROUND(SomaAgrup,15-13*$AF$11)))</f>
        <v>7950.06</v>
      </c>
      <c r="Y67" s="126" t="s">
        <v>751</v>
      </c>
      <c r="Z67" s="670" t="str">
        <f t="shared" ca="1" si="13"/>
        <v>RA</v>
      </c>
      <c r="AA67" s="127" cm="1">
        <f t="array" aca="1" ref="AA67" ca="1">IF($C67="S",IF($Z67="CP",$X67,IF($Z67="RA",(($X67)*QCI!$AA$3),0)),SomaAgrup)</f>
        <v>0</v>
      </c>
      <c r="AB67" s="128" cm="1">
        <f t="array" aca="1" ref="AB67" ca="1">IF($C67="S",IF($Z67="OU",ROUND($X67,2),0),SomaAgrup)</f>
        <v>0</v>
      </c>
      <c r="AC67" s="565"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Unid. Não Disp</v>
      </c>
      <c r="AD67" s="670" t="str">
        <f ca="1">IF(C67&lt;=CRONO.NivelExibicao,MAX($AD$15:OFFSET(AD67,-1,0))+IF($C67&lt;&gt;1,1,MAX(1,COUNTIF(QCI!$A$13:$A$24,OFFSET($E67,-1,0)))),"")</f>
        <v/>
      </c>
      <c r="AE67" s="668" t="str" cm="1">
        <f t="array" aca="1" ref="AE67" ca="1">IF(AND($C67="S",ORÇAMENTO.CodBarra&lt;&gt;""),IF(ORÇAMENTO.Fonte="",ORÇAMENTO.CodBarra,CONCATENATE(ORÇAMENTO.Fonte," ",ORÇAMENTO.CodBarra)))</f>
        <v>Cotação 32</v>
      </c>
      <c r="AF67" s="669" cm="1">
        <f t="array" aca="1" ref="AF67" ca="1">IF(ISERROR(ORÇAMENTO.BancoRef),"(abra o arquivo 'Referência "&amp;Excel_BuiltIn_Database&amp;".xlsm)",IF(OR($C67&lt;&gt;"S",ORÇAMENTO.CodBarra=""),"(Sem Código)",IF(ISERROR(MATCH($AE67,INDIRECT(ORÇAMENTO.BancoRef),0)),"(Código não identificado nas referências)",MATCH($AE67,INDIRECT(ORÇAMENTO.BancoRef),0))))</f>
        <v>41</v>
      </c>
      <c r="AG67" s="428" cm="1">
        <f t="array" aca="1" ref="AG67" ca="1">ROUND(IF(DESONERACAO="sim",REFERENCIA.Desonerado,REFERENCIA.NaoDesonerado),2)</f>
        <v>1134.43</v>
      </c>
      <c r="AH67" s="429">
        <f t="shared" ca="1" si="14"/>
        <v>0.16800000000000001</v>
      </c>
      <c r="AJ67" s="431"/>
      <c r="AL67" s="439"/>
      <c r="AM67" s="336">
        <f t="shared" ca="1" si="0"/>
        <v>7950.06</v>
      </c>
      <c r="AN67" s="470" cm="1">
        <f t="array" aca="1" ref="AN67" ca="1">ROUND(ORÇAMENTO.CustoUnitario*(1+$AH67),2)</f>
        <v>1325.01</v>
      </c>
    </row>
    <row r="68" spans="1:40" s="670" customFormat="1" ht="25.5" x14ac:dyDescent="0.2">
      <c r="A68" s="670" t="str">
        <f t="shared" si="1"/>
        <v>S</v>
      </c>
      <c r="B68" s="670">
        <f t="shared" ca="1" si="2"/>
        <v>2</v>
      </c>
      <c r="C68" s="670" t="str">
        <f t="shared" ca="1" si="3"/>
        <v>S</v>
      </c>
      <c r="D68" s="670">
        <f t="shared" ca="1" si="4"/>
        <v>0</v>
      </c>
      <c r="E68" s="670">
        <f ca="1">IF($C68=1,OFFSET(E68,-1,0)+MAX(1,COUNTIF(QCI!$A$13:$A$24,OFFSET(ORÇAMENTO!E68,-1,0))),OFFSET(E68,-1,0))</f>
        <v>1</v>
      </c>
      <c r="F68" s="670">
        <f t="shared" ca="1" si="5"/>
        <v>9</v>
      </c>
      <c r="G68" s="670">
        <f t="shared" ca="1" si="6"/>
        <v>0</v>
      </c>
      <c r="H68" s="670">
        <f t="shared" ca="1" si="7"/>
        <v>0</v>
      </c>
      <c r="I68" s="670">
        <f t="shared" ca="1" si="8"/>
        <v>4</v>
      </c>
      <c r="J68" s="670">
        <f t="shared" ca="1" si="16"/>
        <v>0</v>
      </c>
      <c r="K68" s="670">
        <f ca="1">IF(OR($C68="S",$C68=0),0,MATCH(OFFSET($D68,0,$C68)+IF($C68&lt;&gt;1,1,COUNTIF(QCI!$A$13:$A$24,ORÇAMENTO!E68)),OFFSET($D68,1,$C68,ROW($C$191)-ROW($C68)),0))</f>
        <v>0</v>
      </c>
      <c r="L68" s="114" t="str">
        <f t="shared" ca="1" si="10"/>
        <v>F</v>
      </c>
      <c r="M68" s="115" t="s">
        <v>705</v>
      </c>
      <c r="N68" s="116" t="str">
        <f t="shared" ca="1" si="11"/>
        <v>Serviço</v>
      </c>
      <c r="O68" s="117" t="str">
        <f t="shared" ca="1" si="12"/>
        <v>1.9.4.</v>
      </c>
      <c r="P68" s="688" t="s">
        <v>957</v>
      </c>
      <c r="Q68" s="689" t="s">
        <v>1091</v>
      </c>
      <c r="R68" s="690" t="str" cm="1">
        <f t="array" aca="1" ref="R68" ca="1">IF($C68="S",REFERENCIA.Descricao,"(digite a descrição aqui)")</f>
        <v>CURVA 45°, EM FERRO FUNDIDO, COM FLANGES PN 10, DIAMETRO: 200MM</v>
      </c>
      <c r="S68" s="691" t="str" cm="1">
        <f t="array" aca="1" ref="S68" ca="1">REFERENCIA.Unidade</f>
        <v>UNIDADE</v>
      </c>
      <c r="T68" s="122">
        <f ca="1">OFFSET(CÁLCULO!H$15,ROW($T68)-ROW(T$15),0)</f>
        <v>3</v>
      </c>
      <c r="U68" s="693">
        <f t="shared" ca="1" si="15"/>
        <v>1050.69</v>
      </c>
      <c r="V68" s="694" t="s">
        <v>697</v>
      </c>
      <c r="W68" s="122" cm="1">
        <f t="array" aca="1" ref="W68" ca="1">IF($C68="S",ROUND(IF(TIPOORCAMENTO="Proposto",ORÇAMENTO.CustoUnitario*(1+$AH68),ORÇAMENTO.PrecoUnitarioLicitado),15-13*$AF$10),0)</f>
        <v>1227.21</v>
      </c>
      <c r="X68" s="125" cm="1">
        <f t="array" aca="1" ref="X68" ca="1">IF($C68="S",IF(OR(Import.TipoArredondamento&lt;&gt;"TransfereGOV",ACOMPANHAMENTO="BM"),VTOTAL1,SUM(OFFSET(CÁLCULO!$AI$15,ROW($X68)-ROW($X$15),1):OFFSET(CÁLCULO!$BB$15,ROW($X68)-ROW($X$15),-1))),IF($C68=0,0,ROUND(SomaAgrup,15-13*$AF$11)))</f>
        <v>3681.63</v>
      </c>
      <c r="Y68" s="126" t="s">
        <v>751</v>
      </c>
      <c r="Z68" s="670" t="str">
        <f t="shared" ca="1" si="13"/>
        <v>RA</v>
      </c>
      <c r="AA68" s="127" cm="1">
        <f t="array" aca="1" ref="AA68" ca="1">IF($C68="S",IF($Z68="CP",$X68,IF($Z68="RA",(($X68)*QCI!$AA$3),0)),SomaAgrup)</f>
        <v>0</v>
      </c>
      <c r="AB68" s="128" cm="1">
        <f t="array" aca="1" ref="AB68" ca="1">IF($C68="S",IF($Z68="OU",ROUND($X68,2),0),SomaAgrup)</f>
        <v>0</v>
      </c>
      <c r="AC68" s="565"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Unid. Não Disp</v>
      </c>
      <c r="AD68" s="670" t="str">
        <f ca="1">IF(C68&lt;=CRONO.NivelExibicao,MAX($AD$15:OFFSET(AD68,-1,0))+IF($C68&lt;&gt;1,1,MAX(1,COUNTIF(QCI!$A$13:$A$24,OFFSET($E68,-1,0)))),"")</f>
        <v/>
      </c>
      <c r="AE68" s="668" t="str" cm="1">
        <f t="array" aca="1" ref="AE68" ca="1">IF(AND($C68="S",ORÇAMENTO.CodBarra&lt;&gt;""),IF(ORÇAMENTO.Fonte="",ORÇAMENTO.CodBarra,CONCATENATE(ORÇAMENTO.Fonte," ",ORÇAMENTO.CodBarra)))</f>
        <v>Cotação 06</v>
      </c>
      <c r="AF68" s="669" cm="1">
        <f t="array" aca="1" ref="AF68" ca="1">IF(ISERROR(ORÇAMENTO.BancoRef),"(abra o arquivo 'Referência "&amp;Excel_BuiltIn_Database&amp;".xlsm)",IF(OR($C68&lt;&gt;"S",ORÇAMENTO.CodBarra=""),"(Sem Código)",IF(ISERROR(MATCH($AE68,INDIRECT(ORÇAMENTO.BancoRef),0)),"(Código não identificado nas referências)",MATCH($AE68,INDIRECT(ORÇAMENTO.BancoRef),0))))</f>
        <v>15</v>
      </c>
      <c r="AG68" s="428" cm="1">
        <f t="array" aca="1" ref="AG68" ca="1">ROUND(IF(DESONERACAO="sim",REFERENCIA.Desonerado,REFERENCIA.NaoDesonerado),2)</f>
        <v>1050.69</v>
      </c>
      <c r="AH68" s="429">
        <f t="shared" ca="1" si="14"/>
        <v>0.16800000000000001</v>
      </c>
      <c r="AJ68" s="431"/>
      <c r="AL68" s="439"/>
      <c r="AM68" s="336">
        <f t="shared" ca="1" si="0"/>
        <v>3681.63</v>
      </c>
      <c r="AN68" s="470" cm="1">
        <f t="array" aca="1" ref="AN68" ca="1">ROUND(ORÇAMENTO.CustoUnitario*(1+$AH68),2)</f>
        <v>1227.21</v>
      </c>
    </row>
    <row r="69" spans="1:40" s="670" customFormat="1" ht="38.25" x14ac:dyDescent="0.2">
      <c r="A69" s="670" t="str">
        <f t="shared" si="1"/>
        <v>S</v>
      </c>
      <c r="B69" s="670">
        <f t="shared" ca="1" si="2"/>
        <v>2</v>
      </c>
      <c r="C69" s="670" t="str">
        <f t="shared" ca="1" si="3"/>
        <v>S</v>
      </c>
      <c r="D69" s="670">
        <f t="shared" ca="1" si="4"/>
        <v>0</v>
      </c>
      <c r="E69" s="670">
        <f ca="1">IF($C69=1,OFFSET(E69,-1,0)+MAX(1,COUNTIF(QCI!$A$13:$A$24,OFFSET(ORÇAMENTO!E69,-1,0))),OFFSET(E69,-1,0))</f>
        <v>1</v>
      </c>
      <c r="F69" s="670">
        <f t="shared" ca="1" si="5"/>
        <v>9</v>
      </c>
      <c r="G69" s="670">
        <f t="shared" ca="1" si="6"/>
        <v>0</v>
      </c>
      <c r="H69" s="670">
        <f t="shared" ca="1" si="7"/>
        <v>0</v>
      </c>
      <c r="I69" s="670">
        <f t="shared" ca="1" si="8"/>
        <v>5</v>
      </c>
      <c r="J69" s="670">
        <f t="shared" ca="1" si="16"/>
        <v>0</v>
      </c>
      <c r="K69" s="670">
        <f ca="1">IF(OR($C69="S",$C69=0),0,MATCH(OFFSET($D69,0,$C69)+IF($C69&lt;&gt;1,1,COUNTIF(QCI!$A$13:$A$24,ORÇAMENTO!E69)),OFFSET($D69,1,$C69,ROW($C$191)-ROW($C69)),0))</f>
        <v>0</v>
      </c>
      <c r="L69" s="114" t="str">
        <f t="shared" ca="1" si="10"/>
        <v>F</v>
      </c>
      <c r="M69" s="115" t="s">
        <v>705</v>
      </c>
      <c r="N69" s="116" t="str">
        <f t="shared" ca="1" si="11"/>
        <v>Serviço</v>
      </c>
      <c r="O69" s="117" t="str">
        <f t="shared" ca="1" si="12"/>
        <v>1.9.5.</v>
      </c>
      <c r="P69" s="688" t="s">
        <v>957</v>
      </c>
      <c r="Q69" s="689" t="s">
        <v>1092</v>
      </c>
      <c r="R69" s="690" t="str" cm="1">
        <f t="array" aca="1" ref="R69" ca="1">IF($C69="S",REFERENCIA.Descricao,"(digite a descrição aqui)")</f>
        <v xml:space="preserve">Curva de 22o30' de ferro fundido ductil, pintada interna e externamente com tinta betuminosa, com 2 flanges, inclusive fornecimento de material para junta (arruela de borracha, parafusos com porca), com diametro de 200mm. </v>
      </c>
      <c r="S69" s="691" t="str" cm="1">
        <f t="array" aca="1" ref="S69" ca="1">REFERENCIA.Unidade</f>
        <v>UNIDADE</v>
      </c>
      <c r="T69" s="122">
        <f ca="1">OFFSET(CÁLCULO!H$15,ROW($T69)-ROW(T$15),0)</f>
        <v>1</v>
      </c>
      <c r="U69" s="693">
        <f t="shared" ca="1" si="15"/>
        <v>1647.15</v>
      </c>
      <c r="V69" s="694" t="s">
        <v>697</v>
      </c>
      <c r="W69" s="122" cm="1">
        <f t="array" aca="1" ref="W69" ca="1">IF($C69="S",ROUND(IF(TIPOORCAMENTO="Proposto",ORÇAMENTO.CustoUnitario*(1+$AH69),ORÇAMENTO.PrecoUnitarioLicitado),15-13*$AF$10),0)</f>
        <v>1923.87</v>
      </c>
      <c r="X69" s="125" cm="1">
        <f t="array" aca="1" ref="X69" ca="1">IF($C69="S",IF(OR(Import.TipoArredondamento&lt;&gt;"TransfereGOV",ACOMPANHAMENTO="BM"),VTOTAL1,SUM(OFFSET(CÁLCULO!$AI$15,ROW($X69)-ROW($X$15),1):OFFSET(CÁLCULO!$BB$15,ROW($X69)-ROW($X$15),-1))),IF($C69=0,0,ROUND(SomaAgrup,15-13*$AF$11)))</f>
        <v>1923.87</v>
      </c>
      <c r="Y69" s="126" t="s">
        <v>751</v>
      </c>
      <c r="Z69" s="670" t="str">
        <f t="shared" ca="1" si="13"/>
        <v>RA</v>
      </c>
      <c r="AA69" s="127" cm="1">
        <f t="array" aca="1" ref="AA69" ca="1">IF($C69="S",IF($Z69="CP",$X69,IF($Z69="RA",(($X69)*QCI!$AA$3),0)),SomaAgrup)</f>
        <v>0</v>
      </c>
      <c r="AB69" s="128" cm="1">
        <f t="array" aca="1" ref="AB69" ca="1">IF($C69="S",IF($Z69="OU",ROUND($X69,2),0),SomaAgrup)</f>
        <v>0</v>
      </c>
      <c r="AC69" s="565"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Unid. Não Disp</v>
      </c>
      <c r="AD69" s="670" t="str">
        <f ca="1">IF(C69&lt;=CRONO.NivelExibicao,MAX($AD$15:OFFSET(AD69,-1,0))+IF($C69&lt;&gt;1,1,MAX(1,COUNTIF(QCI!$A$13:$A$24,OFFSET($E69,-1,0)))),"")</f>
        <v/>
      </c>
      <c r="AE69" s="668" t="str" cm="1">
        <f t="array" aca="1" ref="AE69" ca="1">IF(AND($C69="S",ORÇAMENTO.CodBarra&lt;&gt;""),IF(ORÇAMENTO.Fonte="",ORÇAMENTO.CodBarra,CONCATENATE(ORÇAMENTO.Fonte," ",ORÇAMENTO.CodBarra)))</f>
        <v>Cotação 07</v>
      </c>
      <c r="AF69" s="669" cm="1">
        <f t="array" aca="1" ref="AF69" ca="1">IF(ISERROR(ORÇAMENTO.BancoRef),"(abra o arquivo 'Referência "&amp;Excel_BuiltIn_Database&amp;".xlsm)",IF(OR($C69&lt;&gt;"S",ORÇAMENTO.CodBarra=""),"(Sem Código)",IF(ISERROR(MATCH($AE69,INDIRECT(ORÇAMENTO.BancoRef),0)),"(Código não identificado nas referências)",MATCH($AE69,INDIRECT(ORÇAMENTO.BancoRef),0))))</f>
        <v>16</v>
      </c>
      <c r="AG69" s="428" cm="1">
        <f t="array" aca="1" ref="AG69" ca="1">ROUND(IF(DESONERACAO="sim",REFERENCIA.Desonerado,REFERENCIA.NaoDesonerado),2)</f>
        <v>1647.15</v>
      </c>
      <c r="AH69" s="429">
        <f t="shared" ca="1" si="14"/>
        <v>0.16800000000000001</v>
      </c>
      <c r="AJ69" s="431"/>
      <c r="AL69" s="439"/>
      <c r="AM69" s="336">
        <f t="shared" ca="1" si="0"/>
        <v>1923.87</v>
      </c>
      <c r="AN69" s="470" cm="1">
        <f t="array" aca="1" ref="AN69" ca="1">ROUND(ORÇAMENTO.CustoUnitario*(1+$AH69),2)</f>
        <v>1923.87</v>
      </c>
    </row>
    <row r="70" spans="1:40" s="670" customFormat="1" ht="25.5" x14ac:dyDescent="0.2">
      <c r="A70" s="670" t="str">
        <f t="shared" si="1"/>
        <v>S</v>
      </c>
      <c r="B70" s="670">
        <f t="shared" ca="1" si="2"/>
        <v>2</v>
      </c>
      <c r="C70" s="670" t="str">
        <f t="shared" ca="1" si="3"/>
        <v>S</v>
      </c>
      <c r="D70" s="670">
        <f t="shared" ca="1" si="4"/>
        <v>0</v>
      </c>
      <c r="E70" s="670">
        <f ca="1">IF($C70=1,OFFSET(E70,-1,0)+MAX(1,COUNTIF(QCI!$A$13:$A$24,OFFSET(ORÇAMENTO!E70,-1,0))),OFFSET(E70,-1,0))</f>
        <v>1</v>
      </c>
      <c r="F70" s="670">
        <f t="shared" ca="1" si="5"/>
        <v>9</v>
      </c>
      <c r="G70" s="670">
        <f t="shared" ca="1" si="6"/>
        <v>0</v>
      </c>
      <c r="H70" s="670">
        <f t="shared" ca="1" si="7"/>
        <v>0</v>
      </c>
      <c r="I70" s="670">
        <f t="shared" ca="1" si="8"/>
        <v>6</v>
      </c>
      <c r="J70" s="670">
        <f t="shared" ca="1" si="16"/>
        <v>0</v>
      </c>
      <c r="K70" s="670">
        <f ca="1">IF(OR($C70="S",$C70=0),0,MATCH(OFFSET($D70,0,$C70)+IF($C70&lt;&gt;1,1,COUNTIF(QCI!$A$13:$A$24,ORÇAMENTO!E70)),OFFSET($D70,1,$C70,ROW($C$191)-ROW($C70)),0))</f>
        <v>0</v>
      </c>
      <c r="L70" s="114" t="str">
        <f t="shared" ca="1" si="10"/>
        <v>F</v>
      </c>
      <c r="M70" s="115" t="s">
        <v>705</v>
      </c>
      <c r="N70" s="116" t="str">
        <f t="shared" ca="1" si="11"/>
        <v>Serviço</v>
      </c>
      <c r="O70" s="117" t="str">
        <f t="shared" ca="1" si="12"/>
        <v>1.9.6.</v>
      </c>
      <c r="P70" s="688" t="s">
        <v>957</v>
      </c>
      <c r="Q70" s="689" t="s">
        <v>1093</v>
      </c>
      <c r="R70" s="690" t="str" cm="1">
        <f t="array" aca="1" ref="R70" ca="1">IF($C70="S",REFERENCIA.Descricao,"(digite a descrição aqui)")</f>
        <v>FLANGE AVULSO EM FERRO FUNDIDO, CLASSE PN-10, DN= 200MM- fornecimento e assentamento</v>
      </c>
      <c r="S70" s="691" t="str" cm="1">
        <f t="array" aca="1" ref="S70" ca="1">REFERENCIA.Unidade</f>
        <v>UNIDADE</v>
      </c>
      <c r="T70" s="122">
        <f ca="1">OFFSET(CÁLCULO!H$15,ROW($T70)-ROW(T$15),0)</f>
        <v>50</v>
      </c>
      <c r="U70" s="693">
        <f t="shared" ca="1" si="15"/>
        <v>438.85</v>
      </c>
      <c r="V70" s="694" t="s">
        <v>697</v>
      </c>
      <c r="W70" s="122" cm="1">
        <f t="array" aca="1" ref="W70" ca="1">IF($C70="S",ROUND(IF(TIPOORCAMENTO="Proposto",ORÇAMENTO.CustoUnitario*(1+$AH70),ORÇAMENTO.PrecoUnitarioLicitado),15-13*$AF$10),0)</f>
        <v>512.58000000000004</v>
      </c>
      <c r="X70" s="125" cm="1">
        <f t="array" aca="1" ref="X70" ca="1">IF($C70="S",IF(OR(Import.TipoArredondamento&lt;&gt;"TransfereGOV",ACOMPANHAMENTO="BM"),VTOTAL1,SUM(OFFSET(CÁLCULO!$AI$15,ROW($X70)-ROW($X$15),1):OFFSET(CÁLCULO!$BB$15,ROW($X70)-ROW($X$15),-1))),IF($C70=0,0,ROUND(SomaAgrup,15-13*$AF$11)))</f>
        <v>25629</v>
      </c>
      <c r="Y70" s="126" t="s">
        <v>751</v>
      </c>
      <c r="Z70" s="670" t="str">
        <f t="shared" ca="1" si="13"/>
        <v>RA</v>
      </c>
      <c r="AA70" s="127" cm="1">
        <f t="array" aca="1" ref="AA70" ca="1">IF($C70="S",IF($Z70="CP",$X70,IF($Z70="RA",(($X70)*QCI!$AA$3),0)),SomaAgrup)</f>
        <v>0</v>
      </c>
      <c r="AB70" s="128" cm="1">
        <f t="array" aca="1" ref="AB70" ca="1">IF($C70="S",IF($Z70="OU",ROUND($X70,2),0),SomaAgrup)</f>
        <v>0</v>
      </c>
      <c r="AC70" s="565"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Unid. Não Disp</v>
      </c>
      <c r="AD70" s="670" t="str">
        <f ca="1">IF(C70&lt;=CRONO.NivelExibicao,MAX($AD$15:OFFSET(AD70,-1,0))+IF($C70&lt;&gt;1,1,MAX(1,COUNTIF(QCI!$A$13:$A$24,OFFSET($E70,-1,0)))),"")</f>
        <v/>
      </c>
      <c r="AE70" s="668" t="str" cm="1">
        <f t="array" aca="1" ref="AE70" ca="1">IF(AND($C70="S",ORÇAMENTO.CodBarra&lt;&gt;""),IF(ORÇAMENTO.Fonte="",ORÇAMENTO.CodBarra,CONCATENATE(ORÇAMENTO.Fonte," ",ORÇAMENTO.CodBarra)))</f>
        <v>Cotação 33</v>
      </c>
      <c r="AF70" s="669" cm="1">
        <f t="array" aca="1" ref="AF70" ca="1">IF(ISERROR(ORÇAMENTO.BancoRef),"(abra o arquivo 'Referência "&amp;Excel_BuiltIn_Database&amp;".xlsm)",IF(OR($C70&lt;&gt;"S",ORÇAMENTO.CodBarra=""),"(Sem Código)",IF(ISERROR(MATCH($AE70,INDIRECT(ORÇAMENTO.BancoRef),0)),"(Código não identificado nas referências)",MATCH($AE70,INDIRECT(ORÇAMENTO.BancoRef),0))))</f>
        <v>42</v>
      </c>
      <c r="AG70" s="428" cm="1">
        <f t="array" aca="1" ref="AG70" ca="1">ROUND(IF(DESONERACAO="sim",REFERENCIA.Desonerado,REFERENCIA.NaoDesonerado),2)</f>
        <v>438.85</v>
      </c>
      <c r="AH70" s="429">
        <f t="shared" ca="1" si="14"/>
        <v>0.16800000000000001</v>
      </c>
      <c r="AJ70" s="431"/>
      <c r="AL70" s="439"/>
      <c r="AM70" s="336">
        <f t="shared" ca="1" si="0"/>
        <v>25629</v>
      </c>
      <c r="AN70" s="470" cm="1">
        <f t="array" aca="1" ref="AN70" ca="1">ROUND(ORÇAMENTO.CustoUnitario*(1+$AH70),2)</f>
        <v>512.58000000000004</v>
      </c>
    </row>
    <row r="71" spans="1:40" s="670" customFormat="1" x14ac:dyDescent="0.2">
      <c r="A71" s="670" t="str">
        <f t="shared" si="1"/>
        <v>S</v>
      </c>
      <c r="B71" s="670">
        <f t="shared" ca="1" si="2"/>
        <v>2</v>
      </c>
      <c r="C71" s="670" t="str">
        <f t="shared" ca="1" si="3"/>
        <v>S</v>
      </c>
      <c r="D71" s="670">
        <f t="shared" ca="1" si="4"/>
        <v>0</v>
      </c>
      <c r="E71" s="670">
        <f ca="1">IF($C71=1,OFFSET(E71,-1,0)+MAX(1,COUNTIF(QCI!$A$13:$A$24,OFFSET(ORÇAMENTO!E71,-1,0))),OFFSET(E71,-1,0))</f>
        <v>1</v>
      </c>
      <c r="F71" s="670">
        <f t="shared" ca="1" si="5"/>
        <v>9</v>
      </c>
      <c r="G71" s="670">
        <f t="shared" ca="1" si="6"/>
        <v>0</v>
      </c>
      <c r="H71" s="670">
        <f t="shared" ca="1" si="7"/>
        <v>0</v>
      </c>
      <c r="I71" s="670">
        <f t="shared" ca="1" si="8"/>
        <v>7</v>
      </c>
      <c r="J71" s="670">
        <f t="shared" ca="1" si="16"/>
        <v>0</v>
      </c>
      <c r="K71" s="670">
        <f ca="1">IF(OR($C71="S",$C71=0),0,MATCH(OFFSET($D71,0,$C71)+IF($C71&lt;&gt;1,1,COUNTIF(QCI!$A$13:$A$24,ORÇAMENTO!E71)),OFFSET($D71,1,$C71,ROW($C$191)-ROW($C71)),0))</f>
        <v>0</v>
      </c>
      <c r="L71" s="114" t="str">
        <f t="shared" ca="1" si="10"/>
        <v>F</v>
      </c>
      <c r="M71" s="115" t="s">
        <v>705</v>
      </c>
      <c r="N71" s="116" t="str">
        <f t="shared" ca="1" si="11"/>
        <v>Serviço</v>
      </c>
      <c r="O71" s="117" t="str">
        <f t="shared" ca="1" si="12"/>
        <v>1.9.7.</v>
      </c>
      <c r="P71" s="688" t="s">
        <v>957</v>
      </c>
      <c r="Q71" s="689" t="s">
        <v>1094</v>
      </c>
      <c r="R71" s="690" t="str" cm="1">
        <f t="array" aca="1" ref="R71" ca="1">IF($C71="S",REFERENCIA.Descricao,"(digite a descrição aqui)")</f>
        <v>REGISTRO DE GAVETA FF: 200MM - fornecimento e assentamento</v>
      </c>
      <c r="S71" s="691" t="str" cm="1">
        <f t="array" aca="1" ref="S71" ca="1">REFERENCIA.Unidade</f>
        <v>UNIDADE</v>
      </c>
      <c r="T71" s="122">
        <f ca="1">OFFSET(CÁLCULO!H$15,ROW($T71)-ROW(T$15),0)</f>
        <v>7</v>
      </c>
      <c r="U71" s="693">
        <f t="shared" ca="1" si="15"/>
        <v>3706.92</v>
      </c>
      <c r="V71" s="694" t="s">
        <v>697</v>
      </c>
      <c r="W71" s="122" cm="1">
        <f t="array" aca="1" ref="W71" ca="1">IF($C71="S",ROUND(IF(TIPOORCAMENTO="Proposto",ORÇAMENTO.CustoUnitario*(1+$AH71),ORÇAMENTO.PrecoUnitarioLicitado),15-13*$AF$10),0)</f>
        <v>4329.68</v>
      </c>
      <c r="X71" s="125" cm="1">
        <f t="array" aca="1" ref="X71" ca="1">IF($C71="S",IF(OR(Import.TipoArredondamento&lt;&gt;"TransfereGOV",ACOMPANHAMENTO="BM"),VTOTAL1,SUM(OFFSET(CÁLCULO!$AI$15,ROW($X71)-ROW($X$15),1):OFFSET(CÁLCULO!$BB$15,ROW($X71)-ROW($X$15),-1))),IF($C71=0,0,ROUND(SomaAgrup,15-13*$AF$11)))</f>
        <v>30307.759999999998</v>
      </c>
      <c r="Y71" s="126" t="s">
        <v>751</v>
      </c>
      <c r="Z71" s="670" t="str">
        <f t="shared" ca="1" si="13"/>
        <v>RA</v>
      </c>
      <c r="AA71" s="127" cm="1">
        <f t="array" aca="1" ref="AA71" ca="1">IF($C71="S",IF($Z71="CP",$X71,IF($Z71="RA",(($X71)*QCI!$AA$3),0)),SomaAgrup)</f>
        <v>0</v>
      </c>
      <c r="AB71" s="128" cm="1">
        <f t="array" aca="1" ref="AB71" ca="1">IF($C71="S",IF($Z71="OU",ROUND($X71,2),0),SomaAgrup)</f>
        <v>0</v>
      </c>
      <c r="AC71" s="565"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Unid. Não Disp</v>
      </c>
      <c r="AD71" s="670" t="str">
        <f ca="1">IF(C71&lt;=CRONO.NivelExibicao,MAX($AD$15:OFFSET(AD71,-1,0))+IF($C71&lt;&gt;1,1,MAX(1,COUNTIF(QCI!$A$13:$A$24,OFFSET($E71,-1,0)))),"")</f>
        <v/>
      </c>
      <c r="AE71" s="668" t="str" cm="1">
        <f t="array" aca="1" ref="AE71" ca="1">IF(AND($C71="S",ORÇAMENTO.CodBarra&lt;&gt;""),IF(ORÇAMENTO.Fonte="",ORÇAMENTO.CodBarra,CONCATENATE(ORÇAMENTO.Fonte," ",ORÇAMENTO.CodBarra)))</f>
        <v>Cotação 34</v>
      </c>
      <c r="AF71" s="669" cm="1">
        <f t="array" aca="1" ref="AF71" ca="1">IF(ISERROR(ORÇAMENTO.BancoRef),"(abra o arquivo 'Referência "&amp;Excel_BuiltIn_Database&amp;".xlsm)",IF(OR($C71&lt;&gt;"S",ORÇAMENTO.CodBarra=""),"(Sem Código)",IF(ISERROR(MATCH($AE71,INDIRECT(ORÇAMENTO.BancoRef),0)),"(Código não identificado nas referências)",MATCH($AE71,INDIRECT(ORÇAMENTO.BancoRef),0))))</f>
        <v>43</v>
      </c>
      <c r="AG71" s="428" cm="1">
        <f t="array" aca="1" ref="AG71" ca="1">ROUND(IF(DESONERACAO="sim",REFERENCIA.Desonerado,REFERENCIA.NaoDesonerado),2)</f>
        <v>3706.92</v>
      </c>
      <c r="AH71" s="429">
        <f t="shared" ca="1" si="14"/>
        <v>0.16800000000000001</v>
      </c>
      <c r="AJ71" s="431"/>
      <c r="AL71" s="439"/>
      <c r="AM71" s="336">
        <f t="shared" ca="1" si="0"/>
        <v>30307.759999999998</v>
      </c>
      <c r="AN71" s="470" cm="1">
        <f t="array" aca="1" ref="AN71" ca="1">ROUND(ORÇAMENTO.CustoUnitario*(1+$AH71),2)</f>
        <v>4329.68</v>
      </c>
    </row>
    <row r="72" spans="1:40" s="670" customFormat="1" x14ac:dyDescent="0.2">
      <c r="A72" s="670" t="str">
        <f t="shared" si="1"/>
        <v>S</v>
      </c>
      <c r="B72" s="670">
        <f t="shared" ca="1" si="2"/>
        <v>2</v>
      </c>
      <c r="C72" s="670" t="str">
        <f t="shared" ca="1" si="3"/>
        <v>S</v>
      </c>
      <c r="D72" s="670">
        <f t="shared" ca="1" si="4"/>
        <v>0</v>
      </c>
      <c r="E72" s="670">
        <f ca="1">IF($C72=1,OFFSET(E72,-1,0)+MAX(1,COUNTIF(QCI!$A$13:$A$24,OFFSET(ORÇAMENTO!E72,-1,0))),OFFSET(E72,-1,0))</f>
        <v>1</v>
      </c>
      <c r="F72" s="670">
        <f t="shared" ca="1" si="5"/>
        <v>9</v>
      </c>
      <c r="G72" s="670">
        <f t="shared" ca="1" si="6"/>
        <v>0</v>
      </c>
      <c r="H72" s="670">
        <f t="shared" ca="1" si="7"/>
        <v>0</v>
      </c>
      <c r="I72" s="670">
        <f t="shared" ca="1" si="8"/>
        <v>8</v>
      </c>
      <c r="J72" s="670">
        <f t="shared" ca="1" si="16"/>
        <v>0</v>
      </c>
      <c r="K72" s="670">
        <f ca="1">IF(OR($C72="S",$C72=0),0,MATCH(OFFSET($D72,0,$C72)+IF($C72&lt;&gt;1,1,COUNTIF(QCI!$A$13:$A$24,ORÇAMENTO!E72)),OFFSET($D72,1,$C72,ROW($C$191)-ROW($C72)),0))</f>
        <v>0</v>
      </c>
      <c r="L72" s="114" t="str">
        <f t="shared" ca="1" si="10"/>
        <v>F</v>
      </c>
      <c r="M72" s="115" t="s">
        <v>705</v>
      </c>
      <c r="N72" s="116" t="str">
        <f t="shared" ca="1" si="11"/>
        <v>Serviço</v>
      </c>
      <c r="O72" s="117" t="str">
        <f t="shared" ca="1" si="12"/>
        <v>1.9.8.</v>
      </c>
      <c r="P72" s="688" t="s">
        <v>957</v>
      </c>
      <c r="Q72" s="689" t="s">
        <v>1257</v>
      </c>
      <c r="R72" s="690" t="str" cm="1">
        <f t="array" aca="1" ref="R72" ca="1">IF($C72="S",REFERENCIA.Descricao,"(digite a descrição aqui)")</f>
        <v xml:space="preserve">Luva de Correr com bolsa - 200mm </v>
      </c>
      <c r="S72" s="691" t="str" cm="1">
        <f t="array" aca="1" ref="S72" ca="1">REFERENCIA.Unidade</f>
        <v>UNIDADE</v>
      </c>
      <c r="T72" s="122">
        <f ca="1">OFFSET(CÁLCULO!H$15,ROW($T72)-ROW(T$15),0)</f>
        <v>8</v>
      </c>
      <c r="U72" s="693">
        <f t="shared" ca="1" si="15"/>
        <v>169.33</v>
      </c>
      <c r="V72" s="694" t="s">
        <v>697</v>
      </c>
      <c r="W72" s="122" cm="1">
        <f t="array" aca="1" ref="W72" ca="1">IF($C72="S",ROUND(IF(TIPOORCAMENTO="Proposto",ORÇAMENTO.CustoUnitario*(1+$AH72),ORÇAMENTO.PrecoUnitarioLicitado),15-13*$AF$10),0)</f>
        <v>197.78</v>
      </c>
      <c r="X72" s="125" cm="1">
        <f t="array" aca="1" ref="X72" ca="1">IF($C72="S",IF(OR(Import.TipoArredondamento&lt;&gt;"TransfereGOV",ACOMPANHAMENTO="BM"),VTOTAL1,SUM(OFFSET(CÁLCULO!$AI$15,ROW($X72)-ROW($X$15),1):OFFSET(CÁLCULO!$BB$15,ROW($X72)-ROW($X$15),-1))),IF($C72=0,0,ROUND(SomaAgrup,15-13*$AF$11)))</f>
        <v>1582.24</v>
      </c>
      <c r="Y72" s="126" t="s">
        <v>751</v>
      </c>
      <c r="Z72" s="670" t="str">
        <f t="shared" ca="1" si="13"/>
        <v>RA</v>
      </c>
      <c r="AA72" s="127" cm="1">
        <f t="array" aca="1" ref="AA72" ca="1">IF($C72="S",IF($Z72="CP",$X72,IF($Z72="RA",(($X72)*QCI!$AA$3),0)),SomaAgrup)</f>
        <v>0</v>
      </c>
      <c r="AB72" s="128" cm="1">
        <f t="array" aca="1" ref="AB72" ca="1">IF($C72="S",IF($Z72="OU",ROUND($X72,2),0),SomaAgrup)</f>
        <v>0</v>
      </c>
      <c r="AC72" s="565"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Unid. Não Disp</v>
      </c>
      <c r="AD72" s="670" t="str">
        <f ca="1">IF(C72&lt;=CRONO.NivelExibicao,MAX($AD$15:OFFSET(AD72,-1,0))+IF($C72&lt;&gt;1,1,MAX(1,COUNTIF(QCI!$A$13:$A$24,OFFSET($E72,-1,0)))),"")</f>
        <v/>
      </c>
      <c r="AE72" s="668" t="str" cm="1">
        <f t="array" aca="1" ref="AE72" ca="1">IF(AND($C72="S",ORÇAMENTO.CodBarra&lt;&gt;""),IF(ORÇAMENTO.Fonte="",ORÇAMENTO.CodBarra,CONCATENATE(ORÇAMENTO.Fonte," ",ORÇAMENTO.CodBarra)))</f>
        <v>Cotação 43</v>
      </c>
      <c r="AF72" s="669" cm="1">
        <f t="array" aca="1" ref="AF72" ca="1">IF(ISERROR(ORÇAMENTO.BancoRef),"(abra o arquivo 'Referência "&amp;Excel_BuiltIn_Database&amp;".xlsm)",IF(OR($C72&lt;&gt;"S",ORÇAMENTO.CodBarra=""),"(Sem Código)",IF(ISERROR(MATCH($AE72,INDIRECT(ORÇAMENTO.BancoRef),0)),"(Código não identificado nas referências)",MATCH($AE72,INDIRECT(ORÇAMENTO.BancoRef),0))))</f>
        <v>52</v>
      </c>
      <c r="AG72" s="428" cm="1">
        <f t="array" aca="1" ref="AG72" ca="1">ROUND(IF(DESONERACAO="sim",REFERENCIA.Desonerado,REFERENCIA.NaoDesonerado),2)</f>
        <v>169.33</v>
      </c>
      <c r="AH72" s="429">
        <f t="shared" ca="1" si="14"/>
        <v>0.16800000000000001</v>
      </c>
      <c r="AJ72" s="431"/>
      <c r="AL72" s="439"/>
      <c r="AM72" s="336">
        <f t="shared" ca="1" si="0"/>
        <v>1582.24</v>
      </c>
      <c r="AN72" s="470" cm="1">
        <f t="array" aca="1" ref="AN72" ca="1">ROUND(ORÇAMENTO.CustoUnitario*(1+$AH72),2)</f>
        <v>197.78</v>
      </c>
    </row>
    <row r="73" spans="1:40" s="670" customFormat="1" ht="39.6" customHeight="1" x14ac:dyDescent="0.2">
      <c r="A73" s="670" t="str">
        <f t="shared" ref="A73:A140" si="17">CHOOSE(1+LOG(1+2*(ORÇAMENTO.Nivel="Meta")+4*(ORÇAMENTO.Nivel="Nível 2")+8*(ORÇAMENTO.Nivel="Nível 3")+16*(ORÇAMENTO.Nivel="Nível 4")+32*(ORÇAMENTO.Nivel="Serviço"),2),0,1,2,3,4,"S")</f>
        <v>S</v>
      </c>
      <c r="B73" s="670">
        <f t="shared" ref="B73:B140" ca="1" si="18">IF(OR(C73="s",C73=0),OFFSET(B73,-1,0),C73)</f>
        <v>2</v>
      </c>
      <c r="C73" s="670" t="str">
        <f t="shared" ref="C73:C140" ca="1" si="19">IF(OFFSET(C73,-1,0)="L",1,IF(OFFSET(C73,-1,0)=1,2,IF(OR(A73="s",A73=0),"S",IF(AND(OFFSET(C73,-1,0)=2,A73=4),3,IF(AND(OR(OFFSET(C73,-1,0)="s",OFFSET(C73,-1,0)=0),A73&lt;&gt;"s",A73&gt;OFFSET(B73,-1,0)),OFFSET(B73,-1,0),A73)))))</f>
        <v>S</v>
      </c>
      <c r="D73" s="670">
        <f t="shared" ref="D73:D140" ca="1" si="20">IF(OR(C73="S",C73=0),0,IF(ISERROR(K73),J73,SMALL(J73:K73,1)))</f>
        <v>0</v>
      </c>
      <c r="E73" s="670">
        <f ca="1">IF($C73=1,OFFSET(E73,-1,0)+MAX(1,COUNTIF(QCI!$A$13:$A$24,OFFSET(ORÇAMENTO!E73,-1,0))),OFFSET(E73,-1,0))</f>
        <v>1</v>
      </c>
      <c r="F73" s="670">
        <f t="shared" ref="F73:F140" ca="1" si="21">IF($C73=1,0,IF($C73=2,OFFSET(F73,-1,0)+1,OFFSET(F73,-1,0)))</f>
        <v>9</v>
      </c>
      <c r="G73" s="670">
        <f t="shared" ref="G73:G140" ca="1" si="22">IF(AND($C73&lt;=2,$C73&lt;&gt;0),0,IF($C73=3,OFFSET(G73,-1,0)+1,OFFSET(G73,-1,0)))</f>
        <v>0</v>
      </c>
      <c r="H73" s="670">
        <f t="shared" ref="H73:H140" ca="1" si="23">IF(AND($C73&lt;=3,$C73&lt;&gt;0),0,IF($C73=4,OFFSET(H73,-1,0)+1,OFFSET(H73,-1,0)))</f>
        <v>0</v>
      </c>
      <c r="I73" s="670">
        <f t="shared" ref="I73:I140" ca="1" si="24">IF(AND($C73&lt;=4,$C73&lt;&gt;0),0,IF(AND($C73="S",$X73&gt;0),OFFSET(I73,-1,0)+1,OFFSET(I73,-1,0)))</f>
        <v>9</v>
      </c>
      <c r="J73" s="670">
        <f t="shared" ref="J73:J102" ca="1" si="25">IF(OR($C73="S",$C73=0),0,MATCH(0,OFFSET($D73,1,$C73,ROW($C$191)-ROW($C73)),0))</f>
        <v>0</v>
      </c>
      <c r="K73" s="670">
        <f ca="1">IF(OR($C73="S",$C73=0),0,MATCH(OFFSET($D73,0,$C73)+IF($C73&lt;&gt;1,1,COUNTIF(QCI!$A$13:$A$24,ORÇAMENTO!E73)),OFFSET($D73,1,$C73,ROW($C$191)-ROW($C73)),0))</f>
        <v>0</v>
      </c>
      <c r="L73" s="114" t="str">
        <f t="shared" ref="L73:L140" ca="1" si="26">IF(OR($X73&gt;0,$C73=1,$C73=2,$C73=3,$C73=4),"F","")</f>
        <v>F</v>
      </c>
      <c r="M73" s="115" t="s">
        <v>705</v>
      </c>
      <c r="N73" s="116" t="str">
        <f t="shared" ref="N73:N140" ca="1" si="27">CHOOSE(1+LOG(1+2*(C73=1)+4*(C73=2)+8*(C73=3)+16*(C73=4)+32*(C73="S"),2),"","Meta","Nível 2","Nível 3","Nível 4","Serviço")</f>
        <v>Serviço</v>
      </c>
      <c r="O73" s="117" t="str">
        <f t="shared" ref="O73:O140" ca="1" si="28">IF(OR($C73=0,$L73=""),"-",CONCATENATE(E73&amp;".",IF(AND($A$5&gt;=2,$C73&gt;=2),F73&amp;".",""),IF(AND($A$5&gt;=3,$C73&gt;=3),G73&amp;".",""),IF(AND($A$5&gt;=4,$C73&gt;=4),H73&amp;".",""),IF($C73="S",I73&amp;".","")))</f>
        <v>1.9.9.</v>
      </c>
      <c r="P73" s="688" t="s">
        <v>954</v>
      </c>
      <c r="Q73" s="689" t="s">
        <v>1258</v>
      </c>
      <c r="R73" s="690" t="str" cm="1">
        <f t="array" aca="1" ref="R73" ca="1">IF($C73="S",REFERENCIA.Descricao,"(digite a descrição aqui)")</f>
        <v>PASTA LUBRIFICANTE PARA TUBOS E CONEXOES COM JUNTA ELASTICA, EMBALAGEM DE *400* GR (USO EM PVC, ACO, POLIETILENO E OUTROS)</v>
      </c>
      <c r="S73" s="691" t="str" cm="1">
        <f t="array" aca="1" ref="S73" ca="1">REFERENCIA.Unidade</f>
        <v>UN</v>
      </c>
      <c r="T73" s="122">
        <f ca="1">OFFSET(CÁLCULO!H$15,ROW($T73)-ROW(T$15),0)</f>
        <v>63</v>
      </c>
      <c r="U73" s="693">
        <f t="shared" ca="1" si="15"/>
        <v>30.93</v>
      </c>
      <c r="V73" s="694" t="s">
        <v>697</v>
      </c>
      <c r="W73" s="122" cm="1">
        <f t="array" aca="1" ref="W73" ca="1">IF($C73="S",ROUND(IF(TIPOORCAMENTO="Proposto",ORÇAMENTO.CustoUnitario*(1+$AH73),ORÇAMENTO.PrecoUnitarioLicitado),15-13*$AF$10),0)</f>
        <v>36.130000000000003</v>
      </c>
      <c r="X73" s="125" cm="1">
        <f t="array" aca="1" ref="X73" ca="1">IF($C73="S",IF(OR(Import.TipoArredondamento&lt;&gt;"TransfereGOV",ACOMPANHAMENTO="BM"),VTOTAL1,SUM(OFFSET(CÁLCULO!$AI$15,ROW($X73)-ROW($X$15),1):OFFSET(CÁLCULO!$BB$15,ROW($X73)-ROW($X$15),-1))),IF($C73=0,0,ROUND(SomaAgrup,15-13*$AF$11)))</f>
        <v>2276.19</v>
      </c>
      <c r="Y73" s="126" t="s">
        <v>751</v>
      </c>
      <c r="Z73" s="670" t="str">
        <f t="shared" ref="Z73:Z140" ca="1" si="29">IF(AND($C73="S",$X73&gt;0),IF(ISBLANK($Y73),"RA",LEFT($Y73,2)),"")</f>
        <v>RA</v>
      </c>
      <c r="AA73" s="127" cm="1">
        <f t="array" aca="1" ref="AA73" ca="1">IF($C73="S",IF($Z73="CP",$X73,IF($Z73="RA",(($X73)*QCI!$AA$3),0)),SomaAgrup)</f>
        <v>0</v>
      </c>
      <c r="AB73" s="128" cm="1">
        <f t="array" aca="1" ref="AB73" ca="1">IF($C73="S",IF($Z73="OU",ROUND($X73,2),0),SomaAgrup)</f>
        <v>0</v>
      </c>
      <c r="AC73" s="565"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s="670" t="str">
        <f ca="1">IF(C73&lt;=CRONO.NivelExibicao,MAX($AD$15:OFFSET(AD73,-1,0))+IF($C73&lt;&gt;1,1,MAX(1,COUNTIF(QCI!$A$13:$A$24,OFFSET($E73,-1,0)))),"")</f>
        <v/>
      </c>
      <c r="AE73" s="668" t="str" cm="1">
        <f t="array" aca="1" ref="AE73" ca="1">IF(AND($C73="S",ORÇAMENTO.CodBarra&lt;&gt;""),IF(ORÇAMENTO.Fonte="",ORÇAMENTO.CodBarra,CONCATENATE(ORÇAMENTO.Fonte," ",ORÇAMENTO.CodBarra)))</f>
        <v>SINAPI-I 20078</v>
      </c>
      <c r="AF73" s="669" cm="1">
        <f t="array" aca="1" ref="AF73" ca="1">IF(ISERROR(ORÇAMENTO.BancoRef),"(abra o arquivo 'Referência "&amp;Excel_BuiltIn_Database&amp;".xlsm)",IF(OR($C73&lt;&gt;"S",ORÇAMENTO.CodBarra=""),"(Sem Código)",IF(ISERROR(MATCH($AE73,INDIRECT(ORÇAMENTO.BancoRef),0)),"(Código não identificado nas referências)",MATCH($AE73,INDIRECT(ORÇAMENTO.BancoRef),0))))</f>
        <v>3269</v>
      </c>
      <c r="AG73" s="428" cm="1">
        <f t="array" aca="1" ref="AG73" ca="1">ROUND(IF(DESONERACAO="sim",REFERENCIA.Desonerado,REFERENCIA.NaoDesonerado),2)</f>
        <v>30.93</v>
      </c>
      <c r="AH73" s="429">
        <f t="shared" ref="AH73:AH140" ca="1" si="30">ROUND(IF(ISNUMBER(ORÇAMENTO.OpcaoBDI),ORÇAMENTO.OpcaoBDI,IF(LEFT(ORÇAMENTO.OpcaoBDI,3)="BDI",HLOOKUP(ORÇAMENTO.OpcaoBDI,$F$4:$H$5,2,FALSE),0)),15-11*$AF$9)</f>
        <v>0.16800000000000001</v>
      </c>
      <c r="AJ73" s="431"/>
      <c r="AL73" s="439"/>
      <c r="AM73" s="336">
        <f t="shared" ca="1" si="0"/>
        <v>2276.19</v>
      </c>
      <c r="AN73" s="470" cm="1">
        <f t="array" aca="1" ref="AN73" ca="1">ROUND(ORÇAMENTO.CustoUnitario*(1+$AH73),2)</f>
        <v>36.130000000000003</v>
      </c>
    </row>
    <row r="74" spans="1:40" s="680" customFormat="1" ht="25.5" x14ac:dyDescent="0.2">
      <c r="A74" s="680" t="str">
        <f>CHOOSE(1+LOG(1+2*(ORÇAMENTO.Nivel="Meta")+4*(ORÇAMENTO.Nivel="Nível 2")+8*(ORÇAMENTO.Nivel="Nível 3")+16*(ORÇAMENTO.Nivel="Nível 4")+32*(ORÇAMENTO.Nivel="Serviço"),2),0,1,2,3,4,"S")</f>
        <v>S</v>
      </c>
      <c r="B74" s="680">
        <f ca="1">IF(OR(C74="s",C74=0),OFFSET(B74,-1,0),C74)</f>
        <v>2</v>
      </c>
      <c r="C74" s="680" t="str">
        <f ca="1">IF(OFFSET(C74,-1,0)="L",1,IF(OFFSET(C74,-1,0)=1,2,IF(OR(A74="s",A74=0),"S",IF(AND(OFFSET(C74,-1,0)=2,A74=4),3,IF(AND(OR(OFFSET(C74,-1,0)="s",OFFSET(C74,-1,0)=0),A74&lt;&gt;"s",A74&gt;OFFSET(B74,-1,0)),OFFSET(B74,-1,0),A74)))))</f>
        <v>S</v>
      </c>
      <c r="D74" s="680">
        <f ca="1">IF(OR(C74="S",C74=0),0,IF(ISERROR(K74),J74,SMALL(J74:K74,1)))</f>
        <v>0</v>
      </c>
      <c r="E74" s="680">
        <f ca="1">IF($C74=1,OFFSET(E74,-1,0)+MAX(1,COUNTIF(QCI!$A$13:$A$24,OFFSET(ORÇAMENTO!E74,-1,0))),OFFSET(E74,-1,0))</f>
        <v>1</v>
      </c>
      <c r="F74" s="680">
        <f ca="1">IF($C74=1,0,IF($C74=2,OFFSET(F74,-1,0)+1,OFFSET(F74,-1,0)))</f>
        <v>9</v>
      </c>
      <c r="G74" s="680">
        <f ca="1">IF(AND($C74&lt;=2,$C74&lt;&gt;0),0,IF($C74=3,OFFSET(G74,-1,0)+1,OFFSET(G74,-1,0)))</f>
        <v>0</v>
      </c>
      <c r="H74" s="680">
        <f ca="1">IF(AND($C74&lt;=3,$C74&lt;&gt;0),0,IF($C74=4,OFFSET(H74,-1,0)+1,OFFSET(H74,-1,0)))</f>
        <v>0</v>
      </c>
      <c r="I74" s="680">
        <f ca="1">IF(AND($C74&lt;=4,$C74&lt;&gt;0),0,IF(AND($C74="S",$X74&gt;0),OFFSET(I74,-1,0)+1,OFFSET(I74,-1,0)))</f>
        <v>10</v>
      </c>
      <c r="J74" s="680">
        <f t="shared" ca="1" si="25"/>
        <v>0</v>
      </c>
      <c r="K74" s="680">
        <f ca="1">IF(OR($C74="S",$C74=0),0,MATCH(OFFSET($D74,0,$C74)+IF($C74&lt;&gt;1,1,COUNTIF(QCI!$A$13:$A$24,ORÇAMENTO!E74)),OFFSET($D74,1,$C74,ROW($C$191)-ROW($C74)),0))</f>
        <v>0</v>
      </c>
      <c r="L74" s="684" t="str">
        <f ca="1">IF(OR($X74&gt;0,$C74=1,$C74=2,$C74=3,$C74=4),"F","")</f>
        <v>F</v>
      </c>
      <c r="M74" s="685" t="s">
        <v>705</v>
      </c>
      <c r="N74" s="686" t="str">
        <f ca="1">CHOOSE(1+LOG(1+2*(C74=1)+4*(C74=2)+8*(C74=3)+16*(C74=4)+32*(C74="S"),2),"","Meta","Nível 2","Nível 3","Nível 4","Serviço")</f>
        <v>Serviço</v>
      </c>
      <c r="O74" s="687" t="str">
        <f ca="1">IF(OR($C74=0,$L74=""),"-",CONCATENATE(E74&amp;".",IF(AND($A$5&gt;=2,$C74&gt;=2),F74&amp;".",""),IF(AND($A$5&gt;=3,$C74&gt;=3),G74&amp;".",""),IF(AND($A$5&gt;=4,$C74&gt;=4),H74&amp;".",""),IF($C74="S",I74&amp;".","")))</f>
        <v>1.9.10.</v>
      </c>
      <c r="P74" s="688" t="s">
        <v>956</v>
      </c>
      <c r="Q74" s="689" t="s">
        <v>1241</v>
      </c>
      <c r="R74" s="690" t="str" cm="1">
        <f t="array" aca="1" ref="R74" ca="1">IF($C74="S",REFERENCIA.Descricao,"(digite a descrição aqui)")</f>
        <v>MONTAGEM DE CONEXÕES DE FERRO FUNDIDO, COM FLANGES, DIAM.= 200 MM. INC_05/2020</v>
      </c>
      <c r="S74" s="691" cm="1">
        <f t="array" aca="1" ref="S74" ca="1">REFERENCIA.Unidade</f>
        <v>0</v>
      </c>
      <c r="T74" s="692">
        <f ca="1">OFFSET(CÁLCULO!H$15,ROW($T74)-ROW(T$15),0)</f>
        <v>75</v>
      </c>
      <c r="U74" s="693">
        <f t="shared" ca="1" si="15"/>
        <v>21.16</v>
      </c>
      <c r="V74" s="694" t="s">
        <v>663</v>
      </c>
      <c r="W74" s="692" cm="1">
        <f t="array" aca="1" ref="W74" ca="1">IF($C74="S",ROUND(IF(TIPOORCAMENTO="Proposto",ORÇAMENTO.CustoUnitario*(1+$AH74),ORÇAMENTO.PrecoUnitarioLicitado),15-13*$AF$10),0)</f>
        <v>26.24</v>
      </c>
      <c r="X74" s="695" cm="1">
        <f t="array" aca="1" ref="X74" ca="1">IF($C74="S",IF(OR(Import.TipoArredondamento&lt;&gt;"TransfereGOV",ACOMPANHAMENTO="BM"),VTOTAL1,SUM(OFFSET(CÁLCULO!$AI$15,ROW($X74)-ROW($X$15),1):OFFSET(CÁLCULO!$BB$15,ROW($X74)-ROW($X$15),-1))),IF($C74=0,0,ROUND(SomaAgrup,15-13*$AF$11)))</f>
        <v>1968</v>
      </c>
      <c r="Y74" s="696" t="s">
        <v>751</v>
      </c>
      <c r="Z74" s="680" t="str">
        <f ca="1">IF(AND($C74="S",$X74&gt;0),IF(ISBLANK($Y74),"RA",LEFT($Y74,2)),"")</f>
        <v>RA</v>
      </c>
      <c r="AA74" s="697" cm="1">
        <f t="array" aca="1" ref="AA74" ca="1">IF($C74="S",IF($Z74="CP",$X74,IF($Z74="RA",(($X74)*QCI!$AA$3),0)),SomaAgrup)</f>
        <v>0</v>
      </c>
      <c r="AB74" s="698" cm="1">
        <f t="array" aca="1" ref="AB74" ca="1">IF($C74="S",IF($Z74="OU",ROUND($X74,2),0),SomaAgrup)</f>
        <v>0</v>
      </c>
      <c r="AC74" s="723" t="str"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IF(AND(TIPOORCAMENTO="Licitado",$AL74=0,$AN74&gt;0),"SEM PREÇO",
IF(AND($C74="S",$P74&lt;&gt;"",$Q74&lt;&gt;"",$U74&gt;0,AND($V74&lt;&gt;"BDI 1",$V74&lt;&gt;"BDI 2",$V74&lt;&gt;"BDI 3")),IF(ISNUMBER($V74),"JUSTIFICAR BDI","BDI"),
IF(OR(AND(import.recurso="OGU",TIPOORCAMENTO="Proposto",LEFT($O$8,5)&lt;&gt;"(N/D:",$AG74&lt;&gt;"",ORÇAMENTO.CustoUnitario&gt;$AG74),AND(TIPOORCAMENTO="LICITADO",ORÇAMENTO.PrecoUnitarioLicitado&gt;$AN74)),"ACIMA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Unid. Não Disp</v>
      </c>
      <c r="AD74" s="680" t="str">
        <f ca="1">IF(C74&lt;=CRONO.NivelExibicao,MAX($AD$15:OFFSET(AD74,-1,0))+IF($C74&lt;&gt;1,1,MAX(1,COUNTIF(QCI!$A$13:$A$24,OFFSET($E74,-1,0)))),"")</f>
        <v/>
      </c>
      <c r="AE74" s="681" t="str" cm="1">
        <f t="array" aca="1" ref="AE74" ca="1">IF(AND($C74="S",ORÇAMENTO.CodBarra&lt;&gt;""),IF(ORÇAMENTO.Fonte="",ORÇAMENTO.CodBarra,CONCATENATE(ORÇAMENTO.Fonte," ",ORÇAMENTO.CodBarra)))</f>
        <v>Composição 001</v>
      </c>
      <c r="AF74" s="682" cm="1">
        <f t="array" aca="1" ref="AF74" ca="1">IF(ISERROR(ORÇAMENTO.BancoRef),"(abra o arquivo 'Referência "&amp;Excel_BuiltIn_Database&amp;".xlsm)",IF(OR($C74&lt;&gt;"S",ORÇAMENTO.CodBarra=""),"(Sem Código)",IF(ISERROR(MATCH($AE74,INDIRECT(ORÇAMENTO.BancoRef),0)),"(Código não identificado nas referências)",MATCH($AE74,INDIRECT(ORÇAMENTO.BancoRef),0))))</f>
        <v>3</v>
      </c>
      <c r="AG74" s="714" cm="1">
        <f t="array" aca="1" ref="AG74" ca="1">ROUND(IF(DESONERACAO="sim",REFERENCIA.Desonerado,REFERENCIA.NaoDesonerado),2)</f>
        <v>21.16</v>
      </c>
      <c r="AH74" s="715">
        <f ca="1">ROUND(IF(ISNUMBER(ORÇAMENTO.OpcaoBDI),ORÇAMENTO.OpcaoBDI,IF(LEFT(ORÇAMENTO.OpcaoBDI,3)="BDI",HLOOKUP(ORÇAMENTO.OpcaoBDI,$F$4:$H$5,2,FALSE),0)),15-11*$AF$9)</f>
        <v>0.24</v>
      </c>
      <c r="AJ74" s="716"/>
      <c r="AL74" s="718"/>
      <c r="AM74" s="710">
        <f t="shared" ca="1" si="0"/>
        <v>1968</v>
      </c>
      <c r="AN74" s="721" cm="1">
        <f t="array" aca="1" ref="AN74" ca="1">ROUND(ORÇAMENTO.CustoUnitario*(1+$AH74),2)</f>
        <v>26.24</v>
      </c>
    </row>
    <row r="75" spans="1:40" s="673" customFormat="1" ht="25.5" x14ac:dyDescent="0.2">
      <c r="A75" s="673">
        <f>CHOOSE(1+LOG(1+2*(ORÇAMENTO.Nivel="Meta")+4*(ORÇAMENTO.Nivel="Nível 2")+8*(ORÇAMENTO.Nivel="Nível 3")+16*(ORÇAMENTO.Nivel="Nível 4")+32*(ORÇAMENTO.Nivel="Serviço"),2),0,1,2,3,4,"S")</f>
        <v>2</v>
      </c>
      <c r="B75" s="673">
        <f ca="1">IF(OR(C75="s",C75=0),OFFSET(B75,-1,0),C75)</f>
        <v>2</v>
      </c>
      <c r="C75" s="673">
        <f ca="1">IF(OFFSET(C75,-1,0)="L",1,IF(OFFSET(C75,-1,0)=1,2,IF(OR(A75="s",A75=0),"S",IF(AND(OFFSET(C75,-1,0)=2,A75=4),3,IF(AND(OR(OFFSET(C75,-1,0)="s",OFFSET(C75,-1,0)=0),A75&lt;&gt;"s",A75&gt;OFFSET(B75,-1,0)),OFFSET(B75,-1,0),A75)))))</f>
        <v>2</v>
      </c>
      <c r="D75" s="673">
        <f ca="1">IF(OR(C75="S",C75=0),0,IF(ISERROR(K75),J75,SMALL(J75:K75,1)))</f>
        <v>8</v>
      </c>
      <c r="E75" s="673">
        <f ca="1">IF($C75=1,OFFSET(E75,-1,0)+MAX(1,COUNTIF(QCI!$A$13:$A$24,OFFSET(ORÇAMENTO!E75,-1,0))),OFFSET(E75,-1,0))</f>
        <v>1</v>
      </c>
      <c r="F75" s="673">
        <f ca="1">IF($C75=1,0,IF($C75=2,OFFSET(F75,-1,0)+1,OFFSET(F75,-1,0)))</f>
        <v>10</v>
      </c>
      <c r="G75" s="673">
        <f ca="1">IF(AND($C75&lt;=2,$C75&lt;&gt;0),0,IF($C75=3,OFFSET(G75,-1,0)+1,OFFSET(G75,-1,0)))</f>
        <v>0</v>
      </c>
      <c r="H75" s="673">
        <f ca="1">IF(AND($C75&lt;=3,$C75&lt;&gt;0),0,IF($C75=4,OFFSET(H75,-1,0)+1,OFFSET(H75,-1,0)))</f>
        <v>0</v>
      </c>
      <c r="I75" s="673">
        <f ca="1">IF(AND($C75&lt;=4,$C75&lt;&gt;0),0,IF(AND($C75="S",$X75&gt;0),OFFSET(I75,-1,0)+1,OFFSET(I75,-1,0)))</f>
        <v>0</v>
      </c>
      <c r="J75" s="673">
        <f t="shared" ca="1" si="25"/>
        <v>116</v>
      </c>
      <c r="K75" s="673">
        <f ca="1">IF(OR($C75="S",$C75=0),0,MATCH(OFFSET($D75,0,$C75)+IF($C75&lt;&gt;1,1,COUNTIF(QCI!$A$13:$A$24,ORÇAMENTO!E75)),OFFSET($D75,1,$C75,ROW($C$191)-ROW($C75)),0))</f>
        <v>8</v>
      </c>
      <c r="L75" s="114" t="str">
        <f ca="1">IF(OR($X75&gt;0,$C75=1,$C75=2,$C75=3,$C75=4),"F","")</f>
        <v>F</v>
      </c>
      <c r="M75" s="115" t="s">
        <v>702</v>
      </c>
      <c r="N75" s="116" t="str">
        <f ca="1">CHOOSE(1+LOG(1+2*(C75=1)+4*(C75=2)+8*(C75=3)+16*(C75=4)+32*(C75="S"),2),"","Meta","Nível 2","Nível 3","Nível 4","Serviço")</f>
        <v>Nível 2</v>
      </c>
      <c r="O75" s="117" t="str">
        <f ca="1">IF(OR($C75=0,$L75=""),"-",CONCATENATE(E75&amp;".",IF(AND($A$5&gt;=2,$C75&gt;=2),F75&amp;".",""),IF(AND($A$5&gt;=3,$C75&gt;=3),G75&amp;".",""),IF(AND($A$5&gt;=4,$C75&gt;=4),H75&amp;".",""),IF($C75="S",I75&amp;".","")))</f>
        <v>1.10.</v>
      </c>
      <c r="P75" s="688" t="s">
        <v>750</v>
      </c>
      <c r="Q75" s="689"/>
      <c r="R75" s="690" t="s">
        <v>1301</v>
      </c>
      <c r="S75" s="691" t="str" cm="1">
        <f t="array" aca="1" ref="S75" ca="1">REFERENCIA.Unidade</f>
        <v>-</v>
      </c>
      <c r="T75" s="122">
        <f ca="1">OFFSET(CÁLCULO!H$15,ROW($T75)-ROW(T$15),0)</f>
        <v>0</v>
      </c>
      <c r="U75" s="693">
        <f t="shared" ref="U75:U137" ca="1" si="31">AG75</f>
        <v>0</v>
      </c>
      <c r="V75" s="694" t="s">
        <v>663</v>
      </c>
      <c r="W75" s="122" cm="1">
        <f t="array" aca="1" ref="W75" ca="1">IF($C75="S",ROUND(IF(TIPOORCAMENTO="Proposto",ORÇAMENTO.CustoUnitario*(1+$AH75),ORÇAMENTO.PrecoUnitarioLicitado),15-13*$AF$10),0)</f>
        <v>0</v>
      </c>
      <c r="X75" s="125" cm="1">
        <f t="array" aca="1" ref="X75" ca="1">IF($C75="S",IF(OR(Import.TipoArredondamento&lt;&gt;"TransfereGOV",ACOMPANHAMENTO="BM"),VTOTAL1,SUM(OFFSET(CÁLCULO!$AI$15,ROW($X75)-ROW($X$15),1):OFFSET(CÁLCULO!$BB$15,ROW($X75)-ROW($X$15),-1))),IF($C75=0,0,ROUND(SomaAgrup,15-13*$AF$11)))</f>
        <v>653944.93000000005</v>
      </c>
      <c r="Y75" s="126" t="s">
        <v>751</v>
      </c>
      <c r="Z75" s="673" t="str">
        <f ca="1">IF(AND($C75="S",$X75&gt;0),IF(ISBLANK($Y75),"RA",LEFT($Y75,2)),"")</f>
        <v/>
      </c>
      <c r="AA75" s="127" cm="1">
        <f t="array" aca="1" ref="AA75" ca="1">IF($C75="S",IF($Z75="CP",$X75,IF($Z75="RA",(($X75)*QCI!$AA$3),0)),SomaAgrup)</f>
        <v>0</v>
      </c>
      <c r="AB75" s="128" cm="1">
        <f t="array" aca="1" ref="AB75" ca="1">IF($C75="S",IF($Z75="OU",ROUND($X75,2),0),SomaAgrup)</f>
        <v>0</v>
      </c>
      <c r="AC75" s="565" t="str"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IF(AND(TIPOORCAMENTO="Licitado",$AL75=0,$AN75&gt;0),"SEM PREÇO",
IF(AND($C75="S",$P75&lt;&gt;"",$Q75&lt;&gt;"",$U75&gt;0,AND($V75&lt;&gt;"BDI 1",$V75&lt;&gt;"BDI 2",$V75&lt;&gt;"BDI 3")),IF(ISNUMBER($V75),"JUSTIFICAR BDI","BDI"),
IF(OR(AND(import.recurso="OGU",TIPOORCAMENTO="Proposto",LEFT($O$8,5)&lt;&gt;"(N/D:",$AG75&lt;&gt;"",ORÇAMENTO.CustoUnitario&gt;$AG75),AND(TIPOORCAMENTO="LICITADO",ORÇAMENTO.PrecoUnitarioLicitado&gt;$AN75)),"ACIMA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 xml:space="preserve"> </v>
      </c>
      <c r="AD75" s="673">
        <f ca="1">IF(C75&lt;=CRONO.NivelExibicao,MAX($AD$15:OFFSET(AD75,-1,0))+IF($C75&lt;&gt;1,1,MAX(1,COUNTIF(QCI!$A$13:$A$24,OFFSET($E75,-1,0)))),"")</f>
        <v>11</v>
      </c>
      <c r="AE75" s="671" t="b" cm="1">
        <f t="array" aca="1" ref="AE75" ca="1">IF(AND($C75="S",ORÇAMENTO.CodBarra&lt;&gt;""),IF(ORÇAMENTO.Fonte="",ORÇAMENTO.CodBarra,CONCATENATE(ORÇAMENTO.Fonte," ",ORÇAMENTO.CodBarra)))</f>
        <v>0</v>
      </c>
      <c r="AF75" s="672" t="str" cm="1">
        <f t="array" aca="1" ref="AF75" ca="1">IF(ISERROR(ORÇAMENTO.BancoRef),"(abra o arquivo 'Referência "&amp;Excel_BuiltIn_Database&amp;".xlsm)",IF(OR($C75&lt;&gt;"S",ORÇAMENTO.CodBarra=""),"(Sem Código)",IF(ISERROR(MATCH($AE75,INDIRECT(ORÇAMENTO.BancoRef),0)),"(Código não identificado nas referências)",MATCH($AE75,INDIRECT(ORÇAMENTO.BancoRef),0))))</f>
        <v>(Sem Código)</v>
      </c>
      <c r="AG75" s="428" cm="1">
        <f t="array" aca="1" ref="AG75" ca="1">ROUND(IF(DESONERACAO="sim",REFERENCIA.Desonerado,REFERENCIA.NaoDesonerado),2)</f>
        <v>0</v>
      </c>
      <c r="AH75" s="429">
        <f ca="1">ROUND(IF(ISNUMBER(ORÇAMENTO.OpcaoBDI),ORÇAMENTO.OpcaoBDI,IF(LEFT(ORÇAMENTO.OpcaoBDI,3)="BDI",HLOOKUP(ORÇAMENTO.OpcaoBDI,$F$4:$H$5,2,FALSE),0)),15-11*$AF$9)</f>
        <v>0.24</v>
      </c>
      <c r="AJ75" s="431"/>
      <c r="AL75" s="439"/>
      <c r="AM75" s="336">
        <f t="shared" ca="1" si="0"/>
        <v>653944.93000000005</v>
      </c>
      <c r="AN75" s="470" cm="1">
        <f t="array" aca="1" ref="AN75" ca="1">ROUND(ORÇAMENTO.CustoUnitario*(1+$AH75),2)</f>
        <v>0</v>
      </c>
    </row>
    <row r="76" spans="1:40" s="670" customFormat="1" ht="63.75" x14ac:dyDescent="0.2">
      <c r="A76" s="670" t="str">
        <f t="shared" si="17"/>
        <v>S</v>
      </c>
      <c r="B76" s="670">
        <f t="shared" ca="1" si="18"/>
        <v>2</v>
      </c>
      <c r="C76" s="670" t="str">
        <f t="shared" ca="1" si="19"/>
        <v>S</v>
      </c>
      <c r="D76" s="670">
        <f t="shared" ca="1" si="20"/>
        <v>0</v>
      </c>
      <c r="E76" s="670">
        <f ca="1">IF($C76=1,OFFSET(E76,-1,0)+MAX(1,COUNTIF(QCI!$A$13:$A$24,OFFSET(ORÇAMENTO!E76,-1,0))),OFFSET(E76,-1,0))</f>
        <v>1</v>
      </c>
      <c r="F76" s="670">
        <f t="shared" ca="1" si="21"/>
        <v>10</v>
      </c>
      <c r="G76" s="670">
        <f t="shared" ca="1" si="22"/>
        <v>0</v>
      </c>
      <c r="H76" s="670">
        <f t="shared" ca="1" si="23"/>
        <v>0</v>
      </c>
      <c r="I76" s="670">
        <f t="shared" ca="1" si="24"/>
        <v>1</v>
      </c>
      <c r="J76" s="670">
        <f t="shared" ca="1" si="25"/>
        <v>0</v>
      </c>
      <c r="K76" s="670">
        <f ca="1">IF(OR($C76="S",$C76=0),0,MATCH(OFFSET($D76,0,$C76)+IF($C76&lt;&gt;1,1,COUNTIF(QCI!$A$13:$A$24,ORÇAMENTO!E76)),OFFSET($D76,1,$C76,ROW($C$191)-ROW($C76)),0))</f>
        <v>0</v>
      </c>
      <c r="L76" s="114" t="str">
        <f t="shared" ca="1" si="26"/>
        <v>F</v>
      </c>
      <c r="M76" s="115" t="s">
        <v>705</v>
      </c>
      <c r="N76" s="116" t="str">
        <f t="shared" ca="1" si="27"/>
        <v>Serviço</v>
      </c>
      <c r="O76" s="117" t="str">
        <f t="shared" ca="1" si="28"/>
        <v>1.10.1.</v>
      </c>
      <c r="P76" s="688" t="s">
        <v>750</v>
      </c>
      <c r="Q76" s="689" t="s">
        <v>1022</v>
      </c>
      <c r="R76" s="690" t="str" cm="1">
        <f t="array" aca="1" ref="R76" ca="1">IF($C76="S",REFERENCIA.Descricao,"(digite a descrição aqui)")</f>
        <v>ESCAVAÇÃO MECANIZADA DE VALA COM PROF. MAIOR QUE 1,5 M ATÉ 3,0 M (MÉDIA MONTANTE E JUSANTE/UMA COMPOSIÇÃO POR TRECHO), RETROESCAV. (0,26 M3), LARGURA DE 0,8 M A 1,5 M, EM SOLO DE 1A CATEGORIA, EM LOCAIS COM ALTO NÍVEL DE INTERFERÊNCIA. AF_09/2024</v>
      </c>
      <c r="S76" s="691" t="str" cm="1">
        <f t="array" aca="1" ref="S76" ca="1">REFERENCIA.Unidade</f>
        <v>M3</v>
      </c>
      <c r="T76" s="122">
        <f ca="1">OFFSET(CÁLCULO!H$15,ROW($T76)-ROW(T$15),0)</f>
        <v>5424</v>
      </c>
      <c r="U76" s="693">
        <f ca="1">AG76</f>
        <v>13.35</v>
      </c>
      <c r="V76" s="694" t="s">
        <v>663</v>
      </c>
      <c r="W76" s="122" cm="1">
        <f t="array" aca="1" ref="W76" ca="1">IF($C76="S",ROUND(IF(TIPOORCAMENTO="Proposto",ORÇAMENTO.CustoUnitario*(1+$AH76),ORÇAMENTO.PrecoUnitarioLicitado),15-13*$AF$10),0)</f>
        <v>16.55</v>
      </c>
      <c r="X76" s="125" cm="1">
        <f t="array" aca="1" ref="X76" ca="1">IF($C76="S",IF(OR(Import.TipoArredondamento&lt;&gt;"TransfereGOV",ACOMPANHAMENTO="BM"),VTOTAL1,SUM(OFFSET(CÁLCULO!$AI$15,ROW($X76)-ROW($X$15),1):OFFSET(CÁLCULO!$BB$15,ROW($X76)-ROW($X$15),-1))),IF($C76=0,0,ROUND(SomaAgrup,15-13*$AF$11)))</f>
        <v>89767.2</v>
      </c>
      <c r="Y76" s="126" t="s">
        <v>751</v>
      </c>
      <c r="Z76" s="670" t="str">
        <f t="shared" ca="1" si="29"/>
        <v>RA</v>
      </c>
      <c r="AA76" s="127" cm="1">
        <f t="array" aca="1" ref="AA76" ca="1">IF($C76="S",IF($Z76="CP",$X76,IF($Z76="RA",(($X76)*QCI!$AA$3),0)),SomaAgrup)</f>
        <v>0</v>
      </c>
      <c r="AB76" s="128" cm="1">
        <f t="array" aca="1" ref="AB76" ca="1">IF($C76="S",IF($Z76="OU",ROUND($X76,2),0),SomaAgrup)</f>
        <v>0</v>
      </c>
      <c r="AC76" s="565" t="str" cm="1">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IF(AND(TIPOORCAMENTO="Licitado",$AL76=0,$AN76&gt;0),"SEM PREÇO",
IF(AND($C76="S",$P76&lt;&gt;"",$Q76&lt;&gt;"",$U76&gt;0,AND($V76&lt;&gt;"BDI 1",$V76&lt;&gt;"BDI 2",$V76&lt;&gt;"BDI 3")),IF(ISNUMBER($V76),"JUSTIFICAR BDI","BDI"),
IF(OR(AND(import.recurso="OGU",TIPOORCAMENTO="Proposto",LEFT($O$8,5)&lt;&gt;"(N/D:",$AG76&lt;&gt;"",ORÇAMENTO.CustoUnitario&gt;$AG76),AND(TIPOORCAMENTO="LICITADO",ORÇAMENTO.PrecoUnitarioLicitado&gt;$AN76)),"ACIMA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D76" s="670" t="str">
        <f ca="1">IF(C76&lt;=CRONO.NivelExibicao,MAX($AD$15:OFFSET(AD76,-1,0))+IF($C76&lt;&gt;1,1,MAX(1,COUNTIF(QCI!$A$13:$A$24,OFFSET($E76,-1,0)))),"")</f>
        <v/>
      </c>
      <c r="AE76" s="668" t="str" cm="1">
        <f t="array" aca="1" ref="AE76" ca="1">IF(AND($C76="S",ORÇAMENTO.CodBarra&lt;&gt;""),IF(ORÇAMENTO.Fonte="",ORÇAMENTO.CodBarra,CONCATENATE(ORÇAMENTO.Fonte," ",ORÇAMENTO.CodBarra)))</f>
        <v>SINAPI 90102</v>
      </c>
      <c r="AF76" s="669" cm="1">
        <f t="array" aca="1" ref="AF76" ca="1">IF(ISERROR(ORÇAMENTO.BancoRef),"(abra o arquivo 'Referência "&amp;Excel_BuiltIn_Database&amp;".xlsm)",IF(OR($C76&lt;&gt;"S",ORÇAMENTO.CodBarra=""),"(Sem Código)",IF(ISERROR(MATCH($AE76,INDIRECT(ORÇAMENTO.BancoRef),0)),"(Código não identificado nas referências)",MATCH($AE76,INDIRECT(ORÇAMENTO.BancoRef),0))))</f>
        <v>9523</v>
      </c>
      <c r="AG76" s="428" cm="1">
        <f t="array" aca="1" ref="AG76" ca="1">ROUND(IF(DESONERACAO="sim",REFERENCIA.Desonerado,REFERENCIA.NaoDesonerado),2)</f>
        <v>13.35</v>
      </c>
      <c r="AH76" s="429">
        <f t="shared" ca="1" si="30"/>
        <v>0.24</v>
      </c>
      <c r="AJ76" s="431"/>
      <c r="AL76" s="439"/>
      <c r="AM76" s="336">
        <f t="shared" ca="1" si="0"/>
        <v>89767.2</v>
      </c>
      <c r="AN76" s="470" cm="1">
        <f t="array" aca="1" ref="AN76" ca="1">ROUND(ORÇAMENTO.CustoUnitario*(1+$AH76),2)</f>
        <v>16.55</v>
      </c>
    </row>
    <row r="77" spans="1:40" s="670" customFormat="1" ht="38.25" x14ac:dyDescent="0.2">
      <c r="A77" s="670" t="str">
        <f t="shared" si="17"/>
        <v>S</v>
      </c>
      <c r="B77" s="670">
        <f t="shared" ca="1" si="18"/>
        <v>2</v>
      </c>
      <c r="C77" s="670" t="str">
        <f t="shared" ca="1" si="19"/>
        <v>S</v>
      </c>
      <c r="D77" s="670">
        <f t="shared" ca="1" si="20"/>
        <v>0</v>
      </c>
      <c r="E77" s="670">
        <f ca="1">IF($C77=1,OFFSET(E77,-1,0)+MAX(1,COUNTIF(QCI!$A$13:$A$24,OFFSET(ORÇAMENTO!E77,-1,0))),OFFSET(E77,-1,0))</f>
        <v>1</v>
      </c>
      <c r="F77" s="670">
        <f t="shared" ca="1" si="21"/>
        <v>10</v>
      </c>
      <c r="G77" s="670">
        <f t="shared" ca="1" si="22"/>
        <v>0</v>
      </c>
      <c r="H77" s="670">
        <f t="shared" ca="1" si="23"/>
        <v>0</v>
      </c>
      <c r="I77" s="670">
        <f t="shared" ca="1" si="24"/>
        <v>2</v>
      </c>
      <c r="J77" s="670">
        <f t="shared" ca="1" si="25"/>
        <v>0</v>
      </c>
      <c r="K77" s="670">
        <f ca="1">IF(OR($C77="S",$C77=0),0,MATCH(OFFSET($D77,0,$C77)+IF($C77&lt;&gt;1,1,COUNTIF(QCI!$A$13:$A$24,ORÇAMENTO!E77)),OFFSET($D77,1,$C77,ROW($C$191)-ROW($C77)),0))</f>
        <v>0</v>
      </c>
      <c r="L77" s="114" t="str">
        <f t="shared" ca="1" si="26"/>
        <v>F</v>
      </c>
      <c r="M77" s="115" t="s">
        <v>705</v>
      </c>
      <c r="N77" s="116" t="str">
        <f t="shared" ca="1" si="27"/>
        <v>Serviço</v>
      </c>
      <c r="O77" s="117" t="str">
        <f t="shared" ca="1" si="28"/>
        <v>1.10.2.</v>
      </c>
      <c r="P77" s="688" t="s">
        <v>750</v>
      </c>
      <c r="Q77" s="689" t="s">
        <v>1023</v>
      </c>
      <c r="R77" s="690" t="str" cm="1">
        <f t="array" aca="1" ref="R77" ca="1">IF($C77="S",REFERENCIA.Descricao,"(digite a descrição aqui)")</f>
        <v>PREPARO DE FUNDO DE VALA COM LARGURA MENOR QUE 1,5 M (ACERTO DO SOLO NATURAL), EM LOCAL COM NÍVEL BAIXO DE INTERFERÊNCIA. AF_01/2026</v>
      </c>
      <c r="S77" s="691" t="str" cm="1">
        <f t="array" aca="1" ref="S77" ca="1">REFERENCIA.Unidade</f>
        <v>M2</v>
      </c>
      <c r="T77" s="122">
        <f ca="1">OFFSET(CÁLCULO!H$15,ROW($T77)-ROW(T$15),0)</f>
        <v>3390</v>
      </c>
      <c r="U77" s="693">
        <f ca="1">AG77</f>
        <v>8.8000000000000007</v>
      </c>
      <c r="V77" s="694" t="s">
        <v>663</v>
      </c>
      <c r="W77" s="122" cm="1">
        <f t="array" aca="1" ref="W77" ca="1">IF($C77="S",ROUND(IF(TIPOORCAMENTO="Proposto",ORÇAMENTO.CustoUnitario*(1+$AH77),ORÇAMENTO.PrecoUnitarioLicitado),15-13*$AF$10),0)</f>
        <v>10.91</v>
      </c>
      <c r="X77" s="125" cm="1">
        <f t="array" aca="1" ref="X77" ca="1">IF($C77="S",IF(OR(Import.TipoArredondamento&lt;&gt;"TransfereGOV",ACOMPANHAMENTO="BM"),VTOTAL1,SUM(OFFSET(CÁLCULO!$AI$15,ROW($X77)-ROW($X$15),1):OFFSET(CÁLCULO!$BB$15,ROW($X77)-ROW($X$15),-1))),IF($C77=0,0,ROUND(SomaAgrup,15-13*$AF$11)))</f>
        <v>36984.9</v>
      </c>
      <c r="Y77" s="126" t="s">
        <v>751</v>
      </c>
      <c r="Z77" s="670" t="str">
        <f t="shared" ca="1" si="29"/>
        <v>RA</v>
      </c>
      <c r="AA77" s="127" cm="1">
        <f t="array" aca="1" ref="AA77" ca="1">IF($C77="S",IF($Z77="CP",$X77,IF($Z77="RA",(($X77)*QCI!$AA$3),0)),SomaAgrup)</f>
        <v>0</v>
      </c>
      <c r="AB77" s="128" cm="1">
        <f t="array" aca="1" ref="AB77" ca="1">IF($C77="S",IF($Z77="OU",ROUND($X77,2),0),SomaAgrup)</f>
        <v>0</v>
      </c>
      <c r="AC77" s="565" t="str" cm="1">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IF(AND(TIPOORCAMENTO="Licitado",$AL77=0,$AN77&gt;0),"SEM PREÇO",
IF(AND($C77="S",$P77&lt;&gt;"",$Q77&lt;&gt;"",$U77&gt;0,AND($V77&lt;&gt;"BDI 1",$V77&lt;&gt;"BDI 2",$V77&lt;&gt;"BDI 3")),IF(ISNUMBER($V77),"JUSTIFICAR BDI","BDI"),
IF(OR(AND(import.recurso="OGU",TIPOORCAMENTO="Proposto",LEFT($O$8,5)&lt;&gt;"(N/D:",$AG77&lt;&gt;"",ORÇAMENTO.CustoUnitario&gt;$AG77),AND(TIPOORCAMENTO="LICITADO",ORÇAMENTO.PrecoUnitarioLicitado&gt;$AN77)),"ACIMA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 xml:space="preserve"> </v>
      </c>
      <c r="AD77" s="670" t="str">
        <f ca="1">IF(C77&lt;=CRONO.NivelExibicao,MAX($AD$15:OFFSET(AD77,-1,0))+IF($C77&lt;&gt;1,1,MAX(1,COUNTIF(QCI!$A$13:$A$24,OFFSET($E77,-1,0)))),"")</f>
        <v/>
      </c>
      <c r="AE77" s="668" t="str" cm="1">
        <f t="array" aca="1" ref="AE77" ca="1">IF(AND($C77="S",ORÇAMENTO.CodBarra&lt;&gt;""),IF(ORÇAMENTO.Fonte="",ORÇAMENTO.CodBarra,CONCATENATE(ORÇAMENTO.Fonte," ",ORÇAMENTO.CodBarra)))</f>
        <v>SINAPI 101616</v>
      </c>
      <c r="AF77" s="669" cm="1">
        <f t="array" aca="1" ref="AF77" ca="1">IF(ISERROR(ORÇAMENTO.BancoRef),"(abra o arquivo 'Referência "&amp;Excel_BuiltIn_Database&amp;".xlsm)",IF(OR($C77&lt;&gt;"S",ORÇAMENTO.CodBarra=""),"(Sem Código)",IF(ISERROR(MATCH($AE77,INDIRECT(ORÇAMENTO.BancoRef),0)),"(Código não identificado nas referências)",MATCH($AE77,INDIRECT(ORÇAMENTO.BancoRef),0))))</f>
        <v>9622</v>
      </c>
      <c r="AG77" s="428" cm="1">
        <f t="array" aca="1" ref="AG77" ca="1">ROUND(IF(DESONERACAO="sim",REFERENCIA.Desonerado,REFERENCIA.NaoDesonerado),2)</f>
        <v>8.8000000000000007</v>
      </c>
      <c r="AH77" s="429">
        <f t="shared" ca="1" si="30"/>
        <v>0.24</v>
      </c>
      <c r="AJ77" s="431"/>
      <c r="AL77" s="439"/>
      <c r="AM77" s="336">
        <f t="shared" ca="1" si="0"/>
        <v>36984.9</v>
      </c>
      <c r="AN77" s="470" cm="1">
        <f t="array" aca="1" ref="AN77" ca="1">ROUND(ORÇAMENTO.CustoUnitario*(1+$AH77),2)</f>
        <v>10.91</v>
      </c>
    </row>
    <row r="78" spans="1:40" s="670" customFormat="1" ht="63.75" x14ac:dyDescent="0.2">
      <c r="A78" s="670" t="str">
        <f t="shared" si="17"/>
        <v>S</v>
      </c>
      <c r="B78" s="670">
        <f t="shared" ca="1" si="18"/>
        <v>2</v>
      </c>
      <c r="C78" s="670" t="str">
        <f t="shared" ca="1" si="19"/>
        <v>S</v>
      </c>
      <c r="D78" s="670">
        <f t="shared" ca="1" si="20"/>
        <v>0</v>
      </c>
      <c r="E78" s="670">
        <f ca="1">IF($C78=1,OFFSET(E78,-1,0)+MAX(1,COUNTIF(QCI!$A$13:$A$24,OFFSET(ORÇAMENTO!E78,-1,0))),OFFSET(E78,-1,0))</f>
        <v>1</v>
      </c>
      <c r="F78" s="670">
        <f t="shared" ca="1" si="21"/>
        <v>10</v>
      </c>
      <c r="G78" s="670">
        <f t="shared" ca="1" si="22"/>
        <v>0</v>
      </c>
      <c r="H78" s="670">
        <f t="shared" ca="1" si="23"/>
        <v>0</v>
      </c>
      <c r="I78" s="670">
        <f t="shared" ca="1" si="24"/>
        <v>3</v>
      </c>
      <c r="J78" s="670">
        <f t="shared" ca="1" si="25"/>
        <v>0</v>
      </c>
      <c r="K78" s="670">
        <f ca="1">IF(OR($C78="S",$C78=0),0,MATCH(OFFSET($D78,0,$C78)+IF($C78&lt;&gt;1,1,COUNTIF(QCI!$A$13:$A$24,ORÇAMENTO!E78)),OFFSET($D78,1,$C78,ROW($C$191)-ROW($C78)),0))</f>
        <v>0</v>
      </c>
      <c r="L78" s="114" t="str">
        <f t="shared" ca="1" si="26"/>
        <v>F</v>
      </c>
      <c r="M78" s="115" t="s">
        <v>705</v>
      </c>
      <c r="N78" s="116" t="str">
        <f t="shared" ca="1" si="27"/>
        <v>Serviço</v>
      </c>
      <c r="O78" s="117" t="str">
        <f t="shared" ca="1" si="28"/>
        <v>1.10.3.</v>
      </c>
      <c r="P78" s="688" t="s">
        <v>750</v>
      </c>
      <c r="Q78" s="689" t="s">
        <v>1024</v>
      </c>
      <c r="R78" s="690" t="str" cm="1">
        <f t="array" aca="1" ref="R78" ca="1">IF($C78="S",REFERENCIA.Descricao,"(digite a descrição aqui)")</f>
        <v>REATERRO MECANIZADO DE VALA COM RETROESCAVADEIRA (CAPACIDADE DA CAÇAMBA DA RETRO: 0,26 M³/POTÊNCIA: 88 HP), LARGURA ATÉ 0,8 M, PROFUNDIDADE ATÉ 1,5 M, COM SOLO (SEM SUBSTITUIÇÃO) DE 1ª CATEGORIA, COM COMPACTADOR DE SOLOS DE PERCUSSÃO. AF_08/2023</v>
      </c>
      <c r="S78" s="691" t="str" cm="1">
        <f t="array" aca="1" ref="S78" ca="1">REFERENCIA.Unidade</f>
        <v>M3</v>
      </c>
      <c r="T78" s="122">
        <f ca="1">OFFSET(CÁLCULO!H$15,ROW($T78)-ROW(T$15),0)</f>
        <v>5424</v>
      </c>
      <c r="U78" s="693">
        <f t="shared" ca="1" si="31"/>
        <v>27.85</v>
      </c>
      <c r="V78" s="694" t="s">
        <v>663</v>
      </c>
      <c r="W78" s="122" cm="1">
        <f t="array" aca="1" ref="W78" ca="1">IF($C78="S",ROUND(IF(TIPOORCAMENTO="Proposto",ORÇAMENTO.CustoUnitario*(1+$AH78),ORÇAMENTO.PrecoUnitarioLicitado),15-13*$AF$10),0)</f>
        <v>34.53</v>
      </c>
      <c r="X78" s="125" cm="1">
        <f t="array" aca="1" ref="X78" ca="1">IF($C78="S",IF(OR(Import.TipoArredondamento&lt;&gt;"TransfereGOV",ACOMPANHAMENTO="BM"),VTOTAL1,SUM(OFFSET(CÁLCULO!$AI$15,ROW($X78)-ROW($X$15),1):OFFSET(CÁLCULO!$BB$15,ROW($X78)-ROW($X$15),-1))),IF($C78=0,0,ROUND(SomaAgrup,15-13*$AF$11)))</f>
        <v>187290.72</v>
      </c>
      <c r="Y78" s="126" t="s">
        <v>751</v>
      </c>
      <c r="Z78" s="670" t="str">
        <f t="shared" ca="1" si="29"/>
        <v>RA</v>
      </c>
      <c r="AA78" s="127" cm="1">
        <f t="array" aca="1" ref="AA78" ca="1">IF($C78="S",IF($Z78="CP",$X78,IF($Z78="RA",(($X78)*QCI!$AA$3),0)),SomaAgrup)</f>
        <v>0</v>
      </c>
      <c r="AB78" s="128" cm="1">
        <f t="array" aca="1" ref="AB78" ca="1">IF($C78="S",IF($Z78="OU",ROUND($X78,2),0),SomaAgrup)</f>
        <v>0</v>
      </c>
      <c r="AC78" s="565" t="str" cm="1">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IF(AND(TIPOORCAMENTO="Licitado",$AL78=0,$AN78&gt;0),"SEM PREÇO",
IF(AND($C78="S",$P78&lt;&gt;"",$Q78&lt;&gt;"",$U78&gt;0,AND($V78&lt;&gt;"BDI 1",$V78&lt;&gt;"BDI 2",$V78&lt;&gt;"BDI 3")),IF(ISNUMBER($V78),"JUSTIFICAR BDI","BDI"),
IF(OR(AND(import.recurso="OGU",TIPOORCAMENTO="Proposto",LEFT($O$8,5)&lt;&gt;"(N/D:",$AG78&lt;&gt;"",ORÇAMENTO.CustoUnitario&gt;$AG78),AND(TIPOORCAMENTO="LICITADO",ORÇAMENTO.PrecoUnitarioLicitado&gt;$AN78)),"ACIMA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 xml:space="preserve"> </v>
      </c>
      <c r="AD78" s="670" t="str">
        <f ca="1">IF(C78&lt;=CRONO.NivelExibicao,MAX($AD$15:OFFSET(AD78,-1,0))+IF($C78&lt;&gt;1,1,MAX(1,COUNTIF(QCI!$A$13:$A$24,OFFSET($E78,-1,0)))),"")</f>
        <v/>
      </c>
      <c r="AE78" s="668" t="str" cm="1">
        <f t="array" aca="1" ref="AE78" ca="1">IF(AND($C78="S",ORÇAMENTO.CodBarra&lt;&gt;""),IF(ORÇAMENTO.Fonte="",ORÇAMENTO.CodBarra,CONCATENATE(ORÇAMENTO.Fonte," ",ORÇAMENTO.CodBarra)))</f>
        <v>SINAPI 93378</v>
      </c>
      <c r="AF78" s="669" cm="1">
        <f t="array" aca="1" ref="AF78" ca="1">IF(ISERROR(ORÇAMENTO.BancoRef),"(abra o arquivo 'Referência "&amp;Excel_BuiltIn_Database&amp;".xlsm)",IF(OR($C78&lt;&gt;"S",ORÇAMENTO.CodBarra=""),"(Sem Código)",IF(ISERROR(MATCH($AE78,INDIRECT(ORÇAMENTO.BancoRef),0)),"(Código não identificado nas referências)",MATCH($AE78,INDIRECT(ORÇAMENTO.BancoRef),0))))</f>
        <v>6793</v>
      </c>
      <c r="AG78" s="428" cm="1">
        <f t="array" aca="1" ref="AG78" ca="1">ROUND(IF(DESONERACAO="sim",REFERENCIA.Desonerado,REFERENCIA.NaoDesonerado),2)</f>
        <v>27.85</v>
      </c>
      <c r="AH78" s="429">
        <f t="shared" ca="1" si="30"/>
        <v>0.24</v>
      </c>
      <c r="AJ78" s="431"/>
      <c r="AL78" s="439"/>
      <c r="AM78" s="336">
        <f t="shared" ca="1" si="0"/>
        <v>187290.72</v>
      </c>
      <c r="AN78" s="470" cm="1">
        <f t="array" aca="1" ref="AN78" ca="1">ROUND(ORÇAMENTO.CustoUnitario*(1+$AH78),2)</f>
        <v>34.53</v>
      </c>
    </row>
    <row r="79" spans="1:40" s="670" customFormat="1" ht="51" x14ac:dyDescent="0.2">
      <c r="A79" s="670" t="str">
        <f t="shared" si="17"/>
        <v>S</v>
      </c>
      <c r="B79" s="670">
        <f t="shared" ca="1" si="18"/>
        <v>2</v>
      </c>
      <c r="C79" s="670" t="str">
        <f t="shared" ca="1" si="19"/>
        <v>S</v>
      </c>
      <c r="D79" s="670">
        <f t="shared" ca="1" si="20"/>
        <v>0</v>
      </c>
      <c r="E79" s="670">
        <f ca="1">IF($C79=1,OFFSET(E79,-1,0)+MAX(1,COUNTIF(QCI!$A$13:$A$24,OFFSET(ORÇAMENTO!E79,-1,0))),OFFSET(E79,-1,0))</f>
        <v>1</v>
      </c>
      <c r="F79" s="670">
        <f t="shared" ca="1" si="21"/>
        <v>10</v>
      </c>
      <c r="G79" s="670">
        <f t="shared" ca="1" si="22"/>
        <v>0</v>
      </c>
      <c r="H79" s="670">
        <f t="shared" ca="1" si="23"/>
        <v>0</v>
      </c>
      <c r="I79" s="670">
        <f t="shared" ca="1" si="24"/>
        <v>4</v>
      </c>
      <c r="J79" s="670">
        <f t="shared" ca="1" si="25"/>
        <v>0</v>
      </c>
      <c r="K79" s="670">
        <f ca="1">IF(OR($C79="S",$C79=0),0,MATCH(OFFSET($D79,0,$C79)+IF($C79&lt;&gt;1,1,COUNTIF(QCI!$A$13:$A$24,ORÇAMENTO!E79)),OFFSET($D79,1,$C79,ROW($C$191)-ROW($C79)),0))</f>
        <v>0</v>
      </c>
      <c r="L79" s="114" t="str">
        <f t="shared" ca="1" si="26"/>
        <v>F</v>
      </c>
      <c r="M79" s="115" t="s">
        <v>705</v>
      </c>
      <c r="N79" s="116" t="str">
        <f t="shared" ca="1" si="27"/>
        <v>Serviço</v>
      </c>
      <c r="O79" s="117" t="str">
        <f t="shared" ca="1" si="28"/>
        <v>1.10.4.</v>
      </c>
      <c r="P79" s="688" t="s">
        <v>750</v>
      </c>
      <c r="Q79" s="689" t="s">
        <v>1025</v>
      </c>
      <c r="R79" s="690" t="str" cm="1">
        <f t="array" aca="1" ref="R79" ca="1">IF($C79="S",REFERENCIA.Descricao,"(digite a descrição aqui)")</f>
        <v>ASSENTAMENTO DE TUBO DE PVC DEFOFO OU PRFV OU RPVC PARA REDE DE ÁGUA, DN 200 MM, JUNTA ELÁSTICA INTEGRADA, INSTALADO EM LOCAL COM NÍVEL ALTO DE INTERFERÊNCIAS (NÃO INCLUI FORNECIMENTO). AF_05/2024</v>
      </c>
      <c r="S79" s="691" t="str" cm="1">
        <f t="array" aca="1" ref="S79" ca="1">REFERENCIA.Unidade</f>
        <v>M</v>
      </c>
      <c r="T79" s="122">
        <f ca="1">OFFSET(CÁLCULO!H$15,ROW($T79)-ROW(T$15),0)</f>
        <v>3390</v>
      </c>
      <c r="U79" s="693">
        <f t="shared" ca="1" si="31"/>
        <v>11.37</v>
      </c>
      <c r="V79" s="694" t="s">
        <v>663</v>
      </c>
      <c r="W79" s="122" cm="1">
        <f t="array" aca="1" ref="W79" ca="1">IF($C79="S",ROUND(IF(TIPOORCAMENTO="Proposto",ORÇAMENTO.CustoUnitario*(1+$AH79),ORÇAMENTO.PrecoUnitarioLicitado),15-13*$AF$10),0)</f>
        <v>14.1</v>
      </c>
      <c r="X79" s="125" cm="1">
        <f t="array" aca="1" ref="X79" ca="1">IF($C79="S",IF(OR(Import.TipoArredondamento&lt;&gt;"TransfereGOV",ACOMPANHAMENTO="BM"),VTOTAL1,SUM(OFFSET(CÁLCULO!$AI$15,ROW($X79)-ROW($X$15),1):OFFSET(CÁLCULO!$BB$15,ROW($X79)-ROW($X$15),-1))),IF($C79=0,0,ROUND(SomaAgrup,15-13*$AF$11)))</f>
        <v>47799</v>
      </c>
      <c r="Y79" s="126" t="s">
        <v>751</v>
      </c>
      <c r="Z79" s="670" t="str">
        <f t="shared" ca="1" si="29"/>
        <v>RA</v>
      </c>
      <c r="AA79" s="127" cm="1">
        <f t="array" aca="1" ref="AA79" ca="1">IF($C79="S",IF($Z79="CP",$X79,IF($Z79="RA",(($X79)*QCI!$AA$3),0)),SomaAgrup)</f>
        <v>0</v>
      </c>
      <c r="AB79" s="128" cm="1">
        <f t="array" aca="1" ref="AB79" ca="1">IF($C79="S",IF($Z79="OU",ROUND($X79,2),0),SomaAgrup)</f>
        <v>0</v>
      </c>
      <c r="AC79" s="565" t="str" cm="1">
        <f t="array" aca="1" ref="AC79" ca="1">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IF(AND(TIPOORCAMENTO="Licitado",$AL79=0,$AN79&gt;0),"SEM PREÇO",
IF(AND($C79="S",$P79&lt;&gt;"",$Q79&lt;&gt;"",$U79&gt;0,AND($V79&lt;&gt;"BDI 1",$V79&lt;&gt;"BDI 2",$V79&lt;&gt;"BDI 3")),IF(ISNUMBER($V79),"JUSTIFICAR BDI","BDI"),
IF(OR(AND(import.recurso="OGU",TIPOORCAMENTO="Proposto",LEFT($O$8,5)&lt;&gt;"(N/D:",$AG79&lt;&gt;"",ORÇAMENTO.CustoUnitario&gt;$AG79),AND(TIPOORCAMENTO="LICITADO",ORÇAMENTO.PrecoUnitarioLicitado&gt;$AN79)),"ACIMA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 xml:space="preserve"> </v>
      </c>
      <c r="AD79" s="670" t="str">
        <f ca="1">IF(C79&lt;=CRONO.NivelExibicao,MAX($AD$15:OFFSET(AD79,-1,0))+IF($C79&lt;&gt;1,1,MAX(1,COUNTIF(QCI!$A$13:$A$24,OFFSET($E79,-1,0)))),"")</f>
        <v/>
      </c>
      <c r="AE79" s="668" t="str" cm="1">
        <f t="array" aca="1" ref="AE79" ca="1">IF(AND($C79="S",ORÇAMENTO.CodBarra&lt;&gt;""),IF(ORÇAMENTO.Fonte="",ORÇAMENTO.CodBarra,CONCATENATE(ORÇAMENTO.Fonte," ",ORÇAMENTO.CodBarra)))</f>
        <v>SINAPI 97128</v>
      </c>
      <c r="AF79" s="669" cm="1">
        <f t="array" aca="1" ref="AF79" ca="1">IF(ISERROR(ORÇAMENTO.BancoRef),"(abra o arquivo 'Referência "&amp;Excel_BuiltIn_Database&amp;".xlsm)",IF(OR($C79&lt;&gt;"S",ORÇAMENTO.CodBarra=""),"(Sem Código)",IF(ISERROR(MATCH($AE79,INDIRECT(ORÇAMENTO.BancoRef),0)),"(Código não identificado nas referências)",MATCH($AE79,INDIRECT(ORÇAMENTO.BancoRef),0))))</f>
        <v>6619</v>
      </c>
      <c r="AG79" s="428" cm="1">
        <f t="array" aca="1" ref="AG79" ca="1">ROUND(IF(DESONERACAO="sim",REFERENCIA.Desonerado,REFERENCIA.NaoDesonerado),2)</f>
        <v>11.37</v>
      </c>
      <c r="AH79" s="429">
        <f t="shared" ca="1" si="30"/>
        <v>0.24</v>
      </c>
      <c r="AJ79" s="431"/>
      <c r="AL79" s="439"/>
      <c r="AM79" s="336">
        <f t="shared" ca="1" si="0"/>
        <v>47799</v>
      </c>
      <c r="AN79" s="470" cm="1">
        <f t="array" aca="1" ref="AN79" ca="1">ROUND(ORÇAMENTO.CustoUnitario*(1+$AH79),2)</f>
        <v>14.1</v>
      </c>
    </row>
    <row r="80" spans="1:40" s="673" customFormat="1" ht="51" x14ac:dyDescent="0.2">
      <c r="A80" s="673" t="str">
        <f>CHOOSE(1+LOG(1+2*(ORÇAMENTO.Nivel="Meta")+4*(ORÇAMENTO.Nivel="Nível 2")+8*(ORÇAMENTO.Nivel="Nível 3")+16*(ORÇAMENTO.Nivel="Nível 4")+32*(ORÇAMENTO.Nivel="Serviço"),2),0,1,2,3,4,"S")</f>
        <v>S</v>
      </c>
      <c r="B80" s="673">
        <f ca="1">IF(OR(C80="s",C80=0),OFFSET(B80,-1,0),C80)</f>
        <v>2</v>
      </c>
      <c r="C80" s="673" t="str">
        <f ca="1">IF(OFFSET(C80,-1,0)="L",1,IF(OFFSET(C80,-1,0)=1,2,IF(OR(A80="s",A80=0),"S",IF(AND(OFFSET(C80,-1,0)=2,A80=4),3,IF(AND(OR(OFFSET(C80,-1,0)="s",OFFSET(C80,-1,0)=0),A80&lt;&gt;"s",A80&gt;OFFSET(B80,-1,0)),OFFSET(B80,-1,0),A80)))))</f>
        <v>S</v>
      </c>
      <c r="D80" s="673">
        <f ca="1">IF(OR(C80="S",C80=0),0,IF(ISERROR(K80),J80,SMALL(J80:K80,1)))</f>
        <v>0</v>
      </c>
      <c r="E80" s="673">
        <f ca="1">IF($C80=1,OFFSET(E80,-1,0)+MAX(1,COUNTIF(QCI!$A$13:$A$24,OFFSET(ORÇAMENTO!E80,-1,0))),OFFSET(E80,-1,0))</f>
        <v>1</v>
      </c>
      <c r="F80" s="673">
        <f ca="1">IF($C80=1,0,IF($C80=2,OFFSET(F80,-1,0)+1,OFFSET(F80,-1,0)))</f>
        <v>10</v>
      </c>
      <c r="G80" s="673">
        <f ca="1">IF(AND($C80&lt;=2,$C80&lt;&gt;0),0,IF($C80=3,OFFSET(G80,-1,0)+1,OFFSET(G80,-1,0)))</f>
        <v>0</v>
      </c>
      <c r="H80" s="673">
        <f ca="1">IF(AND($C80&lt;=3,$C80&lt;&gt;0),0,IF($C80=4,OFFSET(H80,-1,0)+1,OFFSET(H80,-1,0)))</f>
        <v>0</v>
      </c>
      <c r="I80" s="673">
        <f ca="1">IF(AND($C80&lt;=4,$C80&lt;&gt;0),0,IF(AND($C80="S",$X80&gt;0),OFFSET(I80,-1,0)+1,OFFSET(I80,-1,0)))</f>
        <v>5</v>
      </c>
      <c r="J80" s="673">
        <f t="shared" ca="1" si="25"/>
        <v>0</v>
      </c>
      <c r="K80" s="673">
        <f ca="1">IF(OR($C80="S",$C80=0),0,MATCH(OFFSET($D80,0,$C80)+IF($C80&lt;&gt;1,1,COUNTIF(QCI!$A$13:$A$24,ORÇAMENTO!E80)),OFFSET($D80,1,$C80,ROW($C$191)-ROW($C80)),0))</f>
        <v>0</v>
      </c>
      <c r="L80" s="114" t="str">
        <f ca="1">IF(OR($X80&gt;0,$C80=1,$C80=2,$C80=3,$C80=4),"F","")</f>
        <v>F</v>
      </c>
      <c r="M80" s="115" t="s">
        <v>705</v>
      </c>
      <c r="N80" s="116" t="str">
        <f ca="1">CHOOSE(1+LOG(1+2*(C80=1)+4*(C80=2)+8*(C80=3)+16*(C80=4)+32*(C80="S"),2),"","Meta","Nível 2","Nível 3","Nível 4","Serviço")</f>
        <v>Serviço</v>
      </c>
      <c r="O80" s="117" t="str">
        <f ca="1">IF(OR($C80=0,$L80=""),"-",CONCATENATE(E80&amp;".",IF(AND($A$5&gt;=2,$C80&gt;=2),F80&amp;".",""),IF(AND($A$5&gt;=3,$C80&gt;=3),G80&amp;".",""),IF(AND($A$5&gt;=4,$C80&gt;=4),H80&amp;".",""),IF($C80="S",I80&amp;".","")))</f>
        <v>1.10.5.</v>
      </c>
      <c r="P80" s="688" t="s">
        <v>1064</v>
      </c>
      <c r="Q80" s="689" t="s">
        <v>1013</v>
      </c>
      <c r="R80" s="690" t="str" cm="1">
        <f t="array" aca="1" ref="R80" ca="1">IF($C80="S",REFERENCIA.Descricao,"(digite a descrição aqui)")</f>
        <v>EXECUÇÃO E APLICAÇÃO DE CONCRETO BETUMINOSO USINADO A QUENTE (CBUQ), MASSA COMERCIAL, INCLUINDO FORNECIMENTO E TRANSPORTE DOS AGREGADOS E MATERIAL BETUMINOSO, EXCLUSIVE TRANSPORTE DA MASSA ASFÁLTICA ATÉ A PISTA</v>
      </c>
      <c r="S80" s="691" t="str" cm="1">
        <f t="array" aca="1" ref="S80" ca="1">REFERENCIA.Unidade</f>
        <v>m3</v>
      </c>
      <c r="T80" s="122">
        <f ca="1">OFFSET(CÁLCULO!H$15,ROW($T80)-ROW(T$15),0)</f>
        <v>54.14</v>
      </c>
      <c r="U80" s="693">
        <f t="shared" ca="1" si="31"/>
        <v>1800.12</v>
      </c>
      <c r="V80" s="694" t="s">
        <v>663</v>
      </c>
      <c r="W80" s="122" cm="1">
        <f t="array" aca="1" ref="W80" ca="1">IF($C80="S",ROUND(IF(TIPOORCAMENTO="Proposto",ORÇAMENTO.CustoUnitario*(1+$AH80),ORÇAMENTO.PrecoUnitarioLicitado),15-13*$AF$10),0)</f>
        <v>2232.15</v>
      </c>
      <c r="X80" s="125" cm="1">
        <f t="array" aca="1" ref="X80" ca="1">IF($C80="S",IF(OR(Import.TipoArredondamento&lt;&gt;"TransfereGOV",ACOMPANHAMENTO="BM"),VTOTAL1,SUM(OFFSET(CÁLCULO!$AI$15,ROW($X80)-ROW($X$15),1):OFFSET(CÁLCULO!$BB$15,ROW($X80)-ROW($X$15),-1))),IF($C80=0,0,ROUND(SomaAgrup,15-13*$AF$11)))</f>
        <v>120848.6</v>
      </c>
      <c r="Y80" s="126" t="s">
        <v>751</v>
      </c>
      <c r="Z80" s="673" t="str">
        <f ca="1">IF(AND($C80="S",$X80&gt;0),IF(ISBLANK($Y80),"RA",LEFT($Y80,2)),"")</f>
        <v>RA</v>
      </c>
      <c r="AA80" s="127" cm="1">
        <f t="array" aca="1" ref="AA80" ca="1">IF($C80="S",IF($Z80="CP",$X80,IF($Z80="RA",(($X80)*QCI!$AA$3),0)),SomaAgrup)</f>
        <v>0</v>
      </c>
      <c r="AB80" s="128" cm="1">
        <f t="array" aca="1" ref="AB80" ca="1">IF($C80="S",IF($Z80="OU",ROUND($X80,2),0),SomaAgrup)</f>
        <v>0</v>
      </c>
      <c r="AC80" s="565" t="str" cm="1">
        <f t="array" aca="1" ref="AC80" ca="1">IF($N80=""," ",
IF(AND($C80&lt;&gt;"S",OR($R80="",$R80="(digite a descrição aqui)")),"DESCRIÇÃO",
IF(AND($C80="S",OR($Q80&lt;&gt;"",$T80&gt;0,$U80&gt;0),$P80=""),"FONTE",
IF(AND($C80="S",$P80&lt;&gt;"",OR($T80&gt;0,$U80&gt;0),$Q80=""),"CÓDIGO",
IF(AND($C80="S",$P80&lt;&gt;"",$Q80&lt;&gt;"",$R80="(Código não identificado nas referências)"),"CÓDIGO N/ID",
IF(AND($C80="S",OR($R80="",$R80="(digite a descrição aqui)"),OR($Q80&lt;&gt;"",$T80&gt;0,$U80&gt;0)),"DESCRIÇÃO",
IF(AND($C80="S",$P80&lt;&gt;"",$Q80&lt;&gt;"",$S80=""),"UNIDADE",
IF(AND($C80="S",$P80&lt;&gt;"",$Q80&lt;&gt;"",$U80=0),"SEM CUSTO",
IF(AND(TIPOORCAMENTO="Licitado",$AL80=0,$AN80&gt;0),"SEM PREÇO",
IF(AND($C80="S",$P80&lt;&gt;"",$Q80&lt;&gt;"",$U80&gt;0,AND($V80&lt;&gt;"BDI 1",$V80&lt;&gt;"BDI 2",$V80&lt;&gt;"BDI 3")),IF(ISNUMBER($V80),"JUSTIFICAR BDI","BDI"),
IF(OR(AND(import.recurso="OGU",TIPOORCAMENTO="Proposto",LEFT($O$8,5)&lt;&gt;"(N/D:",$AG80&lt;&gt;"",ORÇAMENTO.CustoUnitario&gt;$AG80),AND(TIPOORCAMENTO="LICITADO",ORÇAMENTO.PrecoUnitarioLicitado&gt;$AN80)),"ACIMA REF.",
IF(AND($C80="S",$P80&lt;&gt;"",$Q80&lt;&gt;"",$T80=0,$U80&gt;0),"QUANT.",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 xml:space="preserve"> </v>
      </c>
      <c r="AD80" s="673" t="str">
        <f ca="1">IF(C80&lt;=CRONO.NivelExibicao,MAX($AD$15:OFFSET(AD80,-1,0))+IF($C80&lt;&gt;1,1,MAX(1,COUNTIF(QCI!$A$13:$A$24,OFFSET($E80,-1,0)))),"")</f>
        <v/>
      </c>
      <c r="AE80" s="671" t="str" cm="1">
        <f t="array" aca="1" ref="AE80" ca="1">IF(AND($C80="S",ORÇAMENTO.CodBarra&lt;&gt;""),IF(ORÇAMENTO.Fonte="",ORÇAMENTO.CodBarra,CONCATENATE(ORÇAMENTO.Fonte," ",ORÇAMENTO.CodBarra)))</f>
        <v>SETOP ED-7623</v>
      </c>
      <c r="AF80" s="672" cm="1">
        <f t="array" aca="1" ref="AF80" ca="1">IF(ISERROR(ORÇAMENTO.BancoRef),"(abra o arquivo 'Referência "&amp;Excel_BuiltIn_Database&amp;".xlsm)",IF(OR($C80&lt;&gt;"S",ORÇAMENTO.CodBarra=""),"(Sem Código)",IF(ISERROR(MATCH($AE80,INDIRECT(ORÇAMENTO.BancoRef),0)),"(Código não identificado nas referências)",MATCH($AE80,INDIRECT(ORÇAMENTO.BancoRef),0))))</f>
        <v>21634</v>
      </c>
      <c r="AG80" s="428" cm="1">
        <f t="array" aca="1" ref="AG80" ca="1">ROUND(IF(DESONERACAO="sim",REFERENCIA.Desonerado,REFERENCIA.NaoDesonerado),2)</f>
        <v>1800.12</v>
      </c>
      <c r="AH80" s="429">
        <f ca="1">ROUND(IF(ISNUMBER(ORÇAMENTO.OpcaoBDI),ORÇAMENTO.OpcaoBDI,IF(LEFT(ORÇAMENTO.OpcaoBDI,3)="BDI",HLOOKUP(ORÇAMENTO.OpcaoBDI,$F$4:$H$5,2,FALSE),0)),15-11*$AF$9)</f>
        <v>0.24</v>
      </c>
      <c r="AJ80" s="431"/>
      <c r="AL80" s="439"/>
      <c r="AM80" s="336">
        <f t="shared" ca="1" si="0"/>
        <v>120848.6</v>
      </c>
      <c r="AN80" s="470" cm="1">
        <f t="array" aca="1" ref="AN80" ca="1">ROUND(ORÇAMENTO.CustoUnitario*(1+$AH80),2)</f>
        <v>2232.15</v>
      </c>
    </row>
    <row r="81" spans="1:40" s="673" customFormat="1" ht="25.5" x14ac:dyDescent="0.2">
      <c r="A81" s="673" t="str">
        <f>CHOOSE(1+LOG(1+2*(ORÇAMENTO.Nivel="Meta")+4*(ORÇAMENTO.Nivel="Nível 2")+8*(ORÇAMENTO.Nivel="Nível 3")+16*(ORÇAMENTO.Nivel="Nível 4")+32*(ORÇAMENTO.Nivel="Serviço"),2),0,1,2,3,4,"S")</f>
        <v>S</v>
      </c>
      <c r="B81" s="673">
        <f ca="1">IF(OR(C81="s",C81=0),OFFSET(B81,-1,0),C81)</f>
        <v>2</v>
      </c>
      <c r="C81" s="673" t="str">
        <f ca="1">IF(OFFSET(C81,-1,0)="L",1,IF(OFFSET(C81,-1,0)=1,2,IF(OR(A81="s",A81=0),"S",IF(AND(OFFSET(C81,-1,0)=2,A81=4),3,IF(AND(OR(OFFSET(C81,-1,0)="s",OFFSET(C81,-1,0)=0),A81&lt;&gt;"s",A81&gt;OFFSET(B81,-1,0)),OFFSET(B81,-1,0),A81)))))</f>
        <v>S</v>
      </c>
      <c r="D81" s="673">
        <f ca="1">IF(OR(C81="S",C81=0),0,IF(ISERROR(K81),J81,SMALL(J81:K81,1)))</f>
        <v>0</v>
      </c>
      <c r="E81" s="673">
        <f ca="1">IF($C81=1,OFFSET(E81,-1,0)+MAX(1,COUNTIF(QCI!$A$13:$A$24,OFFSET(ORÇAMENTO!E81,-1,0))),OFFSET(E81,-1,0))</f>
        <v>1</v>
      </c>
      <c r="F81" s="673">
        <f ca="1">IF($C81=1,0,IF($C81=2,OFFSET(F81,-1,0)+1,OFFSET(F81,-1,0)))</f>
        <v>10</v>
      </c>
      <c r="G81" s="673">
        <f ca="1">IF(AND($C81&lt;=2,$C81&lt;&gt;0),0,IF($C81=3,OFFSET(G81,-1,0)+1,OFFSET(G81,-1,0)))</f>
        <v>0</v>
      </c>
      <c r="H81" s="673">
        <f ca="1">IF(AND($C81&lt;=3,$C81&lt;&gt;0),0,IF($C81=4,OFFSET(H81,-1,0)+1,OFFSET(H81,-1,0)))</f>
        <v>0</v>
      </c>
      <c r="I81" s="673">
        <f ca="1">IF(AND($C81&lt;=4,$C81&lt;&gt;0),0,IF(AND($C81="S",$X81&gt;0),OFFSET(I81,-1,0)+1,OFFSET(I81,-1,0)))</f>
        <v>6</v>
      </c>
      <c r="J81" s="673">
        <f t="shared" ca="1" si="25"/>
        <v>0</v>
      </c>
      <c r="K81" s="673">
        <f ca="1">IF(OR($C81="S",$C81=0),0,MATCH(OFFSET($D81,0,$C81)+IF($C81&lt;&gt;1,1,COUNTIF(QCI!$A$13:$A$24,ORÇAMENTO!E81)),OFFSET($D81,1,$C81,ROW($C$191)-ROW($C81)),0))</f>
        <v>0</v>
      </c>
      <c r="L81" s="114" t="str">
        <f ca="1">IF(OR($X81&gt;0,$C81=1,$C81=2,$C81=3,$C81=4),"F","")</f>
        <v>F</v>
      </c>
      <c r="M81" s="115" t="s">
        <v>705</v>
      </c>
      <c r="N81" s="116" t="str">
        <f ca="1">CHOOSE(1+LOG(1+2*(C81=1)+4*(C81=2)+8*(C81=3)+16*(C81=4)+32*(C81="S"),2),"","Meta","Nível 2","Nível 3","Nível 4","Serviço")</f>
        <v>Serviço</v>
      </c>
      <c r="O81" s="117" t="str">
        <f ca="1">IF(OR($C81=0,$L81=""),"-",CONCATENATE(E81&amp;".",IF(AND($A$5&gt;=2,$C81&gt;=2),F81&amp;".",""),IF(AND($A$5&gt;=3,$C81&gt;=3),G81&amp;".",""),IF(AND($A$5&gt;=4,$C81&gt;=4),H81&amp;".",""),IF($C81="S",I81&amp;".","")))</f>
        <v>1.10.6.</v>
      </c>
      <c r="P81" s="688" t="s">
        <v>750</v>
      </c>
      <c r="Q81" s="689" t="s">
        <v>1242</v>
      </c>
      <c r="R81" s="690" t="str" cm="1">
        <f t="array" aca="1" ref="R81" ca="1">IF($C81="S",REFERENCIA.Descricao,"(digite a descrição aqui)")</f>
        <v>ESCORAMENTO DE VALA, TIPO CONTÍNUO, COM PROFUNDIDADE DE 0 A 1,5 M, LARGURA MENOR QUE 1,5 M. AF_01/2026</v>
      </c>
      <c r="S81" s="691" t="str" cm="1">
        <f t="array" aca="1" ref="S81" ca="1">REFERENCIA.Unidade</f>
        <v>M2</v>
      </c>
      <c r="T81" s="122">
        <f ca="1">OFFSET(CÁLCULO!H$15,ROW($T81)-ROW(T$15),0)</f>
        <v>989</v>
      </c>
      <c r="U81" s="693">
        <f t="shared" ca="1" si="31"/>
        <v>87.54</v>
      </c>
      <c r="V81" s="694" t="s">
        <v>663</v>
      </c>
      <c r="W81" s="122" cm="1">
        <f t="array" aca="1" ref="W81" ca="1">IF($C81="S",ROUND(IF(TIPOORCAMENTO="Proposto",ORÇAMENTO.CustoUnitario*(1+$AH81),ORÇAMENTO.PrecoUnitarioLicitado),15-13*$AF$10),0)</f>
        <v>108.55</v>
      </c>
      <c r="X81" s="125" cm="1">
        <f t="array" aca="1" ref="X81" ca="1">IF($C81="S",IF(OR(Import.TipoArredondamento&lt;&gt;"TransfereGOV",ACOMPANHAMENTO="BM"),VTOTAL1,SUM(OFFSET(CÁLCULO!$AI$15,ROW($X81)-ROW($X$15),1):OFFSET(CÁLCULO!$BB$15,ROW($X81)-ROW($X$15),-1))),IF($C81=0,0,ROUND(SomaAgrup,15-13*$AF$11)))</f>
        <v>107355.95</v>
      </c>
      <c r="Y81" s="126" t="s">
        <v>751</v>
      </c>
      <c r="Z81" s="673" t="str">
        <f ca="1">IF(AND($C81="S",$X81&gt;0),IF(ISBLANK($Y81),"RA",LEFT($Y81,2)),"")</f>
        <v>RA</v>
      </c>
      <c r="AA81" s="127" cm="1">
        <f t="array" aca="1" ref="AA81" ca="1">IF($C81="S",IF($Z81="CP",$X81,IF($Z81="RA",(($X81)*QCI!$AA$3),0)),SomaAgrup)</f>
        <v>0</v>
      </c>
      <c r="AB81" s="128" cm="1">
        <f t="array" aca="1" ref="AB81" ca="1">IF($C81="S",IF($Z81="OU",ROUND($X81,2),0),SomaAgrup)</f>
        <v>0</v>
      </c>
      <c r="AC81" s="565" t="str" cm="1">
        <f t="array" aca="1" ref="AC81" ca="1">IF($N81=""," ",
IF(AND($C81&lt;&gt;"S",OR($R81="",$R81="(digite a descrição aqui)")),"DESCRIÇÃO",
IF(AND($C81="S",OR($Q81&lt;&gt;"",$T81&gt;0,$U81&gt;0),$P81=""),"FONTE",
IF(AND($C81="S",$P81&lt;&gt;"",OR($T81&gt;0,$U81&gt;0),$Q81=""),"CÓDIGO",
IF(AND($C81="S",$P81&lt;&gt;"",$Q81&lt;&gt;"",$R81="(Código não identificado nas referências)"),"CÓDIGO N/ID",
IF(AND($C81="S",OR($R81="",$R81="(digite a descrição aqui)"),OR($Q81&lt;&gt;"",$T81&gt;0,$U81&gt;0)),"DESCRIÇÃO",
IF(AND($C81="S",$P81&lt;&gt;"",$Q81&lt;&gt;"",$S81=""),"UNIDADE",
IF(AND($C81="S",$P81&lt;&gt;"",$Q81&lt;&gt;"",$U81=0),"SEM CUSTO",
IF(AND(TIPOORCAMENTO="Licitado",$AL81=0,$AN81&gt;0),"SEM PREÇO",
IF(AND($C81="S",$P81&lt;&gt;"",$Q81&lt;&gt;"",$U81&gt;0,AND($V81&lt;&gt;"BDI 1",$V81&lt;&gt;"BDI 2",$V81&lt;&gt;"BDI 3")),IF(ISNUMBER($V81),"JUSTIFICAR BDI","BDI"),
IF(OR(AND(import.recurso="OGU",TIPOORCAMENTO="Proposto",LEFT($O$8,5)&lt;&gt;"(N/D:",$AG81&lt;&gt;"",ORÇAMENTO.CustoUnitario&gt;$AG81),AND(TIPOORCAMENTO="LICITADO",ORÇAMENTO.PrecoUnitarioLicitado&gt;$AN81)),"ACIMA REF.",
IF(AND($C81="S",$P81&lt;&gt;"",$Q81&lt;&gt;"",$T81=0,$U81&gt;0),"QUANT.",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 xml:space="preserve"> </v>
      </c>
      <c r="AD81" s="673" t="str">
        <f ca="1">IF(C81&lt;=CRONO.NivelExibicao,MAX($AD$15:OFFSET(AD81,-1,0))+IF($C81&lt;&gt;1,1,MAX(1,COUNTIF(QCI!$A$13:$A$24,OFFSET($E81,-1,0)))),"")</f>
        <v/>
      </c>
      <c r="AE81" s="671" t="str" cm="1">
        <f t="array" aca="1" ref="AE81" ca="1">IF(AND($C81="S",ORÇAMENTO.CodBarra&lt;&gt;""),IF(ORÇAMENTO.Fonte="",ORÇAMENTO.CodBarra,CONCATENATE(ORÇAMENTO.Fonte," ",ORÇAMENTO.CodBarra)))</f>
        <v>SINAPI 101582</v>
      </c>
      <c r="AF81" s="672" cm="1">
        <f t="array" aca="1" ref="AF81" ca="1">IF(ISERROR(ORÇAMENTO.BancoRef),"(abra o arquivo 'Referência "&amp;Excel_BuiltIn_Database&amp;".xlsm)",IF(OR($C81&lt;&gt;"S",ORÇAMENTO.CodBarra=""),"(Sem Código)",IF(ISERROR(MATCH($AE81,INDIRECT(ORÇAMENTO.BancoRef),0)),"(Código não identificado nas referências)",MATCH($AE81,INDIRECT(ORÇAMENTO.BancoRef),0))))</f>
        <v>9594</v>
      </c>
      <c r="AG81" s="428" cm="1">
        <f t="array" aca="1" ref="AG81" ca="1">ROUND(IF(DESONERACAO="sim",REFERENCIA.Desonerado,REFERENCIA.NaoDesonerado),2)</f>
        <v>87.54</v>
      </c>
      <c r="AH81" s="429">
        <f ca="1">ROUND(IF(ISNUMBER(ORÇAMENTO.OpcaoBDI),ORÇAMENTO.OpcaoBDI,IF(LEFT(ORÇAMENTO.OpcaoBDI,3)="BDI",HLOOKUP(ORÇAMENTO.OpcaoBDI,$F$4:$H$5,2,FALSE),0)),15-11*$AF$9)</f>
        <v>0.24</v>
      </c>
      <c r="AJ81" s="431"/>
      <c r="AL81" s="439"/>
      <c r="AM81" s="336">
        <f t="shared" ca="1" si="0"/>
        <v>107355.95</v>
      </c>
      <c r="AN81" s="470" cm="1">
        <f t="array" aca="1" ref="AN81" ca="1">ROUND(ORÇAMENTO.CustoUnitario*(1+$AH81),2)</f>
        <v>108.55</v>
      </c>
    </row>
    <row r="82" spans="1:40" s="673" customFormat="1" x14ac:dyDescent="0.2">
      <c r="A82" s="673" t="str">
        <f>CHOOSE(1+LOG(1+2*(ORÇAMENTO.Nivel="Meta")+4*(ORÇAMENTO.Nivel="Nível 2")+8*(ORÇAMENTO.Nivel="Nível 3")+16*(ORÇAMENTO.Nivel="Nível 4")+32*(ORÇAMENTO.Nivel="Serviço"),2),0,1,2,3,4,"S")</f>
        <v>S</v>
      </c>
      <c r="B82" s="673">
        <f ca="1">IF(OR(C82="s",C82=0),OFFSET(B82,-1,0),C82)</f>
        <v>2</v>
      </c>
      <c r="C82" s="673" t="str">
        <f ca="1">IF(OFFSET(C82,-1,0)="L",1,IF(OFFSET(C82,-1,0)=1,2,IF(OR(A82="s",A82=0),"S",IF(AND(OFFSET(C82,-1,0)=2,A82=4),3,IF(AND(OR(OFFSET(C82,-1,0)="s",OFFSET(C82,-1,0)=0),A82&lt;&gt;"s",A82&gt;OFFSET(B82,-1,0)),OFFSET(B82,-1,0),A82)))))</f>
        <v>S</v>
      </c>
      <c r="D82" s="673">
        <f ca="1">IF(OR(C82="S",C82=0),0,IF(ISERROR(K82),J82,SMALL(J82:K82,1)))</f>
        <v>0</v>
      </c>
      <c r="E82" s="673">
        <f ca="1">IF($C82=1,OFFSET(E82,-1,0)+MAX(1,COUNTIF(QCI!$A$13:$A$24,OFFSET(ORÇAMENTO!E82,-1,0))),OFFSET(E82,-1,0))</f>
        <v>1</v>
      </c>
      <c r="F82" s="673">
        <f ca="1">IF($C82=1,0,IF($C82=2,OFFSET(F82,-1,0)+1,OFFSET(F82,-1,0)))</f>
        <v>10</v>
      </c>
      <c r="G82" s="673">
        <f ca="1">IF(AND($C82&lt;=2,$C82&lt;&gt;0),0,IF($C82=3,OFFSET(G82,-1,0)+1,OFFSET(G82,-1,0)))</f>
        <v>0</v>
      </c>
      <c r="H82" s="673">
        <f ca="1">IF(AND($C82&lt;=3,$C82&lt;&gt;0),0,IF($C82=4,OFFSET(H82,-1,0)+1,OFFSET(H82,-1,0)))</f>
        <v>0</v>
      </c>
      <c r="I82" s="673">
        <f ca="1">IF(AND($C82&lt;=4,$C82&lt;&gt;0),0,IF(AND($C82="S",$X82&gt;0),OFFSET(I82,-1,0)+1,OFFSET(I82,-1,0)))</f>
        <v>7</v>
      </c>
      <c r="J82" s="673">
        <f t="shared" ca="1" si="25"/>
        <v>0</v>
      </c>
      <c r="K82" s="673">
        <f ca="1">IF(OR($C82="S",$C82=0),0,MATCH(OFFSET($D82,0,$C82)+IF($C82&lt;&gt;1,1,COUNTIF(QCI!$A$13:$A$24,ORÇAMENTO!E82)),OFFSET($D82,1,$C82,ROW($C$191)-ROW($C82)),0))</f>
        <v>0</v>
      </c>
      <c r="L82" s="114" t="str">
        <f ca="1">IF(OR($X82&gt;0,$C82=1,$C82=2,$C82=3,$C82=4),"F","")</f>
        <v>F</v>
      </c>
      <c r="M82" s="115" t="s">
        <v>705</v>
      </c>
      <c r="N82" s="116" t="str">
        <f ca="1">CHOOSE(1+LOG(1+2*(C82=1)+4*(C82=2)+8*(C82=3)+16*(C82=4)+32*(C82="S"),2),"","Meta","Nível 2","Nível 3","Nível 4","Serviço")</f>
        <v>Serviço</v>
      </c>
      <c r="O82" s="117" t="str">
        <f ca="1">IF(OR($C82=0,$L82=""),"-",CONCATENATE(E82&amp;".",IF(AND($A$5&gt;=2,$C82&gt;=2),F82&amp;".",""),IF(AND($A$5&gt;=3,$C82&gt;=3),G82&amp;".",""),IF(AND($A$5&gt;=4,$C82&gt;=4),H82&amp;".",""),IF($C82="S",I82&amp;".","")))</f>
        <v>1.10.7.</v>
      </c>
      <c r="P82" s="688" t="s">
        <v>957</v>
      </c>
      <c r="Q82" s="689" t="s">
        <v>1095</v>
      </c>
      <c r="R82" s="690" t="str" cm="1">
        <f t="array" aca="1" ref="R82" ca="1">IF($C82="S",REFERENCIA.Descricao,"(digite a descrição aqui)")</f>
        <v>TRAVESSIA MÉTODO NÃO DESTRUTIVO P/ TUBO 200</v>
      </c>
      <c r="S82" s="691" t="str" cm="1">
        <f t="array" aca="1" ref="S82" ca="1">REFERENCIA.Unidade</f>
        <v>M²</v>
      </c>
      <c r="T82" s="122">
        <f ca="1">OFFSET(CÁLCULO!H$15,ROW($T82)-ROW(T$15),0)</f>
        <v>18</v>
      </c>
      <c r="U82" s="693">
        <f t="shared" ca="1" si="31"/>
        <v>2862.84</v>
      </c>
      <c r="V82" s="694" t="s">
        <v>663</v>
      </c>
      <c r="W82" s="122" cm="1">
        <f t="array" aca="1" ref="W82" ca="1">IF($C82="S",ROUND(IF(TIPOORCAMENTO="Proposto",ORÇAMENTO.CustoUnitario*(1+$AH82),ORÇAMENTO.PrecoUnitarioLicitado),15-13*$AF$10),0)</f>
        <v>3549.92</v>
      </c>
      <c r="X82" s="125" cm="1">
        <f t="array" aca="1" ref="X82" ca="1">IF($C82="S",IF(OR(Import.TipoArredondamento&lt;&gt;"TransfereGOV",ACOMPANHAMENTO="BM"),VTOTAL1,SUM(OFFSET(CÁLCULO!$AI$15,ROW($X82)-ROW($X$15),1):OFFSET(CÁLCULO!$BB$15,ROW($X82)-ROW($X$15),-1))),IF($C82=0,0,ROUND(SomaAgrup,15-13*$AF$11)))</f>
        <v>63898.559999999998</v>
      </c>
      <c r="Y82" s="126" t="s">
        <v>751</v>
      </c>
      <c r="Z82" s="673" t="str">
        <f ca="1">IF(AND($C82="S",$X82&gt;0),IF(ISBLANK($Y82),"RA",LEFT($Y82,2)),"")</f>
        <v>RA</v>
      </c>
      <c r="AA82" s="127" cm="1">
        <f t="array" aca="1" ref="AA82" ca="1">IF($C82="S",IF($Z82="CP",$X82,IF($Z82="RA",(($X82)*QCI!$AA$3),0)),SomaAgrup)</f>
        <v>0</v>
      </c>
      <c r="AB82" s="128" cm="1">
        <f t="array" aca="1" ref="AB82" ca="1">IF($C82="S",IF($Z82="OU",ROUND($X82,2),0),SomaAgrup)</f>
        <v>0</v>
      </c>
      <c r="AC82" s="565" t="str" cm="1">
        <f t="array" aca="1" ref="AC82" ca="1">IF($N82=""," ",
IF(AND($C82&lt;&gt;"S",OR($R82="",$R82="(digite a descrição aqui)")),"DESCRIÇÃO",
IF(AND($C82="S",OR($Q82&lt;&gt;"",$T82&gt;0,$U82&gt;0),$P82=""),"FONTE",
IF(AND($C82="S",$P82&lt;&gt;"",OR($T82&gt;0,$U82&gt;0),$Q82=""),"CÓDIGO",
IF(AND($C82="S",$P82&lt;&gt;"",$Q82&lt;&gt;"",$R82="(Código não identificado nas referências)"),"CÓDIGO N/ID",
IF(AND($C82="S",OR($R82="",$R82="(digite a descrição aqui)"),OR($Q82&lt;&gt;"",$T82&gt;0,$U82&gt;0)),"DESCRIÇÃO",
IF(AND($C82="S",$P82&lt;&gt;"",$Q82&lt;&gt;"",$S82=""),"UNIDADE",
IF(AND($C82="S",$P82&lt;&gt;"",$Q82&lt;&gt;"",$U82=0),"SEM CUSTO",
IF(AND(TIPOORCAMENTO="Licitado",$AL82=0,$AN82&gt;0),"SEM PREÇO",
IF(AND($C82="S",$P82&lt;&gt;"",$Q82&lt;&gt;"",$U82&gt;0,AND($V82&lt;&gt;"BDI 1",$V82&lt;&gt;"BDI 2",$V82&lt;&gt;"BDI 3")),IF(ISNUMBER($V82),"JUSTIFICAR BDI","BDI"),
IF(OR(AND(import.recurso="OGU",TIPOORCAMENTO="Proposto",LEFT($O$8,5)&lt;&gt;"(N/D:",$AG82&lt;&gt;"",ORÇAMENTO.CustoUnitario&gt;$AG82),AND(TIPOORCAMENTO="LICITADO",ORÇAMENTO.PrecoUnitarioLicitado&gt;$AN82)),"ACIMA REF.",
IF(AND($C82="S",$P82&lt;&gt;"",$Q82&lt;&gt;"",$T82=0,$U82&gt;0),"QUANT.",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Unid. Não Disp</v>
      </c>
      <c r="AD82" s="673" t="str">
        <f ca="1">IF(C82&lt;=CRONO.NivelExibicao,MAX($AD$15:OFFSET(AD82,-1,0))+IF($C82&lt;&gt;1,1,MAX(1,COUNTIF(QCI!$A$13:$A$24,OFFSET($E82,-1,0)))),"")</f>
        <v/>
      </c>
      <c r="AE82" s="671" t="str" cm="1">
        <f t="array" aca="1" ref="AE82" ca="1">IF(AND($C82="S",ORÇAMENTO.CodBarra&lt;&gt;""),IF(ORÇAMENTO.Fonte="",ORÇAMENTO.CodBarra,CONCATENATE(ORÇAMENTO.Fonte," ",ORÇAMENTO.CodBarra)))</f>
        <v>Cotação 31</v>
      </c>
      <c r="AF82" s="672" cm="1">
        <f t="array" aca="1" ref="AF82" ca="1">IF(ISERROR(ORÇAMENTO.BancoRef),"(abra o arquivo 'Referência "&amp;Excel_BuiltIn_Database&amp;".xlsm)",IF(OR($C82&lt;&gt;"S",ORÇAMENTO.CodBarra=""),"(Sem Código)",IF(ISERROR(MATCH($AE82,INDIRECT(ORÇAMENTO.BancoRef),0)),"(Código não identificado nas referências)",MATCH($AE82,INDIRECT(ORÇAMENTO.BancoRef),0))))</f>
        <v>40</v>
      </c>
      <c r="AG82" s="428" cm="1">
        <f t="array" aca="1" ref="AG82" ca="1">ROUND(IF(DESONERACAO="sim",REFERENCIA.Desonerado,REFERENCIA.NaoDesonerado),2)</f>
        <v>2862.84</v>
      </c>
      <c r="AH82" s="429">
        <f ca="1">ROUND(IF(ISNUMBER(ORÇAMENTO.OpcaoBDI),ORÇAMENTO.OpcaoBDI,IF(LEFT(ORÇAMENTO.OpcaoBDI,3)="BDI",HLOOKUP(ORÇAMENTO.OpcaoBDI,$F$4:$H$5,2,FALSE),0)),15-11*$AF$9)</f>
        <v>0.24</v>
      </c>
      <c r="AJ82" s="431"/>
      <c r="AL82" s="439"/>
      <c r="AM82" s="336">
        <f t="shared" ca="1" si="0"/>
        <v>63898.559999999998</v>
      </c>
      <c r="AN82" s="470" cm="1">
        <f t="array" aca="1" ref="AN82" ca="1">ROUND(ORÇAMENTO.CustoUnitario*(1+$AH82),2)</f>
        <v>3549.92</v>
      </c>
    </row>
    <row r="83" spans="1:40" s="670" customFormat="1" x14ac:dyDescent="0.2">
      <c r="A83" s="670">
        <f t="shared" si="17"/>
        <v>2</v>
      </c>
      <c r="B83" s="670">
        <f t="shared" ca="1" si="18"/>
        <v>2</v>
      </c>
      <c r="C83" s="670">
        <f t="shared" ca="1" si="19"/>
        <v>2</v>
      </c>
      <c r="D83" s="670">
        <f t="shared" ca="1" si="20"/>
        <v>8</v>
      </c>
      <c r="E83" s="670">
        <f ca="1">IF($C83=1,OFFSET(E83,-1,0)+MAX(1,COUNTIF(QCI!$A$13:$A$24,OFFSET(ORÇAMENTO!E83,-1,0))),OFFSET(E83,-1,0))</f>
        <v>1</v>
      </c>
      <c r="F83" s="670">
        <f t="shared" ca="1" si="21"/>
        <v>11</v>
      </c>
      <c r="G83" s="670">
        <f t="shared" ca="1" si="22"/>
        <v>0</v>
      </c>
      <c r="H83" s="670">
        <f t="shared" ca="1" si="23"/>
        <v>0</v>
      </c>
      <c r="I83" s="670">
        <f t="shared" ca="1" si="24"/>
        <v>0</v>
      </c>
      <c r="J83" s="670">
        <f t="shared" ca="1" si="25"/>
        <v>108</v>
      </c>
      <c r="K83" s="670">
        <f ca="1">IF(OR($C83="S",$C83=0),0,MATCH(OFFSET($D83,0,$C83)+IF($C83&lt;&gt;1,1,COUNTIF(QCI!$A$13:$A$24,ORÇAMENTO!E83)),OFFSET($D83,1,$C83,ROW($C$191)-ROW($C83)),0))</f>
        <v>8</v>
      </c>
      <c r="L83" s="114" t="str">
        <f t="shared" ca="1" si="26"/>
        <v>F</v>
      </c>
      <c r="M83" s="115" t="s">
        <v>702</v>
      </c>
      <c r="N83" s="116" t="str">
        <f t="shared" ca="1" si="27"/>
        <v>Nível 2</v>
      </c>
      <c r="O83" s="117" t="str">
        <f t="shared" ca="1" si="28"/>
        <v>1.11.</v>
      </c>
      <c r="P83" s="688" t="s">
        <v>250</v>
      </c>
      <c r="Q83" s="689" t="s">
        <v>250</v>
      </c>
      <c r="R83" s="690" t="s">
        <v>1302</v>
      </c>
      <c r="S83" s="691" t="s">
        <v>688</v>
      </c>
      <c r="T83" s="122">
        <f ca="1">OFFSET(CÁLCULO!H$15,ROW($T83)-ROW(T$15),0)</f>
        <v>0</v>
      </c>
      <c r="U83" s="693">
        <f t="shared" ca="1" si="31"/>
        <v>0</v>
      </c>
      <c r="V83" s="694" t="s">
        <v>663</v>
      </c>
      <c r="W83" s="122" cm="1">
        <f t="array" aca="1" ref="W83" ca="1">IF($C83="S",ROUND(IF(TIPOORCAMENTO="Proposto",ORÇAMENTO.CustoUnitario*(1+$AH83),ORÇAMENTO.PrecoUnitarioLicitado),15-13*$AF$10),0)</f>
        <v>0</v>
      </c>
      <c r="X83" s="125" cm="1">
        <f t="array" aca="1" ref="X83" ca="1">IF($C83="S",IF(OR(Import.TipoArredondamento&lt;&gt;"TransfereGOV",ACOMPANHAMENTO="BM"),VTOTAL1,SUM(OFFSET(CÁLCULO!$AI$15,ROW($X83)-ROW($X$15),1):OFFSET(CÁLCULO!$BB$15,ROW($X83)-ROW($X$15),-1))),IF($C83=0,0,ROUND(SomaAgrup,15-13*$AF$11)))</f>
        <v>103363.95</v>
      </c>
      <c r="Y83" s="126" t="s">
        <v>751</v>
      </c>
      <c r="Z83" s="670" t="str">
        <f t="shared" ca="1" si="29"/>
        <v/>
      </c>
      <c r="AA83" s="127" cm="1">
        <f t="array" aca="1" ref="AA83" ca="1">IF($C83="S",IF($Z83="CP",$X83,IF($Z83="RA",(($X83)*QCI!$AA$3),0)),SomaAgrup)</f>
        <v>0</v>
      </c>
      <c r="AB83" s="128" cm="1">
        <f t="array" aca="1" ref="AB83" ca="1">IF($C83="S",IF($Z83="OU",ROUND($X83,2),0),SomaAgrup)</f>
        <v>0</v>
      </c>
      <c r="AC83" s="565" t="str" cm="1">
        <f t="array" aca="1" ref="AC83" ca="1">IF($N83=""," ",
IF(AND($C83&lt;&gt;"S",OR($R83="",$R83="(digite a descrição aqui)")),"DESCRIÇÃO",
IF(AND($C83="S",OR($Q83&lt;&gt;"",$T83&gt;0,$U83&gt;0),$P83=""),"FONTE",
IF(AND($C83="S",$P83&lt;&gt;"",OR($T83&gt;0,$U83&gt;0),$Q83=""),"CÓDIGO",
IF(AND($C83="S",$P83&lt;&gt;"",$Q83&lt;&gt;"",$R83="(Código não identificado nas referências)"),"CÓDIGO N/ID",
IF(AND($C83="S",OR($R83="",$R83="(digite a descrição aqui)"),OR($Q83&lt;&gt;"",$T83&gt;0,$U83&gt;0)),"DESCRIÇÃO",
IF(AND($C83="S",$P83&lt;&gt;"",$Q83&lt;&gt;"",$S83=""),"UNIDADE",
IF(AND($C83="S",$P83&lt;&gt;"",$Q83&lt;&gt;"",$U83=0),"SEM CUSTO",
IF(AND(TIPOORCAMENTO="Licitado",$AL83=0,$AN83&gt;0),"SEM PREÇO",
IF(AND($C83="S",$P83&lt;&gt;"",$Q83&lt;&gt;"",$U83&gt;0,AND($V83&lt;&gt;"BDI 1",$V83&lt;&gt;"BDI 2",$V83&lt;&gt;"BDI 3")),IF(ISNUMBER($V83),"JUSTIFICAR BDI","BDI"),
IF(OR(AND(import.recurso="OGU",TIPOORCAMENTO="Proposto",LEFT($O$8,5)&lt;&gt;"(N/D:",$AG83&lt;&gt;"",ORÇAMENTO.CustoUnitario&gt;$AG83),AND(TIPOORCAMENTO="LICITADO",ORÇAMENTO.PrecoUnitarioLicitado&gt;$AN83)),"ACIMA REF.",
IF(AND($C83="S",$P83&lt;&gt;"",$Q83&lt;&gt;"",$T83=0,$U83&gt;0),"QUANT.",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 xml:space="preserve"> </v>
      </c>
      <c r="AD83" s="670">
        <f ca="1">IF(C83&lt;=CRONO.NivelExibicao,MAX($AD$15:OFFSET(AD83,-1,0))+IF($C83&lt;&gt;1,1,MAX(1,COUNTIF(QCI!$A$13:$A$24,OFFSET($E83,-1,0)))),"")</f>
        <v>12</v>
      </c>
      <c r="AE83" s="668" t="b" cm="1">
        <f t="array" aca="1" ref="AE83" ca="1">IF(AND($C83="S",ORÇAMENTO.CodBarra&lt;&gt;""),IF(ORÇAMENTO.Fonte="",ORÇAMENTO.CodBarra,CONCATENATE(ORÇAMENTO.Fonte," ",ORÇAMENTO.CodBarra)))</f>
        <v>0</v>
      </c>
      <c r="AF83" s="669" t="str" cm="1">
        <f t="array" aca="1" ref="AF83" ca="1">IF(ISERROR(ORÇAMENTO.BancoRef),"(abra o arquivo 'Referência "&amp;Excel_BuiltIn_Database&amp;".xlsm)",IF(OR($C83&lt;&gt;"S",ORÇAMENTO.CodBarra=""),"(Sem Código)",IF(ISERROR(MATCH($AE83,INDIRECT(ORÇAMENTO.BancoRef),0)),"(Código não identificado nas referências)",MATCH($AE83,INDIRECT(ORÇAMENTO.BancoRef),0))))</f>
        <v>(Sem Código)</v>
      </c>
      <c r="AG83" s="428" cm="1">
        <f t="array" aca="1" ref="AG83" ca="1">ROUND(IF(DESONERACAO="sim",REFERENCIA.Desonerado,REFERENCIA.NaoDesonerado),2)</f>
        <v>0</v>
      </c>
      <c r="AH83" s="429">
        <f t="shared" ca="1" si="30"/>
        <v>0.24</v>
      </c>
      <c r="AJ83" s="431"/>
      <c r="AL83" s="439"/>
      <c r="AM83" s="336">
        <f t="shared" ca="1" si="0"/>
        <v>103363.95</v>
      </c>
      <c r="AN83" s="470" cm="1">
        <f t="array" aca="1" ref="AN83" ca="1">ROUND(ORÇAMENTO.CustoUnitario*(1+$AH83),2)</f>
        <v>0</v>
      </c>
    </row>
    <row r="84" spans="1:40" s="670" customFormat="1" ht="38.25" x14ac:dyDescent="0.2">
      <c r="A84" s="670" t="str">
        <f t="shared" si="17"/>
        <v>S</v>
      </c>
      <c r="B84" s="670">
        <f t="shared" ca="1" si="18"/>
        <v>2</v>
      </c>
      <c r="C84" s="670" t="str">
        <f t="shared" ca="1" si="19"/>
        <v>S</v>
      </c>
      <c r="D84" s="670">
        <f t="shared" ca="1" si="20"/>
        <v>0</v>
      </c>
      <c r="E84" s="670">
        <f ca="1">IF($C84=1,OFFSET(E84,-1,0)+MAX(1,COUNTIF(QCI!$A$13:$A$24,OFFSET(ORÇAMENTO!E84,-1,0))),OFFSET(E84,-1,0))</f>
        <v>1</v>
      </c>
      <c r="F84" s="670">
        <f t="shared" ca="1" si="21"/>
        <v>11</v>
      </c>
      <c r="G84" s="670">
        <f t="shared" ca="1" si="22"/>
        <v>0</v>
      </c>
      <c r="H84" s="670">
        <f t="shared" ca="1" si="23"/>
        <v>0</v>
      </c>
      <c r="I84" s="670">
        <f t="shared" ca="1" si="24"/>
        <v>1</v>
      </c>
      <c r="J84" s="670">
        <f t="shared" ca="1" si="25"/>
        <v>0</v>
      </c>
      <c r="K84" s="670">
        <f ca="1">IF(OR($C84="S",$C84=0),0,MATCH(OFFSET($D84,0,$C84)+IF($C84&lt;&gt;1,1,COUNTIF(QCI!$A$13:$A$24,ORÇAMENTO!E84)),OFFSET($D84,1,$C84,ROW($C$191)-ROW($C84)),0))</f>
        <v>0</v>
      </c>
      <c r="L84" s="114" t="str">
        <f t="shared" ca="1" si="26"/>
        <v>F</v>
      </c>
      <c r="M84" s="115" t="s">
        <v>705</v>
      </c>
      <c r="N84" s="116" t="str">
        <f t="shared" ca="1" si="27"/>
        <v>Serviço</v>
      </c>
      <c r="O84" s="117" t="str">
        <f t="shared" ca="1" si="28"/>
        <v>1.11.1.</v>
      </c>
      <c r="P84" s="688" t="s">
        <v>750</v>
      </c>
      <c r="Q84" s="689" t="s">
        <v>1038</v>
      </c>
      <c r="R84" s="690" t="str" cm="1">
        <f t="array" aca="1" ref="R84" ca="1">IF($C84="S",REFERENCIA.Descricao,"(digite a descrição aqui)")</f>
        <v>CONCRETO FCK = 20MPA, TRAÇO 1:2,7:3 (EM MASSA SECA DE CIMENTO/ AREIA MÉDIA/ BRITA 1) - PREPARO MECÂNICO COM BETONEIRA 600 L. AF_05/2021</v>
      </c>
      <c r="S84" s="691" t="str" cm="1">
        <f t="array" aca="1" ref="S84" ca="1">REFERENCIA.Unidade</f>
        <v>M3</v>
      </c>
      <c r="T84" s="122">
        <f ca="1">OFFSET(CÁLCULO!H$15,ROW($T84)-ROW(T$15),0)</f>
        <v>17</v>
      </c>
      <c r="U84" s="693">
        <f t="shared" ca="1" si="31"/>
        <v>553.34</v>
      </c>
      <c r="V84" s="694" t="s">
        <v>663</v>
      </c>
      <c r="W84" s="122" cm="1">
        <f t="array" aca="1" ref="W84" ca="1">IF($C84="S",ROUND(IF(TIPOORCAMENTO="Proposto",ORÇAMENTO.CustoUnitario*(1+$AH84),ORÇAMENTO.PrecoUnitarioLicitado),15-13*$AF$10),0)</f>
        <v>686.14</v>
      </c>
      <c r="X84" s="125" cm="1">
        <f t="array" aca="1" ref="X84" ca="1">IF($C84="S",IF(OR(Import.TipoArredondamento&lt;&gt;"TransfereGOV",ACOMPANHAMENTO="BM"),VTOTAL1,SUM(OFFSET(CÁLCULO!$AI$15,ROW($X84)-ROW($X$15),1):OFFSET(CÁLCULO!$BB$15,ROW($X84)-ROW($X$15),-1))),IF($C84=0,0,ROUND(SomaAgrup,15-13*$AF$11)))</f>
        <v>11664.38</v>
      </c>
      <c r="Y84" s="126" t="s">
        <v>751</v>
      </c>
      <c r="Z84" s="670" t="str">
        <f t="shared" ca="1" si="29"/>
        <v>RA</v>
      </c>
      <c r="AA84" s="127" cm="1">
        <f t="array" aca="1" ref="AA84" ca="1">IF($C84="S",IF($Z84="CP",$X84,IF($Z84="RA",(($X84)*QCI!$AA$3),0)),SomaAgrup)</f>
        <v>0</v>
      </c>
      <c r="AB84" s="128" cm="1">
        <f t="array" aca="1" ref="AB84" ca="1">IF($C84="S",IF($Z84="OU",ROUND($X84,2),0),SomaAgrup)</f>
        <v>0</v>
      </c>
      <c r="AC84" s="565" t="str" cm="1">
        <f t="array" aca="1" ref="AC84" ca="1">IF($N84=""," ",
IF(AND($C84&lt;&gt;"S",OR($R84="",$R84="(digite a descrição aqui)")),"DESCRIÇÃO",
IF(AND($C84="S",OR($Q84&lt;&gt;"",$T84&gt;0,$U84&gt;0),$P84=""),"FONTE",
IF(AND($C84="S",$P84&lt;&gt;"",OR($T84&gt;0,$U84&gt;0),$Q84=""),"CÓDIGO",
IF(AND($C84="S",$P84&lt;&gt;"",$Q84&lt;&gt;"",$R84="(Código não identificado nas referências)"),"CÓDIGO N/ID",
IF(AND($C84="S",OR($R84="",$R84="(digite a descrição aqui)"),OR($Q84&lt;&gt;"",$T84&gt;0,$U84&gt;0)),"DESCRIÇÃO",
IF(AND($C84="S",$P84&lt;&gt;"",$Q84&lt;&gt;"",$S84=""),"UNIDADE",
IF(AND($C84="S",$P84&lt;&gt;"",$Q84&lt;&gt;"",$U84=0),"SEM CUSTO",
IF(AND(TIPOORCAMENTO="Licitado",$AL84=0,$AN84&gt;0),"SEM PREÇO",
IF(AND($C84="S",$P84&lt;&gt;"",$Q84&lt;&gt;"",$U84&gt;0,AND($V84&lt;&gt;"BDI 1",$V84&lt;&gt;"BDI 2",$V84&lt;&gt;"BDI 3")),IF(ISNUMBER($V84),"JUSTIFICAR BDI","BDI"),
IF(OR(AND(import.recurso="OGU",TIPOORCAMENTO="Proposto",LEFT($O$8,5)&lt;&gt;"(N/D:",$AG84&lt;&gt;"",ORÇAMENTO.CustoUnitario&gt;$AG84),AND(TIPOORCAMENTO="LICITADO",ORÇAMENTO.PrecoUnitarioLicitado&gt;$AN84)),"ACIMA REF.",
IF(AND($C84="S",$P84&lt;&gt;"",$Q84&lt;&gt;"",$T84=0,$U84&gt;0),"QUANT.",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 xml:space="preserve"> </v>
      </c>
      <c r="AD84" s="670" t="str">
        <f ca="1">IF(C84&lt;=CRONO.NivelExibicao,MAX($AD$15:OFFSET(AD84,-1,0))+IF($C84&lt;&gt;1,1,MAX(1,COUNTIF(QCI!$A$13:$A$24,OFFSET($E84,-1,0)))),"")</f>
        <v/>
      </c>
      <c r="AE84" s="668" t="str" cm="1">
        <f t="array" aca="1" ref="AE84" ca="1">IF(AND($C84="S",ORÇAMENTO.CodBarra&lt;&gt;""),IF(ORÇAMENTO.Fonte="",ORÇAMENTO.CodBarra,CONCATENATE(ORÇAMENTO.Fonte," ",ORÇAMENTO.CodBarra)))</f>
        <v>SINAPI 94970</v>
      </c>
      <c r="AF84" s="669" cm="1">
        <f t="array" aca="1" ref="AF84" ca="1">IF(ISERROR(ORÇAMENTO.BancoRef),"(abra o arquivo 'Referência "&amp;Excel_BuiltIn_Database&amp;".xlsm)",IF(OR($C84&lt;&gt;"S",ORÇAMENTO.CodBarra=""),"(Sem Código)",IF(ISERROR(MATCH($AE84,INDIRECT(ORÇAMENTO.BancoRef),0)),"(Código não identificado nas referências)",MATCH($AE84,INDIRECT(ORÇAMENTO.BancoRef),0))))</f>
        <v>14688</v>
      </c>
      <c r="AG84" s="428" cm="1">
        <f t="array" aca="1" ref="AG84" ca="1">ROUND(IF(DESONERACAO="sim",REFERENCIA.Desonerado,REFERENCIA.NaoDesonerado),2)</f>
        <v>553.34</v>
      </c>
      <c r="AH84" s="429">
        <f t="shared" ca="1" si="30"/>
        <v>0.24</v>
      </c>
      <c r="AJ84" s="431"/>
      <c r="AL84" s="439"/>
      <c r="AM84" s="336">
        <f t="shared" ca="1" si="0"/>
        <v>11664.38</v>
      </c>
      <c r="AN84" s="470" cm="1">
        <f t="array" aca="1" ref="AN84" ca="1">ROUND(ORÇAMENTO.CustoUnitario*(1+$AH84),2)</f>
        <v>686.14</v>
      </c>
    </row>
    <row r="85" spans="1:40" s="680" customFormat="1" ht="25.5" x14ac:dyDescent="0.2">
      <c r="A85" s="680" t="str">
        <f>CHOOSE(1+LOG(1+2*(ORÇAMENTO.Nivel="Meta")+4*(ORÇAMENTO.Nivel="Nível 2")+8*(ORÇAMENTO.Nivel="Nível 3")+16*(ORÇAMENTO.Nivel="Nível 4")+32*(ORÇAMENTO.Nivel="Serviço"),2),0,1,2,3,4,"S")</f>
        <v>S</v>
      </c>
      <c r="B85" s="680">
        <f ca="1">IF(OR(C85="s",C85=0),OFFSET(B85,-1,0),C85)</f>
        <v>2</v>
      </c>
      <c r="C85" s="680" t="str">
        <f ca="1">IF(OFFSET(C85,-1,0)="L",1,IF(OFFSET(C85,-1,0)=1,2,IF(OR(A85="s",A85=0),"S",IF(AND(OFFSET(C85,-1,0)=2,A85=4),3,IF(AND(OR(OFFSET(C85,-1,0)="s",OFFSET(C85,-1,0)=0),A85&lt;&gt;"s",A85&gt;OFFSET(B85,-1,0)),OFFSET(B85,-1,0),A85)))))</f>
        <v>S</v>
      </c>
      <c r="D85" s="680">
        <f ca="1">IF(OR(C85="S",C85=0),0,IF(ISERROR(K85),J85,SMALL(J85:K85,1)))</f>
        <v>0</v>
      </c>
      <c r="E85" s="680">
        <f ca="1">IF($C85=1,OFFSET(E85,-1,0)+MAX(1,COUNTIF(QCI!$A$13:$A$24,OFFSET(ORÇAMENTO!E85,-1,0))),OFFSET(E85,-1,0))</f>
        <v>1</v>
      </c>
      <c r="F85" s="680">
        <f ca="1">IF($C85=1,0,IF($C85=2,OFFSET(F85,-1,0)+1,OFFSET(F85,-1,0)))</f>
        <v>11</v>
      </c>
      <c r="G85" s="680">
        <f ca="1">IF(AND($C85&lt;=2,$C85&lt;&gt;0),0,IF($C85=3,OFFSET(G85,-1,0)+1,OFFSET(G85,-1,0)))</f>
        <v>0</v>
      </c>
      <c r="H85" s="680">
        <f ca="1">IF(AND($C85&lt;=3,$C85&lt;&gt;0),0,IF($C85=4,OFFSET(H85,-1,0)+1,OFFSET(H85,-1,0)))</f>
        <v>0</v>
      </c>
      <c r="I85" s="680">
        <f ca="1">IF(AND($C85&lt;=4,$C85&lt;&gt;0),0,IF(AND($C85="S",$X85&gt;0),OFFSET(I85,-1,0)+1,OFFSET(I85,-1,0)))</f>
        <v>2</v>
      </c>
      <c r="J85" s="680">
        <f t="shared" ca="1" si="25"/>
        <v>0</v>
      </c>
      <c r="K85" s="680">
        <f ca="1">IF(OR($C85="S",$C85=0),0,MATCH(OFFSET($D85,0,$C85)+IF($C85&lt;&gt;1,1,COUNTIF(QCI!$A$13:$A$24,ORÇAMENTO!E85)),OFFSET($D85,1,$C85,ROW($C$191)-ROW($C85)),0))</f>
        <v>0</v>
      </c>
      <c r="L85" s="684" t="str">
        <f ca="1">IF(OR($X85&gt;0,$C85=1,$C85=2,$C85=3,$C85=4),"F","")</f>
        <v>F</v>
      </c>
      <c r="M85" s="685" t="s">
        <v>705</v>
      </c>
      <c r="N85" s="686" t="str">
        <f ca="1">CHOOSE(1+LOG(1+2*(C85=1)+4*(C85=2)+8*(C85=3)+16*(C85=4)+32*(C85="S"),2),"","Meta","Nível 2","Nível 3","Nível 4","Serviço")</f>
        <v>Serviço</v>
      </c>
      <c r="O85" s="687" t="str">
        <f ca="1">IF(OR($C85=0,$L85=""),"-",CONCATENATE(E85&amp;".",IF(AND($A$5&gt;=2,$C85&gt;=2),F85&amp;".",""),IF(AND($A$5&gt;=3,$C85&gt;=3),G85&amp;".",""),IF(AND($A$5&gt;=4,$C85&gt;=4),H85&amp;".",""),IF($C85="S",I85&amp;".","")))</f>
        <v>1.11.2.</v>
      </c>
      <c r="P85" s="688" t="s">
        <v>750</v>
      </c>
      <c r="Q85" s="689" t="s">
        <v>1221</v>
      </c>
      <c r="R85" s="690" t="str" cm="1">
        <f t="array" aca="1" ref="R85" ca="1">IF($C85="S",REFERENCIA.Descricao,"(digite a descrição aqui)")</f>
        <v>LANÇAMENTO COM USO DE BOMBA, ADENSAMENTO E ACABAMENTO DE CONCRETO EM ESTRUTURAS. AF_02/2022</v>
      </c>
      <c r="S85" s="691" t="str" cm="1">
        <f t="array" aca="1" ref="S85" ca="1">REFERENCIA.Unidade</f>
        <v>M3</v>
      </c>
      <c r="T85" s="692">
        <f ca="1">OFFSET(CÁLCULO!H$15,ROW($T85)-ROW(T$15),0)</f>
        <v>17</v>
      </c>
      <c r="U85" s="693">
        <f t="shared" ca="1" si="31"/>
        <v>48.55</v>
      </c>
      <c r="V85" s="694" t="s">
        <v>663</v>
      </c>
      <c r="W85" s="692" cm="1">
        <f t="array" aca="1" ref="W85" ca="1">IF($C85="S",ROUND(IF(TIPOORCAMENTO="Proposto",ORÇAMENTO.CustoUnitario*(1+$AH85),ORÇAMENTO.PrecoUnitarioLicitado),15-13*$AF$10),0)</f>
        <v>60.2</v>
      </c>
      <c r="X85" s="695" cm="1">
        <f t="array" aca="1" ref="X85" ca="1">IF($C85="S",IF(OR(Import.TipoArredondamento&lt;&gt;"TransfereGOV",ACOMPANHAMENTO="BM"),VTOTAL1,SUM(OFFSET(CÁLCULO!$AI$15,ROW($X85)-ROW($X$15),1):OFFSET(CÁLCULO!$BB$15,ROW($X85)-ROW($X$15),-1))),IF($C85=0,0,ROUND(SomaAgrup,15-13*$AF$11)))</f>
        <v>1023.4</v>
      </c>
      <c r="Y85" s="696" t="s">
        <v>751</v>
      </c>
      <c r="Z85" s="680" t="str">
        <f ca="1">IF(AND($C85="S",$X85&gt;0),IF(ISBLANK($Y85),"RA",LEFT($Y85,2)),"")</f>
        <v>RA</v>
      </c>
      <c r="AA85" s="697" cm="1">
        <f t="array" aca="1" ref="AA85" ca="1">IF($C85="S",IF($Z85="CP",$X85,IF($Z85="RA",(($X85)*QCI!$AA$3),0)),SomaAgrup)</f>
        <v>0</v>
      </c>
      <c r="AB85" s="698" cm="1">
        <f t="array" aca="1" ref="AB85" ca="1">IF($C85="S",IF($Z85="OU",ROUND($X85,2),0),SomaAgrup)</f>
        <v>0</v>
      </c>
      <c r="AC85" s="723" t="str" cm="1">
        <f t="array" aca="1" ref="AC85" ca="1">IF($N85=""," ",
IF(AND($C85&lt;&gt;"S",OR($R85="",$R85="(digite a descrição aqui)")),"DESCRIÇÃO",
IF(AND($C85="S",OR($Q85&lt;&gt;"",$T85&gt;0,$U85&gt;0),$P85=""),"FONTE",
IF(AND($C85="S",$P85&lt;&gt;"",OR($T85&gt;0,$U85&gt;0),$Q85=""),"CÓDIGO",
IF(AND($C85="S",$P85&lt;&gt;"",$Q85&lt;&gt;"",$R85="(Código não identificado nas referências)"),"CÓDIGO N/ID",
IF(AND($C85="S",OR($R85="",$R85="(digite a descrição aqui)"),OR($Q85&lt;&gt;"",$T85&gt;0,$U85&gt;0)),"DESCRIÇÃO",
IF(AND($C85="S",$P85&lt;&gt;"",$Q85&lt;&gt;"",$S85=""),"UNIDADE",
IF(AND($C85="S",$P85&lt;&gt;"",$Q85&lt;&gt;"",$U85=0),"SEM CUSTO",
IF(AND(TIPOORCAMENTO="Licitado",$AL85=0,$AN85&gt;0),"SEM PREÇO",
IF(AND($C85="S",$P85&lt;&gt;"",$Q85&lt;&gt;"",$U85&gt;0,AND($V85&lt;&gt;"BDI 1",$V85&lt;&gt;"BDI 2",$V85&lt;&gt;"BDI 3")),IF(ISNUMBER($V85),"JUSTIFICAR BDI","BDI"),
IF(OR(AND(import.recurso="OGU",TIPOORCAMENTO="Proposto",LEFT($O$8,5)&lt;&gt;"(N/D:",$AG85&lt;&gt;"",ORÇAMENTO.CustoUnitario&gt;$AG85),AND(TIPOORCAMENTO="LICITADO",ORÇAMENTO.PrecoUnitarioLicitado&gt;$AN85)),"ACIMA REF.",
IF(AND($C85="S",$P85&lt;&gt;"",$Q85&lt;&gt;"",$T85=0,$U85&gt;0),"QUANT.",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 xml:space="preserve"> </v>
      </c>
      <c r="AD85" s="680" t="str">
        <f ca="1">IF(C85&lt;=CRONO.NivelExibicao,MAX($AD$15:OFFSET(AD85,-1,0))+IF($C85&lt;&gt;1,1,MAX(1,COUNTIF(QCI!$A$13:$A$24,OFFSET($E85,-1,0)))),"")</f>
        <v/>
      </c>
      <c r="AE85" s="681" t="str" cm="1">
        <f t="array" aca="1" ref="AE85" ca="1">IF(AND($C85="S",ORÇAMENTO.CodBarra&lt;&gt;""),IF(ORÇAMENTO.Fonte="",ORÇAMENTO.CodBarra,CONCATENATE(ORÇAMENTO.Fonte," ",ORÇAMENTO.CodBarra)))</f>
        <v>SINAPI 103673</v>
      </c>
      <c r="AF85" s="682" cm="1">
        <f t="array" aca="1" ref="AF85" ca="1">IF(ISERROR(ORÇAMENTO.BancoRef),"(abra o arquivo 'Referência "&amp;Excel_BuiltIn_Database&amp;".xlsm)",IF(OR($C85&lt;&gt;"S",ORÇAMENTO.CodBarra=""),"(Sem Código)",IF(ISERROR(MATCH($AE85,INDIRECT(ORÇAMENTO.BancoRef),0)),"(Código não identificado nas referências)",MATCH($AE85,INDIRECT(ORÇAMENTO.BancoRef),0))))</f>
        <v>7372</v>
      </c>
      <c r="AG85" s="714" cm="1">
        <f t="array" aca="1" ref="AG85" ca="1">ROUND(IF(DESONERACAO="sim",REFERENCIA.Desonerado,REFERENCIA.NaoDesonerado),2)</f>
        <v>48.55</v>
      </c>
      <c r="AH85" s="715">
        <f ca="1">ROUND(IF(ISNUMBER(ORÇAMENTO.OpcaoBDI),ORÇAMENTO.OpcaoBDI,IF(LEFT(ORÇAMENTO.OpcaoBDI,3)="BDI",HLOOKUP(ORÇAMENTO.OpcaoBDI,$F$4:$H$5,2,FALSE),0)),15-11*$AF$9)</f>
        <v>0.24</v>
      </c>
      <c r="AJ85" s="716"/>
      <c r="AL85" s="718"/>
      <c r="AM85" s="710">
        <f t="shared" ca="1" si="0"/>
        <v>1023.4</v>
      </c>
      <c r="AN85" s="721" cm="1">
        <f t="array" aca="1" ref="AN85" ca="1">ROUND(ORÇAMENTO.CustoUnitario*(1+$AH85),2)</f>
        <v>60.2</v>
      </c>
    </row>
    <row r="86" spans="1:40" s="670" customFormat="1" ht="38.25" x14ac:dyDescent="0.2">
      <c r="A86" s="670" t="str">
        <f t="shared" si="17"/>
        <v>S</v>
      </c>
      <c r="B86" s="670">
        <f t="shared" ca="1" si="18"/>
        <v>2</v>
      </c>
      <c r="C86" s="670" t="str">
        <f t="shared" ca="1" si="19"/>
        <v>S</v>
      </c>
      <c r="D86" s="670">
        <f t="shared" ca="1" si="20"/>
        <v>0</v>
      </c>
      <c r="E86" s="670">
        <f ca="1">IF($C86=1,OFFSET(E86,-1,0)+MAX(1,COUNTIF(QCI!$A$13:$A$24,OFFSET(ORÇAMENTO!E86,-1,0))),OFFSET(E86,-1,0))</f>
        <v>1</v>
      </c>
      <c r="F86" s="670">
        <f t="shared" ca="1" si="21"/>
        <v>11</v>
      </c>
      <c r="G86" s="670">
        <f t="shared" ca="1" si="22"/>
        <v>0</v>
      </c>
      <c r="H86" s="670">
        <f t="shared" ca="1" si="23"/>
        <v>0</v>
      </c>
      <c r="I86" s="670">
        <f t="shared" ca="1" si="24"/>
        <v>3</v>
      </c>
      <c r="J86" s="670">
        <f t="shared" ca="1" si="25"/>
        <v>0</v>
      </c>
      <c r="K86" s="670">
        <f ca="1">IF(OR($C86="S",$C86=0),0,MATCH(OFFSET($D86,0,$C86)+IF($C86&lt;&gt;1,1,COUNTIF(QCI!$A$13:$A$24,ORÇAMENTO!E86)),OFFSET($D86,1,$C86,ROW($C$191)-ROW($C86)),0))</f>
        <v>0</v>
      </c>
      <c r="L86" s="114" t="str">
        <f t="shared" ca="1" si="26"/>
        <v>F</v>
      </c>
      <c r="M86" s="115" t="s">
        <v>705</v>
      </c>
      <c r="N86" s="116" t="str">
        <f t="shared" ca="1" si="27"/>
        <v>Serviço</v>
      </c>
      <c r="O86" s="117" t="str">
        <f t="shared" ca="1" si="28"/>
        <v>1.11.3.</v>
      </c>
      <c r="P86" s="688" t="s">
        <v>750</v>
      </c>
      <c r="Q86" s="689" t="s">
        <v>1082</v>
      </c>
      <c r="R86" s="690" t="str" cm="1">
        <f t="array" aca="1" ref="R86" ca="1">IF($C86="S",REFERENCIA.Descricao,"(digite a descrição aqui)")</f>
        <v>ARMAÇÃO DE ESTRUTURAS DIVERSAS DE CONCRETO ARMADO, EXCETO VIGAS, PILARES, LAJES E FUNDAÇÕES, UTILIZANDO AÇO CA-50 DE 10,0 MM - MONTAGEM. AF_06/2022</v>
      </c>
      <c r="S86" s="691" t="str" cm="1">
        <f t="array" aca="1" ref="S86" ca="1">REFERENCIA.Unidade</f>
        <v>KG</v>
      </c>
      <c r="T86" s="122">
        <f ca="1">OFFSET(CÁLCULO!H$15,ROW($T86)-ROW(T$15),0)</f>
        <v>1200</v>
      </c>
      <c r="U86" s="693">
        <f t="shared" ca="1" si="31"/>
        <v>11.7</v>
      </c>
      <c r="V86" s="694" t="s">
        <v>663</v>
      </c>
      <c r="W86" s="122" cm="1">
        <f t="array" aca="1" ref="W86" ca="1">IF($C86="S",ROUND(IF(TIPOORCAMENTO="Proposto",ORÇAMENTO.CustoUnitario*(1+$AH86),ORÇAMENTO.PrecoUnitarioLicitado),15-13*$AF$10),0)</f>
        <v>14.51</v>
      </c>
      <c r="X86" s="125" cm="1">
        <f t="array" aca="1" ref="X86" ca="1">IF($C86="S",IF(OR(Import.TipoArredondamento&lt;&gt;"TransfereGOV",ACOMPANHAMENTO="BM"),VTOTAL1,SUM(OFFSET(CÁLCULO!$AI$15,ROW($X86)-ROW($X$15),1):OFFSET(CÁLCULO!$BB$15,ROW($X86)-ROW($X$15),-1))),IF($C86=0,0,ROUND(SomaAgrup,15-13*$AF$11)))</f>
        <v>17412</v>
      </c>
      <c r="Y86" s="126" t="s">
        <v>751</v>
      </c>
      <c r="Z86" s="670" t="str">
        <f t="shared" ca="1" si="29"/>
        <v>RA</v>
      </c>
      <c r="AA86" s="127" cm="1">
        <f t="array" aca="1" ref="AA86" ca="1">IF($C86="S",IF($Z86="CP",$X86,IF($Z86="RA",(($X86)*QCI!$AA$3),0)),SomaAgrup)</f>
        <v>0</v>
      </c>
      <c r="AB86" s="128" cm="1">
        <f t="array" aca="1" ref="AB86" ca="1">IF($C86="S",IF($Z86="OU",ROUND($X86,2),0),SomaAgrup)</f>
        <v>0</v>
      </c>
      <c r="AC86" s="565" t="str" cm="1">
        <f t="array" aca="1" ref="AC86" ca="1">IF($N86=""," ",
IF(AND($C86&lt;&gt;"S",OR($R86="",$R86="(digite a descrição aqui)")),"DESCRIÇÃO",
IF(AND($C86="S",OR($Q86&lt;&gt;"",$T86&gt;0,$U86&gt;0),$P86=""),"FONTE",
IF(AND($C86="S",$P86&lt;&gt;"",OR($T86&gt;0,$U86&gt;0),$Q86=""),"CÓDIGO",
IF(AND($C86="S",$P86&lt;&gt;"",$Q86&lt;&gt;"",$R86="(Código não identificado nas referências)"),"CÓDIGO N/ID",
IF(AND($C86="S",OR($R86="",$R86="(digite a descrição aqui)"),OR($Q86&lt;&gt;"",$T86&gt;0,$U86&gt;0)),"DESCRIÇÃO",
IF(AND($C86="S",$P86&lt;&gt;"",$Q86&lt;&gt;"",$S86=""),"UNIDADE",
IF(AND($C86="S",$P86&lt;&gt;"",$Q86&lt;&gt;"",$U86=0),"SEM CUSTO",
IF(AND(TIPOORCAMENTO="Licitado",$AL86=0,$AN86&gt;0),"SEM PREÇO",
IF(AND($C86="S",$P86&lt;&gt;"",$Q86&lt;&gt;"",$U86&gt;0,AND($V86&lt;&gt;"BDI 1",$V86&lt;&gt;"BDI 2",$V86&lt;&gt;"BDI 3")),IF(ISNUMBER($V86),"JUSTIFICAR BDI","BDI"),
IF(OR(AND(import.recurso="OGU",TIPOORCAMENTO="Proposto",LEFT($O$8,5)&lt;&gt;"(N/D:",$AG86&lt;&gt;"",ORÇAMENTO.CustoUnitario&gt;$AG86),AND(TIPOORCAMENTO="LICITADO",ORÇAMENTO.PrecoUnitarioLicitado&gt;$AN86)),"ACIMA REF.",
IF(AND($C86="S",$P86&lt;&gt;"",$Q86&lt;&gt;"",$T86=0,$U86&gt;0),"QUANT.",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 xml:space="preserve"> </v>
      </c>
      <c r="AD86" s="670" t="str">
        <f ca="1">IF(C86&lt;=CRONO.NivelExibicao,MAX($AD$15:OFFSET(AD86,-1,0))+IF($C86&lt;&gt;1,1,MAX(1,COUNTIF(QCI!$A$13:$A$24,OFFSET($E86,-1,0)))),"")</f>
        <v/>
      </c>
      <c r="AE86" s="668" t="str" cm="1">
        <f t="array" aca="1" ref="AE86" ca="1">IF(AND($C86="S",ORÇAMENTO.CodBarra&lt;&gt;""),IF(ORÇAMENTO.Fonte="",ORÇAMENTO.CodBarra,CONCATENATE(ORÇAMENTO.Fonte," ",ORÇAMENTO.CodBarra)))</f>
        <v>SINAPI 92919</v>
      </c>
      <c r="AF86" s="669" cm="1">
        <f t="array" aca="1" ref="AF86" ca="1">IF(ISERROR(ORÇAMENTO.BancoRef),"(abra o arquivo 'Referência "&amp;Excel_BuiltIn_Database&amp;".xlsm)",IF(OR($C86&lt;&gt;"S",ORÇAMENTO.CodBarra=""),"(Sem Código)",IF(ISERROR(MATCH($AE86,INDIRECT(ORÇAMENTO.BancoRef),0)),"(Código não identificado nas referências)",MATCH($AE86,INDIRECT(ORÇAMENTO.BancoRef),0))))</f>
        <v>6314</v>
      </c>
      <c r="AG86" s="428" cm="1">
        <f t="array" aca="1" ref="AG86" ca="1">ROUND(IF(DESONERACAO="sim",REFERENCIA.Desonerado,REFERENCIA.NaoDesonerado),2)</f>
        <v>11.7</v>
      </c>
      <c r="AH86" s="429">
        <f t="shared" ca="1" si="30"/>
        <v>0.24</v>
      </c>
      <c r="AJ86" s="431"/>
      <c r="AL86" s="439"/>
      <c r="AM86" s="336">
        <f t="shared" ca="1" si="0"/>
        <v>17412</v>
      </c>
      <c r="AN86" s="470" cm="1">
        <f t="array" aca="1" ref="AN86" ca="1">ROUND(ORÇAMENTO.CustoUnitario*(1+$AH86),2)</f>
        <v>14.51</v>
      </c>
    </row>
    <row r="87" spans="1:40" s="670" customFormat="1" ht="25.5" x14ac:dyDescent="0.2">
      <c r="A87" s="670" t="str">
        <f t="shared" si="17"/>
        <v>S</v>
      </c>
      <c r="B87" s="670">
        <f t="shared" ca="1" si="18"/>
        <v>2</v>
      </c>
      <c r="C87" s="670" t="str">
        <f t="shared" ca="1" si="19"/>
        <v>S</v>
      </c>
      <c r="D87" s="670">
        <f t="shared" ca="1" si="20"/>
        <v>0</v>
      </c>
      <c r="E87" s="670">
        <f ca="1">IF($C87=1,OFFSET(E87,-1,0)+MAX(1,COUNTIF(QCI!$A$13:$A$24,OFFSET(ORÇAMENTO!E87,-1,0))),OFFSET(E87,-1,0))</f>
        <v>1</v>
      </c>
      <c r="F87" s="670">
        <f t="shared" ca="1" si="21"/>
        <v>11</v>
      </c>
      <c r="G87" s="670">
        <f t="shared" ca="1" si="22"/>
        <v>0</v>
      </c>
      <c r="H87" s="670">
        <f t="shared" ca="1" si="23"/>
        <v>0</v>
      </c>
      <c r="I87" s="670">
        <f t="shared" ca="1" si="24"/>
        <v>4</v>
      </c>
      <c r="J87" s="670">
        <f t="shared" ca="1" si="25"/>
        <v>0</v>
      </c>
      <c r="K87" s="670">
        <f ca="1">IF(OR($C87="S",$C87=0),0,MATCH(OFFSET($D87,0,$C87)+IF($C87&lt;&gt;1,1,COUNTIF(QCI!$A$13:$A$24,ORÇAMENTO!E87)),OFFSET($D87,1,$C87,ROW($C$191)-ROW($C87)),0))</f>
        <v>0</v>
      </c>
      <c r="L87" s="114" t="str">
        <f t="shared" ca="1" si="26"/>
        <v>F</v>
      </c>
      <c r="M87" s="115" t="s">
        <v>705</v>
      </c>
      <c r="N87" s="116" t="str">
        <f t="shared" ca="1" si="27"/>
        <v>Serviço</v>
      </c>
      <c r="O87" s="117" t="str">
        <f t="shared" ca="1" si="28"/>
        <v>1.11.4.</v>
      </c>
      <c r="P87" s="688" t="s">
        <v>750</v>
      </c>
      <c r="Q87" s="689" t="s">
        <v>1026</v>
      </c>
      <c r="R87" s="690" t="str" cm="1">
        <f t="array" aca="1" ref="R87" ca="1">IF($C87="S",REFERENCIA.Descricao,"(digite a descrição aqui)")</f>
        <v>FABRICAÇÃO DE FÔRMA PARA VIGAS, EM CHAPA DE MADEIRA COMPENSADA RESINADA, E = 17 MM. AF_09/2020</v>
      </c>
      <c r="S87" s="691" t="str" cm="1">
        <f t="array" aca="1" ref="S87" ca="1">REFERENCIA.Unidade</f>
        <v>M2</v>
      </c>
      <c r="T87" s="122">
        <f ca="1">OFFSET(CÁLCULO!H$15,ROW($T87)-ROW(T$15),0)</f>
        <v>112</v>
      </c>
      <c r="U87" s="693">
        <f t="shared" ca="1" si="31"/>
        <v>128.82</v>
      </c>
      <c r="V87" s="694" t="s">
        <v>663</v>
      </c>
      <c r="W87" s="122" cm="1">
        <f t="array" aca="1" ref="W87" ca="1">IF($C87="S",ROUND(IF(TIPOORCAMENTO="Proposto",ORÇAMENTO.CustoUnitario*(1+$AH87),ORÇAMENTO.PrecoUnitarioLicitado),15-13*$AF$10),0)</f>
        <v>159.74</v>
      </c>
      <c r="X87" s="125" cm="1">
        <f t="array" aca="1" ref="X87" ca="1">IF($C87="S",IF(OR(Import.TipoArredondamento&lt;&gt;"TransfereGOV",ACOMPANHAMENTO="BM"),VTOTAL1,SUM(OFFSET(CÁLCULO!$AI$15,ROW($X87)-ROW($X$15),1):OFFSET(CÁLCULO!$BB$15,ROW($X87)-ROW($X$15),-1))),IF($C87=0,0,ROUND(SomaAgrup,15-13*$AF$11)))</f>
        <v>17890.88</v>
      </c>
      <c r="Y87" s="126" t="s">
        <v>751</v>
      </c>
      <c r="Z87" s="670" t="str">
        <f t="shared" ca="1" si="29"/>
        <v>RA</v>
      </c>
      <c r="AA87" s="127" cm="1">
        <f t="array" aca="1" ref="AA87" ca="1">IF($C87="S",IF($Z87="CP",$X87,IF($Z87="RA",(($X87)*QCI!$AA$3),0)),SomaAgrup)</f>
        <v>0</v>
      </c>
      <c r="AB87" s="128" cm="1">
        <f t="array" aca="1" ref="AB87" ca="1">IF($C87="S",IF($Z87="OU",ROUND($X87,2),0),SomaAgrup)</f>
        <v>0</v>
      </c>
      <c r="AC87" s="565" t="str" cm="1">
        <f t="array" aca="1" ref="AC87" ca="1">IF($N87=""," ",
IF(AND($C87&lt;&gt;"S",OR($R87="",$R87="(digite a descrição aqui)")),"DESCRIÇÃO",
IF(AND($C87="S",OR($Q87&lt;&gt;"",$T87&gt;0,$U87&gt;0),$P87=""),"FONTE",
IF(AND($C87="S",$P87&lt;&gt;"",OR($T87&gt;0,$U87&gt;0),$Q87=""),"CÓDIGO",
IF(AND($C87="S",$P87&lt;&gt;"",$Q87&lt;&gt;"",$R87="(Código não identificado nas referências)"),"CÓDIGO N/ID",
IF(AND($C87="S",OR($R87="",$R87="(digite a descrição aqui)"),OR($Q87&lt;&gt;"",$T87&gt;0,$U87&gt;0)),"DESCRIÇÃO",
IF(AND($C87="S",$P87&lt;&gt;"",$Q87&lt;&gt;"",$S87=""),"UNIDADE",
IF(AND($C87="S",$P87&lt;&gt;"",$Q87&lt;&gt;"",$U87=0),"SEM CUSTO",
IF(AND(TIPOORCAMENTO="Licitado",$AL87=0,$AN87&gt;0),"SEM PREÇO",
IF(AND($C87="S",$P87&lt;&gt;"",$Q87&lt;&gt;"",$U87&gt;0,AND($V87&lt;&gt;"BDI 1",$V87&lt;&gt;"BDI 2",$V87&lt;&gt;"BDI 3")),IF(ISNUMBER($V87),"JUSTIFICAR BDI","BDI"),
IF(OR(AND(import.recurso="OGU",TIPOORCAMENTO="Proposto",LEFT($O$8,5)&lt;&gt;"(N/D:",$AG87&lt;&gt;"",ORÇAMENTO.CustoUnitario&gt;$AG87),AND(TIPOORCAMENTO="LICITADO",ORÇAMENTO.PrecoUnitarioLicitado&gt;$AN87)),"ACIMA REF.",
IF(AND($C87="S",$P87&lt;&gt;"",$Q87&lt;&gt;"",$T87=0,$U87&gt;0),"QUANT.",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 xml:space="preserve"> </v>
      </c>
      <c r="AD87" s="670" t="str">
        <f ca="1">IF(C87&lt;=CRONO.NivelExibicao,MAX($AD$15:OFFSET(AD87,-1,0))+IF($C87&lt;&gt;1,1,MAX(1,COUNTIF(QCI!$A$13:$A$24,OFFSET($E87,-1,0)))),"")</f>
        <v/>
      </c>
      <c r="AE87" s="668" t="str" cm="1">
        <f t="array" aca="1" ref="AE87" ca="1">IF(AND($C87="S",ORÇAMENTO.CodBarra&lt;&gt;""),IF(ORÇAMENTO.Fonte="",ORÇAMENTO.CodBarra,CONCATENATE(ORÇAMENTO.Fonte," ",ORÇAMENTO.CodBarra)))</f>
        <v>SINAPI 92265</v>
      </c>
      <c r="AF87" s="669" cm="1">
        <f t="array" aca="1" ref="AF87" ca="1">IF(ISERROR(ORÇAMENTO.BancoRef),"(abra o arquivo 'Referência "&amp;Excel_BuiltIn_Database&amp;".xlsm)",IF(OR($C87&lt;&gt;"S",ORÇAMENTO.CodBarra=""),"(Sem Código)",IF(ISERROR(MATCH($AE87,INDIRECT(ORÇAMENTO.BancoRef),0)),"(Código não identificado nas referências)",MATCH($AE87,INDIRECT(ORÇAMENTO.BancoRef),0))))</f>
        <v>10274</v>
      </c>
      <c r="AG87" s="428" cm="1">
        <f t="array" aca="1" ref="AG87" ca="1">ROUND(IF(DESONERACAO="sim",REFERENCIA.Desonerado,REFERENCIA.NaoDesonerado),2)</f>
        <v>128.82</v>
      </c>
      <c r="AH87" s="429">
        <f t="shared" ca="1" si="30"/>
        <v>0.24</v>
      </c>
      <c r="AJ87" s="431"/>
      <c r="AL87" s="439"/>
      <c r="AM87" s="336">
        <f t="shared" ca="1" si="0"/>
        <v>17890.88</v>
      </c>
      <c r="AN87" s="470" cm="1">
        <f t="array" aca="1" ref="AN87" ca="1">ROUND(ORÇAMENTO.CustoUnitario*(1+$AH87),2)</f>
        <v>159.74</v>
      </c>
    </row>
    <row r="88" spans="1:40" s="670" customFormat="1" ht="63.75" x14ac:dyDescent="0.2">
      <c r="A88" s="670" t="str">
        <f t="shared" si="17"/>
        <v>S</v>
      </c>
      <c r="B88" s="670">
        <f t="shared" ca="1" si="18"/>
        <v>2</v>
      </c>
      <c r="C88" s="670" t="str">
        <f t="shared" ca="1" si="19"/>
        <v>S</v>
      </c>
      <c r="D88" s="670">
        <f t="shared" ca="1" si="20"/>
        <v>0</v>
      </c>
      <c r="E88" s="670">
        <f ca="1">IF($C88=1,OFFSET(E88,-1,0)+MAX(1,COUNTIF(QCI!$A$13:$A$24,OFFSET(ORÇAMENTO!E88,-1,0))),OFFSET(E88,-1,0))</f>
        <v>1</v>
      </c>
      <c r="F88" s="670">
        <f t="shared" ca="1" si="21"/>
        <v>11</v>
      </c>
      <c r="G88" s="670">
        <f t="shared" ca="1" si="22"/>
        <v>0</v>
      </c>
      <c r="H88" s="670">
        <f t="shared" ca="1" si="23"/>
        <v>0</v>
      </c>
      <c r="I88" s="670">
        <f t="shared" ca="1" si="24"/>
        <v>5</v>
      </c>
      <c r="J88" s="670">
        <f t="shared" ca="1" si="25"/>
        <v>0</v>
      </c>
      <c r="K88" s="670">
        <f ca="1">IF(OR($C88="S",$C88=0),0,MATCH(OFFSET($D88,0,$C88)+IF($C88&lt;&gt;1,1,COUNTIF(QCI!$A$13:$A$24,ORÇAMENTO!E88)),OFFSET($D88,1,$C88,ROW($C$191)-ROW($C88)),0))</f>
        <v>0</v>
      </c>
      <c r="L88" s="114" t="str">
        <f t="shared" ca="1" si="26"/>
        <v>F</v>
      </c>
      <c r="M88" s="115" t="s">
        <v>705</v>
      </c>
      <c r="N88" s="116" t="str">
        <f t="shared" ca="1" si="27"/>
        <v>Serviço</v>
      </c>
      <c r="O88" s="117" t="str">
        <f t="shared" ca="1" si="28"/>
        <v>1.11.5.</v>
      </c>
      <c r="P88" s="688" t="s">
        <v>750</v>
      </c>
      <c r="Q88" s="689" t="s">
        <v>1027</v>
      </c>
      <c r="R88" s="690" t="str" cm="1">
        <f t="array" aca="1" ref="R88" ca="1">IF($C88="S",REFERENCIA.Descricao,"(digite a descrição aqui)")</f>
        <v>ESCAVAÇÃO MECANIZADA DE VALA COM PROF. ATÉ 1,5 M (MÉDIA MONTANTE E JUSANTE/UMA COMPOSIÇÃO POR TRECHO), ESCAVADEIRA (0,8 M3),LARG. ATÉ 1,5 M, EM SOLO DE 2A CATEGORIA, EM LOCAIS COM ALTO NÍVEL DE INTERFERÊNCIA. AF_09/2024</v>
      </c>
      <c r="S88" s="691" t="str" cm="1">
        <f t="array" aca="1" ref="S88" ca="1">REFERENCIA.Unidade</f>
        <v>M3</v>
      </c>
      <c r="T88" s="122">
        <f ca="1">OFFSET(CÁLCULO!H$15,ROW($T88)-ROW(T$15),0)</f>
        <v>77.3</v>
      </c>
      <c r="U88" s="693">
        <f t="shared" ca="1" si="31"/>
        <v>14.08</v>
      </c>
      <c r="V88" s="694" t="s">
        <v>663</v>
      </c>
      <c r="W88" s="122" cm="1">
        <f t="array" aca="1" ref="W88" ca="1">IF($C88="S",ROUND(IF(TIPOORCAMENTO="Proposto",ORÇAMENTO.CustoUnitario*(1+$AH88),ORÇAMENTO.PrecoUnitarioLicitado),15-13*$AF$10),0)</f>
        <v>17.46</v>
      </c>
      <c r="X88" s="125" cm="1">
        <f t="array" aca="1" ref="X88" ca="1">IF($C88="S",IF(OR(Import.TipoArredondamento&lt;&gt;"TransfereGOV",ACOMPANHAMENTO="BM"),VTOTAL1,SUM(OFFSET(CÁLCULO!$AI$15,ROW($X88)-ROW($X$15),1):OFFSET(CÁLCULO!$BB$15,ROW($X88)-ROW($X$15),-1))),IF($C88=0,0,ROUND(SomaAgrup,15-13*$AF$11)))</f>
        <v>1349.66</v>
      </c>
      <c r="Y88" s="126" t="s">
        <v>751</v>
      </c>
      <c r="Z88" s="670" t="str">
        <f t="shared" ca="1" si="29"/>
        <v>RA</v>
      </c>
      <c r="AA88" s="127" cm="1">
        <f t="array" aca="1" ref="AA88" ca="1">IF($C88="S",IF($Z88="CP",$X88,IF($Z88="RA",(($X88)*QCI!$AA$3),0)),SomaAgrup)</f>
        <v>0</v>
      </c>
      <c r="AB88" s="128" cm="1">
        <f t="array" aca="1" ref="AB88" ca="1">IF($C88="S",IF($Z88="OU",ROUND($X88,2),0),SomaAgrup)</f>
        <v>0</v>
      </c>
      <c r="AC88" s="565" t="str" cm="1">
        <f t="array" aca="1" ref="AC88" ca="1">IF($N88=""," ",
IF(AND($C88&lt;&gt;"S",OR($R88="",$R88="(digite a descrição aqui)")),"DESCRIÇÃO",
IF(AND($C88="S",OR($Q88&lt;&gt;"",$T88&gt;0,$U88&gt;0),$P88=""),"FONTE",
IF(AND($C88="S",$P88&lt;&gt;"",OR($T88&gt;0,$U88&gt;0),$Q88=""),"CÓDIGO",
IF(AND($C88="S",$P88&lt;&gt;"",$Q88&lt;&gt;"",$R88="(Código não identificado nas referências)"),"CÓDIGO N/ID",
IF(AND($C88="S",OR($R88="",$R88="(digite a descrição aqui)"),OR($Q88&lt;&gt;"",$T88&gt;0,$U88&gt;0)),"DESCRIÇÃO",
IF(AND($C88="S",$P88&lt;&gt;"",$Q88&lt;&gt;"",$S88=""),"UNIDADE",
IF(AND($C88="S",$P88&lt;&gt;"",$Q88&lt;&gt;"",$U88=0),"SEM CUSTO",
IF(AND(TIPOORCAMENTO="Licitado",$AL88=0,$AN88&gt;0),"SEM PREÇO",
IF(AND($C88="S",$P88&lt;&gt;"",$Q88&lt;&gt;"",$U88&gt;0,AND($V88&lt;&gt;"BDI 1",$V88&lt;&gt;"BDI 2",$V88&lt;&gt;"BDI 3")),IF(ISNUMBER($V88),"JUSTIFICAR BDI","BDI"),
IF(OR(AND(import.recurso="OGU",TIPOORCAMENTO="Proposto",LEFT($O$8,5)&lt;&gt;"(N/D:",$AG88&lt;&gt;"",ORÇAMENTO.CustoUnitario&gt;$AG88),AND(TIPOORCAMENTO="LICITADO",ORÇAMENTO.PrecoUnitarioLicitado&gt;$AN88)),"ACIMA REF.",
IF(AND($C88="S",$P88&lt;&gt;"",$Q88&lt;&gt;"",$T88=0,$U88&gt;0),"QUANT.",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 xml:space="preserve"> </v>
      </c>
      <c r="AD88" s="670" t="str">
        <f ca="1">IF(C88&lt;=CRONO.NivelExibicao,MAX($AD$15:OFFSET(AD88,-1,0))+IF($C88&lt;&gt;1,1,MAX(1,COUNTIF(QCI!$A$13:$A$24,OFFSET($E88,-1,0)))),"")</f>
        <v/>
      </c>
      <c r="AE88" s="668" t="str" cm="1">
        <f t="array" aca="1" ref="AE88" ca="1">IF(AND($C88="S",ORÇAMENTO.CodBarra&lt;&gt;""),IF(ORÇAMENTO.Fonte="",ORÇAMENTO.CodBarra,CONCATENATE(ORÇAMENTO.Fonte," ",ORÇAMENTO.CodBarra)))</f>
        <v>SINAPI 102306</v>
      </c>
      <c r="AF88" s="669" cm="1">
        <f t="array" aca="1" ref="AF88" ca="1">IF(ISERROR(ORÇAMENTO.BancoRef),"(abra o arquivo 'Referência "&amp;Excel_BuiltIn_Database&amp;".xlsm)",IF(OR($C88&lt;&gt;"S",ORÇAMENTO.CodBarra=""),"(Sem Código)",IF(ISERROR(MATCH($AE88,INDIRECT(ORÇAMENTO.BancoRef),0)),"(Código não identificado nas referências)",MATCH($AE88,INDIRECT(ORÇAMENTO.BancoRef),0))))</f>
        <v>9495</v>
      </c>
      <c r="AG88" s="428" cm="1">
        <f t="array" aca="1" ref="AG88" ca="1">ROUND(IF(DESONERACAO="sim",REFERENCIA.Desonerado,REFERENCIA.NaoDesonerado),2)</f>
        <v>14.08</v>
      </c>
      <c r="AH88" s="429">
        <f t="shared" ca="1" si="30"/>
        <v>0.24</v>
      </c>
      <c r="AJ88" s="431"/>
      <c r="AL88" s="439"/>
      <c r="AM88" s="336">
        <f t="shared" ca="1" si="0"/>
        <v>1349.66</v>
      </c>
      <c r="AN88" s="470" cm="1">
        <f t="array" aca="1" ref="AN88" ca="1">ROUND(ORÇAMENTO.CustoUnitario*(1+$AH88),2)</f>
        <v>17.46</v>
      </c>
    </row>
    <row r="89" spans="1:40" s="670" customFormat="1" ht="38.25" x14ac:dyDescent="0.2">
      <c r="A89" s="670" t="str">
        <f t="shared" si="17"/>
        <v>S</v>
      </c>
      <c r="B89" s="670">
        <f t="shared" ca="1" si="18"/>
        <v>2</v>
      </c>
      <c r="C89" s="670" t="str">
        <f t="shared" ca="1" si="19"/>
        <v>S</v>
      </c>
      <c r="D89" s="670">
        <f t="shared" ca="1" si="20"/>
        <v>0</v>
      </c>
      <c r="E89" s="670">
        <f ca="1">IF($C89=1,OFFSET(E89,-1,0)+MAX(1,COUNTIF(QCI!$A$13:$A$24,OFFSET(ORÇAMENTO!E89,-1,0))),OFFSET(E89,-1,0))</f>
        <v>1</v>
      </c>
      <c r="F89" s="670">
        <f t="shared" ca="1" si="21"/>
        <v>11</v>
      </c>
      <c r="G89" s="670">
        <f t="shared" ca="1" si="22"/>
        <v>0</v>
      </c>
      <c r="H89" s="670">
        <f t="shared" ca="1" si="23"/>
        <v>0</v>
      </c>
      <c r="I89" s="670">
        <f t="shared" ca="1" si="24"/>
        <v>6</v>
      </c>
      <c r="J89" s="670">
        <f t="shared" ca="1" si="25"/>
        <v>0</v>
      </c>
      <c r="K89" s="670">
        <f ca="1">IF(OR($C89="S",$C89=0),0,MATCH(OFFSET($D89,0,$C89)+IF($C89&lt;&gt;1,1,COUNTIF(QCI!$A$13:$A$24,ORÇAMENTO!E89)),OFFSET($D89,1,$C89,ROW($C$191)-ROW($C89)),0))</f>
        <v>0</v>
      </c>
      <c r="L89" s="114" t="str">
        <f t="shared" ca="1" si="26"/>
        <v>F</v>
      </c>
      <c r="M89" s="115" t="s">
        <v>705</v>
      </c>
      <c r="N89" s="116" t="str">
        <f t="shared" ca="1" si="27"/>
        <v>Serviço</v>
      </c>
      <c r="O89" s="117" t="str">
        <f t="shared" ca="1" si="28"/>
        <v>1.11.6.</v>
      </c>
      <c r="P89" s="688" t="s">
        <v>750</v>
      </c>
      <c r="Q89" s="689" t="s">
        <v>1028</v>
      </c>
      <c r="R89" s="690" t="str" cm="1">
        <f t="array" aca="1" ref="R89" ca="1">IF($C89="S",REFERENCIA.Descricao,"(digite a descrição aqui)")</f>
        <v>ESTACA BROCA DE CONCRETO, DIÂMETRO DE 30CM, ESCAVAÇÃO MANUAL COM TRADO CONCHA, COM ARMADURA DE ARRANQUE. AF_05/2020</v>
      </c>
      <c r="S89" s="691" t="str" cm="1">
        <f t="array" aca="1" ref="S89" ca="1">REFERENCIA.Unidade</f>
        <v>M</v>
      </c>
      <c r="T89" s="122">
        <f ca="1">OFFSET(CÁLCULO!H$15,ROW($T89)-ROW(T$15),0)</f>
        <v>8.6999999999999993</v>
      </c>
      <c r="U89" s="693">
        <f t="shared" ca="1" si="31"/>
        <v>133.03</v>
      </c>
      <c r="V89" s="694" t="s">
        <v>663</v>
      </c>
      <c r="W89" s="122" cm="1">
        <f t="array" aca="1" ref="W89" ca="1">IF($C89="S",ROUND(IF(TIPOORCAMENTO="Proposto",ORÇAMENTO.CustoUnitario*(1+$AH89),ORÇAMENTO.PrecoUnitarioLicitado),15-13*$AF$10),0)</f>
        <v>164.96</v>
      </c>
      <c r="X89" s="125" cm="1">
        <f t="array" aca="1" ref="X89" ca="1">IF($C89="S",IF(OR(Import.TipoArredondamento&lt;&gt;"TransfereGOV",ACOMPANHAMENTO="BM"),VTOTAL1,SUM(OFFSET(CÁLCULO!$AI$15,ROW($X89)-ROW($X$15),1):OFFSET(CÁLCULO!$BB$15,ROW($X89)-ROW($X$15),-1))),IF($C89=0,0,ROUND(SomaAgrup,15-13*$AF$11)))</f>
        <v>1435.15</v>
      </c>
      <c r="Y89" s="126" t="s">
        <v>751</v>
      </c>
      <c r="Z89" s="670" t="str">
        <f t="shared" ca="1" si="29"/>
        <v>RA</v>
      </c>
      <c r="AA89" s="127" cm="1">
        <f t="array" aca="1" ref="AA89" ca="1">IF($C89="S",IF($Z89="CP",$X89,IF($Z89="RA",(($X89)*QCI!$AA$3),0)),SomaAgrup)</f>
        <v>0</v>
      </c>
      <c r="AB89" s="128" cm="1">
        <f t="array" aca="1" ref="AB89" ca="1">IF($C89="S",IF($Z89="OU",ROUND($X89,2),0),SomaAgrup)</f>
        <v>0</v>
      </c>
      <c r="AC89" s="565" t="str" cm="1">
        <f t="array" aca="1" ref="AC89" ca="1">IF($N89=""," ",
IF(AND($C89&lt;&gt;"S",OR($R89="",$R89="(digite a descrição aqui)")),"DESCRIÇÃO",
IF(AND($C89="S",OR($Q89&lt;&gt;"",$T89&gt;0,$U89&gt;0),$P89=""),"FONTE",
IF(AND($C89="S",$P89&lt;&gt;"",OR($T89&gt;0,$U89&gt;0),$Q89=""),"CÓDIGO",
IF(AND($C89="S",$P89&lt;&gt;"",$Q89&lt;&gt;"",$R89="(Código não identificado nas referências)"),"CÓDIGO N/ID",
IF(AND($C89="S",OR($R89="",$R89="(digite a descrição aqui)"),OR($Q89&lt;&gt;"",$T89&gt;0,$U89&gt;0)),"DESCRIÇÃO",
IF(AND($C89="S",$P89&lt;&gt;"",$Q89&lt;&gt;"",$S89=""),"UNIDADE",
IF(AND($C89="S",$P89&lt;&gt;"",$Q89&lt;&gt;"",$U89=0),"SEM CUSTO",
IF(AND(TIPOORCAMENTO="Licitado",$AL89=0,$AN89&gt;0),"SEM PREÇO",
IF(AND($C89="S",$P89&lt;&gt;"",$Q89&lt;&gt;"",$U89&gt;0,AND($V89&lt;&gt;"BDI 1",$V89&lt;&gt;"BDI 2",$V89&lt;&gt;"BDI 3")),IF(ISNUMBER($V89),"JUSTIFICAR BDI","BDI"),
IF(OR(AND(import.recurso="OGU",TIPOORCAMENTO="Proposto",LEFT($O$8,5)&lt;&gt;"(N/D:",$AG89&lt;&gt;"",ORÇAMENTO.CustoUnitario&gt;$AG89),AND(TIPOORCAMENTO="LICITADO",ORÇAMENTO.PrecoUnitarioLicitado&gt;$AN89)),"ACIMA REF.",
IF(AND($C89="S",$P89&lt;&gt;"",$Q89&lt;&gt;"",$T89=0,$U89&gt;0),"QUANT.",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 xml:space="preserve"> </v>
      </c>
      <c r="AD89" s="670" t="str">
        <f ca="1">IF(C89&lt;=CRONO.NivelExibicao,MAX($AD$15:OFFSET(AD89,-1,0))+IF($C89&lt;&gt;1,1,MAX(1,COUNTIF(QCI!$A$13:$A$24,OFFSET($E89,-1,0)))),"")</f>
        <v/>
      </c>
      <c r="AE89" s="668" t="str" cm="1">
        <f t="array" aca="1" ref="AE89" ca="1">IF(AND($C89="S",ORÇAMENTO.CodBarra&lt;&gt;""),IF(ORÇAMENTO.Fonte="",ORÇAMENTO.CodBarra,CONCATENATE(ORÇAMENTO.Fonte," ",ORÇAMENTO.CodBarra)))</f>
        <v>SINAPI 101175</v>
      </c>
      <c r="AF89" s="669" cm="1">
        <f t="array" aca="1" ref="AF89" ca="1">IF(ISERROR(ORÇAMENTO.BancoRef),"(abra o arquivo 'Referência "&amp;Excel_BuiltIn_Database&amp;".xlsm)",IF(OR($C89&lt;&gt;"S",ORÇAMENTO.CodBarra=""),"(Sem Código)",IF(ISERROR(MATCH($AE89,INDIRECT(ORÇAMENTO.BancoRef),0)),"(Código não identificado nas referências)",MATCH($AE89,INDIRECT(ORÇAMENTO.BancoRef),0))))</f>
        <v>9807</v>
      </c>
      <c r="AG89" s="428" cm="1">
        <f t="array" aca="1" ref="AG89" ca="1">ROUND(IF(DESONERACAO="sim",REFERENCIA.Desonerado,REFERENCIA.NaoDesonerado),2)</f>
        <v>133.03</v>
      </c>
      <c r="AH89" s="429">
        <f t="shared" ca="1" si="30"/>
        <v>0.24</v>
      </c>
      <c r="AJ89" s="431"/>
      <c r="AL89" s="439"/>
      <c r="AM89" s="336">
        <f t="shared" ca="1" si="0"/>
        <v>1435.15</v>
      </c>
      <c r="AN89" s="470" cm="1">
        <f t="array" aca="1" ref="AN89" ca="1">ROUND(ORÇAMENTO.CustoUnitario*(1+$AH89),2)</f>
        <v>164.96</v>
      </c>
    </row>
    <row r="90" spans="1:40" s="670" customFormat="1" ht="38.25" x14ac:dyDescent="0.2">
      <c r="A90" s="670" t="str">
        <f t="shared" si="17"/>
        <v>S</v>
      </c>
      <c r="B90" s="670">
        <f t="shared" ca="1" si="18"/>
        <v>2</v>
      </c>
      <c r="C90" s="670" t="str">
        <f t="shared" ca="1" si="19"/>
        <v>S</v>
      </c>
      <c r="D90" s="670">
        <f t="shared" ca="1" si="20"/>
        <v>0</v>
      </c>
      <c r="E90" s="670">
        <f ca="1">IF($C90=1,OFFSET(E90,-1,0)+MAX(1,COUNTIF(QCI!$A$13:$A$24,OFFSET(ORÇAMENTO!E90,-1,0))),OFFSET(E90,-1,0))</f>
        <v>1</v>
      </c>
      <c r="F90" s="670">
        <f t="shared" ca="1" si="21"/>
        <v>11</v>
      </c>
      <c r="G90" s="670">
        <f t="shared" ca="1" si="22"/>
        <v>0</v>
      </c>
      <c r="H90" s="670">
        <f t="shared" ca="1" si="23"/>
        <v>0</v>
      </c>
      <c r="I90" s="670">
        <f t="shared" ca="1" si="24"/>
        <v>7</v>
      </c>
      <c r="J90" s="670">
        <f t="shared" ca="1" si="25"/>
        <v>0</v>
      </c>
      <c r="K90" s="670">
        <f ca="1">IF(OR($C90="S",$C90=0),0,MATCH(OFFSET($D90,0,$C90)+IF($C90&lt;&gt;1,1,COUNTIF(QCI!$A$13:$A$24,ORÇAMENTO!E90)),OFFSET($D90,1,$C90,ROW($C$191)-ROW($C90)),0))</f>
        <v>0</v>
      </c>
      <c r="L90" s="114" t="str">
        <f t="shared" ca="1" si="26"/>
        <v>F</v>
      </c>
      <c r="M90" s="115" t="s">
        <v>705</v>
      </c>
      <c r="N90" s="116" t="str">
        <f t="shared" ca="1" si="27"/>
        <v>Serviço</v>
      </c>
      <c r="O90" s="117" t="str">
        <f t="shared" ca="1" si="28"/>
        <v>1.11.7.</v>
      </c>
      <c r="P90" s="688" t="s">
        <v>750</v>
      </c>
      <c r="Q90" s="689" t="s">
        <v>1029</v>
      </c>
      <c r="R90" s="690" t="str" cm="1">
        <f t="array" aca="1" ref="R90" ca="1">IF($C90="S",REFERENCIA.Descricao,"(digite a descrição aqui)")</f>
        <v>MONTAGEM E DESMONTAGEM DE FÔRMA DE VIGA, ESCORAMENTO COM PONTALETE DE MADEIRA, PÉ-DIREITO SIMPLES, EM MADEIRA SERRADA, 1 UTILIZAÇÃO. AF_09/2020</v>
      </c>
      <c r="S90" s="691" t="str" cm="1">
        <f t="array" aca="1" ref="S90" ca="1">REFERENCIA.Unidade</f>
        <v>M2</v>
      </c>
      <c r="T90" s="122">
        <f ca="1">OFFSET(CÁLCULO!H$15,ROW($T90)-ROW(T$15),0)</f>
        <v>112</v>
      </c>
      <c r="U90" s="693">
        <f t="shared" ca="1" si="31"/>
        <v>378.66</v>
      </c>
      <c r="V90" s="694" t="s">
        <v>663</v>
      </c>
      <c r="W90" s="122" cm="1">
        <f t="array" aca="1" ref="W90" ca="1">IF($C90="S",ROUND(IF(TIPOORCAMENTO="Proposto",ORÇAMENTO.CustoUnitario*(1+$AH90),ORÇAMENTO.PrecoUnitarioLicitado),15-13*$AF$10),0)</f>
        <v>469.54</v>
      </c>
      <c r="X90" s="125" cm="1">
        <f t="array" aca="1" ref="X90" ca="1">IF($C90="S",IF(OR(Import.TipoArredondamento&lt;&gt;"TransfereGOV",ACOMPANHAMENTO="BM"),VTOTAL1,SUM(OFFSET(CÁLCULO!$AI$15,ROW($X90)-ROW($X$15),1):OFFSET(CÁLCULO!$BB$15,ROW($X90)-ROW($X$15),-1))),IF($C90=0,0,ROUND(SomaAgrup,15-13*$AF$11)))</f>
        <v>52588.480000000003</v>
      </c>
      <c r="Y90" s="126" t="s">
        <v>751</v>
      </c>
      <c r="Z90" s="670" t="str">
        <f t="shared" ca="1" si="29"/>
        <v>RA</v>
      </c>
      <c r="AA90" s="127" cm="1">
        <f t="array" aca="1" ref="AA90" ca="1">IF($C90="S",IF($Z90="CP",$X90,IF($Z90="RA",(($X90)*QCI!$AA$3),0)),SomaAgrup)</f>
        <v>0</v>
      </c>
      <c r="AB90" s="128" cm="1">
        <f t="array" aca="1" ref="AB90" ca="1">IF($C90="S",IF($Z90="OU",ROUND($X90,2),0),SomaAgrup)</f>
        <v>0</v>
      </c>
      <c r="AC90" s="565" t="str" cm="1">
        <f t="array" aca="1" ref="AC90" ca="1">IF($N90=""," ",
IF(AND($C90&lt;&gt;"S",OR($R90="",$R90="(digite a descrição aqui)")),"DESCRIÇÃO",
IF(AND($C90="S",OR($Q90&lt;&gt;"",$T90&gt;0,$U90&gt;0),$P90=""),"FONTE",
IF(AND($C90="S",$P90&lt;&gt;"",OR($T90&gt;0,$U90&gt;0),$Q90=""),"CÓDIGO",
IF(AND($C90="S",$P90&lt;&gt;"",$Q90&lt;&gt;"",$R90="(Código não identificado nas referências)"),"CÓDIGO N/ID",
IF(AND($C90="S",OR($R90="",$R90="(digite a descrição aqui)"),OR($Q90&lt;&gt;"",$T90&gt;0,$U90&gt;0)),"DESCRIÇÃO",
IF(AND($C90="S",$P90&lt;&gt;"",$Q90&lt;&gt;"",$S90=""),"UNIDADE",
IF(AND($C90="S",$P90&lt;&gt;"",$Q90&lt;&gt;"",$U90=0),"SEM CUSTO",
IF(AND(TIPOORCAMENTO="Licitado",$AL90=0,$AN90&gt;0),"SEM PREÇO",
IF(AND($C90="S",$P90&lt;&gt;"",$Q90&lt;&gt;"",$U90&gt;0,AND($V90&lt;&gt;"BDI 1",$V90&lt;&gt;"BDI 2",$V90&lt;&gt;"BDI 3")),IF(ISNUMBER($V90),"JUSTIFICAR BDI","BDI"),
IF(OR(AND(import.recurso="OGU",TIPOORCAMENTO="Proposto",LEFT($O$8,5)&lt;&gt;"(N/D:",$AG90&lt;&gt;"",ORÇAMENTO.CustoUnitario&gt;$AG90),AND(TIPOORCAMENTO="LICITADO",ORÇAMENTO.PrecoUnitarioLicitado&gt;$AN90)),"ACIMA REF.",
IF(AND($C90="S",$P90&lt;&gt;"",$Q90&lt;&gt;"",$T90=0,$U90&gt;0),"QUANT.",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 xml:space="preserve"> </v>
      </c>
      <c r="AD90" s="670" t="str">
        <f ca="1">IF(C90&lt;=CRONO.NivelExibicao,MAX($AD$15:OFFSET(AD90,-1,0))+IF($C90&lt;&gt;1,1,MAX(1,COUNTIF(QCI!$A$13:$A$24,OFFSET($E90,-1,0)))),"")</f>
        <v/>
      </c>
      <c r="AE90" s="668" t="str" cm="1">
        <f t="array" aca="1" ref="AE90" ca="1">IF(AND($C90="S",ORÇAMENTO.CodBarra&lt;&gt;""),IF(ORÇAMENTO.Fonte="",ORÇAMENTO.CodBarra,CONCATENATE(ORÇAMENTO.Fonte," ",ORÇAMENTO.CodBarra)))</f>
        <v>SINAPI 92446</v>
      </c>
      <c r="AF90" s="669" cm="1">
        <f t="array" aca="1" ref="AF90" ca="1">IF(ISERROR(ORÇAMENTO.BancoRef),"(abra o arquivo 'Referência "&amp;Excel_BuiltIn_Database&amp;".xlsm)",IF(OR($C90&lt;&gt;"S",ORÇAMENTO.CodBarra=""),"(Sem Código)",IF(ISERROR(MATCH($AE90,INDIRECT(ORÇAMENTO.BancoRef),0)),"(Código não identificado nas referências)",MATCH($AE90,INDIRECT(ORÇAMENTO.BancoRef),0))))</f>
        <v>10343</v>
      </c>
      <c r="AG90" s="428" cm="1">
        <f t="array" aca="1" ref="AG90" ca="1">ROUND(IF(DESONERACAO="sim",REFERENCIA.Desonerado,REFERENCIA.NaoDesonerado),2)</f>
        <v>378.66</v>
      </c>
      <c r="AH90" s="429">
        <f t="shared" ca="1" si="30"/>
        <v>0.24</v>
      </c>
      <c r="AJ90" s="431"/>
      <c r="AL90" s="439"/>
      <c r="AM90" s="336">
        <f t="shared" ca="1" si="0"/>
        <v>52588.480000000003</v>
      </c>
      <c r="AN90" s="470" cm="1">
        <f t="array" aca="1" ref="AN90" ca="1">ROUND(ORÇAMENTO.CustoUnitario*(1+$AH90),2)</f>
        <v>469.54</v>
      </c>
    </row>
    <row r="91" spans="1:40" s="670" customFormat="1" ht="25.5" x14ac:dyDescent="0.2">
      <c r="A91" s="670">
        <f t="shared" si="17"/>
        <v>2</v>
      </c>
      <c r="B91" s="670">
        <f t="shared" ca="1" si="18"/>
        <v>2</v>
      </c>
      <c r="C91" s="670">
        <f t="shared" ca="1" si="19"/>
        <v>2</v>
      </c>
      <c r="D91" s="670">
        <f t="shared" ca="1" si="20"/>
        <v>7</v>
      </c>
      <c r="E91" s="670">
        <f ca="1">IF($C91=1,OFFSET(E91,-1,0)+MAX(1,COUNTIF(QCI!$A$13:$A$24,OFFSET(ORÇAMENTO!E91,-1,0))),OFFSET(E91,-1,0))</f>
        <v>1</v>
      </c>
      <c r="F91" s="670">
        <f t="shared" ca="1" si="21"/>
        <v>12</v>
      </c>
      <c r="G91" s="670">
        <f t="shared" ca="1" si="22"/>
        <v>0</v>
      </c>
      <c r="H91" s="670">
        <f t="shared" ca="1" si="23"/>
        <v>0</v>
      </c>
      <c r="I91" s="670">
        <f t="shared" ca="1" si="24"/>
        <v>0</v>
      </c>
      <c r="J91" s="670">
        <f t="shared" ca="1" si="25"/>
        <v>100</v>
      </c>
      <c r="K91" s="670">
        <f ca="1">IF(OR($C91="S",$C91=0),0,MATCH(OFFSET($D91,0,$C91)+IF($C91&lt;&gt;1,1,COUNTIF(QCI!$A$13:$A$24,ORÇAMENTO!E91)),OFFSET($D91,1,$C91,ROW($C$191)-ROW($C91)),0))</f>
        <v>7</v>
      </c>
      <c r="L91" s="114" t="str">
        <f t="shared" ca="1" si="26"/>
        <v>F</v>
      </c>
      <c r="M91" s="115" t="s">
        <v>702</v>
      </c>
      <c r="N91" s="116" t="str">
        <f t="shared" ca="1" si="27"/>
        <v>Nível 2</v>
      </c>
      <c r="O91" s="117" t="str">
        <f t="shared" ca="1" si="28"/>
        <v>1.12.</v>
      </c>
      <c r="P91" s="688" t="s">
        <v>250</v>
      </c>
      <c r="Q91" s="689" t="s">
        <v>250</v>
      </c>
      <c r="R91" s="690" t="s">
        <v>1303</v>
      </c>
      <c r="S91" s="691" t="s">
        <v>688</v>
      </c>
      <c r="T91" s="122">
        <f ca="1">OFFSET(CÁLCULO!H$15,ROW($T91)-ROW(T$15),0)</f>
        <v>0</v>
      </c>
      <c r="U91" s="693">
        <f t="shared" ca="1" si="31"/>
        <v>0</v>
      </c>
      <c r="V91" s="694" t="s">
        <v>663</v>
      </c>
      <c r="W91" s="122" cm="1">
        <f t="array" aca="1" ref="W91" ca="1">IF($C91="S",ROUND(IF(TIPOORCAMENTO="Proposto",ORÇAMENTO.CustoUnitario*(1+$AH91),ORÇAMENTO.PrecoUnitarioLicitado),15-13*$AF$10),0)</f>
        <v>0</v>
      </c>
      <c r="X91" s="125" cm="1">
        <f t="array" aca="1" ref="X91" ca="1">IF($C91="S",IF(OR(Import.TipoArredondamento&lt;&gt;"TransfereGOV",ACOMPANHAMENTO="BM"),VTOTAL1,SUM(OFFSET(CÁLCULO!$AI$15,ROW($X91)-ROW($X$15),1):OFFSET(CÁLCULO!$BB$15,ROW($X91)-ROW($X$15),-1))),IF($C91=0,0,ROUND(SomaAgrup,15-13*$AF$11)))</f>
        <v>281457.40999999997</v>
      </c>
      <c r="Y91" s="126" t="s">
        <v>751</v>
      </c>
      <c r="Z91" s="670" t="str">
        <f t="shared" ca="1" si="29"/>
        <v/>
      </c>
      <c r="AA91" s="127" cm="1">
        <f t="array" aca="1" ref="AA91" ca="1">IF($C91="S",IF($Z91="CP",$X91,IF($Z91="RA",(($X91)*QCI!$AA$3),0)),SomaAgrup)</f>
        <v>0</v>
      </c>
      <c r="AB91" s="128" cm="1">
        <f t="array" aca="1" ref="AB91" ca="1">IF($C91="S",IF($Z91="OU",ROUND($X91,2),0),SomaAgrup)</f>
        <v>0</v>
      </c>
      <c r="AC91" s="565" t="str" cm="1">
        <f t="array" aca="1" ref="AC91" ca="1">IF($N91=""," ",
IF(AND($C91&lt;&gt;"S",OR($R91="",$R91="(digite a descrição aqui)")),"DESCRIÇÃO",
IF(AND($C91="S",OR($Q91&lt;&gt;"",$T91&gt;0,$U91&gt;0),$P91=""),"FONTE",
IF(AND($C91="S",$P91&lt;&gt;"",OR($T91&gt;0,$U91&gt;0),$Q91=""),"CÓDIGO",
IF(AND($C91="S",$P91&lt;&gt;"",$Q91&lt;&gt;"",$R91="(Código não identificado nas referências)"),"CÓDIGO N/ID",
IF(AND($C91="S",OR($R91="",$R91="(digite a descrição aqui)"),OR($Q91&lt;&gt;"",$T91&gt;0,$U91&gt;0)),"DESCRIÇÃO",
IF(AND($C91="S",$P91&lt;&gt;"",$Q91&lt;&gt;"",$S91=""),"UNIDADE",
IF(AND($C91="S",$P91&lt;&gt;"",$Q91&lt;&gt;"",$U91=0),"SEM CUSTO",
IF(AND(TIPOORCAMENTO="Licitado",$AL91=0,$AN91&gt;0),"SEM PREÇO",
IF(AND($C91="S",$P91&lt;&gt;"",$Q91&lt;&gt;"",$U91&gt;0,AND($V91&lt;&gt;"BDI 1",$V91&lt;&gt;"BDI 2",$V91&lt;&gt;"BDI 3")),IF(ISNUMBER($V91),"JUSTIFICAR BDI","BDI"),
IF(OR(AND(import.recurso="OGU",TIPOORCAMENTO="Proposto",LEFT($O$8,5)&lt;&gt;"(N/D:",$AG91&lt;&gt;"",ORÇAMENTO.CustoUnitario&gt;$AG91),AND(TIPOORCAMENTO="LICITADO",ORÇAMENTO.PrecoUnitarioLicitado&gt;$AN91)),"ACIMA REF.",
IF(AND($C91="S",$P91&lt;&gt;"",$Q91&lt;&gt;"",$T91=0,$U91&gt;0),"QUANT.",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 xml:space="preserve"> </v>
      </c>
      <c r="AD91" s="670">
        <f ca="1">IF(C91&lt;=CRONO.NivelExibicao,MAX($AD$15:OFFSET(AD91,-1,0))+IF($C91&lt;&gt;1,1,MAX(1,COUNTIF(QCI!$A$13:$A$24,OFFSET($E91,-1,0)))),"")</f>
        <v>13</v>
      </c>
      <c r="AE91" s="668" t="b" cm="1">
        <f t="array" aca="1" ref="AE91" ca="1">IF(AND($C91="S",ORÇAMENTO.CodBarra&lt;&gt;""),IF(ORÇAMENTO.Fonte="",ORÇAMENTO.CodBarra,CONCATENATE(ORÇAMENTO.Fonte," ",ORÇAMENTO.CodBarra)))</f>
        <v>0</v>
      </c>
      <c r="AF91" s="669" t="str" cm="1">
        <f t="array" aca="1" ref="AF91" ca="1">IF(ISERROR(ORÇAMENTO.BancoRef),"(abra o arquivo 'Referência "&amp;Excel_BuiltIn_Database&amp;".xlsm)",IF(OR($C91&lt;&gt;"S",ORÇAMENTO.CodBarra=""),"(Sem Código)",IF(ISERROR(MATCH($AE91,INDIRECT(ORÇAMENTO.BancoRef),0)),"(Código não identificado nas referências)",MATCH($AE91,INDIRECT(ORÇAMENTO.BancoRef),0))))</f>
        <v>(Sem Código)</v>
      </c>
      <c r="AG91" s="428" cm="1">
        <f t="array" aca="1" ref="AG91" ca="1">ROUND(IF(DESONERACAO="sim",REFERENCIA.Desonerado,REFERENCIA.NaoDesonerado),2)</f>
        <v>0</v>
      </c>
      <c r="AH91" s="429">
        <f t="shared" ca="1" si="30"/>
        <v>0.24</v>
      </c>
      <c r="AJ91" s="431"/>
      <c r="AL91" s="439"/>
      <c r="AM91" s="336">
        <f t="shared" ca="1" si="0"/>
        <v>281457.40999999997</v>
      </c>
      <c r="AN91" s="470" cm="1">
        <f t="array" aca="1" ref="AN91" ca="1">ROUND(ORÇAMENTO.CustoUnitario*(1+$AH91),2)</f>
        <v>0</v>
      </c>
    </row>
    <row r="92" spans="1:40" s="670" customFormat="1" ht="51" x14ac:dyDescent="0.2">
      <c r="A92" s="670" t="str">
        <f t="shared" si="17"/>
        <v>S</v>
      </c>
      <c r="B92" s="670">
        <f t="shared" ca="1" si="18"/>
        <v>2</v>
      </c>
      <c r="C92" s="670" t="str">
        <f t="shared" ca="1" si="19"/>
        <v>S</v>
      </c>
      <c r="D92" s="670">
        <f t="shared" ca="1" si="20"/>
        <v>0</v>
      </c>
      <c r="E92" s="670">
        <f ca="1">IF($C92=1,OFFSET(E92,-1,0)+MAX(1,COUNTIF(QCI!$A$13:$A$24,OFFSET(ORÇAMENTO!E92,-1,0))),OFFSET(E92,-1,0))</f>
        <v>1</v>
      </c>
      <c r="F92" s="670">
        <f t="shared" ca="1" si="21"/>
        <v>12</v>
      </c>
      <c r="G92" s="670">
        <f t="shared" ca="1" si="22"/>
        <v>0</v>
      </c>
      <c r="H92" s="670">
        <f t="shared" ca="1" si="23"/>
        <v>0</v>
      </c>
      <c r="I92" s="670">
        <f t="shared" ca="1" si="24"/>
        <v>1</v>
      </c>
      <c r="J92" s="670">
        <f t="shared" ca="1" si="25"/>
        <v>0</v>
      </c>
      <c r="K92" s="670">
        <f ca="1">IF(OR($C92="S",$C92=0),0,MATCH(OFFSET($D92,0,$C92)+IF($C92&lt;&gt;1,1,COUNTIF(QCI!$A$13:$A$24,ORÇAMENTO!E92)),OFFSET($D92,1,$C92,ROW($C$191)-ROW($C92)),0))</f>
        <v>0</v>
      </c>
      <c r="L92" s="114" t="str">
        <f t="shared" ca="1" si="26"/>
        <v>F</v>
      </c>
      <c r="M92" s="115" t="s">
        <v>705</v>
      </c>
      <c r="N92" s="116" t="str">
        <f t="shared" ca="1" si="27"/>
        <v>Serviço</v>
      </c>
      <c r="O92" s="117" t="str">
        <f t="shared" ca="1" si="28"/>
        <v>1.12.1.</v>
      </c>
      <c r="P92" s="688" t="s">
        <v>750</v>
      </c>
      <c r="Q92" s="689" t="s">
        <v>1081</v>
      </c>
      <c r="R92" s="690" t="str" cm="1">
        <f t="array" aca="1" ref="R92" ca="1">IF($C92="S",REFERENCIA.Descricao,"(digite a descrição aqui)")</f>
        <v>CARGA, MANOBRA E DESCARGA DE SOLOS E MATERIAIS GRANULARES EM CAMINHÃO BASCULANTE 14 M³ - CARGA COM PÁ CARREGADEIRA (CAÇAMBA DE 1,7 A 2,8 M³ / 128 HP) E DESCARGA LIVRE (UNIDADE: M3). AF_07/2020</v>
      </c>
      <c r="S92" s="691" t="str" cm="1">
        <f t="array" aca="1" ref="S92" ca="1">REFERENCIA.Unidade</f>
        <v>M3</v>
      </c>
      <c r="T92" s="122">
        <f ca="1">OFFSET(CÁLCULO!H$15,ROW($T92)-ROW(T$15),0)</f>
        <v>1881.45</v>
      </c>
      <c r="U92" s="693">
        <f ca="1">AG92</f>
        <v>8.91</v>
      </c>
      <c r="V92" s="694" t="s">
        <v>663</v>
      </c>
      <c r="W92" s="122" cm="1">
        <f t="array" aca="1" ref="W92" ca="1">IF($C92="S",ROUND(IF(TIPOORCAMENTO="Proposto",ORÇAMENTO.CustoUnitario*(1+$AH92),ORÇAMENTO.PrecoUnitarioLicitado),15-13*$AF$10),0)</f>
        <v>11.05</v>
      </c>
      <c r="X92" s="125" cm="1">
        <f t="array" aca="1" ref="X92" ca="1">IF($C92="S",IF(OR(Import.TipoArredondamento&lt;&gt;"TransfereGOV",ACOMPANHAMENTO="BM"),VTOTAL1,SUM(OFFSET(CÁLCULO!$AI$15,ROW($X92)-ROW($X$15),1):OFFSET(CÁLCULO!$BB$15,ROW($X92)-ROW($X$15),-1))),IF($C92=0,0,ROUND(SomaAgrup,15-13*$AF$11)))</f>
        <v>20790.02</v>
      </c>
      <c r="Y92" s="126" t="s">
        <v>751</v>
      </c>
      <c r="Z92" s="670" t="str">
        <f t="shared" ca="1" si="29"/>
        <v>RA</v>
      </c>
      <c r="AA92" s="127" cm="1">
        <f t="array" aca="1" ref="AA92" ca="1">IF($C92="S",IF($Z92="CP",$X92,IF($Z92="RA",(($X92)*QCI!$AA$3),0)),SomaAgrup)</f>
        <v>0</v>
      </c>
      <c r="AB92" s="128" cm="1">
        <f t="array" aca="1" ref="AB92" ca="1">IF($C92="S",IF($Z92="OU",ROUND($X92,2),0),SomaAgrup)</f>
        <v>0</v>
      </c>
      <c r="AC92" s="565" t="str" cm="1">
        <f t="array" aca="1" ref="AC92" ca="1">IF($N92=""," ",
IF(AND($C92&lt;&gt;"S",OR($R92="",$R92="(digite a descrição aqui)")),"DESCRIÇÃO",
IF(AND($C92="S",OR($Q92&lt;&gt;"",$T92&gt;0,$U92&gt;0),$P92=""),"FONTE",
IF(AND($C92="S",$P92&lt;&gt;"",OR($T92&gt;0,$U92&gt;0),$Q92=""),"CÓDIGO",
IF(AND($C92="S",$P92&lt;&gt;"",$Q92&lt;&gt;"",$R92="(Código não identificado nas referências)"),"CÓDIGO N/ID",
IF(AND($C92="S",OR($R92="",$R92="(digite a descrição aqui)"),OR($Q92&lt;&gt;"",$T92&gt;0,$U92&gt;0)),"DESCRIÇÃO",
IF(AND($C92="S",$P92&lt;&gt;"",$Q92&lt;&gt;"",$S92=""),"UNIDADE",
IF(AND($C92="S",$P92&lt;&gt;"",$Q92&lt;&gt;"",$U92=0),"SEM CUSTO",
IF(AND(TIPOORCAMENTO="Licitado",$AL92=0,$AN92&gt;0),"SEM PREÇO",
IF(AND($C92="S",$P92&lt;&gt;"",$Q92&lt;&gt;"",$U92&gt;0,AND($V92&lt;&gt;"BDI 1",$V92&lt;&gt;"BDI 2",$V92&lt;&gt;"BDI 3")),IF(ISNUMBER($V92),"JUSTIFICAR BDI","BDI"),
IF(OR(AND(import.recurso="OGU",TIPOORCAMENTO="Proposto",LEFT($O$8,5)&lt;&gt;"(N/D:",$AG92&lt;&gt;"",ORÇAMENTO.CustoUnitario&gt;$AG92),AND(TIPOORCAMENTO="LICITADO",ORÇAMENTO.PrecoUnitarioLicitado&gt;$AN92)),"ACIMA REF.",
IF(AND($C92="S",$P92&lt;&gt;"",$Q92&lt;&gt;"",$T92=0,$U92&gt;0),"QUANT.",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 xml:space="preserve"> </v>
      </c>
      <c r="AD92" s="670" t="str">
        <f ca="1">IF(C92&lt;=CRONO.NivelExibicao,MAX($AD$15:OFFSET(AD92,-1,0))+IF($C92&lt;&gt;1,1,MAX(1,COUNTIF(QCI!$A$13:$A$24,OFFSET($E92,-1,0)))),"")</f>
        <v/>
      </c>
      <c r="AE92" s="668" t="str" cm="1">
        <f t="array" aca="1" ref="AE92" ca="1">IF(AND($C92="S",ORÇAMENTO.CodBarra&lt;&gt;""),IF(ORÇAMENTO.Fonte="",ORÇAMENTO.CodBarra,CONCATENATE(ORÇAMENTO.Fonte," ",ORÇAMENTO.CodBarra)))</f>
        <v>SINAPI 100975</v>
      </c>
      <c r="AF92" s="669" cm="1">
        <f t="array" aca="1" ref="AF92" ca="1">IF(ISERROR(ORÇAMENTO.BancoRef),"(abra o arquivo 'Referência "&amp;Excel_BuiltIn_Database&amp;".xlsm)",IF(OR($C92&lt;&gt;"S",ORÇAMENTO.CodBarra=""),"(Sem Código)",IF(ISERROR(MATCH($AE92,INDIRECT(ORÇAMENTO.BancoRef),0)),"(Código não identificado nas referências)",MATCH($AE92,INDIRECT(ORÇAMENTO.BancoRef),0))))</f>
        <v>15770</v>
      </c>
      <c r="AG92" s="428" cm="1">
        <f t="array" aca="1" ref="AG92" ca="1">ROUND(IF(DESONERACAO="sim",REFERENCIA.Desonerado,REFERENCIA.NaoDesonerado),2)</f>
        <v>8.91</v>
      </c>
      <c r="AH92" s="429">
        <f t="shared" ca="1" si="30"/>
        <v>0.24</v>
      </c>
      <c r="AJ92" s="431"/>
      <c r="AL92" s="439"/>
      <c r="AM92" s="336">
        <f t="shared" ca="1" si="0"/>
        <v>20790.02</v>
      </c>
      <c r="AN92" s="470" cm="1">
        <f t="array" aca="1" ref="AN92" ca="1">ROUND(ORÇAMENTO.CustoUnitario*(1+$AH92),2)</f>
        <v>11.05</v>
      </c>
    </row>
    <row r="93" spans="1:40" s="670" customFormat="1" ht="38.25" x14ac:dyDescent="0.2">
      <c r="A93" s="670" t="str">
        <f t="shared" si="17"/>
        <v>S</v>
      </c>
      <c r="B93" s="670">
        <f t="shared" ca="1" si="18"/>
        <v>2</v>
      </c>
      <c r="C93" s="670" t="str">
        <f t="shared" ca="1" si="19"/>
        <v>S</v>
      </c>
      <c r="D93" s="670">
        <f t="shared" ca="1" si="20"/>
        <v>0</v>
      </c>
      <c r="E93" s="670">
        <f ca="1">IF($C93=1,OFFSET(E93,-1,0)+MAX(1,COUNTIF(QCI!$A$13:$A$24,OFFSET(ORÇAMENTO!E93,-1,0))),OFFSET(E93,-1,0))</f>
        <v>1</v>
      </c>
      <c r="F93" s="670">
        <f t="shared" ca="1" si="21"/>
        <v>12</v>
      </c>
      <c r="G93" s="670">
        <f t="shared" ca="1" si="22"/>
        <v>0</v>
      </c>
      <c r="H93" s="670">
        <f t="shared" ca="1" si="23"/>
        <v>0</v>
      </c>
      <c r="I93" s="670">
        <f t="shared" ca="1" si="24"/>
        <v>2</v>
      </c>
      <c r="J93" s="670">
        <f t="shared" ca="1" si="25"/>
        <v>0</v>
      </c>
      <c r="K93" s="670">
        <f ca="1">IF(OR($C93="S",$C93=0),0,MATCH(OFFSET($D93,0,$C93)+IF($C93&lt;&gt;1,1,COUNTIF(QCI!$A$13:$A$24,ORÇAMENTO!E93)),OFFSET($D93,1,$C93,ROW($C$191)-ROW($C93)),0))</f>
        <v>0</v>
      </c>
      <c r="L93" s="114" t="str">
        <f t="shared" ca="1" si="26"/>
        <v>F</v>
      </c>
      <c r="M93" s="115" t="s">
        <v>705</v>
      </c>
      <c r="N93" s="116" t="str">
        <f t="shared" ca="1" si="27"/>
        <v>Serviço</v>
      </c>
      <c r="O93" s="117" t="str">
        <f t="shared" ca="1" si="28"/>
        <v>1.12.2.</v>
      </c>
      <c r="P93" s="688" t="s">
        <v>750</v>
      </c>
      <c r="Q93" s="689" t="s">
        <v>1030</v>
      </c>
      <c r="R93" s="690" t="str" cm="1">
        <f t="array" aca="1" ref="R93" ca="1">IF($C93="S",REFERENCIA.Descricao,"(digite a descrição aqui)")</f>
        <v>TRANSPORTE COM CAMINHÃO BASCULANTE DE 10 M³, EM VIA URBANA PAVIMENTADA, ADICIONAL PARA DMT EXCEDENTE A 30 KM (UNIDADE: M3XKM). AF_07/2020</v>
      </c>
      <c r="S93" s="691" t="str" cm="1">
        <f t="array" aca="1" ref="S93" ca="1">REFERENCIA.Unidade</f>
        <v>M3XKM</v>
      </c>
      <c r="T93" s="122">
        <f ca="1">OFFSET(CÁLCULO!H$15,ROW($T93)-ROW(T$15),0)</f>
        <v>824.07</v>
      </c>
      <c r="U93" s="693">
        <f ca="1">AG93</f>
        <v>1.01</v>
      </c>
      <c r="V93" s="694" t="s">
        <v>663</v>
      </c>
      <c r="W93" s="122" cm="1">
        <f t="array" aca="1" ref="W93" ca="1">IF($C93="S",ROUND(IF(TIPOORCAMENTO="Proposto",ORÇAMENTO.CustoUnitario*(1+$AH93),ORÇAMENTO.PrecoUnitarioLicitado),15-13*$AF$10),0)</f>
        <v>1.25</v>
      </c>
      <c r="X93" s="125" cm="1">
        <f t="array" aca="1" ref="X93" ca="1">IF($C93="S",IF(OR(Import.TipoArredondamento&lt;&gt;"TransfereGOV",ACOMPANHAMENTO="BM"),VTOTAL1,SUM(OFFSET(CÁLCULO!$AI$15,ROW($X93)-ROW($X$15),1):OFFSET(CÁLCULO!$BB$15,ROW($X93)-ROW($X$15),-1))),IF($C93=0,0,ROUND(SomaAgrup,15-13*$AF$11)))</f>
        <v>1030.0899999999999</v>
      </c>
      <c r="Y93" s="126" t="s">
        <v>751</v>
      </c>
      <c r="Z93" s="670" t="str">
        <f t="shared" ca="1" si="29"/>
        <v>RA</v>
      </c>
      <c r="AA93" s="127" cm="1">
        <f t="array" aca="1" ref="AA93" ca="1">IF($C93="S",IF($Z93="CP",$X93,IF($Z93="RA",(($X93)*QCI!$AA$3),0)),SomaAgrup)</f>
        <v>0</v>
      </c>
      <c r="AB93" s="128" cm="1">
        <f t="array" aca="1" ref="AB93" ca="1">IF($C93="S",IF($Z93="OU",ROUND($X93,2),0),SomaAgrup)</f>
        <v>0</v>
      </c>
      <c r="AC93" s="565" t="str" cm="1">
        <f t="array" aca="1" ref="AC93" ca="1">IF($N93=""," ",
IF(AND($C93&lt;&gt;"S",OR($R93="",$R93="(digite a descrição aqui)")),"DESCRIÇÃO",
IF(AND($C93="S",OR($Q93&lt;&gt;"",$T93&gt;0,$U93&gt;0),$P93=""),"FONTE",
IF(AND($C93="S",$P93&lt;&gt;"",OR($T93&gt;0,$U93&gt;0),$Q93=""),"CÓDIGO",
IF(AND($C93="S",$P93&lt;&gt;"",$Q93&lt;&gt;"",$R93="(Código não identificado nas referências)"),"CÓDIGO N/ID",
IF(AND($C93="S",OR($R93="",$R93="(digite a descrição aqui)"),OR($Q93&lt;&gt;"",$T93&gt;0,$U93&gt;0)),"DESCRIÇÃO",
IF(AND($C93="S",$P93&lt;&gt;"",$Q93&lt;&gt;"",$S93=""),"UNIDADE",
IF(AND($C93="S",$P93&lt;&gt;"",$Q93&lt;&gt;"",$U93=0),"SEM CUSTO",
IF(AND(TIPOORCAMENTO="Licitado",$AL93=0,$AN93&gt;0),"SEM PREÇO",
IF(AND($C93="S",$P93&lt;&gt;"",$Q93&lt;&gt;"",$U93&gt;0,AND($V93&lt;&gt;"BDI 1",$V93&lt;&gt;"BDI 2",$V93&lt;&gt;"BDI 3")),IF(ISNUMBER($V93),"JUSTIFICAR BDI","BDI"),
IF(OR(AND(import.recurso="OGU",TIPOORCAMENTO="Proposto",LEFT($O$8,5)&lt;&gt;"(N/D:",$AG93&lt;&gt;"",ORÇAMENTO.CustoUnitario&gt;$AG93),AND(TIPOORCAMENTO="LICITADO",ORÇAMENTO.PrecoUnitarioLicitado&gt;$AN93)),"ACIMA REF.",
IF(AND($C93="S",$P93&lt;&gt;"",$Q93&lt;&gt;"",$T93=0,$U93&gt;0),"QUANT.",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 xml:space="preserve"> </v>
      </c>
      <c r="AD93" s="670" t="str">
        <f ca="1">IF(C93&lt;=CRONO.NivelExibicao,MAX($AD$15:OFFSET(AD93,-1,0))+IF($C93&lt;&gt;1,1,MAX(1,COUNTIF(QCI!$A$13:$A$24,OFFSET($E93,-1,0)))),"")</f>
        <v/>
      </c>
      <c r="AE93" s="668" t="str" cm="1">
        <f t="array" aca="1" ref="AE93" ca="1">IF(AND($C93="S",ORÇAMENTO.CodBarra&lt;&gt;""),IF(ORÇAMENTO.Fonte="",ORÇAMENTO.CodBarra,CONCATENATE(ORÇAMENTO.Fonte," ",ORÇAMENTO.CodBarra)))</f>
        <v>SINAPI 93590</v>
      </c>
      <c r="AF93" s="669" cm="1">
        <f t="array" aca="1" ref="AF93" ca="1">IF(ISERROR(ORÇAMENTO.BancoRef),"(abra o arquivo 'Referência "&amp;Excel_BuiltIn_Database&amp;".xlsm)",IF(OR($C93&lt;&gt;"S",ORÇAMENTO.CodBarra=""),"(Sem Código)",IF(ISERROR(MATCH($AE93,INDIRECT(ORÇAMENTO.BancoRef),0)),"(Código não identificado nas referências)",MATCH($AE93,INDIRECT(ORÇAMENTO.BancoRef),0))))</f>
        <v>15822</v>
      </c>
      <c r="AG93" s="428" cm="1">
        <f t="array" aca="1" ref="AG93" ca="1">ROUND(IF(DESONERACAO="sim",REFERENCIA.Desonerado,REFERENCIA.NaoDesonerado),2)</f>
        <v>1.01</v>
      </c>
      <c r="AH93" s="429">
        <f t="shared" ca="1" si="30"/>
        <v>0.24</v>
      </c>
      <c r="AJ93" s="431"/>
      <c r="AL93" s="439"/>
      <c r="AM93" s="336">
        <f t="shared" ca="1" si="0"/>
        <v>1030.0899999999999</v>
      </c>
      <c r="AN93" s="470" cm="1">
        <f t="array" aca="1" ref="AN93" ca="1">ROUND(ORÇAMENTO.CustoUnitario*(1+$AH93),2)</f>
        <v>1.25</v>
      </c>
    </row>
    <row r="94" spans="1:40" s="670" customFormat="1" ht="25.5" x14ac:dyDescent="0.2">
      <c r="A94" s="670" t="str">
        <f t="shared" si="17"/>
        <v>S</v>
      </c>
      <c r="B94" s="670">
        <f t="shared" ca="1" si="18"/>
        <v>2</v>
      </c>
      <c r="C94" s="670" t="str">
        <f t="shared" ca="1" si="19"/>
        <v>S</v>
      </c>
      <c r="D94" s="670">
        <f t="shared" ca="1" si="20"/>
        <v>0</v>
      </c>
      <c r="E94" s="670">
        <f ca="1">IF($C94=1,OFFSET(E94,-1,0)+MAX(1,COUNTIF(QCI!$A$13:$A$24,OFFSET(ORÇAMENTO!E94,-1,0))),OFFSET(E94,-1,0))</f>
        <v>1</v>
      </c>
      <c r="F94" s="670">
        <f t="shared" ca="1" si="21"/>
        <v>12</v>
      </c>
      <c r="G94" s="670">
        <f t="shared" ca="1" si="22"/>
        <v>0</v>
      </c>
      <c r="H94" s="670">
        <f t="shared" ca="1" si="23"/>
        <v>0</v>
      </c>
      <c r="I94" s="670">
        <f t="shared" ca="1" si="24"/>
        <v>3</v>
      </c>
      <c r="J94" s="670">
        <f t="shared" ca="1" si="25"/>
        <v>0</v>
      </c>
      <c r="K94" s="670">
        <f ca="1">IF(OR($C94="S",$C94=0),0,MATCH(OFFSET($D94,0,$C94)+IF($C94&lt;&gt;1,1,COUNTIF(QCI!$A$13:$A$24,ORÇAMENTO!E94)),OFFSET($D94,1,$C94,ROW($C$191)-ROW($C94)),0))</f>
        <v>0</v>
      </c>
      <c r="L94" s="114" t="str">
        <f t="shared" ca="1" si="26"/>
        <v>F</v>
      </c>
      <c r="M94" s="115" t="s">
        <v>705</v>
      </c>
      <c r="N94" s="116" t="str">
        <f t="shared" ca="1" si="27"/>
        <v>Serviço</v>
      </c>
      <c r="O94" s="117" t="str">
        <f t="shared" ca="1" si="28"/>
        <v>1.12.3.</v>
      </c>
      <c r="P94" s="688" t="s">
        <v>750</v>
      </c>
      <c r="Q94" s="689" t="s">
        <v>1031</v>
      </c>
      <c r="R94" s="690" t="str" cm="1">
        <f t="array" aca="1" ref="R94" ca="1">IF($C94="S",REFERENCIA.Descricao,"(digite a descrição aqui)")</f>
        <v>ESPALHAMENTO DE MATERIAL COM TRATOR DE ESTEIRAS. AF_09/2024</v>
      </c>
      <c r="S94" s="691" t="str" cm="1">
        <f t="array" aca="1" ref="S94" ca="1">REFERENCIA.Unidade</f>
        <v>M3</v>
      </c>
      <c r="T94" s="122">
        <f ca="1">OFFSET(CÁLCULO!H$15,ROW($T94)-ROW(T$15),0)</f>
        <v>824.07</v>
      </c>
      <c r="U94" s="693">
        <f t="shared" ca="1" si="31"/>
        <v>1.51</v>
      </c>
      <c r="V94" s="694" t="s">
        <v>663</v>
      </c>
      <c r="W94" s="122" cm="1">
        <f t="array" aca="1" ref="W94" ca="1">IF($C94="S",ROUND(IF(TIPOORCAMENTO="Proposto",ORÇAMENTO.CustoUnitario*(1+$AH94),ORÇAMENTO.PrecoUnitarioLicitado),15-13*$AF$10),0)</f>
        <v>1.87</v>
      </c>
      <c r="X94" s="125" cm="1">
        <f t="array" aca="1" ref="X94" ca="1">IF($C94="S",IF(OR(Import.TipoArredondamento&lt;&gt;"TransfereGOV",ACOMPANHAMENTO="BM"),VTOTAL1,SUM(OFFSET(CÁLCULO!$AI$15,ROW($X94)-ROW($X$15),1):OFFSET(CÁLCULO!$BB$15,ROW($X94)-ROW($X$15),-1))),IF($C94=0,0,ROUND(SomaAgrup,15-13*$AF$11)))</f>
        <v>1541.01</v>
      </c>
      <c r="Y94" s="126" t="s">
        <v>751</v>
      </c>
      <c r="Z94" s="670" t="str">
        <f t="shared" ca="1" si="29"/>
        <v>RA</v>
      </c>
      <c r="AA94" s="127" cm="1">
        <f t="array" aca="1" ref="AA94" ca="1">IF($C94="S",IF($Z94="CP",$X94,IF($Z94="RA",(($X94)*QCI!$AA$3),0)),SomaAgrup)</f>
        <v>0</v>
      </c>
      <c r="AB94" s="128" cm="1">
        <f t="array" aca="1" ref="AB94" ca="1">IF($C94="S",IF($Z94="OU",ROUND($X94,2),0),SomaAgrup)</f>
        <v>0</v>
      </c>
      <c r="AC94" s="565" t="str" cm="1">
        <f t="array" aca="1" ref="AC94" ca="1">IF($N94=""," ",
IF(AND($C94&lt;&gt;"S",OR($R94="",$R94="(digite a descrição aqui)")),"DESCRIÇÃO",
IF(AND($C94="S",OR($Q94&lt;&gt;"",$T94&gt;0,$U94&gt;0),$P94=""),"FONTE",
IF(AND($C94="S",$P94&lt;&gt;"",OR($T94&gt;0,$U94&gt;0),$Q94=""),"CÓDIGO",
IF(AND($C94="S",$P94&lt;&gt;"",$Q94&lt;&gt;"",$R94="(Código não identificado nas referências)"),"CÓDIGO N/ID",
IF(AND($C94="S",OR($R94="",$R94="(digite a descrição aqui)"),OR($Q94&lt;&gt;"",$T94&gt;0,$U94&gt;0)),"DESCRIÇÃO",
IF(AND($C94="S",$P94&lt;&gt;"",$Q94&lt;&gt;"",$S94=""),"UNIDADE",
IF(AND($C94="S",$P94&lt;&gt;"",$Q94&lt;&gt;"",$U94=0),"SEM CUSTO",
IF(AND(TIPOORCAMENTO="Licitado",$AL94=0,$AN94&gt;0),"SEM PREÇO",
IF(AND($C94="S",$P94&lt;&gt;"",$Q94&lt;&gt;"",$U94&gt;0,AND($V94&lt;&gt;"BDI 1",$V94&lt;&gt;"BDI 2",$V94&lt;&gt;"BDI 3")),IF(ISNUMBER($V94),"JUSTIFICAR BDI","BDI"),
IF(OR(AND(import.recurso="OGU",TIPOORCAMENTO="Proposto",LEFT($O$8,5)&lt;&gt;"(N/D:",$AG94&lt;&gt;"",ORÇAMENTO.CustoUnitario&gt;$AG94),AND(TIPOORCAMENTO="LICITADO",ORÇAMENTO.PrecoUnitarioLicitado&gt;$AN94)),"ACIMA REF.",
IF(AND($C94="S",$P94&lt;&gt;"",$Q94&lt;&gt;"",$T94=0,$U94&gt;0),"QUANT.",
IF(AND(Import.TipoArredondamento="TransfereGOV",$L94="F",$C94="S",LEN($Q94)&gt;13),"Código &gt;13",
IF(AND(Import.TipoArredondamento="TransfereGOV",$L94="F",$C94&lt;&gt;"S",LEN($R94)&gt;100),"Descrição &gt;100",
IF(AND(Import.TipoArredondamento="TransfereGOV",$L94="F",$C94="S",LEN($R94)&gt;500),"Descrição &gt;500",
IF(AND(Import.TipoArredondamento="TransfereGOV",$L94="F",$C94="S",LEFT(TRIM(UPPER($P94)),6)&lt;&gt;"SINAPI",ISNA(VLOOKUP(TRIM(UPPER($S94)),ListaTgov.Unidades,1,FALSE))),"Unid. Não Disp",
" "))))))))))))))))</f>
        <v xml:space="preserve"> </v>
      </c>
      <c r="AD94" s="670" t="str">
        <f ca="1">IF(C94&lt;=CRONO.NivelExibicao,MAX($AD$15:OFFSET(AD94,-1,0))+IF($C94&lt;&gt;1,1,MAX(1,COUNTIF(QCI!$A$13:$A$24,OFFSET($E94,-1,0)))),"")</f>
        <v/>
      </c>
      <c r="AE94" s="668" t="str" cm="1">
        <f t="array" aca="1" ref="AE94" ca="1">IF(AND($C94="S",ORÇAMENTO.CodBarra&lt;&gt;""),IF(ORÇAMENTO.Fonte="",ORÇAMENTO.CodBarra,CONCATENATE(ORÇAMENTO.Fonte," ",ORÇAMENTO.CodBarra)))</f>
        <v>SINAPI 100574</v>
      </c>
      <c r="AF94" s="669" cm="1">
        <f t="array" aca="1" ref="AF94" ca="1">IF(ISERROR(ORÇAMENTO.BancoRef),"(abra o arquivo 'Referência "&amp;Excel_BuiltIn_Database&amp;".xlsm)",IF(OR($C94&lt;&gt;"S",ORÇAMENTO.CodBarra=""),"(Sem Código)",IF(ISERROR(MATCH($AE94,INDIRECT(ORÇAMENTO.BancoRef),0)),"(Código não identificado nas referências)",MATCH($AE94,INDIRECT(ORÇAMENTO.BancoRef),0))))</f>
        <v>6904</v>
      </c>
      <c r="AG94" s="428" cm="1">
        <f t="array" aca="1" ref="AG94" ca="1">ROUND(IF(DESONERACAO="sim",REFERENCIA.Desonerado,REFERENCIA.NaoDesonerado),2)</f>
        <v>1.51</v>
      </c>
      <c r="AH94" s="429">
        <f t="shared" ca="1" si="30"/>
        <v>0.24</v>
      </c>
      <c r="AJ94" s="431"/>
      <c r="AL94" s="439"/>
      <c r="AM94" s="336">
        <f t="shared" ca="1" si="0"/>
        <v>1541.01</v>
      </c>
      <c r="AN94" s="470" cm="1">
        <f t="array" aca="1" ref="AN94" ca="1">ROUND(ORÇAMENTO.CustoUnitario*(1+$AH94),2)</f>
        <v>1.87</v>
      </c>
    </row>
    <row r="95" spans="1:40" s="670" customFormat="1" ht="38.25" x14ac:dyDescent="0.2">
      <c r="A95" s="670" t="str">
        <f t="shared" si="17"/>
        <v>S</v>
      </c>
      <c r="B95" s="670">
        <f t="shared" ca="1" si="18"/>
        <v>2</v>
      </c>
      <c r="C95" s="670" t="str">
        <f t="shared" ca="1" si="19"/>
        <v>S</v>
      </c>
      <c r="D95" s="670">
        <f t="shared" ca="1" si="20"/>
        <v>0</v>
      </c>
      <c r="E95" s="670">
        <f ca="1">IF($C95=1,OFFSET(E95,-1,0)+MAX(1,COUNTIF(QCI!$A$13:$A$24,OFFSET(ORÇAMENTO!E95,-1,0))),OFFSET(E95,-1,0))</f>
        <v>1</v>
      </c>
      <c r="F95" s="670">
        <f t="shared" ca="1" si="21"/>
        <v>12</v>
      </c>
      <c r="G95" s="670">
        <f t="shared" ca="1" si="22"/>
        <v>0</v>
      </c>
      <c r="H95" s="670">
        <f t="shared" ca="1" si="23"/>
        <v>0</v>
      </c>
      <c r="I95" s="670">
        <f t="shared" ca="1" si="24"/>
        <v>4</v>
      </c>
      <c r="J95" s="670">
        <f t="shared" ca="1" si="25"/>
        <v>0</v>
      </c>
      <c r="K95" s="670">
        <f ca="1">IF(OR($C95="S",$C95=0),0,MATCH(OFFSET($D95,0,$C95)+IF($C95&lt;&gt;1,1,COUNTIF(QCI!$A$13:$A$24,ORÇAMENTO!E95)),OFFSET($D95,1,$C95,ROW($C$191)-ROW($C95)),0))</f>
        <v>0</v>
      </c>
      <c r="L95" s="114" t="str">
        <f t="shared" ca="1" si="26"/>
        <v>F</v>
      </c>
      <c r="M95" s="115" t="s">
        <v>705</v>
      </c>
      <c r="N95" s="116" t="str">
        <f t="shared" ca="1" si="27"/>
        <v>Serviço</v>
      </c>
      <c r="O95" s="117" t="str">
        <f t="shared" ca="1" si="28"/>
        <v>1.12.4.</v>
      </c>
      <c r="P95" s="688" t="s">
        <v>750</v>
      </c>
      <c r="Q95" s="689" t="s">
        <v>1032</v>
      </c>
      <c r="R95" s="690" t="str" cm="1">
        <f t="array" aca="1" ref="R95" ca="1">IF($C95="S",REFERENCIA.Descricao,"(digite a descrição aqui)")</f>
        <v>RECOMPOSIÇÃO DE BASE E OU SUB-BASE PARA FECHAMENTO DE VALAS DE SOLO COM CIMENTO (TEOR DE 6%) - INCLUSO RETIRADA E COLOCAÇÃO DO MATERIAL. AF_12/2020</v>
      </c>
      <c r="S95" s="691" t="str" cm="1">
        <f t="array" aca="1" ref="S95" ca="1">REFERENCIA.Unidade</f>
        <v>M3</v>
      </c>
      <c r="T95" s="122">
        <f ca="1">OFFSET(CÁLCULO!H$15,ROW($T95)-ROW(T$15),0)</f>
        <v>1220.4000000000001</v>
      </c>
      <c r="U95" s="693">
        <f t="shared" ca="1" si="31"/>
        <v>134.36000000000001</v>
      </c>
      <c r="V95" s="694" t="s">
        <v>663</v>
      </c>
      <c r="W95" s="122" cm="1">
        <f t="array" aca="1" ref="W95" ca="1">IF($C95="S",ROUND(IF(TIPOORCAMENTO="Proposto",ORÇAMENTO.CustoUnitario*(1+$AH95),ORÇAMENTO.PrecoUnitarioLicitado),15-13*$AF$10),0)</f>
        <v>166.61</v>
      </c>
      <c r="X95" s="125" cm="1">
        <f t="array" aca="1" ref="X95" ca="1">IF($C95="S",IF(OR(Import.TipoArredondamento&lt;&gt;"TransfereGOV",ACOMPANHAMENTO="BM"),VTOTAL1,SUM(OFFSET(CÁLCULO!$AI$15,ROW($X95)-ROW($X$15),1):OFFSET(CÁLCULO!$BB$15,ROW($X95)-ROW($X$15),-1))),IF($C95=0,0,ROUND(SomaAgrup,15-13*$AF$11)))</f>
        <v>203330.84</v>
      </c>
      <c r="Y95" s="126" t="s">
        <v>751</v>
      </c>
      <c r="Z95" s="670" t="str">
        <f t="shared" ca="1" si="29"/>
        <v>RA</v>
      </c>
      <c r="AA95" s="127" cm="1">
        <f t="array" aca="1" ref="AA95" ca="1">IF($C95="S",IF($Z95="CP",$X95,IF($Z95="RA",(($X95)*QCI!$AA$3),0)),SomaAgrup)</f>
        <v>0</v>
      </c>
      <c r="AB95" s="128" cm="1">
        <f t="array" aca="1" ref="AB95" ca="1">IF($C95="S",IF($Z95="OU",ROUND($X95,2),0),SomaAgrup)</f>
        <v>0</v>
      </c>
      <c r="AC95" s="565" t="str" cm="1">
        <f t="array" aca="1" ref="AC95" ca="1">IF($N95=""," ",
IF(AND($C95&lt;&gt;"S",OR($R95="",$R95="(digite a descrição aqui)")),"DESCRIÇÃO",
IF(AND($C95="S",OR($Q95&lt;&gt;"",$T95&gt;0,$U95&gt;0),$P95=""),"FONTE",
IF(AND($C95="S",$P95&lt;&gt;"",OR($T95&gt;0,$U95&gt;0),$Q95=""),"CÓDIGO",
IF(AND($C95="S",$P95&lt;&gt;"",$Q95&lt;&gt;"",$R95="(Código não identificado nas referências)"),"CÓDIGO N/ID",
IF(AND($C95="S",OR($R95="",$R95="(digite a descrição aqui)"),OR($Q95&lt;&gt;"",$T95&gt;0,$U95&gt;0)),"DESCRIÇÃO",
IF(AND($C95="S",$P95&lt;&gt;"",$Q95&lt;&gt;"",$S95=""),"UNIDADE",
IF(AND($C95="S",$P95&lt;&gt;"",$Q95&lt;&gt;"",$U95=0),"SEM CUSTO",
IF(AND(TIPOORCAMENTO="Licitado",$AL95=0,$AN95&gt;0),"SEM PREÇO",
IF(AND($C95="S",$P95&lt;&gt;"",$Q95&lt;&gt;"",$U95&gt;0,AND($V95&lt;&gt;"BDI 1",$V95&lt;&gt;"BDI 2",$V95&lt;&gt;"BDI 3")),IF(ISNUMBER($V95),"JUSTIFICAR BDI","BDI"),
IF(OR(AND(import.recurso="OGU",TIPOORCAMENTO="Proposto",LEFT($O$8,5)&lt;&gt;"(N/D:",$AG95&lt;&gt;"",ORÇAMENTO.CustoUnitario&gt;$AG95),AND(TIPOORCAMENTO="LICITADO",ORÇAMENTO.PrecoUnitarioLicitado&gt;$AN95)),"ACIMA REF.",
IF(AND($C95="S",$P95&lt;&gt;"",$Q95&lt;&gt;"",$T95=0,$U95&gt;0),"QUANT.",
IF(AND(Import.TipoArredondamento="TransfereGOV",$L95="F",$C95="S",LEN($Q95)&gt;13),"Código &gt;13",
IF(AND(Import.TipoArredondamento="TransfereGOV",$L95="F",$C95&lt;&gt;"S",LEN($R95)&gt;100),"Descrição &gt;100",
IF(AND(Import.TipoArredondamento="TransfereGOV",$L95="F",$C95="S",LEN($R95)&gt;500),"Descrição &gt;500",
IF(AND(Import.TipoArredondamento="TransfereGOV",$L95="F",$C95="S",LEFT(TRIM(UPPER($P95)),6)&lt;&gt;"SINAPI",ISNA(VLOOKUP(TRIM(UPPER($S95)),ListaTgov.Unidades,1,FALSE))),"Unid. Não Disp",
" "))))))))))))))))</f>
        <v xml:space="preserve"> </v>
      </c>
      <c r="AD95" s="670" t="str">
        <f ca="1">IF(C95&lt;=CRONO.NivelExibicao,MAX($AD$15:OFFSET(AD95,-1,0))+IF($C95&lt;&gt;1,1,MAX(1,COUNTIF(QCI!$A$13:$A$24,OFFSET($E95,-1,0)))),"")</f>
        <v/>
      </c>
      <c r="AE95" s="668" t="str" cm="1">
        <f t="array" aca="1" ref="AE95" ca="1">IF(AND($C95="S",ORÇAMENTO.CodBarra&lt;&gt;""),IF(ORÇAMENTO.Fonte="",ORÇAMENTO.CodBarra,CONCATENATE(ORÇAMENTO.Fonte," ",ORÇAMENTO.CodBarra)))</f>
        <v>SINAPI 101839</v>
      </c>
      <c r="AF95" s="669" cm="1">
        <f t="array" aca="1" ref="AF95" ca="1">IF(ISERROR(ORÇAMENTO.BancoRef),"(abra o arquivo 'Referência "&amp;Excel_BuiltIn_Database&amp;".xlsm)",IF(OR($C95&lt;&gt;"S",ORÇAMENTO.CodBarra=""),"(Sem Código)",IF(ISERROR(MATCH($AE95,INDIRECT(ORÇAMENTO.BancoRef),0)),"(Código não identificado nas referências)",MATCH($AE95,INDIRECT(ORÇAMENTO.BancoRef),0))))</f>
        <v>14956</v>
      </c>
      <c r="AG95" s="428" cm="1">
        <f t="array" aca="1" ref="AG95" ca="1">ROUND(IF(DESONERACAO="sim",REFERENCIA.Desonerado,REFERENCIA.NaoDesonerado),2)</f>
        <v>134.36000000000001</v>
      </c>
      <c r="AH95" s="429">
        <f t="shared" ca="1" si="30"/>
        <v>0.24</v>
      </c>
      <c r="AJ95" s="431"/>
      <c r="AL95" s="439"/>
      <c r="AM95" s="336">
        <f t="shared" ca="1" si="0"/>
        <v>203330.84</v>
      </c>
      <c r="AN95" s="470" cm="1">
        <f t="array" aca="1" ref="AN95" ca="1">ROUND(ORÇAMENTO.CustoUnitario*(1+$AH95),2)</f>
        <v>166.61</v>
      </c>
    </row>
    <row r="96" spans="1:40" s="670" customFormat="1" x14ac:dyDescent="0.2">
      <c r="A96" s="670" t="str">
        <f t="shared" si="17"/>
        <v>S</v>
      </c>
      <c r="B96" s="670">
        <f t="shared" ca="1" si="18"/>
        <v>2</v>
      </c>
      <c r="C96" s="670" t="str">
        <f t="shared" ca="1" si="19"/>
        <v>S</v>
      </c>
      <c r="D96" s="670">
        <f t="shared" ca="1" si="20"/>
        <v>0</v>
      </c>
      <c r="E96" s="670">
        <f ca="1">IF($C96=1,OFFSET(E96,-1,0)+MAX(1,COUNTIF(QCI!$A$13:$A$24,OFFSET(ORÇAMENTO!E96,-1,0))),OFFSET(E96,-1,0))</f>
        <v>1</v>
      </c>
      <c r="F96" s="670">
        <f t="shared" ca="1" si="21"/>
        <v>12</v>
      </c>
      <c r="G96" s="670">
        <f t="shared" ca="1" si="22"/>
        <v>0</v>
      </c>
      <c r="H96" s="670">
        <f t="shared" ca="1" si="23"/>
        <v>0</v>
      </c>
      <c r="I96" s="670">
        <f t="shared" ca="1" si="24"/>
        <v>5</v>
      </c>
      <c r="J96" s="670">
        <f t="shared" ca="1" si="25"/>
        <v>0</v>
      </c>
      <c r="K96" s="670">
        <f ca="1">IF(OR($C96="S",$C96=0),0,MATCH(OFFSET($D96,0,$C96)+IF($C96&lt;&gt;1,1,COUNTIF(QCI!$A$13:$A$24,ORÇAMENTO!E96)),OFFSET($D96,1,$C96,ROW($C$191)-ROW($C96)),0))</f>
        <v>0</v>
      </c>
      <c r="L96" s="114" t="str">
        <f t="shared" ca="1" si="26"/>
        <v>F</v>
      </c>
      <c r="M96" s="115" t="s">
        <v>705</v>
      </c>
      <c r="N96" s="116" t="str">
        <f t="shared" ca="1" si="27"/>
        <v>Serviço</v>
      </c>
      <c r="O96" s="117" t="str">
        <f t="shared" ca="1" si="28"/>
        <v>1.12.5.</v>
      </c>
      <c r="P96" s="688" t="s">
        <v>1065</v>
      </c>
      <c r="Q96" s="689" t="s">
        <v>1033</v>
      </c>
      <c r="R96" s="690" t="str" cm="1">
        <f t="array" aca="1" ref="R96" ca="1">IF($C96="S",REFERENCIA.Descricao,"(digite a descrição aqui)")</f>
        <v>PINTURA DE LIGAÇÃO COM RR-1C</v>
      </c>
      <c r="S96" s="691" t="str" cm="1">
        <f t="array" aca="1" ref="S96" ca="1">REFERENCIA.Unidade</f>
        <v>M2</v>
      </c>
      <c r="T96" s="122">
        <f ca="1">OFFSET(CÁLCULO!H$15,ROW($T96)-ROW(T$15),0)</f>
        <v>15255</v>
      </c>
      <c r="U96" s="693">
        <f t="shared" ca="1" si="31"/>
        <v>2.2799999999999998</v>
      </c>
      <c r="V96" s="694" t="s">
        <v>663</v>
      </c>
      <c r="W96" s="122" cm="1">
        <f t="array" aca="1" ref="W96" ca="1">IF($C96="S",ROUND(IF(TIPOORCAMENTO="Proposto",ORÇAMENTO.CustoUnitario*(1+$AH96),ORÇAMENTO.PrecoUnitarioLicitado),15-13*$AF$10),0)</f>
        <v>2.83</v>
      </c>
      <c r="X96" s="125" cm="1">
        <f t="array" aca="1" ref="X96" ca="1">IF($C96="S",IF(OR(Import.TipoArredondamento&lt;&gt;"TransfereGOV",ACOMPANHAMENTO="BM"),VTOTAL1,SUM(OFFSET(CÁLCULO!$AI$15,ROW($X96)-ROW($X$15),1):OFFSET(CÁLCULO!$BB$15,ROW($X96)-ROW($X$15),-1))),IF($C96=0,0,ROUND(SomaAgrup,15-13*$AF$11)))</f>
        <v>43171.65</v>
      </c>
      <c r="Y96" s="126" t="s">
        <v>751</v>
      </c>
      <c r="Z96" s="670" t="str">
        <f t="shared" ca="1" si="29"/>
        <v>RA</v>
      </c>
      <c r="AA96" s="127" cm="1">
        <f t="array" aca="1" ref="AA96" ca="1">IF($C96="S",IF($Z96="CP",$X96,IF($Z96="RA",(($X96)*QCI!$AA$3),0)),SomaAgrup)</f>
        <v>0</v>
      </c>
      <c r="AB96" s="128" cm="1">
        <f t="array" aca="1" ref="AB96" ca="1">IF($C96="S",IF($Z96="OU",ROUND($X96,2),0),SomaAgrup)</f>
        <v>0</v>
      </c>
      <c r="AC96" s="565" t="str" cm="1">
        <f t="array" aca="1" ref="AC96" ca="1">IF($N96=""," ",
IF(AND($C96&lt;&gt;"S",OR($R96="",$R96="(digite a descrição aqui)")),"DESCRIÇÃO",
IF(AND($C96="S",OR($Q96&lt;&gt;"",$T96&gt;0,$U96&gt;0),$P96=""),"FONTE",
IF(AND($C96="S",$P96&lt;&gt;"",OR($T96&gt;0,$U96&gt;0),$Q96=""),"CÓDIGO",
IF(AND($C96="S",$P96&lt;&gt;"",$Q96&lt;&gt;"",$R96="(Código não identificado nas referências)"),"CÓDIGO N/ID",
IF(AND($C96="S",OR($R96="",$R96="(digite a descrição aqui)"),OR($Q96&lt;&gt;"",$T96&gt;0,$U96&gt;0)),"DESCRIÇÃO",
IF(AND($C96="S",$P96&lt;&gt;"",$Q96&lt;&gt;"",$S96=""),"UNIDADE",
IF(AND($C96="S",$P96&lt;&gt;"",$Q96&lt;&gt;"",$U96=0),"SEM CUSTO",
IF(AND(TIPOORCAMENTO="Licitado",$AL96=0,$AN96&gt;0),"SEM PREÇO",
IF(AND($C96="S",$P96&lt;&gt;"",$Q96&lt;&gt;"",$U96&gt;0,AND($V96&lt;&gt;"BDI 1",$V96&lt;&gt;"BDI 2",$V96&lt;&gt;"BDI 3")),IF(ISNUMBER($V96),"JUSTIFICAR BDI","BDI"),
IF(OR(AND(import.recurso="OGU",TIPOORCAMENTO="Proposto",LEFT($O$8,5)&lt;&gt;"(N/D:",$AG96&lt;&gt;"",ORÇAMENTO.CustoUnitario&gt;$AG96),AND(TIPOORCAMENTO="LICITADO",ORÇAMENTO.PrecoUnitarioLicitado&gt;$AN96)),"ACIMA REF.",
IF(AND($C96="S",$P96&lt;&gt;"",$Q96&lt;&gt;"",$T96=0,$U96&gt;0),"QUANT.",
IF(AND(Import.TipoArredondamento="TransfereGOV",$L96="F",$C96="S",LEN($Q96)&gt;13),"Código &gt;13",
IF(AND(Import.TipoArredondamento="TransfereGOV",$L96="F",$C96&lt;&gt;"S",LEN($R96)&gt;100),"Descrição &gt;100",
IF(AND(Import.TipoArredondamento="TransfereGOV",$L96="F",$C96="S",LEN($R96)&gt;500),"Descrição &gt;500",
IF(AND(Import.TipoArredondamento="TransfereGOV",$L96="F",$C96="S",LEFT(TRIM(UPPER($P96)),6)&lt;&gt;"SINAPI",ISNA(VLOOKUP(TRIM(UPPER($S96)),ListaTgov.Unidades,1,FALSE))),"Unid. Não Disp",
" "))))))))))))))))</f>
        <v xml:space="preserve"> </v>
      </c>
      <c r="AD96" s="670" t="str">
        <f ca="1">IF(C96&lt;=CRONO.NivelExibicao,MAX($AD$15:OFFSET(AD96,-1,0))+IF($C96&lt;&gt;1,1,MAX(1,COUNTIF(QCI!$A$13:$A$24,OFFSET($E96,-1,0)))),"")</f>
        <v/>
      </c>
      <c r="AE96" s="668" t="str" cm="1">
        <f t="array" aca="1" ref="AE96" ca="1">IF(AND($C96="S",ORÇAMENTO.CodBarra&lt;&gt;""),IF(ORÇAMENTO.Fonte="",ORÇAMENTO.CodBarra,CONCATENATE(ORÇAMENTO.Fonte," ",ORÇAMENTO.CodBarra)))</f>
        <v>SUDECAP 20.12.01</v>
      </c>
      <c r="AF96" s="669" cm="1">
        <f t="array" aca="1" ref="AF96" ca="1">IF(ISERROR(ORÇAMENTO.BancoRef),"(abra o arquivo 'Referência "&amp;Excel_BuiltIn_Database&amp;".xlsm)",IF(OR($C96&lt;&gt;"S",ORÇAMENTO.CodBarra=""),"(Sem Código)",IF(ISERROR(MATCH($AE96,INDIRECT(ORÇAMENTO.BancoRef),0)),"(Código não identificado nas referências)",MATCH($AE96,INDIRECT(ORÇAMENTO.BancoRef),0))))</f>
        <v>18441</v>
      </c>
      <c r="AG96" s="428" cm="1">
        <f t="array" aca="1" ref="AG96" ca="1">ROUND(IF(DESONERACAO="sim",REFERENCIA.Desonerado,REFERENCIA.NaoDesonerado),2)</f>
        <v>2.2799999999999998</v>
      </c>
      <c r="AH96" s="429">
        <f t="shared" ca="1" si="30"/>
        <v>0.24</v>
      </c>
      <c r="AJ96" s="431"/>
      <c r="AL96" s="439"/>
      <c r="AM96" s="336">
        <f t="shared" ca="1" si="0"/>
        <v>43171.65</v>
      </c>
      <c r="AN96" s="470" cm="1">
        <f t="array" aca="1" ref="AN96" ca="1">ROUND(ORÇAMENTO.CustoUnitario*(1+$AH96),2)</f>
        <v>2.83</v>
      </c>
    </row>
    <row r="97" spans="1:40" s="670" customFormat="1" x14ac:dyDescent="0.2">
      <c r="A97" s="670" t="str">
        <f t="shared" si="17"/>
        <v>S</v>
      </c>
      <c r="B97" s="670">
        <f t="shared" ca="1" si="18"/>
        <v>2</v>
      </c>
      <c r="C97" s="670" t="str">
        <f t="shared" ca="1" si="19"/>
        <v>S</v>
      </c>
      <c r="D97" s="670">
        <f t="shared" ca="1" si="20"/>
        <v>0</v>
      </c>
      <c r="E97" s="670">
        <f ca="1">IF($C97=1,OFFSET(E97,-1,0)+MAX(1,COUNTIF(QCI!$A$13:$A$24,OFFSET(ORÇAMENTO!E97,-1,0))),OFFSET(E97,-1,0))</f>
        <v>1</v>
      </c>
      <c r="F97" s="670">
        <f t="shared" ca="1" si="21"/>
        <v>12</v>
      </c>
      <c r="G97" s="670">
        <f t="shared" ca="1" si="22"/>
        <v>0</v>
      </c>
      <c r="H97" s="670">
        <f t="shared" ca="1" si="23"/>
        <v>0</v>
      </c>
      <c r="I97" s="670">
        <f t="shared" ca="1" si="24"/>
        <v>6</v>
      </c>
      <c r="J97" s="670">
        <f t="shared" ca="1" si="25"/>
        <v>0</v>
      </c>
      <c r="K97" s="670">
        <f ca="1">IF(OR($C97="S",$C97=0),0,MATCH(OFFSET($D97,0,$C97)+IF($C97&lt;&gt;1,1,COUNTIF(QCI!$A$13:$A$24,ORÇAMENTO!E97)),OFFSET($D97,1,$C97,ROW($C$191)-ROW($C97)),0))</f>
        <v>0</v>
      </c>
      <c r="L97" s="114" t="str">
        <f t="shared" ca="1" si="26"/>
        <v>F</v>
      </c>
      <c r="M97" s="115" t="s">
        <v>705</v>
      </c>
      <c r="N97" s="116" t="str">
        <f t="shared" ca="1" si="27"/>
        <v>Serviço</v>
      </c>
      <c r="O97" s="117" t="str">
        <f t="shared" ca="1" si="28"/>
        <v>1.12.6.</v>
      </c>
      <c r="P97" s="688" t="s">
        <v>955</v>
      </c>
      <c r="Q97" s="689" t="s">
        <v>1034</v>
      </c>
      <c r="R97" s="690" t="str" cm="1">
        <f t="array" aca="1" ref="R97" ca="1">IF($C97="S",REFERENCIA.Descricao,"(digite a descrição aqui)")</f>
        <v>Imprimação com asfalto diluído</v>
      </c>
      <c r="S97" s="691" t="s">
        <v>623</v>
      </c>
      <c r="T97" s="122">
        <f ca="1">OFFSET(CÁLCULO!H$15,ROW($T97)-ROW(T$15),0)</f>
        <v>15255</v>
      </c>
      <c r="U97" s="693">
        <f t="shared" ca="1" si="31"/>
        <v>0.61</v>
      </c>
      <c r="V97" s="694" t="s">
        <v>663</v>
      </c>
      <c r="W97" s="122" cm="1">
        <f t="array" aca="1" ref="W97" ca="1">IF($C97="S",ROUND(IF(TIPOORCAMENTO="Proposto",ORÇAMENTO.CustoUnitario*(1+$AH97),ORÇAMENTO.PrecoUnitarioLicitado),15-13*$AF$10),0)</f>
        <v>0.76</v>
      </c>
      <c r="X97" s="125" cm="1">
        <f t="array" aca="1" ref="X97" ca="1">IF($C97="S",IF(OR(Import.TipoArredondamento&lt;&gt;"TransfereGOV",ACOMPANHAMENTO="BM"),VTOTAL1,SUM(OFFSET(CÁLCULO!$AI$15,ROW($X97)-ROW($X$15),1):OFFSET(CÁLCULO!$BB$15,ROW($X97)-ROW($X$15),-1))),IF($C97=0,0,ROUND(SomaAgrup,15-13*$AF$11)))</f>
        <v>11593.8</v>
      </c>
      <c r="Y97" s="126" t="s">
        <v>751</v>
      </c>
      <c r="Z97" s="670" t="str">
        <f t="shared" ca="1" si="29"/>
        <v>RA</v>
      </c>
      <c r="AA97" s="127" cm="1">
        <f t="array" aca="1" ref="AA97" ca="1">IF($C97="S",IF($Z97="CP",$X97,IF($Z97="RA",(($X97)*QCI!$AA$3),0)),SomaAgrup)</f>
        <v>0</v>
      </c>
      <c r="AB97" s="128" cm="1">
        <f t="array" aca="1" ref="AB97" ca="1">IF($C97="S",IF($Z97="OU",ROUND($X97,2),0),SomaAgrup)</f>
        <v>0</v>
      </c>
      <c r="AC97" s="565" t="str" cm="1">
        <f t="array" aca="1" ref="AC97" ca="1">IF($N97=""," ",
IF(AND($C97&lt;&gt;"S",OR($R97="",$R97="(digite a descrição aqui)")),"DESCRIÇÃO",
IF(AND($C97="S",OR($Q97&lt;&gt;"",$T97&gt;0,$U97&gt;0),$P97=""),"FONTE",
IF(AND($C97="S",$P97&lt;&gt;"",OR($T97&gt;0,$U97&gt;0),$Q97=""),"CÓDIGO",
IF(AND($C97="S",$P97&lt;&gt;"",$Q97&lt;&gt;"",$R97="(Código não identificado nas referências)"),"CÓDIGO N/ID",
IF(AND($C97="S",OR($R97="",$R97="(digite a descrição aqui)"),OR($Q97&lt;&gt;"",$T97&gt;0,$U97&gt;0)),"DESCRIÇÃO",
IF(AND($C97="S",$P97&lt;&gt;"",$Q97&lt;&gt;"",$S97=""),"UNIDADE",
IF(AND($C97="S",$P97&lt;&gt;"",$Q97&lt;&gt;"",$U97=0),"SEM CUSTO",
IF(AND(TIPOORCAMENTO="Licitado",$AL97=0,$AN97&gt;0),"SEM PREÇO",
IF(AND($C97="S",$P97&lt;&gt;"",$Q97&lt;&gt;"",$U97&gt;0,AND($V97&lt;&gt;"BDI 1",$V97&lt;&gt;"BDI 2",$V97&lt;&gt;"BDI 3")),IF(ISNUMBER($V97),"JUSTIFICAR BDI","BDI"),
IF(OR(AND(import.recurso="OGU",TIPOORCAMENTO="Proposto",LEFT($O$8,5)&lt;&gt;"(N/D:",$AG97&lt;&gt;"",ORÇAMENTO.CustoUnitario&gt;$AG97),AND(TIPOORCAMENTO="LICITADO",ORÇAMENTO.PrecoUnitarioLicitado&gt;$AN97)),"ACIMA REF.",
IF(AND($C97="S",$P97&lt;&gt;"",$Q97&lt;&gt;"",$T97=0,$U97&gt;0),"QUANT.",
IF(AND(Import.TipoArredondamento="TransfereGOV",$L97="F",$C97="S",LEN($Q97)&gt;13),"Código &gt;13",
IF(AND(Import.TipoArredondamento="TransfereGOV",$L97="F",$C97&lt;&gt;"S",LEN($R97)&gt;100),"Descrição &gt;100",
IF(AND(Import.TipoArredondamento="TransfereGOV",$L97="F",$C97="S",LEN($R97)&gt;500),"Descrição &gt;500",
IF(AND(Import.TipoArredondamento="TransfereGOV",$L97="F",$C97="S",LEFT(TRIM(UPPER($P97)),6)&lt;&gt;"SINAPI",ISNA(VLOOKUP(TRIM(UPPER($S97)),ListaTgov.Unidades,1,FALSE))),"Unid. Não Disp",
" "))))))))))))))))</f>
        <v xml:space="preserve"> </v>
      </c>
      <c r="AD97" s="670" t="str">
        <f ca="1">IF(C97&lt;=CRONO.NivelExibicao,MAX($AD$15:OFFSET(AD97,-1,0))+IF($C97&lt;&gt;1,1,MAX(1,COUNTIF(QCI!$A$13:$A$24,OFFSET($E97,-1,0)))),"")</f>
        <v/>
      </c>
      <c r="AE97" s="668" t="str" cm="1">
        <f t="array" aca="1" ref="AE97" ca="1">IF(AND($C97="S",ORÇAMENTO.CodBarra&lt;&gt;""),IF(ORÇAMENTO.Fonte="",ORÇAMENTO.CodBarra,CONCATENATE(ORÇAMENTO.Fonte," ",ORÇAMENTO.CodBarra)))</f>
        <v>SICRO 4011351</v>
      </c>
      <c r="AF97" s="669" cm="1">
        <f t="array" aca="1" ref="AF97" ca="1">IF(ISERROR(ORÇAMENTO.BancoRef),"(abra o arquivo 'Referência "&amp;Excel_BuiltIn_Database&amp;".xlsm)",IF(OR($C97&lt;&gt;"S",ORÇAMENTO.CodBarra=""),"(Sem Código)",IF(ISERROR(MATCH($AE97,INDIRECT(ORÇAMENTO.BancoRef),0)),"(Código não identificado nas referências)",MATCH($AE97,INDIRECT(ORÇAMENTO.BancoRef),0))))</f>
        <v>28391</v>
      </c>
      <c r="AG97" s="428" cm="1">
        <f t="array" aca="1" ref="AG97" ca="1">ROUND(IF(DESONERACAO="sim",REFERENCIA.Desonerado,REFERENCIA.NaoDesonerado),2)</f>
        <v>0.61</v>
      </c>
      <c r="AH97" s="429">
        <f t="shared" ca="1" si="30"/>
        <v>0.24</v>
      </c>
      <c r="AJ97" s="431"/>
      <c r="AL97" s="439"/>
      <c r="AM97" s="336">
        <f t="shared" ca="1" si="0"/>
        <v>11593.8</v>
      </c>
      <c r="AN97" s="470" cm="1">
        <f t="array" aca="1" ref="AN97" ca="1">ROUND(ORÇAMENTO.CustoUnitario*(1+$AH97),2)</f>
        <v>0.76</v>
      </c>
    </row>
    <row r="98" spans="1:40" s="670" customFormat="1" x14ac:dyDescent="0.2">
      <c r="A98" s="670">
        <f t="shared" si="17"/>
        <v>2</v>
      </c>
      <c r="B98" s="670">
        <f t="shared" ca="1" si="18"/>
        <v>2</v>
      </c>
      <c r="C98" s="670">
        <f t="shared" ca="1" si="19"/>
        <v>2</v>
      </c>
      <c r="D98" s="670">
        <f t="shared" ca="1" si="20"/>
        <v>7</v>
      </c>
      <c r="E98" s="670">
        <f ca="1">IF($C98=1,OFFSET(E98,-1,0)+MAX(1,COUNTIF(QCI!$A$13:$A$24,OFFSET(ORÇAMENTO!E98,-1,0))),OFFSET(E98,-1,0))</f>
        <v>1</v>
      </c>
      <c r="F98" s="670">
        <f t="shared" ca="1" si="21"/>
        <v>13</v>
      </c>
      <c r="G98" s="670">
        <f t="shared" ca="1" si="22"/>
        <v>0</v>
      </c>
      <c r="H98" s="670">
        <f t="shared" ca="1" si="23"/>
        <v>0</v>
      </c>
      <c r="I98" s="670">
        <f t="shared" ca="1" si="24"/>
        <v>0</v>
      </c>
      <c r="J98" s="670">
        <f t="shared" ca="1" si="25"/>
        <v>93</v>
      </c>
      <c r="K98" s="670">
        <f ca="1">IF(OR($C98="S",$C98=0),0,MATCH(OFFSET($D98,0,$C98)+IF($C98&lt;&gt;1,1,COUNTIF(QCI!$A$13:$A$24,ORÇAMENTO!E98)),OFFSET($D98,1,$C98,ROW($C$191)-ROW($C98)),0))</f>
        <v>7</v>
      </c>
      <c r="L98" s="114" t="str">
        <f t="shared" ca="1" si="26"/>
        <v>F</v>
      </c>
      <c r="M98" s="115" t="s">
        <v>702</v>
      </c>
      <c r="N98" s="116" t="str">
        <f t="shared" ca="1" si="27"/>
        <v>Nível 2</v>
      </c>
      <c r="O98" s="117" t="str">
        <f t="shared" ca="1" si="28"/>
        <v>1.13.</v>
      </c>
      <c r="P98" s="688" t="s">
        <v>250</v>
      </c>
      <c r="Q98" s="689" t="s">
        <v>250</v>
      </c>
      <c r="R98" s="690" t="s">
        <v>1304</v>
      </c>
      <c r="S98" s="691" t="s">
        <v>688</v>
      </c>
      <c r="T98" s="122">
        <f ca="1">OFFSET(CÁLCULO!H$15,ROW($T98)-ROW(T$15),0)</f>
        <v>0</v>
      </c>
      <c r="U98" s="693">
        <f t="shared" ca="1" si="31"/>
        <v>0</v>
      </c>
      <c r="V98" s="694" t="s">
        <v>663</v>
      </c>
      <c r="W98" s="122" cm="1">
        <f t="array" aca="1" ref="W98" ca="1">IF($C98="S",ROUND(IF(TIPOORCAMENTO="Proposto",ORÇAMENTO.CustoUnitario*(1+$AH98),ORÇAMENTO.PrecoUnitarioLicitado),15-13*$AF$10),0)</f>
        <v>0</v>
      </c>
      <c r="X98" s="125" cm="1">
        <f t="array" aca="1" ref="X98" ca="1">IF($C98="S",IF(OR(Import.TipoArredondamento&lt;&gt;"TransfereGOV",ACOMPANHAMENTO="BM"),VTOTAL1,SUM(OFFSET(CÁLCULO!$AI$15,ROW($X98)-ROW($X$15),1):OFFSET(CÁLCULO!$BB$15,ROW($X98)-ROW($X$15),-1))),IF($C98=0,0,ROUND(SomaAgrup,15-13*$AF$11)))</f>
        <v>47354.25</v>
      </c>
      <c r="Y98" s="126" t="s">
        <v>751</v>
      </c>
      <c r="Z98" s="670" t="str">
        <f t="shared" ca="1" si="29"/>
        <v/>
      </c>
      <c r="AA98" s="127" cm="1">
        <f t="array" aca="1" ref="AA98" ca="1">IF($C98="S",IF($Z98="CP",$X98,IF($Z98="RA",(($X98)*QCI!$AA$3),0)),SomaAgrup)</f>
        <v>0</v>
      </c>
      <c r="AB98" s="128" cm="1">
        <f t="array" aca="1" ref="AB98" ca="1">IF($C98="S",IF($Z98="OU",ROUND($X98,2),0),SomaAgrup)</f>
        <v>0</v>
      </c>
      <c r="AC98" s="565" t="str" cm="1">
        <f t="array" aca="1" ref="AC98" ca="1">IF($N98=""," ",
IF(AND($C98&lt;&gt;"S",OR($R98="",$R98="(digite a descrição aqui)")),"DESCRIÇÃO",
IF(AND($C98="S",OR($Q98&lt;&gt;"",$T98&gt;0,$U98&gt;0),$P98=""),"FONTE",
IF(AND($C98="S",$P98&lt;&gt;"",OR($T98&gt;0,$U98&gt;0),$Q98=""),"CÓDIGO",
IF(AND($C98="S",$P98&lt;&gt;"",$Q98&lt;&gt;"",$R98="(Código não identificado nas referências)"),"CÓDIGO N/ID",
IF(AND($C98="S",OR($R98="",$R98="(digite a descrição aqui)"),OR($Q98&lt;&gt;"",$T98&gt;0,$U98&gt;0)),"DESCRIÇÃO",
IF(AND($C98="S",$P98&lt;&gt;"",$Q98&lt;&gt;"",$S98=""),"UNIDADE",
IF(AND($C98="S",$P98&lt;&gt;"",$Q98&lt;&gt;"",$U98=0),"SEM CUSTO",
IF(AND(TIPOORCAMENTO="Licitado",$AL98=0,$AN98&gt;0),"SEM PREÇO",
IF(AND($C98="S",$P98&lt;&gt;"",$Q98&lt;&gt;"",$U98&gt;0,AND($V98&lt;&gt;"BDI 1",$V98&lt;&gt;"BDI 2",$V98&lt;&gt;"BDI 3")),IF(ISNUMBER($V98),"JUSTIFICAR BDI","BDI"),
IF(OR(AND(import.recurso="OGU",TIPOORCAMENTO="Proposto",LEFT($O$8,5)&lt;&gt;"(N/D:",$AG98&lt;&gt;"",ORÇAMENTO.CustoUnitario&gt;$AG98),AND(TIPOORCAMENTO="LICITADO",ORÇAMENTO.PrecoUnitarioLicitado&gt;$AN98)),"ACIMA REF.",
IF(AND($C98="S",$P98&lt;&gt;"",$Q98&lt;&gt;"",$T98=0,$U98&gt;0),"QUANT.",
IF(AND(Import.TipoArredondamento="TransfereGOV",$L98="F",$C98="S",LEN($Q98)&gt;13),"Código &gt;13",
IF(AND(Import.TipoArredondamento="TransfereGOV",$L98="F",$C98&lt;&gt;"S",LEN($R98)&gt;100),"Descrição &gt;100",
IF(AND(Import.TipoArredondamento="TransfereGOV",$L98="F",$C98="S",LEN($R98)&gt;500),"Descrição &gt;500",
IF(AND(Import.TipoArredondamento="TransfereGOV",$L98="F",$C98="S",LEFT(TRIM(UPPER($P98)),6)&lt;&gt;"SINAPI",ISNA(VLOOKUP(TRIM(UPPER($S98)),ListaTgov.Unidades,1,FALSE))),"Unid. Não Disp",
" "))))))))))))))))</f>
        <v xml:space="preserve"> </v>
      </c>
      <c r="AD98" s="670">
        <f ca="1">IF(C98&lt;=CRONO.NivelExibicao,MAX($AD$15:OFFSET(AD98,-1,0))+IF($C98&lt;&gt;1,1,MAX(1,COUNTIF(QCI!$A$13:$A$24,OFFSET($E98,-1,0)))),"")</f>
        <v>14</v>
      </c>
      <c r="AE98" s="668" t="b" cm="1">
        <f t="array" aca="1" ref="AE98" ca="1">IF(AND($C98="S",ORÇAMENTO.CodBarra&lt;&gt;""),IF(ORÇAMENTO.Fonte="",ORÇAMENTO.CodBarra,CONCATENATE(ORÇAMENTO.Fonte," ",ORÇAMENTO.CodBarra)))</f>
        <v>0</v>
      </c>
      <c r="AF98" s="669" t="str" cm="1">
        <f t="array" aca="1" ref="AF98" ca="1">IF(ISERROR(ORÇAMENTO.BancoRef),"(abra o arquivo 'Referência "&amp;Excel_BuiltIn_Database&amp;".xlsm)",IF(OR($C98&lt;&gt;"S",ORÇAMENTO.CodBarra=""),"(Sem Código)",IF(ISERROR(MATCH($AE98,INDIRECT(ORÇAMENTO.BancoRef),0)),"(Código não identificado nas referências)",MATCH($AE98,INDIRECT(ORÇAMENTO.BancoRef),0))))</f>
        <v>(Sem Código)</v>
      </c>
      <c r="AG98" s="428" cm="1">
        <f t="array" aca="1" ref="AG98" ca="1">ROUND(IF(DESONERACAO="sim",REFERENCIA.Desonerado,REFERENCIA.NaoDesonerado),2)</f>
        <v>0</v>
      </c>
      <c r="AH98" s="429">
        <f t="shared" ca="1" si="30"/>
        <v>0.24</v>
      </c>
      <c r="AJ98" s="431"/>
      <c r="AL98" s="439"/>
      <c r="AM98" s="336">
        <f t="shared" ca="1" si="0"/>
        <v>47354.25</v>
      </c>
      <c r="AN98" s="470" cm="1">
        <f t="array" aca="1" ref="AN98" ca="1">ROUND(ORÇAMENTO.CustoUnitario*(1+$AH98),2)</f>
        <v>0</v>
      </c>
    </row>
    <row r="99" spans="1:40" s="670" customFormat="1" ht="25.5" x14ac:dyDescent="0.2">
      <c r="A99" s="670" t="str">
        <f t="shared" si="17"/>
        <v>S</v>
      </c>
      <c r="B99" s="670">
        <f t="shared" ca="1" si="18"/>
        <v>2</v>
      </c>
      <c r="C99" s="670" t="str">
        <f t="shared" ca="1" si="19"/>
        <v>S</v>
      </c>
      <c r="D99" s="670">
        <f t="shared" ca="1" si="20"/>
        <v>0</v>
      </c>
      <c r="E99" s="670">
        <f ca="1">IF($C99=1,OFFSET(E99,-1,0)+MAX(1,COUNTIF(QCI!$A$13:$A$24,OFFSET(ORÇAMENTO!E99,-1,0))),OFFSET(E99,-1,0))</f>
        <v>1</v>
      </c>
      <c r="F99" s="670">
        <f t="shared" ca="1" si="21"/>
        <v>13</v>
      </c>
      <c r="G99" s="670">
        <f t="shared" ca="1" si="22"/>
        <v>0</v>
      </c>
      <c r="H99" s="670">
        <f t="shared" ca="1" si="23"/>
        <v>0</v>
      </c>
      <c r="I99" s="670">
        <f t="shared" ca="1" si="24"/>
        <v>1</v>
      </c>
      <c r="J99" s="670">
        <f t="shared" ca="1" si="25"/>
        <v>0</v>
      </c>
      <c r="K99" s="670">
        <f ca="1">IF(OR($C99="S",$C99=0),0,MATCH(OFFSET($D99,0,$C99)+IF($C99&lt;&gt;1,1,COUNTIF(QCI!$A$13:$A$24,ORÇAMENTO!E99)),OFFSET($D99,1,$C99,ROW($C$191)-ROW($C99)),0))</f>
        <v>0</v>
      </c>
      <c r="L99" s="114" t="str">
        <f t="shared" ca="1" si="26"/>
        <v>F</v>
      </c>
      <c r="M99" s="115" t="s">
        <v>705</v>
      </c>
      <c r="N99" s="116" t="str">
        <f t="shared" ca="1" si="27"/>
        <v>Serviço</v>
      </c>
      <c r="O99" s="117" t="str">
        <f t="shared" ca="1" si="28"/>
        <v>1.13.1.</v>
      </c>
      <c r="P99" s="688" t="s">
        <v>750</v>
      </c>
      <c r="Q99" s="689" t="s">
        <v>1014</v>
      </c>
      <c r="R99" s="690" t="str" cm="1">
        <f t="array" aca="1" ref="R99" ca="1">IF($C99="S",REFERENCIA.Descricao,"(digite a descrição aqui)")</f>
        <v>ESCAVAÇÃO MANUAL PARA BLOCO DE COROAMENTO OU SAPATA (SEM ESCAVAÇÃO PARA COLOCAÇÃO DE FÔRMAS). AF_01/2024</v>
      </c>
      <c r="S99" s="691" t="str" cm="1">
        <f t="array" aca="1" ref="S99" ca="1">REFERENCIA.Unidade</f>
        <v>M3</v>
      </c>
      <c r="T99" s="122">
        <f ca="1">OFFSET(CÁLCULO!H$15,ROW($T99)-ROW(T$15),0)</f>
        <v>5.12</v>
      </c>
      <c r="U99" s="693">
        <f t="shared" ca="1" si="31"/>
        <v>167.07</v>
      </c>
      <c r="V99" s="694" t="s">
        <v>663</v>
      </c>
      <c r="W99" s="122" cm="1">
        <f t="array" aca="1" ref="W99" ca="1">IF($C99="S",ROUND(IF(TIPOORCAMENTO="Proposto",ORÇAMENTO.CustoUnitario*(1+$AH99),ORÇAMENTO.PrecoUnitarioLicitado),15-13*$AF$10),0)</f>
        <v>207.17</v>
      </c>
      <c r="X99" s="125" cm="1">
        <f t="array" aca="1" ref="X99" ca="1">IF($C99="S",IF(OR(Import.TipoArredondamento&lt;&gt;"TransfereGOV",ACOMPANHAMENTO="BM"),VTOTAL1,SUM(OFFSET(CÁLCULO!$AI$15,ROW($X99)-ROW($X$15),1):OFFSET(CÁLCULO!$BB$15,ROW($X99)-ROW($X$15),-1))),IF($C99=0,0,ROUND(SomaAgrup,15-13*$AF$11)))</f>
        <v>1060.71</v>
      </c>
      <c r="Y99" s="126" t="s">
        <v>751</v>
      </c>
      <c r="Z99" s="670" t="str">
        <f t="shared" ca="1" si="29"/>
        <v>RA</v>
      </c>
      <c r="AA99" s="127" cm="1">
        <f t="array" aca="1" ref="AA99" ca="1">IF($C99="S",IF($Z99="CP",$X99,IF($Z99="RA",(($X99)*QCI!$AA$3),0)),SomaAgrup)</f>
        <v>0</v>
      </c>
      <c r="AB99" s="128" cm="1">
        <f t="array" aca="1" ref="AB99" ca="1">IF($C99="S",IF($Z99="OU",ROUND($X99,2),0),SomaAgrup)</f>
        <v>0</v>
      </c>
      <c r="AC99" s="565" t="str" cm="1">
        <f t="array" aca="1" ref="AC99" ca="1">IF($N99=""," ",
IF(AND($C99&lt;&gt;"S",OR($R99="",$R99="(digite a descrição aqui)")),"DESCRIÇÃO",
IF(AND($C99="S",OR($Q99&lt;&gt;"",$T99&gt;0,$U99&gt;0),$P99=""),"FONTE",
IF(AND($C99="S",$P99&lt;&gt;"",OR($T99&gt;0,$U99&gt;0),$Q99=""),"CÓDIGO",
IF(AND($C99="S",$P99&lt;&gt;"",$Q99&lt;&gt;"",$R99="(Código não identificado nas referências)"),"CÓDIGO N/ID",
IF(AND($C99="S",OR($R99="",$R99="(digite a descrição aqui)"),OR($Q99&lt;&gt;"",$T99&gt;0,$U99&gt;0)),"DESCRIÇÃO",
IF(AND($C99="S",$P99&lt;&gt;"",$Q99&lt;&gt;"",$S99=""),"UNIDADE",
IF(AND($C99="S",$P99&lt;&gt;"",$Q99&lt;&gt;"",$U99=0),"SEM CUSTO",
IF(AND(TIPOORCAMENTO="Licitado",$AL99=0,$AN99&gt;0),"SEM PREÇO",
IF(AND($C99="S",$P99&lt;&gt;"",$Q99&lt;&gt;"",$U99&gt;0,AND($V99&lt;&gt;"BDI 1",$V99&lt;&gt;"BDI 2",$V99&lt;&gt;"BDI 3")),IF(ISNUMBER($V99),"JUSTIFICAR BDI","BDI"),
IF(OR(AND(import.recurso="OGU",TIPOORCAMENTO="Proposto",LEFT($O$8,5)&lt;&gt;"(N/D:",$AG99&lt;&gt;"",ORÇAMENTO.CustoUnitario&gt;$AG99),AND(TIPOORCAMENTO="LICITADO",ORÇAMENTO.PrecoUnitarioLicitado&gt;$AN99)),"ACIMA REF.",
IF(AND($C99="S",$P99&lt;&gt;"",$Q99&lt;&gt;"",$T99=0,$U99&gt;0),"QUANT.",
IF(AND(Import.TipoArredondamento="TransfereGOV",$L99="F",$C99="S",LEN($Q99)&gt;13),"Código &gt;13",
IF(AND(Import.TipoArredondamento="TransfereGOV",$L99="F",$C99&lt;&gt;"S",LEN($R99)&gt;100),"Descrição &gt;100",
IF(AND(Import.TipoArredondamento="TransfereGOV",$L99="F",$C99="S",LEN($R99)&gt;500),"Descrição &gt;500",
IF(AND(Import.TipoArredondamento="TransfereGOV",$L99="F",$C99="S",LEFT(TRIM(UPPER($P99)),6)&lt;&gt;"SINAPI",ISNA(VLOOKUP(TRIM(UPPER($S99)),ListaTgov.Unidades,1,FALSE))),"Unid. Não Disp",
" "))))))))))))))))</f>
        <v xml:space="preserve"> </v>
      </c>
      <c r="AD99" s="670" t="str">
        <f ca="1">IF(C99&lt;=CRONO.NivelExibicao,MAX($AD$15:OFFSET(AD99,-1,0))+IF($C99&lt;&gt;1,1,MAX(1,COUNTIF(QCI!$A$13:$A$24,OFFSET($E99,-1,0)))),"")</f>
        <v/>
      </c>
      <c r="AE99" s="668" t="str" cm="1">
        <f t="array" aca="1" ref="AE99" ca="1">IF(AND($C99="S",ORÇAMENTO.CodBarra&lt;&gt;""),IF(ORÇAMENTO.Fonte="",ORÇAMENTO.CodBarra,CONCATENATE(ORÇAMENTO.Fonte," ",ORÇAMENTO.CodBarra)))</f>
        <v>SINAPI 96522</v>
      </c>
      <c r="AF99" s="669" cm="1">
        <f t="array" aca="1" ref="AF99" ca="1">IF(ISERROR(ORÇAMENTO.BancoRef),"(abra o arquivo 'Referência "&amp;Excel_BuiltIn_Database&amp;".xlsm)",IF(OR($C99&lt;&gt;"S",ORÇAMENTO.CodBarra=""),"(Sem Código)",IF(ISERROR(MATCH($AE99,INDIRECT(ORÇAMENTO.BancoRef),0)),"(Código não identificado nas referências)",MATCH($AE99,INDIRECT(ORÇAMENTO.BancoRef),0))))</f>
        <v>10230</v>
      </c>
      <c r="AG99" s="428" cm="1">
        <f t="array" aca="1" ref="AG99" ca="1">ROUND(IF(DESONERACAO="sim",REFERENCIA.Desonerado,REFERENCIA.NaoDesonerado),2)</f>
        <v>167.07</v>
      </c>
      <c r="AH99" s="429">
        <f t="shared" ca="1" si="30"/>
        <v>0.24</v>
      </c>
      <c r="AJ99" s="431"/>
      <c r="AL99" s="439"/>
      <c r="AM99" s="336">
        <f t="shared" ca="1" si="0"/>
        <v>1060.71</v>
      </c>
      <c r="AN99" s="470" cm="1">
        <f t="array" aca="1" ref="AN99" ca="1">ROUND(ORÇAMENTO.CustoUnitario*(1+$AH99),2)</f>
        <v>207.17</v>
      </c>
    </row>
    <row r="100" spans="1:40" s="670" customFormat="1" ht="51" x14ac:dyDescent="0.2">
      <c r="A100" s="670" t="str">
        <f t="shared" si="17"/>
        <v>S</v>
      </c>
      <c r="B100" s="670">
        <f t="shared" ca="1" si="18"/>
        <v>2</v>
      </c>
      <c r="C100" s="670" t="str">
        <f t="shared" ca="1" si="19"/>
        <v>S</v>
      </c>
      <c r="D100" s="670">
        <f t="shared" ca="1" si="20"/>
        <v>0</v>
      </c>
      <c r="E100" s="670">
        <f ca="1">IF($C100=1,OFFSET(E100,-1,0)+MAX(1,COUNTIF(QCI!$A$13:$A$24,OFFSET(ORÇAMENTO!E100,-1,0))),OFFSET(E100,-1,0))</f>
        <v>1</v>
      </c>
      <c r="F100" s="670">
        <f t="shared" ca="1" si="21"/>
        <v>13</v>
      </c>
      <c r="G100" s="670">
        <f t="shared" ca="1" si="22"/>
        <v>0</v>
      </c>
      <c r="H100" s="670">
        <f t="shared" ca="1" si="23"/>
        <v>0</v>
      </c>
      <c r="I100" s="670">
        <f t="shared" ca="1" si="24"/>
        <v>2</v>
      </c>
      <c r="J100" s="670">
        <f t="shared" ca="1" si="25"/>
        <v>0</v>
      </c>
      <c r="K100" s="670">
        <f ca="1">IF(OR($C100="S",$C100=0),0,MATCH(OFFSET($D100,0,$C100)+IF($C100&lt;&gt;1,1,COUNTIF(QCI!$A$13:$A$24,ORÇAMENTO!E100)),OFFSET($D100,1,$C100,ROW($C$191)-ROW($C100)),0))</f>
        <v>0</v>
      </c>
      <c r="L100" s="114" t="str">
        <f t="shared" ca="1" si="26"/>
        <v>F</v>
      </c>
      <c r="M100" s="115" t="s">
        <v>705</v>
      </c>
      <c r="N100" s="116" t="str">
        <f t="shared" ca="1" si="27"/>
        <v>Serviço</v>
      </c>
      <c r="O100" s="117" t="str">
        <f t="shared" ca="1" si="28"/>
        <v>1.13.2.</v>
      </c>
      <c r="P100" s="688" t="s">
        <v>750</v>
      </c>
      <c r="Q100" s="689" t="s">
        <v>1035</v>
      </c>
      <c r="R100" s="690" t="str" cm="1">
        <f t="array" aca="1" ref="R100" ca="1">IF($C100="S",REFERENCIA.Descricao,"(digite a descrição aqui)")</f>
        <v>ESTACA ESCAVADA MECANICAMENTE, SEM FLUIDO ESTABILIZANTE, COM 60CM DE DIÂMETRO, CONCRETO LANÇADO POR CAMINHÃO BETONEIRA (EXCLUSIVE MOBILIZAÇÃO E DESMOBILIZAÇÃO). AF_01/2020</v>
      </c>
      <c r="S100" s="691" t="str" cm="1">
        <f t="array" aca="1" ref="S100" ca="1">REFERENCIA.Unidade</f>
        <v>M</v>
      </c>
      <c r="T100" s="122">
        <f ca="1">OFFSET(CÁLCULO!H$15,ROW($T100)-ROW(T$15),0)</f>
        <v>128</v>
      </c>
      <c r="U100" s="693">
        <f t="shared" ca="1" si="31"/>
        <v>235.77</v>
      </c>
      <c r="V100" s="694" t="s">
        <v>663</v>
      </c>
      <c r="W100" s="122" cm="1">
        <f t="array" aca="1" ref="W100" ca="1">IF($C100="S",ROUND(IF(TIPOORCAMENTO="Proposto",ORÇAMENTO.CustoUnitario*(1+$AH100),ORÇAMENTO.PrecoUnitarioLicitado),15-13*$AF$10),0)</f>
        <v>292.35000000000002</v>
      </c>
      <c r="X100" s="125" cm="1">
        <f t="array" aca="1" ref="X100" ca="1">IF($C100="S",IF(OR(Import.TipoArredondamento&lt;&gt;"TransfereGOV",ACOMPANHAMENTO="BM"),VTOTAL1,SUM(OFFSET(CÁLCULO!$AI$15,ROW($X100)-ROW($X$15),1):OFFSET(CÁLCULO!$BB$15,ROW($X100)-ROW($X$15),-1))),IF($C100=0,0,ROUND(SomaAgrup,15-13*$AF$11)))</f>
        <v>37420.800000000003</v>
      </c>
      <c r="Y100" s="126" t="s">
        <v>751</v>
      </c>
      <c r="Z100" s="670" t="str">
        <f t="shared" ca="1" si="29"/>
        <v>RA</v>
      </c>
      <c r="AA100" s="127" cm="1">
        <f t="array" aca="1" ref="AA100" ca="1">IF($C100="S",IF($Z100="CP",$X100,IF($Z100="RA",(($X100)*QCI!$AA$3),0)),SomaAgrup)</f>
        <v>0</v>
      </c>
      <c r="AB100" s="128" cm="1">
        <f t="array" aca="1" ref="AB100" ca="1">IF($C100="S",IF($Z100="OU",ROUND($X100,2),0),SomaAgrup)</f>
        <v>0</v>
      </c>
      <c r="AC100" s="565" t="str" cm="1">
        <f t="array" aca="1" ref="AC100" ca="1">IF($N100=""," ",
IF(AND($C100&lt;&gt;"S",OR($R100="",$R100="(digite a descrição aqui)")),"DESCRIÇÃO",
IF(AND($C100="S",OR($Q100&lt;&gt;"",$T100&gt;0,$U100&gt;0),$P100=""),"FONTE",
IF(AND($C100="S",$P100&lt;&gt;"",OR($T100&gt;0,$U100&gt;0),$Q100=""),"CÓDIGO",
IF(AND($C100="S",$P100&lt;&gt;"",$Q100&lt;&gt;"",$R100="(Código não identificado nas referências)"),"CÓDIGO N/ID",
IF(AND($C100="S",OR($R100="",$R100="(digite a descrição aqui)"),OR($Q100&lt;&gt;"",$T100&gt;0,$U100&gt;0)),"DESCRIÇÃO",
IF(AND($C100="S",$P100&lt;&gt;"",$Q100&lt;&gt;"",$S100=""),"UNIDADE",
IF(AND($C100="S",$P100&lt;&gt;"",$Q100&lt;&gt;"",$U100=0),"SEM CUSTO",
IF(AND(TIPOORCAMENTO="Licitado",$AL100=0,$AN100&gt;0),"SEM PREÇO",
IF(AND($C100="S",$P100&lt;&gt;"",$Q100&lt;&gt;"",$U100&gt;0,AND($V100&lt;&gt;"BDI 1",$V100&lt;&gt;"BDI 2",$V100&lt;&gt;"BDI 3")),IF(ISNUMBER($V100),"JUSTIFICAR BDI","BDI"),
IF(OR(AND(import.recurso="OGU",TIPOORCAMENTO="Proposto",LEFT($O$8,5)&lt;&gt;"(N/D:",$AG100&lt;&gt;"",ORÇAMENTO.CustoUnitario&gt;$AG100),AND(TIPOORCAMENTO="LICITADO",ORÇAMENTO.PrecoUnitarioLicitado&gt;$AN100)),"ACIMA REF.",
IF(AND($C100="S",$P100&lt;&gt;"",$Q100&lt;&gt;"",$T100=0,$U100&gt;0),"QUANT.",
IF(AND(Import.TipoArredondamento="TransfereGOV",$L100="F",$C100="S",LEN($Q100)&gt;13),"Código &gt;13",
IF(AND(Import.TipoArredondamento="TransfereGOV",$L100="F",$C100&lt;&gt;"S",LEN($R100)&gt;100),"Descrição &gt;100",
IF(AND(Import.TipoArredondamento="TransfereGOV",$L100="F",$C100="S",LEN($R100)&gt;500),"Descrição &gt;500",
IF(AND(Import.TipoArredondamento="TransfereGOV",$L100="F",$C100="S",LEFT(TRIM(UPPER($P100)),6)&lt;&gt;"SINAPI",ISNA(VLOOKUP(TRIM(UPPER($S100)),ListaTgov.Unidades,1,FALSE))),"Unid. Não Disp",
" "))))))))))))))))</f>
        <v xml:space="preserve"> </v>
      </c>
      <c r="AD100" s="670" t="str">
        <f ca="1">IF(C100&lt;=CRONO.NivelExibicao,MAX($AD$15:OFFSET(AD100,-1,0))+IF($C100&lt;&gt;1,1,MAX(1,COUNTIF(QCI!$A$13:$A$24,OFFSET($E100,-1,0)))),"")</f>
        <v/>
      </c>
      <c r="AE100" s="668" t="str" cm="1">
        <f t="array" aca="1" ref="AE100" ca="1">IF(AND($C100="S",ORÇAMENTO.CodBarra&lt;&gt;""),IF(ORÇAMENTO.Fonte="",ORÇAMENTO.CodBarra,CONCATENATE(ORÇAMENTO.Fonte," ",ORÇAMENTO.CodBarra)))</f>
        <v>SINAPI 100898</v>
      </c>
      <c r="AF100" s="669" cm="1">
        <f t="array" aca="1" ref="AF100" ca="1">IF(ISERROR(ORÇAMENTO.BancoRef),"(abra o arquivo 'Referência "&amp;Excel_BuiltIn_Database&amp;".xlsm)",IF(OR($C100&lt;&gt;"S",ORÇAMENTO.CodBarra=""),"(Sem Código)",IF(ISERROR(MATCH($AE100,INDIRECT(ORÇAMENTO.BancoRef),0)),"(Código não identificado nas referências)",MATCH($AE100,INDIRECT(ORÇAMENTO.BancoRef),0))))</f>
        <v>9824</v>
      </c>
      <c r="AG100" s="428" cm="1">
        <f t="array" aca="1" ref="AG100" ca="1">ROUND(IF(DESONERACAO="sim",REFERENCIA.Desonerado,REFERENCIA.NaoDesonerado),2)</f>
        <v>235.77</v>
      </c>
      <c r="AH100" s="429">
        <f t="shared" ca="1" si="30"/>
        <v>0.24</v>
      </c>
      <c r="AJ100" s="431"/>
      <c r="AL100" s="439"/>
      <c r="AM100" s="336">
        <f t="shared" ca="1" si="0"/>
        <v>37420.800000000003</v>
      </c>
      <c r="AN100" s="470" cm="1">
        <f t="array" aca="1" ref="AN100" ca="1">ROUND(ORÇAMENTO.CustoUnitario*(1+$AH100),2)</f>
        <v>292.35000000000002</v>
      </c>
    </row>
    <row r="101" spans="1:40" s="670" customFormat="1" ht="38.25" x14ac:dyDescent="0.2">
      <c r="A101" s="670" t="str">
        <f t="shared" si="17"/>
        <v>S</v>
      </c>
      <c r="B101" s="670">
        <f t="shared" ca="1" si="18"/>
        <v>2</v>
      </c>
      <c r="C101" s="670" t="str">
        <f t="shared" ca="1" si="19"/>
        <v>S</v>
      </c>
      <c r="D101" s="670">
        <f t="shared" ca="1" si="20"/>
        <v>0</v>
      </c>
      <c r="E101" s="670">
        <f ca="1">IF($C101=1,OFFSET(E101,-1,0)+MAX(1,COUNTIF(QCI!$A$13:$A$24,OFFSET(ORÇAMENTO!E101,-1,0))),OFFSET(E101,-1,0))</f>
        <v>1</v>
      </c>
      <c r="F101" s="670">
        <f t="shared" ca="1" si="21"/>
        <v>13</v>
      </c>
      <c r="G101" s="670">
        <f t="shared" ca="1" si="22"/>
        <v>0</v>
      </c>
      <c r="H101" s="670">
        <f t="shared" ca="1" si="23"/>
        <v>0</v>
      </c>
      <c r="I101" s="670">
        <f t="shared" ca="1" si="24"/>
        <v>3</v>
      </c>
      <c r="J101" s="670">
        <f t="shared" ca="1" si="25"/>
        <v>0</v>
      </c>
      <c r="K101" s="670">
        <f ca="1">IF(OR($C101="S",$C101=0),0,MATCH(OFFSET($D101,0,$C101)+IF($C101&lt;&gt;1,1,COUNTIF(QCI!$A$13:$A$24,ORÇAMENTO!E101)),OFFSET($D101,1,$C101,ROW($C$191)-ROW($C101)),0))</f>
        <v>0</v>
      </c>
      <c r="L101" s="114" t="str">
        <f t="shared" ca="1" si="26"/>
        <v>F</v>
      </c>
      <c r="M101" s="115" t="s">
        <v>705</v>
      </c>
      <c r="N101" s="116" t="str">
        <f t="shared" ca="1" si="27"/>
        <v>Serviço</v>
      </c>
      <c r="O101" s="117" t="str">
        <f t="shared" ca="1" si="28"/>
        <v>1.13.3.</v>
      </c>
      <c r="P101" s="688" t="s">
        <v>750</v>
      </c>
      <c r="Q101" s="689" t="s">
        <v>1036</v>
      </c>
      <c r="R101" s="690" t="str" cm="1">
        <f t="array" aca="1" ref="R101" ca="1">IF($C101="S",REFERENCIA.Descricao,"(digite a descrição aqui)")</f>
        <v>CONCRETO FCK = 15MPA, TRAÇO 1:3,4:3,4 (EM MASSA SECA DE CIMENTO/ AREIA MÉDIA/ SEIXO ROLADO) - PREPARO MECÂNICO COM BETONEIRA 400 L. AF_05/2021</v>
      </c>
      <c r="S101" s="691" t="str" cm="1">
        <f t="array" aca="1" ref="S101" ca="1">REFERENCIA.Unidade</f>
        <v>M3</v>
      </c>
      <c r="T101" s="122">
        <f ca="1">OFFSET(CÁLCULO!H$15,ROW($T101)-ROW(T$15),0)</f>
        <v>3.38</v>
      </c>
      <c r="U101" s="693">
        <f t="shared" ca="1" si="31"/>
        <v>715.84</v>
      </c>
      <c r="V101" s="694" t="s">
        <v>663</v>
      </c>
      <c r="W101" s="122" cm="1">
        <f t="array" aca="1" ref="W101" ca="1">IF($C101="S",ROUND(IF(TIPOORCAMENTO="Proposto",ORÇAMENTO.CustoUnitario*(1+$AH101),ORÇAMENTO.PrecoUnitarioLicitado),15-13*$AF$10),0)</f>
        <v>887.64</v>
      </c>
      <c r="X101" s="125" cm="1">
        <f t="array" aca="1" ref="X101" ca="1">IF($C101="S",IF(OR(Import.TipoArredondamento&lt;&gt;"TransfereGOV",ACOMPANHAMENTO="BM"),VTOTAL1,SUM(OFFSET(CÁLCULO!$AI$15,ROW($X101)-ROW($X$15),1):OFFSET(CÁLCULO!$BB$15,ROW($X101)-ROW($X$15),-1))),IF($C101=0,0,ROUND(SomaAgrup,15-13*$AF$11)))</f>
        <v>3000.22</v>
      </c>
      <c r="Y101" s="126" t="s">
        <v>751</v>
      </c>
      <c r="Z101" s="670" t="str">
        <f t="shared" ca="1" si="29"/>
        <v>RA</v>
      </c>
      <c r="AA101" s="127" cm="1">
        <f t="array" aca="1" ref="AA101" ca="1">IF($C101="S",IF($Z101="CP",$X101,IF($Z101="RA",(($X101)*QCI!$AA$3),0)),SomaAgrup)</f>
        <v>0</v>
      </c>
      <c r="AB101" s="128" cm="1">
        <f t="array" aca="1" ref="AB101" ca="1">IF($C101="S",IF($Z101="OU",ROUND($X101,2),0),SomaAgrup)</f>
        <v>0</v>
      </c>
      <c r="AC101" s="565" t="str" cm="1">
        <f t="array" aca="1" ref="AC101" ca="1">IF($N101=""," ",
IF(AND($C101&lt;&gt;"S",OR($R101="",$R101="(digite a descrição aqui)")),"DESCRIÇÃO",
IF(AND($C101="S",OR($Q101&lt;&gt;"",$T101&gt;0,$U101&gt;0),$P101=""),"FONTE",
IF(AND($C101="S",$P101&lt;&gt;"",OR($T101&gt;0,$U101&gt;0),$Q101=""),"CÓDIGO",
IF(AND($C101="S",$P101&lt;&gt;"",$Q101&lt;&gt;"",$R101="(Código não identificado nas referências)"),"CÓDIGO N/ID",
IF(AND($C101="S",OR($R101="",$R101="(digite a descrição aqui)"),OR($Q101&lt;&gt;"",$T101&gt;0,$U101&gt;0)),"DESCRIÇÃO",
IF(AND($C101="S",$P101&lt;&gt;"",$Q101&lt;&gt;"",$S101=""),"UNIDADE",
IF(AND($C101="S",$P101&lt;&gt;"",$Q101&lt;&gt;"",$U101=0),"SEM CUSTO",
IF(AND(TIPOORCAMENTO="Licitado",$AL101=0,$AN101&gt;0),"SEM PREÇO",
IF(AND($C101="S",$P101&lt;&gt;"",$Q101&lt;&gt;"",$U101&gt;0,AND($V101&lt;&gt;"BDI 1",$V101&lt;&gt;"BDI 2",$V101&lt;&gt;"BDI 3")),IF(ISNUMBER($V101),"JUSTIFICAR BDI","BDI"),
IF(OR(AND(import.recurso="OGU",TIPOORCAMENTO="Proposto",LEFT($O$8,5)&lt;&gt;"(N/D:",$AG101&lt;&gt;"",ORÇAMENTO.CustoUnitario&gt;$AG101),AND(TIPOORCAMENTO="LICITADO",ORÇAMENTO.PrecoUnitarioLicitado&gt;$AN101)),"ACIMA REF.",
IF(AND($C101="S",$P101&lt;&gt;"",$Q101&lt;&gt;"",$T101=0,$U101&gt;0),"QUANT.",
IF(AND(Import.TipoArredondamento="TransfereGOV",$L101="F",$C101="S",LEN($Q101)&gt;13),"Código &gt;13",
IF(AND(Import.TipoArredondamento="TransfereGOV",$L101="F",$C101&lt;&gt;"S",LEN($R101)&gt;100),"Descrição &gt;100",
IF(AND(Import.TipoArredondamento="TransfereGOV",$L101="F",$C101="S",LEN($R101)&gt;500),"Descrição &gt;500",
IF(AND(Import.TipoArredondamento="TransfereGOV",$L101="F",$C101="S",LEFT(TRIM(UPPER($P101)),6)&lt;&gt;"SINAPI",ISNA(VLOOKUP(TRIM(UPPER($S101)),ListaTgov.Unidades,1,FALSE))),"Unid. Não Disp",
" "))))))))))))))))</f>
        <v xml:space="preserve"> </v>
      </c>
      <c r="AD101" s="670" t="str">
        <f ca="1">IF(C101&lt;=CRONO.NivelExibicao,MAX($AD$15:OFFSET(AD101,-1,0))+IF($C101&lt;&gt;1,1,MAX(1,COUNTIF(QCI!$A$13:$A$24,OFFSET($E101,-1,0)))),"")</f>
        <v/>
      </c>
      <c r="AE101" s="668" t="str" cm="1">
        <f t="array" aca="1" ref="AE101" ca="1">IF(AND($C101="S",ORÇAMENTO.CodBarra&lt;&gt;""),IF(ORÇAMENTO.Fonte="",ORÇAMENTO.CodBarra,CONCATENATE(ORÇAMENTO.Fonte," ",ORÇAMENTO.CodBarra)))</f>
        <v>SINAPI 102474</v>
      </c>
      <c r="AF101" s="669" cm="1">
        <f t="array" aca="1" ref="AF101" ca="1">IF(ISERROR(ORÇAMENTO.BancoRef),"(abra o arquivo 'Referência "&amp;Excel_BuiltIn_Database&amp;".xlsm)",IF(OR($C101&lt;&gt;"S",ORÇAMENTO.CodBarra=""),"(Sem Código)",IF(ISERROR(MATCH($AE101,INDIRECT(ORÇAMENTO.BancoRef),0)),"(Código não identificado nas referências)",MATCH($AE101,INDIRECT(ORÇAMENTO.BancoRef),0))))</f>
        <v>14680</v>
      </c>
      <c r="AG101" s="428" cm="1">
        <f t="array" aca="1" ref="AG101" ca="1">ROUND(IF(DESONERACAO="sim",REFERENCIA.Desonerado,REFERENCIA.NaoDesonerado),2)</f>
        <v>715.84</v>
      </c>
      <c r="AH101" s="429">
        <f t="shared" ca="1" si="30"/>
        <v>0.24</v>
      </c>
      <c r="AJ101" s="431"/>
      <c r="AL101" s="439"/>
      <c r="AM101" s="336">
        <f t="shared" ca="1" si="0"/>
        <v>3000.22</v>
      </c>
      <c r="AN101" s="470" cm="1">
        <f t="array" aca="1" ref="AN101" ca="1">ROUND(ORÇAMENTO.CustoUnitario*(1+$AH101),2)</f>
        <v>887.64</v>
      </c>
    </row>
    <row r="102" spans="1:40" s="670" customFormat="1" ht="38.25" x14ac:dyDescent="0.2">
      <c r="A102" s="670" t="str">
        <f t="shared" si="17"/>
        <v>S</v>
      </c>
      <c r="B102" s="670">
        <f t="shared" ca="1" si="18"/>
        <v>2</v>
      </c>
      <c r="C102" s="670" t="str">
        <f t="shared" ca="1" si="19"/>
        <v>S</v>
      </c>
      <c r="D102" s="670">
        <f t="shared" ca="1" si="20"/>
        <v>0</v>
      </c>
      <c r="E102" s="670">
        <f ca="1">IF($C102=1,OFFSET(E102,-1,0)+MAX(1,COUNTIF(QCI!$A$13:$A$24,OFFSET(ORÇAMENTO!E102,-1,0))),OFFSET(E102,-1,0))</f>
        <v>1</v>
      </c>
      <c r="F102" s="670">
        <f t="shared" ca="1" si="21"/>
        <v>13</v>
      </c>
      <c r="G102" s="670">
        <f t="shared" ca="1" si="22"/>
        <v>0</v>
      </c>
      <c r="H102" s="670">
        <f t="shared" ca="1" si="23"/>
        <v>0</v>
      </c>
      <c r="I102" s="670">
        <f t="shared" ca="1" si="24"/>
        <v>4</v>
      </c>
      <c r="J102" s="670">
        <f t="shared" ca="1" si="25"/>
        <v>0</v>
      </c>
      <c r="K102" s="670">
        <f ca="1">IF(OR($C102="S",$C102=0),0,MATCH(OFFSET($D102,0,$C102)+IF($C102&lt;&gt;1,1,COUNTIF(QCI!$A$13:$A$24,ORÇAMENTO!E102)),OFFSET($D102,1,$C102,ROW($C$191)-ROW($C102)),0))</f>
        <v>0</v>
      </c>
      <c r="L102" s="114" t="str">
        <f t="shared" ca="1" si="26"/>
        <v>F</v>
      </c>
      <c r="M102" s="115" t="s">
        <v>705</v>
      </c>
      <c r="N102" s="116" t="str">
        <f t="shared" ca="1" si="27"/>
        <v>Serviço</v>
      </c>
      <c r="O102" s="117" t="str">
        <f t="shared" ca="1" si="28"/>
        <v>1.13.4.</v>
      </c>
      <c r="P102" s="688" t="s">
        <v>750</v>
      </c>
      <c r="Q102" s="689" t="s">
        <v>1037</v>
      </c>
      <c r="R102" s="690" t="str" cm="1">
        <f t="array" aca="1" ref="R102" ca="1">IF($C102="S",REFERENCIA.Descricao,"(digite a descrição aqui)")</f>
        <v>CONCRETO MAGRO PARA LASTRO, TRAÇO 1:4,5:4,5 (EM MASSA SECA DE CIMENTO/ AREIA MÉDIA/ SEIXO ROLADO) - PREPARO MECÂNICO COM BETONEIRA 400 L. AF_05/2021</v>
      </c>
      <c r="S102" s="691" t="str" cm="1">
        <f t="array" aca="1" ref="S102" ca="1">REFERENCIA.Unidade</f>
        <v>M3</v>
      </c>
      <c r="T102" s="122">
        <f ca="1">OFFSET(CÁLCULO!H$15,ROW($T102)-ROW(T$15),0)</f>
        <v>1.5</v>
      </c>
      <c r="U102" s="693">
        <f t="shared" ca="1" si="31"/>
        <v>677.83</v>
      </c>
      <c r="V102" s="694" t="s">
        <v>663</v>
      </c>
      <c r="W102" s="122" cm="1">
        <f t="array" aca="1" ref="W102" ca="1">IF($C102="S",ROUND(IF(TIPOORCAMENTO="Proposto",ORÇAMENTO.CustoUnitario*(1+$AH102),ORÇAMENTO.PrecoUnitarioLicitado),15-13*$AF$10),0)</f>
        <v>840.51</v>
      </c>
      <c r="X102" s="125" cm="1">
        <f t="array" aca="1" ref="X102" ca="1">IF($C102="S",IF(OR(Import.TipoArredondamento&lt;&gt;"TransfereGOV",ACOMPANHAMENTO="BM"),VTOTAL1,SUM(OFFSET(CÁLCULO!$AI$15,ROW($X102)-ROW($X$15),1):OFFSET(CÁLCULO!$BB$15,ROW($X102)-ROW($X$15),-1))),IF($C102=0,0,ROUND(SomaAgrup,15-13*$AF$11)))</f>
        <v>1260.77</v>
      </c>
      <c r="Y102" s="126" t="s">
        <v>751</v>
      </c>
      <c r="Z102" s="670" t="str">
        <f t="shared" ca="1" si="29"/>
        <v>RA</v>
      </c>
      <c r="AA102" s="127" cm="1">
        <f t="array" aca="1" ref="AA102" ca="1">IF($C102="S",IF($Z102="CP",$X102,IF($Z102="RA",(($X102)*QCI!$AA$3),0)),SomaAgrup)</f>
        <v>0</v>
      </c>
      <c r="AB102" s="128" cm="1">
        <f t="array" aca="1" ref="AB102" ca="1">IF($C102="S",IF($Z102="OU",ROUND($X102,2),0),SomaAgrup)</f>
        <v>0</v>
      </c>
      <c r="AC102" s="565" t="str" cm="1">
        <f t="array" aca="1" ref="AC102" ca="1">IF($N102=""," ",
IF(AND($C102&lt;&gt;"S",OR($R102="",$R102="(digite a descrição aqui)")),"DESCRIÇÃO",
IF(AND($C102="S",OR($Q102&lt;&gt;"",$T102&gt;0,$U102&gt;0),$P102=""),"FONTE",
IF(AND($C102="S",$P102&lt;&gt;"",OR($T102&gt;0,$U102&gt;0),$Q102=""),"CÓDIGO",
IF(AND($C102="S",$P102&lt;&gt;"",$Q102&lt;&gt;"",$R102="(Código não identificado nas referências)"),"CÓDIGO N/ID",
IF(AND($C102="S",OR($R102="",$R102="(digite a descrição aqui)"),OR($Q102&lt;&gt;"",$T102&gt;0,$U102&gt;0)),"DESCRIÇÃO",
IF(AND($C102="S",$P102&lt;&gt;"",$Q102&lt;&gt;"",$S102=""),"UNIDADE",
IF(AND($C102="S",$P102&lt;&gt;"",$Q102&lt;&gt;"",$U102=0),"SEM CUSTO",
IF(AND(TIPOORCAMENTO="Licitado",$AL102=0,$AN102&gt;0),"SEM PREÇO",
IF(AND($C102="S",$P102&lt;&gt;"",$Q102&lt;&gt;"",$U102&gt;0,AND($V102&lt;&gt;"BDI 1",$V102&lt;&gt;"BDI 2",$V102&lt;&gt;"BDI 3")),IF(ISNUMBER($V102),"JUSTIFICAR BDI","BDI"),
IF(OR(AND(import.recurso="OGU",TIPOORCAMENTO="Proposto",LEFT($O$8,5)&lt;&gt;"(N/D:",$AG102&lt;&gt;"",ORÇAMENTO.CustoUnitario&gt;$AG102),AND(TIPOORCAMENTO="LICITADO",ORÇAMENTO.PrecoUnitarioLicitado&gt;$AN102)),"ACIMA REF.",
IF(AND($C102="S",$P102&lt;&gt;"",$Q102&lt;&gt;"",$T102=0,$U102&gt;0),"QUANT.",
IF(AND(Import.TipoArredondamento="TransfereGOV",$L102="F",$C102="S",LEN($Q102)&gt;13),"Código &gt;13",
IF(AND(Import.TipoArredondamento="TransfereGOV",$L102="F",$C102&lt;&gt;"S",LEN($R102)&gt;100),"Descrição &gt;100",
IF(AND(Import.TipoArredondamento="TransfereGOV",$L102="F",$C102="S",LEN($R102)&gt;500),"Descrição &gt;500",
IF(AND(Import.TipoArredondamento="TransfereGOV",$L102="F",$C102="S",LEFT(TRIM(UPPER($P102)),6)&lt;&gt;"SINAPI",ISNA(VLOOKUP(TRIM(UPPER($S102)),ListaTgov.Unidades,1,FALSE))),"Unid. Não Disp",
" "))))))))))))))))</f>
        <v xml:space="preserve"> </v>
      </c>
      <c r="AD102" s="670" t="str">
        <f ca="1">IF(C102&lt;=CRONO.NivelExibicao,MAX($AD$15:OFFSET(AD102,-1,0))+IF($C102&lt;&gt;1,1,MAX(1,COUNTIF(QCI!$A$13:$A$24,OFFSET($E102,-1,0)))),"")</f>
        <v/>
      </c>
      <c r="AE102" s="668" t="str" cm="1">
        <f t="array" aca="1" ref="AE102" ca="1">IF(AND($C102="S",ORÇAMENTO.CodBarra&lt;&gt;""),IF(ORÇAMENTO.Fonte="",ORÇAMENTO.CodBarra,CONCATENATE(ORÇAMENTO.Fonte," ",ORÇAMENTO.CodBarra)))</f>
        <v>SINAPI 102473</v>
      </c>
      <c r="AF102" s="669" cm="1">
        <f t="array" aca="1" ref="AF102" ca="1">IF(ISERROR(ORÇAMENTO.BancoRef),"(abra o arquivo 'Referência "&amp;Excel_BuiltIn_Database&amp;".xlsm)",IF(OR($C102&lt;&gt;"S",ORÇAMENTO.CodBarra=""),"(Sem Código)",IF(ISERROR(MATCH($AE102,INDIRECT(ORÇAMENTO.BancoRef),0)),"(Código não identificado nas referências)",MATCH($AE102,INDIRECT(ORÇAMENTO.BancoRef),0))))</f>
        <v>14705</v>
      </c>
      <c r="AG102" s="428" cm="1">
        <f t="array" aca="1" ref="AG102" ca="1">ROUND(IF(DESONERACAO="sim",REFERENCIA.Desonerado,REFERENCIA.NaoDesonerado),2)</f>
        <v>677.83</v>
      </c>
      <c r="AH102" s="429">
        <f t="shared" ca="1" si="30"/>
        <v>0.24</v>
      </c>
      <c r="AJ102" s="431"/>
      <c r="AL102" s="439"/>
      <c r="AM102" s="336">
        <f t="shared" ca="1" si="0"/>
        <v>1260.77</v>
      </c>
      <c r="AN102" s="470" cm="1">
        <f t="array" aca="1" ref="AN102" ca="1">ROUND(ORÇAMENTO.CustoUnitario*(1+$AH102),2)</f>
        <v>840.51</v>
      </c>
    </row>
    <row r="103" spans="1:40" s="670" customFormat="1" x14ac:dyDescent="0.2">
      <c r="A103" s="670" t="str">
        <f t="shared" si="17"/>
        <v>S</v>
      </c>
      <c r="B103" s="670">
        <f t="shared" ca="1" si="18"/>
        <v>2</v>
      </c>
      <c r="C103" s="670" t="str">
        <f t="shared" ca="1" si="19"/>
        <v>S</v>
      </c>
      <c r="D103" s="670">
        <f t="shared" ca="1" si="20"/>
        <v>0</v>
      </c>
      <c r="E103" s="670">
        <f ca="1">IF($C103=1,OFFSET(E103,-1,0)+MAX(1,COUNTIF(QCI!$A$13:$A$24,OFFSET(ORÇAMENTO!E103,-1,0))),OFFSET(E103,-1,0))</f>
        <v>1</v>
      </c>
      <c r="F103" s="670">
        <f t="shared" ca="1" si="21"/>
        <v>13</v>
      </c>
      <c r="G103" s="670">
        <f t="shared" ca="1" si="22"/>
        <v>0</v>
      </c>
      <c r="H103" s="670">
        <f t="shared" ca="1" si="23"/>
        <v>0</v>
      </c>
      <c r="I103" s="670">
        <f t="shared" ca="1" si="24"/>
        <v>5</v>
      </c>
      <c r="J103" s="670">
        <f t="shared" ref="J103:J134" ca="1" si="32">IF(OR($C103="S",$C103=0),0,MATCH(0,OFFSET($D103,1,$C103,ROW($C$191)-ROW($C103)),0))</f>
        <v>0</v>
      </c>
      <c r="K103" s="670">
        <f ca="1">IF(OR($C103="S",$C103=0),0,MATCH(OFFSET($D103,0,$C103)+IF($C103&lt;&gt;1,1,COUNTIF(QCI!$A$13:$A$24,ORÇAMENTO!E103)),OFFSET($D103,1,$C103,ROW($C$191)-ROW($C103)),0))</f>
        <v>0</v>
      </c>
      <c r="L103" s="114" t="str">
        <f t="shared" ca="1" si="26"/>
        <v>F</v>
      </c>
      <c r="M103" s="115" t="s">
        <v>705</v>
      </c>
      <c r="N103" s="116" t="str">
        <f t="shared" ca="1" si="27"/>
        <v>Serviço</v>
      </c>
      <c r="O103" s="117" t="str">
        <f t="shared" ca="1" si="28"/>
        <v>1.13.5.</v>
      </c>
      <c r="P103" s="688" t="s">
        <v>750</v>
      </c>
      <c r="Q103" s="689" t="s">
        <v>1247</v>
      </c>
      <c r="R103" s="690" t="str" cm="1">
        <f t="array" aca="1" ref="R103" ca="1">IF($C103="S",REFERENCIA.Descricao,"(digite a descrição aqui)")</f>
        <v>CORTE E DOBRA DE AÇO CA-25, DIÂMETRO DE 20,0 MM. AF_06/2022</v>
      </c>
      <c r="S103" s="691" t="str" cm="1">
        <f t="array" aca="1" ref="S103" ca="1">REFERENCIA.Unidade</f>
        <v>KG</v>
      </c>
      <c r="T103" s="122">
        <f ca="1">OFFSET(CÁLCULO!H$15,ROW($T103)-ROW(T$15),0)</f>
        <v>195</v>
      </c>
      <c r="U103" s="693">
        <f t="shared" ca="1" si="31"/>
        <v>9</v>
      </c>
      <c r="V103" s="694" t="s">
        <v>697</v>
      </c>
      <c r="W103" s="122" cm="1">
        <f t="array" aca="1" ref="W103" ca="1">IF($C103="S",ROUND(IF(TIPOORCAMENTO="Proposto",ORÇAMENTO.CustoUnitario*(1+$AH103),ORÇAMENTO.PrecoUnitarioLicitado),15-13*$AF$10),0)</f>
        <v>10.51</v>
      </c>
      <c r="X103" s="125" cm="1">
        <f t="array" aca="1" ref="X103" ca="1">IF($C103="S",IF(OR(Import.TipoArredondamento&lt;&gt;"TransfereGOV",ACOMPANHAMENTO="BM"),VTOTAL1,SUM(OFFSET(CÁLCULO!$AI$15,ROW($X103)-ROW($X$15),1):OFFSET(CÁLCULO!$BB$15,ROW($X103)-ROW($X$15),-1))),IF($C103=0,0,ROUND(SomaAgrup,15-13*$AF$11)))</f>
        <v>2049.4499999999998</v>
      </c>
      <c r="Y103" s="126" t="s">
        <v>751</v>
      </c>
      <c r="Z103" s="670" t="str">
        <f t="shared" ca="1" si="29"/>
        <v>RA</v>
      </c>
      <c r="AA103" s="127" cm="1">
        <f t="array" aca="1" ref="AA103" ca="1">IF($C103="S",IF($Z103="CP",$X103,IF($Z103="RA",(($X103)*QCI!$AA$3),0)),SomaAgrup)</f>
        <v>0</v>
      </c>
      <c r="AB103" s="128" cm="1">
        <f t="array" aca="1" ref="AB103" ca="1">IF($C103="S",IF($Z103="OU",ROUND($X103,2),0),SomaAgrup)</f>
        <v>0</v>
      </c>
      <c r="AC103" s="565" t="str" cm="1">
        <f t="array" aca="1" ref="AC103" ca="1">IF($N103=""," ",
IF(AND($C103&lt;&gt;"S",OR($R103="",$R103="(digite a descrição aqui)")),"DESCRIÇÃO",
IF(AND($C103="S",OR($Q103&lt;&gt;"",$T103&gt;0,$U103&gt;0),$P103=""),"FONTE",
IF(AND($C103="S",$P103&lt;&gt;"",OR($T103&gt;0,$U103&gt;0),$Q103=""),"CÓDIGO",
IF(AND($C103="S",$P103&lt;&gt;"",$Q103&lt;&gt;"",$R103="(Código não identificado nas referências)"),"CÓDIGO N/ID",
IF(AND($C103="S",OR($R103="",$R103="(digite a descrição aqui)"),OR($Q103&lt;&gt;"",$T103&gt;0,$U103&gt;0)),"DESCRIÇÃO",
IF(AND($C103="S",$P103&lt;&gt;"",$Q103&lt;&gt;"",$S103=""),"UNIDADE",
IF(AND($C103="S",$P103&lt;&gt;"",$Q103&lt;&gt;"",$U103=0),"SEM CUSTO",
IF(AND(TIPOORCAMENTO="Licitado",$AL103=0,$AN103&gt;0),"SEM PREÇO",
IF(AND($C103="S",$P103&lt;&gt;"",$Q103&lt;&gt;"",$U103&gt;0,AND($V103&lt;&gt;"BDI 1",$V103&lt;&gt;"BDI 2",$V103&lt;&gt;"BDI 3")),IF(ISNUMBER($V103),"JUSTIFICAR BDI","BDI"),
IF(OR(AND(import.recurso="OGU",TIPOORCAMENTO="Proposto",LEFT($O$8,5)&lt;&gt;"(N/D:",$AG103&lt;&gt;"",ORÇAMENTO.CustoUnitario&gt;$AG103),AND(TIPOORCAMENTO="LICITADO",ORÇAMENTO.PrecoUnitarioLicitado&gt;$AN103)),"ACIMA REF.",
IF(AND($C103="S",$P103&lt;&gt;"",$Q103&lt;&gt;"",$T103=0,$U103&gt;0),"QUANT.",
IF(AND(Import.TipoArredondamento="TransfereGOV",$L103="F",$C103="S",LEN($Q103)&gt;13),"Código &gt;13",
IF(AND(Import.TipoArredondamento="TransfereGOV",$L103="F",$C103&lt;&gt;"S",LEN($R103)&gt;100),"Descrição &gt;100",
IF(AND(Import.TipoArredondamento="TransfereGOV",$L103="F",$C103="S",LEN($R103)&gt;500),"Descrição &gt;500",
IF(AND(Import.TipoArredondamento="TransfereGOV",$L103="F",$C103="S",LEFT(TRIM(UPPER($P103)),6)&lt;&gt;"SINAPI",ISNA(VLOOKUP(TRIM(UPPER($S103)),ListaTgov.Unidades,1,FALSE))),"Unid. Não Disp",
" "))))))))))))))))</f>
        <v xml:space="preserve"> </v>
      </c>
      <c r="AD103" s="670" t="str">
        <f ca="1">IF(C103&lt;=CRONO.NivelExibicao,MAX($AD$15:OFFSET(AD103,-1,0))+IF($C103&lt;&gt;1,1,MAX(1,COUNTIF(QCI!$A$13:$A$24,OFFSET($E103,-1,0)))),"")</f>
        <v/>
      </c>
      <c r="AE103" s="668" t="str" cm="1">
        <f t="array" aca="1" ref="AE103" ca="1">IF(AND($C103="S",ORÇAMENTO.CodBarra&lt;&gt;""),IF(ORÇAMENTO.Fonte="",ORÇAMENTO.CodBarra,CONCATENATE(ORÇAMENTO.Fonte," ",ORÇAMENTO.CodBarra)))</f>
        <v>SINAPI 92880</v>
      </c>
      <c r="AF103" s="669" cm="1">
        <f t="array" aca="1" ref="AF103" ca="1">IF(ISERROR(ORÇAMENTO.BancoRef),"(abra o arquivo 'Referência "&amp;Excel_BuiltIn_Database&amp;".xlsm)",IF(OR($C103&lt;&gt;"S",ORÇAMENTO.CodBarra=""),"(Sem Código)",IF(ISERROR(MATCH($AE103,INDIRECT(ORÇAMENTO.BancoRef),0)),"(Código não identificado nas referências)",MATCH($AE103,INDIRECT(ORÇAMENTO.BancoRef),0))))</f>
        <v>6356</v>
      </c>
      <c r="AG103" s="428" cm="1">
        <f t="array" aca="1" ref="AG103" ca="1">ROUND(IF(DESONERACAO="sim",REFERENCIA.Desonerado,REFERENCIA.NaoDesonerado),2)</f>
        <v>9</v>
      </c>
      <c r="AH103" s="429">
        <f t="shared" ca="1" si="30"/>
        <v>0.16800000000000001</v>
      </c>
      <c r="AJ103" s="431"/>
      <c r="AL103" s="439"/>
      <c r="AM103" s="336">
        <f t="shared" ca="1" si="0"/>
        <v>2049.4499999999998</v>
      </c>
      <c r="AN103" s="470" cm="1">
        <f t="array" aca="1" ref="AN103" ca="1">ROUND(ORÇAMENTO.CustoUnitario*(1+$AH103),2)</f>
        <v>10.51</v>
      </c>
    </row>
    <row r="104" spans="1:40" s="680" customFormat="1" ht="25.5" x14ac:dyDescent="0.2">
      <c r="A104" s="680" t="str">
        <f>CHOOSE(1+LOG(1+2*(ORÇAMENTO.Nivel="Meta")+4*(ORÇAMENTO.Nivel="Nível 2")+8*(ORÇAMENTO.Nivel="Nível 3")+16*(ORÇAMENTO.Nivel="Nível 4")+32*(ORÇAMENTO.Nivel="Serviço"),2),0,1,2,3,4,"S")</f>
        <v>S</v>
      </c>
      <c r="B104" s="680">
        <f ca="1">IF(OR(C104="s",C104=0),OFFSET(B104,-1,0),C104)</f>
        <v>2</v>
      </c>
      <c r="C104" s="680" t="str">
        <f ca="1">IF(OFFSET(C104,-1,0)="L",1,IF(OFFSET(C104,-1,0)=1,2,IF(OR(A104="s",A104=0),"S",IF(AND(OFFSET(C104,-1,0)=2,A104=4),3,IF(AND(OR(OFFSET(C104,-1,0)="s",OFFSET(C104,-1,0)=0),A104&lt;&gt;"s",A104&gt;OFFSET(B104,-1,0)),OFFSET(B104,-1,0),A104)))))</f>
        <v>S</v>
      </c>
      <c r="D104" s="680">
        <f ca="1">IF(OR(C104="S",C104=0),0,IF(ISERROR(K104),J104,SMALL(J104:K104,1)))</f>
        <v>0</v>
      </c>
      <c r="E104" s="680">
        <f ca="1">IF($C104=1,OFFSET(E104,-1,0)+MAX(1,COUNTIF(QCI!$A$13:$A$24,OFFSET(ORÇAMENTO!E104,-1,0))),OFFSET(E104,-1,0))</f>
        <v>1</v>
      </c>
      <c r="F104" s="680">
        <f ca="1">IF($C104=1,0,IF($C104=2,OFFSET(F104,-1,0)+1,OFFSET(F104,-1,0)))</f>
        <v>13</v>
      </c>
      <c r="G104" s="680">
        <f ca="1">IF(AND($C104&lt;=2,$C104&lt;&gt;0),0,IF($C104=3,OFFSET(G104,-1,0)+1,OFFSET(G104,-1,0)))</f>
        <v>0</v>
      </c>
      <c r="H104" s="680">
        <f ca="1">IF(AND($C104&lt;=3,$C104&lt;&gt;0),0,IF($C104=4,OFFSET(H104,-1,0)+1,OFFSET(H104,-1,0)))</f>
        <v>0</v>
      </c>
      <c r="I104" s="680">
        <f ca="1">IF(AND($C104&lt;=4,$C104&lt;&gt;0),0,IF(AND($C104="S",$X104&gt;0),OFFSET(I104,-1,0)+1,OFFSET(I104,-1,0)))</f>
        <v>6</v>
      </c>
      <c r="J104" s="680">
        <f t="shared" ca="1" si="32"/>
        <v>0</v>
      </c>
      <c r="K104" s="680">
        <f ca="1">IF(OR($C104="S",$C104=0),0,MATCH(OFFSET($D104,0,$C104)+IF($C104&lt;&gt;1,1,COUNTIF(QCI!$A$13:$A$24,ORÇAMENTO!E104)),OFFSET($D104,1,$C104,ROW($C$191)-ROW($C104)),0))</f>
        <v>0</v>
      </c>
      <c r="L104" s="684" t="str">
        <f ca="1">IF(OR($X104&gt;0,$C104=1,$C104=2,$C104=3,$C104=4),"F","")</f>
        <v>F</v>
      </c>
      <c r="M104" s="685" t="s">
        <v>705</v>
      </c>
      <c r="N104" s="686" t="str">
        <f ca="1">CHOOSE(1+LOG(1+2*(C104=1)+4*(C104=2)+8*(C104=3)+16*(C104=4)+32*(C104="S"),2),"","Meta","Nível 2","Nível 3","Nível 4","Serviço")</f>
        <v>Serviço</v>
      </c>
      <c r="O104" s="687" t="str">
        <f ca="1">IF(OR($C104=0,$L104=""),"-",CONCATENATE(E104&amp;".",IF(AND($A$5&gt;=2,$C104&gt;=2),F104&amp;".",""),IF(AND($A$5&gt;=3,$C104&gt;=3),G104&amp;".",""),IF(AND($A$5&gt;=4,$C104&gt;=4),H104&amp;".",""),IF($C104="S",I104&amp;".","")))</f>
        <v>1.13.6.</v>
      </c>
      <c r="P104" s="688" t="s">
        <v>750</v>
      </c>
      <c r="Q104" s="689" t="s">
        <v>1224</v>
      </c>
      <c r="R104" s="690" t="str" cm="1">
        <f t="array" aca="1" ref="R104" ca="1">IF($C104="S",REFERENCIA.Descricao,"(digite a descrição aqui)")</f>
        <v>ARMAÇÃO DE BLOCO, SAPATA ISOLADA E SAPATA CORRIDA UTILIZANDO AÇO CA-50 DE 20 MM - MONTAGEM. AF_01/2024</v>
      </c>
      <c r="S104" s="691" t="str" cm="1">
        <f t="array" aca="1" ref="S104" ca="1">REFERENCIA.Unidade</f>
        <v>KG</v>
      </c>
      <c r="T104" s="692">
        <f ca="1">OFFSET(CÁLCULO!H$15,ROW($T104)-ROW(T$15),0)</f>
        <v>195</v>
      </c>
      <c r="U104" s="693">
        <f t="shared" ca="1" si="31"/>
        <v>10.6</v>
      </c>
      <c r="V104" s="694" t="s">
        <v>663</v>
      </c>
      <c r="W104" s="692" cm="1">
        <f t="array" aca="1" ref="W104" ca="1">IF($C104="S",ROUND(IF(TIPOORCAMENTO="Proposto",ORÇAMENTO.CustoUnitario*(1+$AH104),ORÇAMENTO.PrecoUnitarioLicitado),15-13*$AF$10),0)</f>
        <v>13.14</v>
      </c>
      <c r="X104" s="695" cm="1">
        <f t="array" aca="1" ref="X104" ca="1">IF($C104="S",IF(OR(Import.TipoArredondamento&lt;&gt;"TransfereGOV",ACOMPANHAMENTO="BM"),VTOTAL1,SUM(OFFSET(CÁLCULO!$AI$15,ROW($X104)-ROW($X$15),1):OFFSET(CÁLCULO!$BB$15,ROW($X104)-ROW($X$15),-1))),IF($C104=0,0,ROUND(SomaAgrup,15-13*$AF$11)))</f>
        <v>2562.3000000000002</v>
      </c>
      <c r="Y104" s="696" t="s">
        <v>751</v>
      </c>
      <c r="Z104" s="680" t="str">
        <f ca="1">IF(AND($C104="S",$X104&gt;0),IF(ISBLANK($Y104),"RA",LEFT($Y104,2)),"")</f>
        <v>RA</v>
      </c>
      <c r="AA104" s="697" cm="1">
        <f t="array" aca="1" ref="AA104" ca="1">IF($C104="S",IF($Z104="CP",$X104,IF($Z104="RA",(($X104)*QCI!$AA$3),0)),SomaAgrup)</f>
        <v>0</v>
      </c>
      <c r="AB104" s="698" cm="1">
        <f t="array" aca="1" ref="AB104" ca="1">IF($C104="S",IF($Z104="OU",ROUND($X104,2),0),SomaAgrup)</f>
        <v>0</v>
      </c>
      <c r="AC104" s="723" t="str" cm="1">
        <f t="array" aca="1" ref="AC104" ca="1">IF($N104=""," ",
IF(AND($C104&lt;&gt;"S",OR($R104="",$R104="(digite a descrição aqui)")),"DESCRIÇÃO",
IF(AND($C104="S",OR($Q104&lt;&gt;"",$T104&gt;0,$U104&gt;0),$P104=""),"FONTE",
IF(AND($C104="S",$P104&lt;&gt;"",OR($T104&gt;0,$U104&gt;0),$Q104=""),"CÓDIGO",
IF(AND($C104="S",$P104&lt;&gt;"",$Q104&lt;&gt;"",$R104="(Código não identificado nas referências)"),"CÓDIGO N/ID",
IF(AND($C104="S",OR($R104="",$R104="(digite a descrição aqui)"),OR($Q104&lt;&gt;"",$T104&gt;0,$U104&gt;0)),"DESCRIÇÃO",
IF(AND($C104="S",$P104&lt;&gt;"",$Q104&lt;&gt;"",$S104=""),"UNIDADE",
IF(AND($C104="S",$P104&lt;&gt;"",$Q104&lt;&gt;"",$U104=0),"SEM CUSTO",
IF(AND(TIPOORCAMENTO="Licitado",$AL104=0,$AN104&gt;0),"SEM PREÇO",
IF(AND($C104="S",$P104&lt;&gt;"",$Q104&lt;&gt;"",$U104&gt;0,AND($V104&lt;&gt;"BDI 1",$V104&lt;&gt;"BDI 2",$V104&lt;&gt;"BDI 3")),IF(ISNUMBER($V104),"JUSTIFICAR BDI","BDI"),
IF(OR(AND(import.recurso="OGU",TIPOORCAMENTO="Proposto",LEFT($O$8,5)&lt;&gt;"(N/D:",$AG104&lt;&gt;"",ORÇAMENTO.CustoUnitario&gt;$AG104),AND(TIPOORCAMENTO="LICITADO",ORÇAMENTO.PrecoUnitarioLicitado&gt;$AN104)),"ACIMA REF.",
IF(AND($C104="S",$P104&lt;&gt;"",$Q104&lt;&gt;"",$T104=0,$U104&gt;0),"QUANT.",
IF(AND(Import.TipoArredondamento="TransfereGOV",$L104="F",$C104="S",LEN($Q104)&gt;13),"Código &gt;13",
IF(AND(Import.TipoArredondamento="TransfereGOV",$L104="F",$C104&lt;&gt;"S",LEN($R104)&gt;100),"Descrição &gt;100",
IF(AND(Import.TipoArredondamento="TransfereGOV",$L104="F",$C104="S",LEN($R104)&gt;500),"Descrição &gt;500",
IF(AND(Import.TipoArredondamento="TransfereGOV",$L104="F",$C104="S",LEFT(TRIM(UPPER($P104)),6)&lt;&gt;"SINAPI",ISNA(VLOOKUP(TRIM(UPPER($S104)),ListaTgov.Unidades,1,FALSE))),"Unid. Não Disp",
" "))))))))))))))))</f>
        <v xml:space="preserve"> </v>
      </c>
      <c r="AD104" s="680" t="str">
        <f ca="1">IF(C104&lt;=CRONO.NivelExibicao,MAX($AD$15:OFFSET(AD104,-1,0))+IF($C104&lt;&gt;1,1,MAX(1,COUNTIF(QCI!$A$13:$A$24,OFFSET($E104,-1,0)))),"")</f>
        <v/>
      </c>
      <c r="AE104" s="681" t="str" cm="1">
        <f t="array" aca="1" ref="AE104" ca="1">IF(AND($C104="S",ORÇAMENTO.CodBarra&lt;&gt;""),IF(ORÇAMENTO.Fonte="",ORÇAMENTO.CodBarra,CONCATENATE(ORÇAMENTO.Fonte," ",ORÇAMENTO.CodBarra)))</f>
        <v>SINAPI 104922</v>
      </c>
      <c r="AF104" s="682" cm="1">
        <f t="array" aca="1" ref="AF104" ca="1">IF(ISERROR(ORÇAMENTO.BancoRef),"(abra o arquivo 'Referência "&amp;Excel_BuiltIn_Database&amp;".xlsm)",IF(OR($C104&lt;&gt;"S",ORÇAMENTO.CodBarra=""),"(Sem Código)",IF(ISERROR(MATCH($AE104,INDIRECT(ORÇAMENTO.BancoRef),0)),"(Código não identificado nas referências)",MATCH($AE104,INDIRECT(ORÇAMENTO.BancoRef),0))))</f>
        <v>10216</v>
      </c>
      <c r="AG104" s="714" cm="1">
        <f t="array" aca="1" ref="AG104" ca="1">ROUND(IF(DESONERACAO="sim",REFERENCIA.Desonerado,REFERENCIA.NaoDesonerado),2)</f>
        <v>10.6</v>
      </c>
      <c r="AH104" s="715">
        <f ca="1">ROUND(IF(ISNUMBER(ORÇAMENTO.OpcaoBDI),ORÇAMENTO.OpcaoBDI,IF(LEFT(ORÇAMENTO.OpcaoBDI,3)="BDI",HLOOKUP(ORÇAMENTO.OpcaoBDI,$F$4:$H$5,2,FALSE),0)),15-11*$AF$9)</f>
        <v>0.24</v>
      </c>
      <c r="AJ104" s="716"/>
      <c r="AL104" s="718"/>
      <c r="AM104" s="710">
        <f t="shared" ca="1" si="0"/>
        <v>2562.3000000000002</v>
      </c>
      <c r="AN104" s="721" cm="1">
        <f t="array" aca="1" ref="AN104" ca="1">ROUND(ORÇAMENTO.CustoUnitario*(1+$AH104),2)</f>
        <v>13.14</v>
      </c>
    </row>
    <row r="105" spans="1:40" s="670" customFormat="1" x14ac:dyDescent="0.2">
      <c r="A105" s="670">
        <f t="shared" si="17"/>
        <v>2</v>
      </c>
      <c r="B105" s="670">
        <f t="shared" ca="1" si="18"/>
        <v>2</v>
      </c>
      <c r="C105" s="670">
        <f t="shared" ca="1" si="19"/>
        <v>2</v>
      </c>
      <c r="D105" s="670">
        <f t="shared" ca="1" si="20"/>
        <v>4</v>
      </c>
      <c r="E105" s="670">
        <f ca="1">IF($C105=1,OFFSET(E105,-1,0)+MAX(1,COUNTIF(QCI!$A$13:$A$24,OFFSET(ORÇAMENTO!E105,-1,0))),OFFSET(E105,-1,0))</f>
        <v>1</v>
      </c>
      <c r="F105" s="670">
        <f t="shared" ca="1" si="21"/>
        <v>14</v>
      </c>
      <c r="G105" s="670">
        <f t="shared" ca="1" si="22"/>
        <v>0</v>
      </c>
      <c r="H105" s="670">
        <f t="shared" ca="1" si="23"/>
        <v>0</v>
      </c>
      <c r="I105" s="670">
        <f t="shared" ca="1" si="24"/>
        <v>0</v>
      </c>
      <c r="J105" s="670">
        <f t="shared" ca="1" si="32"/>
        <v>86</v>
      </c>
      <c r="K105" s="670">
        <f ca="1">IF(OR($C105="S",$C105=0),0,MATCH(OFFSET($D105,0,$C105)+IF($C105&lt;&gt;1,1,COUNTIF(QCI!$A$13:$A$24,ORÇAMENTO!E105)),OFFSET($D105,1,$C105,ROW($C$191)-ROW($C105)),0))</f>
        <v>4</v>
      </c>
      <c r="L105" s="114" t="str">
        <f t="shared" ca="1" si="26"/>
        <v>F</v>
      </c>
      <c r="M105" s="115" t="s">
        <v>702</v>
      </c>
      <c r="N105" s="116" t="str">
        <f t="shared" ca="1" si="27"/>
        <v>Nível 2</v>
      </c>
      <c r="O105" s="117" t="str">
        <f t="shared" ca="1" si="28"/>
        <v>1.14.</v>
      </c>
      <c r="P105" s="688" t="s">
        <v>250</v>
      </c>
      <c r="Q105" s="689" t="s">
        <v>250</v>
      </c>
      <c r="R105" s="690" t="s">
        <v>1305</v>
      </c>
      <c r="S105" s="691" t="s">
        <v>688</v>
      </c>
      <c r="T105" s="122">
        <f ca="1">OFFSET(CÁLCULO!H$15,ROW($T105)-ROW(T$15),0)</f>
        <v>0</v>
      </c>
      <c r="U105" s="693">
        <f t="shared" ca="1" si="31"/>
        <v>0</v>
      </c>
      <c r="V105" s="694" t="s">
        <v>663</v>
      </c>
      <c r="W105" s="122" cm="1">
        <f t="array" aca="1" ref="W105" ca="1">IF($C105="S",ROUND(IF(TIPOORCAMENTO="Proposto",ORÇAMENTO.CustoUnitario*(1+$AH105),ORÇAMENTO.PrecoUnitarioLicitado),15-13*$AF$10),0)</f>
        <v>0</v>
      </c>
      <c r="X105" s="125" cm="1">
        <f t="array" aca="1" ref="X105" ca="1">IF($C105="S",IF(OR(Import.TipoArredondamento&lt;&gt;"TransfereGOV",ACOMPANHAMENTO="BM"),VTOTAL1,SUM(OFFSET(CÁLCULO!$AI$15,ROW($X105)-ROW($X$15),1):OFFSET(CÁLCULO!$BB$15,ROW($X105)-ROW($X$15),-1))),IF($C105=0,0,ROUND(SomaAgrup,15-13*$AF$11)))</f>
        <v>21144.84</v>
      </c>
      <c r="Y105" s="126" t="s">
        <v>751</v>
      </c>
      <c r="Z105" s="670" t="str">
        <f t="shared" ca="1" si="29"/>
        <v/>
      </c>
      <c r="AA105" s="127" cm="1">
        <f t="array" aca="1" ref="AA105" ca="1">IF($C105="S",IF($Z105="CP",$X105,IF($Z105="RA",(($X105)*QCI!$AA$3),0)),SomaAgrup)</f>
        <v>0</v>
      </c>
      <c r="AB105" s="128" cm="1">
        <f t="array" aca="1" ref="AB105" ca="1">IF($C105="S",IF($Z105="OU",ROUND($X105,2),0),SomaAgrup)</f>
        <v>0</v>
      </c>
      <c r="AC105" s="565" t="str" cm="1">
        <f t="array" aca="1" ref="AC105" ca="1">IF($N105=""," ",
IF(AND($C105&lt;&gt;"S",OR($R105="",$R105="(digite a descrição aqui)")),"DESCRIÇÃO",
IF(AND($C105="S",OR($Q105&lt;&gt;"",$T105&gt;0,$U105&gt;0),$P105=""),"FONTE",
IF(AND($C105="S",$P105&lt;&gt;"",OR($T105&gt;0,$U105&gt;0),$Q105=""),"CÓDIGO",
IF(AND($C105="S",$P105&lt;&gt;"",$Q105&lt;&gt;"",$R105="(Código não identificado nas referências)"),"CÓDIGO N/ID",
IF(AND($C105="S",OR($R105="",$R105="(digite a descrição aqui)"),OR($Q105&lt;&gt;"",$T105&gt;0,$U105&gt;0)),"DESCRIÇÃO",
IF(AND($C105="S",$P105&lt;&gt;"",$Q105&lt;&gt;"",$S105=""),"UNIDADE",
IF(AND($C105="S",$P105&lt;&gt;"",$Q105&lt;&gt;"",$U105=0),"SEM CUSTO",
IF(AND(TIPOORCAMENTO="Licitado",$AL105=0,$AN105&gt;0),"SEM PREÇO",
IF(AND($C105="S",$P105&lt;&gt;"",$Q105&lt;&gt;"",$U105&gt;0,AND($V105&lt;&gt;"BDI 1",$V105&lt;&gt;"BDI 2",$V105&lt;&gt;"BDI 3")),IF(ISNUMBER($V105),"JUSTIFICAR BDI","BDI"),
IF(OR(AND(import.recurso="OGU",TIPOORCAMENTO="Proposto",LEFT($O$8,5)&lt;&gt;"(N/D:",$AG105&lt;&gt;"",ORÇAMENTO.CustoUnitario&gt;$AG105),AND(TIPOORCAMENTO="LICITADO",ORÇAMENTO.PrecoUnitarioLicitado&gt;$AN105)),"ACIMA REF.",
IF(AND($C105="S",$P105&lt;&gt;"",$Q105&lt;&gt;"",$T105=0,$U105&gt;0),"QUANT.",
IF(AND(Import.TipoArredondamento="TransfereGOV",$L105="F",$C105="S",LEN($Q105)&gt;13),"Código &gt;13",
IF(AND(Import.TipoArredondamento="TransfereGOV",$L105="F",$C105&lt;&gt;"S",LEN($R105)&gt;100),"Descrição &gt;100",
IF(AND(Import.TipoArredondamento="TransfereGOV",$L105="F",$C105="S",LEN($R105)&gt;500),"Descrição &gt;500",
IF(AND(Import.TipoArredondamento="TransfereGOV",$L105="F",$C105="S",LEFT(TRIM(UPPER($P105)),6)&lt;&gt;"SINAPI",ISNA(VLOOKUP(TRIM(UPPER($S105)),ListaTgov.Unidades,1,FALSE))),"Unid. Não Disp",
" "))))))))))))))))</f>
        <v xml:space="preserve"> </v>
      </c>
      <c r="AD105" s="670">
        <f ca="1">IF(C105&lt;=CRONO.NivelExibicao,MAX($AD$15:OFFSET(AD105,-1,0))+IF($C105&lt;&gt;1,1,MAX(1,COUNTIF(QCI!$A$13:$A$24,OFFSET($E105,-1,0)))),"")</f>
        <v>15</v>
      </c>
      <c r="AE105" s="668" t="b" cm="1">
        <f t="array" aca="1" ref="AE105" ca="1">IF(AND($C105="S",ORÇAMENTO.CodBarra&lt;&gt;""),IF(ORÇAMENTO.Fonte="",ORÇAMENTO.CodBarra,CONCATENATE(ORÇAMENTO.Fonte," ",ORÇAMENTO.CodBarra)))</f>
        <v>0</v>
      </c>
      <c r="AF105" s="669" t="str" cm="1">
        <f t="array" aca="1" ref="AF105" ca="1">IF(ISERROR(ORÇAMENTO.BancoRef),"(abra o arquivo 'Referência "&amp;Excel_BuiltIn_Database&amp;".xlsm)",IF(OR($C105&lt;&gt;"S",ORÇAMENTO.CodBarra=""),"(Sem Código)",IF(ISERROR(MATCH($AE105,INDIRECT(ORÇAMENTO.BancoRef),0)),"(Código não identificado nas referências)",MATCH($AE105,INDIRECT(ORÇAMENTO.BancoRef),0))))</f>
        <v>(Sem Código)</v>
      </c>
      <c r="AG105" s="428" cm="1">
        <f t="array" aca="1" ref="AG105" ca="1">ROUND(IF(DESONERACAO="sim",REFERENCIA.Desonerado,REFERENCIA.NaoDesonerado),2)</f>
        <v>0</v>
      </c>
      <c r="AH105" s="429">
        <f t="shared" ca="1" si="30"/>
        <v>0.24</v>
      </c>
      <c r="AJ105" s="431"/>
      <c r="AL105" s="439"/>
      <c r="AM105" s="336">
        <f t="shared" ca="1" si="0"/>
        <v>21144.84</v>
      </c>
      <c r="AN105" s="470" cm="1">
        <f t="array" aca="1" ref="AN105" ca="1">ROUND(ORÇAMENTO.CustoUnitario*(1+$AH105),2)</f>
        <v>0</v>
      </c>
    </row>
    <row r="106" spans="1:40" s="670" customFormat="1" ht="38.25" x14ac:dyDescent="0.2">
      <c r="A106" s="670" t="str">
        <f t="shared" si="17"/>
        <v>S</v>
      </c>
      <c r="B106" s="670">
        <f t="shared" ca="1" si="18"/>
        <v>2</v>
      </c>
      <c r="C106" s="670" t="str">
        <f t="shared" ca="1" si="19"/>
        <v>S</v>
      </c>
      <c r="D106" s="670">
        <f t="shared" ca="1" si="20"/>
        <v>0</v>
      </c>
      <c r="E106" s="670">
        <f ca="1">IF($C106=1,OFFSET(E106,-1,0)+MAX(1,COUNTIF(QCI!$A$13:$A$24,OFFSET(ORÇAMENTO!E106,-1,0))),OFFSET(E106,-1,0))</f>
        <v>1</v>
      </c>
      <c r="F106" s="670">
        <f t="shared" ca="1" si="21"/>
        <v>14</v>
      </c>
      <c r="G106" s="670">
        <f t="shared" ca="1" si="22"/>
        <v>0</v>
      </c>
      <c r="H106" s="670">
        <f t="shared" ca="1" si="23"/>
        <v>0</v>
      </c>
      <c r="I106" s="670">
        <f t="shared" ca="1" si="24"/>
        <v>1</v>
      </c>
      <c r="J106" s="670">
        <f t="shared" ca="1" si="32"/>
        <v>0</v>
      </c>
      <c r="K106" s="670">
        <f ca="1">IF(OR($C106="S",$C106=0),0,MATCH(OFFSET($D106,0,$C106)+IF($C106&lt;&gt;1,1,COUNTIF(QCI!$A$13:$A$24,ORÇAMENTO!E106)),OFFSET($D106,1,$C106,ROW($C$191)-ROW($C106)),0))</f>
        <v>0</v>
      </c>
      <c r="L106" s="114" t="str">
        <f t="shared" ca="1" si="26"/>
        <v>F</v>
      </c>
      <c r="M106" s="115" t="s">
        <v>705</v>
      </c>
      <c r="N106" s="116" t="str">
        <f t="shared" ca="1" si="27"/>
        <v>Serviço</v>
      </c>
      <c r="O106" s="117" t="str">
        <f t="shared" ca="1" si="28"/>
        <v>1.14.1.</v>
      </c>
      <c r="P106" s="688" t="s">
        <v>750</v>
      </c>
      <c r="Q106" s="689" t="s">
        <v>1038</v>
      </c>
      <c r="R106" s="690" t="str" cm="1">
        <f t="array" aca="1" ref="R106" ca="1">IF($C106="S",REFERENCIA.Descricao,"(digite a descrição aqui)")</f>
        <v>CONCRETO FCK = 20MPA, TRAÇO 1:2,7:3 (EM MASSA SECA DE CIMENTO/ AREIA MÉDIA/ BRITA 1) - PREPARO MECÂNICO COM BETONEIRA 600 L. AF_05/2021</v>
      </c>
      <c r="S106" s="691" t="str" cm="1">
        <f t="array" aca="1" ref="S106" ca="1">REFERENCIA.Unidade</f>
        <v>M3</v>
      </c>
      <c r="T106" s="122">
        <f ca="1">OFFSET(CÁLCULO!H$15,ROW($T106)-ROW(T$15),0)</f>
        <v>6</v>
      </c>
      <c r="U106" s="693">
        <f t="shared" ca="1" si="31"/>
        <v>553.34</v>
      </c>
      <c r="V106" s="694" t="s">
        <v>663</v>
      </c>
      <c r="W106" s="122" cm="1">
        <f t="array" aca="1" ref="W106" ca="1">IF($C106="S",ROUND(IF(TIPOORCAMENTO="Proposto",ORÇAMENTO.CustoUnitario*(1+$AH106),ORÇAMENTO.PrecoUnitarioLicitado),15-13*$AF$10),0)</f>
        <v>686.14</v>
      </c>
      <c r="X106" s="125" cm="1">
        <f t="array" aca="1" ref="X106" ca="1">IF($C106="S",IF(OR(Import.TipoArredondamento&lt;&gt;"TransfereGOV",ACOMPANHAMENTO="BM"),VTOTAL1,SUM(OFFSET(CÁLCULO!$AI$15,ROW($X106)-ROW($X$15),1):OFFSET(CÁLCULO!$BB$15,ROW($X106)-ROW($X$15),-1))),IF($C106=0,0,ROUND(SomaAgrup,15-13*$AF$11)))</f>
        <v>4116.84</v>
      </c>
      <c r="Y106" s="126" t="s">
        <v>751</v>
      </c>
      <c r="Z106" s="670" t="str">
        <f t="shared" ca="1" si="29"/>
        <v>RA</v>
      </c>
      <c r="AA106" s="127" cm="1">
        <f t="array" aca="1" ref="AA106" ca="1">IF($C106="S",IF($Z106="CP",$X106,IF($Z106="RA",(($X106)*QCI!$AA$3),0)),SomaAgrup)</f>
        <v>0</v>
      </c>
      <c r="AB106" s="128" cm="1">
        <f t="array" aca="1" ref="AB106" ca="1">IF($C106="S",IF($Z106="OU",ROUND($X106,2),0),SomaAgrup)</f>
        <v>0</v>
      </c>
      <c r="AC106" s="565" t="str" cm="1">
        <f t="array" aca="1" ref="AC106" ca="1">IF($N106=""," ",
IF(AND($C106&lt;&gt;"S",OR($R106="",$R106="(digite a descrição aqui)")),"DESCRIÇÃO",
IF(AND($C106="S",OR($Q106&lt;&gt;"",$T106&gt;0,$U106&gt;0),$P106=""),"FONTE",
IF(AND($C106="S",$P106&lt;&gt;"",OR($T106&gt;0,$U106&gt;0),$Q106=""),"CÓDIGO",
IF(AND($C106="S",$P106&lt;&gt;"",$Q106&lt;&gt;"",$R106="(Código não identificado nas referências)"),"CÓDIGO N/ID",
IF(AND($C106="S",OR($R106="",$R106="(digite a descrição aqui)"),OR($Q106&lt;&gt;"",$T106&gt;0,$U106&gt;0)),"DESCRIÇÃO",
IF(AND($C106="S",$P106&lt;&gt;"",$Q106&lt;&gt;"",$S106=""),"UNIDADE",
IF(AND($C106="S",$P106&lt;&gt;"",$Q106&lt;&gt;"",$U106=0),"SEM CUSTO",
IF(AND(TIPOORCAMENTO="Licitado",$AL106=0,$AN106&gt;0),"SEM PREÇO",
IF(AND($C106="S",$P106&lt;&gt;"",$Q106&lt;&gt;"",$U106&gt;0,AND($V106&lt;&gt;"BDI 1",$V106&lt;&gt;"BDI 2",$V106&lt;&gt;"BDI 3")),IF(ISNUMBER($V106),"JUSTIFICAR BDI","BDI"),
IF(OR(AND(import.recurso="OGU",TIPOORCAMENTO="Proposto",LEFT($O$8,5)&lt;&gt;"(N/D:",$AG106&lt;&gt;"",ORÇAMENTO.CustoUnitario&gt;$AG106),AND(TIPOORCAMENTO="LICITADO",ORÇAMENTO.PrecoUnitarioLicitado&gt;$AN106)),"ACIMA REF.",
IF(AND($C106="S",$P106&lt;&gt;"",$Q106&lt;&gt;"",$T106=0,$U106&gt;0),"QUANT.",
IF(AND(Import.TipoArredondamento="TransfereGOV",$L106="F",$C106="S",LEN($Q106)&gt;13),"Código &gt;13",
IF(AND(Import.TipoArredondamento="TransfereGOV",$L106="F",$C106&lt;&gt;"S",LEN($R106)&gt;100),"Descrição &gt;100",
IF(AND(Import.TipoArredondamento="TransfereGOV",$L106="F",$C106="S",LEN($R106)&gt;500),"Descrição &gt;500",
IF(AND(Import.TipoArredondamento="TransfereGOV",$L106="F",$C106="S",LEFT(TRIM(UPPER($P106)),6)&lt;&gt;"SINAPI",ISNA(VLOOKUP(TRIM(UPPER($S106)),ListaTgov.Unidades,1,FALSE))),"Unid. Não Disp",
" "))))))))))))))))</f>
        <v xml:space="preserve"> </v>
      </c>
      <c r="AD106" s="670" t="str">
        <f ca="1">IF(C106&lt;=CRONO.NivelExibicao,MAX($AD$15:OFFSET(AD106,-1,0))+IF($C106&lt;&gt;1,1,MAX(1,COUNTIF(QCI!$A$13:$A$24,OFFSET($E106,-1,0)))),"")</f>
        <v/>
      </c>
      <c r="AE106" s="668" t="str" cm="1">
        <f t="array" aca="1" ref="AE106" ca="1">IF(AND($C106="S",ORÇAMENTO.CodBarra&lt;&gt;""),IF(ORÇAMENTO.Fonte="",ORÇAMENTO.CodBarra,CONCATENATE(ORÇAMENTO.Fonte," ",ORÇAMENTO.CodBarra)))</f>
        <v>SINAPI 94970</v>
      </c>
      <c r="AF106" s="669" cm="1">
        <f t="array" aca="1" ref="AF106" ca="1">IF(ISERROR(ORÇAMENTO.BancoRef),"(abra o arquivo 'Referência "&amp;Excel_BuiltIn_Database&amp;".xlsm)",IF(OR($C106&lt;&gt;"S",ORÇAMENTO.CodBarra=""),"(Sem Código)",IF(ISERROR(MATCH($AE106,INDIRECT(ORÇAMENTO.BancoRef),0)),"(Código não identificado nas referências)",MATCH($AE106,INDIRECT(ORÇAMENTO.BancoRef),0))))</f>
        <v>14688</v>
      </c>
      <c r="AG106" s="428" cm="1">
        <f t="array" aca="1" ref="AG106" ca="1">ROUND(IF(DESONERACAO="sim",REFERENCIA.Desonerado,REFERENCIA.NaoDesonerado),2)</f>
        <v>553.34</v>
      </c>
      <c r="AH106" s="429">
        <f t="shared" ca="1" si="30"/>
        <v>0.24</v>
      </c>
      <c r="AJ106" s="431"/>
      <c r="AL106" s="439"/>
      <c r="AM106" s="336">
        <f t="shared" ca="1" si="0"/>
        <v>4116.84</v>
      </c>
      <c r="AN106" s="470" cm="1">
        <f t="array" aca="1" ref="AN106" ca="1">ROUND(ORÇAMENTO.CustoUnitario*(1+$AH106),2)</f>
        <v>686.14</v>
      </c>
    </row>
    <row r="107" spans="1:40" s="670" customFormat="1" x14ac:dyDescent="0.2">
      <c r="A107" s="670" t="str">
        <f t="shared" si="17"/>
        <v>S</v>
      </c>
      <c r="B107" s="670">
        <f t="shared" ca="1" si="18"/>
        <v>2</v>
      </c>
      <c r="C107" s="670" t="str">
        <f t="shared" ca="1" si="19"/>
        <v>S</v>
      </c>
      <c r="D107" s="670">
        <f t="shared" ca="1" si="20"/>
        <v>0</v>
      </c>
      <c r="E107" s="670">
        <f ca="1">IF($C107=1,OFFSET(E107,-1,0)+MAX(1,COUNTIF(QCI!$A$13:$A$24,OFFSET(ORÇAMENTO!E107,-1,0))),OFFSET(E107,-1,0))</f>
        <v>1</v>
      </c>
      <c r="F107" s="670">
        <f t="shared" ca="1" si="21"/>
        <v>14</v>
      </c>
      <c r="G107" s="670">
        <f t="shared" ca="1" si="22"/>
        <v>0</v>
      </c>
      <c r="H107" s="670">
        <f t="shared" ca="1" si="23"/>
        <v>0</v>
      </c>
      <c r="I107" s="670">
        <f t="shared" ca="1" si="24"/>
        <v>2</v>
      </c>
      <c r="J107" s="670">
        <f t="shared" ca="1" si="32"/>
        <v>0</v>
      </c>
      <c r="K107" s="670">
        <f ca="1">IF(OR($C107="S",$C107=0),0,MATCH(OFFSET($D107,0,$C107)+IF($C107&lt;&gt;1,1,COUNTIF(QCI!$A$13:$A$24,ORÇAMENTO!E107)),OFFSET($D107,1,$C107,ROW($C$191)-ROW($C107)),0))</f>
        <v>0</v>
      </c>
      <c r="L107" s="114" t="str">
        <f t="shared" ca="1" si="26"/>
        <v>F</v>
      </c>
      <c r="M107" s="115" t="s">
        <v>705</v>
      </c>
      <c r="N107" s="116" t="str">
        <f t="shared" ca="1" si="27"/>
        <v>Serviço</v>
      </c>
      <c r="O107" s="117" t="str">
        <f t="shared" ca="1" si="28"/>
        <v>1.14.2.</v>
      </c>
      <c r="P107" s="688" t="s">
        <v>750</v>
      </c>
      <c r="Q107" s="689" t="s">
        <v>1247</v>
      </c>
      <c r="R107" s="690" t="str" cm="1">
        <f t="array" aca="1" ref="R107" ca="1">IF($C107="S",REFERENCIA.Descricao,"(digite a descrição aqui)")</f>
        <v>CORTE E DOBRA DE AÇO CA-25, DIÂMETRO DE 20,0 MM. AF_06/2022</v>
      </c>
      <c r="S107" s="691" t="str" cm="1">
        <f t="array" aca="1" ref="S107" ca="1">REFERENCIA.Unidade</f>
        <v>KG</v>
      </c>
      <c r="T107" s="122">
        <f ca="1">OFFSET(CÁLCULO!H$15,ROW($T107)-ROW(T$15),0)</f>
        <v>720</v>
      </c>
      <c r="U107" s="693">
        <f t="shared" ca="1" si="31"/>
        <v>9</v>
      </c>
      <c r="V107" s="694" t="s">
        <v>697</v>
      </c>
      <c r="W107" s="122" cm="1">
        <f t="array" aca="1" ref="W107" ca="1">IF($C107="S",ROUND(IF(TIPOORCAMENTO="Proposto",ORÇAMENTO.CustoUnitario*(1+$AH107),ORÇAMENTO.PrecoUnitarioLicitado),15-13*$AF$10),0)</f>
        <v>10.51</v>
      </c>
      <c r="X107" s="125" cm="1">
        <f t="array" aca="1" ref="X107" ca="1">IF($C107="S",IF(OR(Import.TipoArredondamento&lt;&gt;"TransfereGOV",ACOMPANHAMENTO="BM"),VTOTAL1,SUM(OFFSET(CÁLCULO!$AI$15,ROW($X107)-ROW($X$15),1):OFFSET(CÁLCULO!$BB$15,ROW($X107)-ROW($X$15),-1))),IF($C107=0,0,ROUND(SomaAgrup,15-13*$AF$11)))</f>
        <v>7567.2</v>
      </c>
      <c r="Y107" s="126" t="s">
        <v>751</v>
      </c>
      <c r="Z107" s="670" t="str">
        <f t="shared" ca="1" si="29"/>
        <v>RA</v>
      </c>
      <c r="AA107" s="127" cm="1">
        <f t="array" aca="1" ref="AA107" ca="1">IF($C107="S",IF($Z107="CP",$X107,IF($Z107="RA",(($X107)*QCI!$AA$3),0)),SomaAgrup)</f>
        <v>0</v>
      </c>
      <c r="AB107" s="128" cm="1">
        <f t="array" aca="1" ref="AB107" ca="1">IF($C107="S",IF($Z107="OU",ROUND($X107,2),0),SomaAgrup)</f>
        <v>0</v>
      </c>
      <c r="AC107" s="565" t="str" cm="1">
        <f t="array" aca="1" ref="AC107" ca="1">IF($N107=""," ",
IF(AND($C107&lt;&gt;"S",OR($R107="",$R107="(digite a descrição aqui)")),"DESCRIÇÃO",
IF(AND($C107="S",OR($Q107&lt;&gt;"",$T107&gt;0,$U107&gt;0),$P107=""),"FONTE",
IF(AND($C107="S",$P107&lt;&gt;"",OR($T107&gt;0,$U107&gt;0),$Q107=""),"CÓDIGO",
IF(AND($C107="S",$P107&lt;&gt;"",$Q107&lt;&gt;"",$R107="(Código não identificado nas referências)"),"CÓDIGO N/ID",
IF(AND($C107="S",OR($R107="",$R107="(digite a descrição aqui)"),OR($Q107&lt;&gt;"",$T107&gt;0,$U107&gt;0)),"DESCRIÇÃO",
IF(AND($C107="S",$P107&lt;&gt;"",$Q107&lt;&gt;"",$S107=""),"UNIDADE",
IF(AND($C107="S",$P107&lt;&gt;"",$Q107&lt;&gt;"",$U107=0),"SEM CUSTO",
IF(AND(TIPOORCAMENTO="Licitado",$AL107=0,$AN107&gt;0),"SEM PREÇO",
IF(AND($C107="S",$P107&lt;&gt;"",$Q107&lt;&gt;"",$U107&gt;0,AND($V107&lt;&gt;"BDI 1",$V107&lt;&gt;"BDI 2",$V107&lt;&gt;"BDI 3")),IF(ISNUMBER($V107),"JUSTIFICAR BDI","BDI"),
IF(OR(AND(import.recurso="OGU",TIPOORCAMENTO="Proposto",LEFT($O$8,5)&lt;&gt;"(N/D:",$AG107&lt;&gt;"",ORÇAMENTO.CustoUnitario&gt;$AG107),AND(TIPOORCAMENTO="LICITADO",ORÇAMENTO.PrecoUnitarioLicitado&gt;$AN107)),"ACIMA REF.",
IF(AND($C107="S",$P107&lt;&gt;"",$Q107&lt;&gt;"",$T107=0,$U107&gt;0),"QUANT.",
IF(AND(Import.TipoArredondamento="TransfereGOV",$L107="F",$C107="S",LEN($Q107)&gt;13),"Código &gt;13",
IF(AND(Import.TipoArredondamento="TransfereGOV",$L107="F",$C107&lt;&gt;"S",LEN($R107)&gt;100),"Descrição &gt;100",
IF(AND(Import.TipoArredondamento="TransfereGOV",$L107="F",$C107="S",LEN($R107)&gt;500),"Descrição &gt;500",
IF(AND(Import.TipoArredondamento="TransfereGOV",$L107="F",$C107="S",LEFT(TRIM(UPPER($P107)),6)&lt;&gt;"SINAPI",ISNA(VLOOKUP(TRIM(UPPER($S107)),ListaTgov.Unidades,1,FALSE))),"Unid. Não Disp",
" "))))))))))))))))</f>
        <v xml:space="preserve"> </v>
      </c>
      <c r="AD107" s="670" t="str">
        <f ca="1">IF(C107&lt;=CRONO.NivelExibicao,MAX($AD$15:OFFSET(AD107,-1,0))+IF($C107&lt;&gt;1,1,MAX(1,COUNTIF(QCI!$A$13:$A$24,OFFSET($E107,-1,0)))),"")</f>
        <v/>
      </c>
      <c r="AE107" s="668" t="str" cm="1">
        <f t="array" aca="1" ref="AE107" ca="1">IF(AND($C107="S",ORÇAMENTO.CodBarra&lt;&gt;""),IF(ORÇAMENTO.Fonte="",ORÇAMENTO.CodBarra,CONCATENATE(ORÇAMENTO.Fonte," ",ORÇAMENTO.CodBarra)))</f>
        <v>SINAPI 92880</v>
      </c>
      <c r="AF107" s="669" cm="1">
        <f t="array" aca="1" ref="AF107" ca="1">IF(ISERROR(ORÇAMENTO.BancoRef),"(abra o arquivo 'Referência "&amp;Excel_BuiltIn_Database&amp;".xlsm)",IF(OR($C107&lt;&gt;"S",ORÇAMENTO.CodBarra=""),"(Sem Código)",IF(ISERROR(MATCH($AE107,INDIRECT(ORÇAMENTO.BancoRef),0)),"(Código não identificado nas referências)",MATCH($AE107,INDIRECT(ORÇAMENTO.BancoRef),0))))</f>
        <v>6356</v>
      </c>
      <c r="AG107" s="428" cm="1">
        <f t="array" aca="1" ref="AG107" ca="1">ROUND(IF(DESONERACAO="sim",REFERENCIA.Desonerado,REFERENCIA.NaoDesonerado),2)</f>
        <v>9</v>
      </c>
      <c r="AH107" s="429">
        <f t="shared" ca="1" si="30"/>
        <v>0.16800000000000001</v>
      </c>
      <c r="AJ107" s="431"/>
      <c r="AL107" s="439"/>
      <c r="AM107" s="336">
        <f t="shared" ca="1" si="0"/>
        <v>7567.2</v>
      </c>
      <c r="AN107" s="470" cm="1">
        <f t="array" aca="1" ref="AN107" ca="1">ROUND(ORÇAMENTO.CustoUnitario*(1+$AH107),2)</f>
        <v>10.51</v>
      </c>
    </row>
    <row r="108" spans="1:40" s="680" customFormat="1" ht="25.5" x14ac:dyDescent="0.2">
      <c r="A108" s="680" t="str">
        <f>CHOOSE(1+LOG(1+2*(ORÇAMENTO.Nivel="Meta")+4*(ORÇAMENTO.Nivel="Nível 2")+8*(ORÇAMENTO.Nivel="Nível 3")+16*(ORÇAMENTO.Nivel="Nível 4")+32*(ORÇAMENTO.Nivel="Serviço"),2),0,1,2,3,4,"S")</f>
        <v>S</v>
      </c>
      <c r="B108" s="680">
        <f ca="1">IF(OR(C108="s",C108=0),OFFSET(B108,-1,0),C108)</f>
        <v>2</v>
      </c>
      <c r="C108" s="680" t="str">
        <f ca="1">IF(OFFSET(C108,-1,0)="L",1,IF(OFFSET(C108,-1,0)=1,2,IF(OR(A108="s",A108=0),"S",IF(AND(OFFSET(C108,-1,0)=2,A108=4),3,IF(AND(OR(OFFSET(C108,-1,0)="s",OFFSET(C108,-1,0)=0),A108&lt;&gt;"s",A108&gt;OFFSET(B108,-1,0)),OFFSET(B108,-1,0),A108)))))</f>
        <v>S</v>
      </c>
      <c r="D108" s="680">
        <f ca="1">IF(OR(C108="S",C108=0),0,IF(ISERROR(K108),J108,SMALL(J108:K108,1)))</f>
        <v>0</v>
      </c>
      <c r="E108" s="680">
        <f ca="1">IF($C108=1,OFFSET(E108,-1,0)+MAX(1,COUNTIF(QCI!$A$13:$A$24,OFFSET(ORÇAMENTO!E108,-1,0))),OFFSET(E108,-1,0))</f>
        <v>1</v>
      </c>
      <c r="F108" s="680">
        <f ca="1">IF($C108=1,0,IF($C108=2,OFFSET(F108,-1,0)+1,OFFSET(F108,-1,0)))</f>
        <v>14</v>
      </c>
      <c r="G108" s="680">
        <f ca="1">IF(AND($C108&lt;=2,$C108&lt;&gt;0),0,IF($C108=3,OFFSET(G108,-1,0)+1,OFFSET(G108,-1,0)))</f>
        <v>0</v>
      </c>
      <c r="H108" s="680">
        <f ca="1">IF(AND($C108&lt;=3,$C108&lt;&gt;0),0,IF($C108=4,OFFSET(H108,-1,0)+1,OFFSET(H108,-1,0)))</f>
        <v>0</v>
      </c>
      <c r="I108" s="680">
        <f ca="1">IF(AND($C108&lt;=4,$C108&lt;&gt;0),0,IF(AND($C108="S",$X108&gt;0),OFFSET(I108,-1,0)+1,OFFSET(I108,-1,0)))</f>
        <v>3</v>
      </c>
      <c r="J108" s="680">
        <f t="shared" ca="1" si="32"/>
        <v>0</v>
      </c>
      <c r="K108" s="680">
        <f ca="1">IF(OR($C108="S",$C108=0),0,MATCH(OFFSET($D108,0,$C108)+IF($C108&lt;&gt;1,1,COUNTIF(QCI!$A$13:$A$24,ORÇAMENTO!E108)),OFFSET($D108,1,$C108,ROW($C$191)-ROW($C108)),0))</f>
        <v>0</v>
      </c>
      <c r="L108" s="684" t="str">
        <f ca="1">IF(OR($X108&gt;0,$C108=1,$C108=2,$C108=3,$C108=4),"F","")</f>
        <v>F</v>
      </c>
      <c r="M108" s="685" t="s">
        <v>705</v>
      </c>
      <c r="N108" s="686" t="str">
        <f ca="1">CHOOSE(1+LOG(1+2*(C108=1)+4*(C108=2)+8*(C108=3)+16*(C108=4)+32*(C108="S"),2),"","Meta","Nível 2","Nível 3","Nível 4","Serviço")</f>
        <v>Serviço</v>
      </c>
      <c r="O108" s="687" t="str">
        <f ca="1">IF(OR($C108=0,$L108=""),"-",CONCATENATE(E108&amp;".",IF(AND($A$5&gt;=2,$C108&gt;=2),F108&amp;".",""),IF(AND($A$5&gt;=3,$C108&gt;=3),G108&amp;".",""),IF(AND($A$5&gt;=4,$C108&gt;=4),H108&amp;".",""),IF($C108="S",I108&amp;".","")))</f>
        <v>1.14.3.</v>
      </c>
      <c r="P108" s="688" t="s">
        <v>750</v>
      </c>
      <c r="Q108" s="689" t="s">
        <v>1224</v>
      </c>
      <c r="R108" s="690" t="str" cm="1">
        <f t="array" aca="1" ref="R108" ca="1">IF($C108="S",REFERENCIA.Descricao,"(digite a descrição aqui)")</f>
        <v>ARMAÇÃO DE BLOCO, SAPATA ISOLADA E SAPATA CORRIDA UTILIZANDO AÇO CA-50 DE 20 MM - MONTAGEM. AF_01/2024</v>
      </c>
      <c r="S108" s="691" t="str" cm="1">
        <f t="array" aca="1" ref="S108" ca="1">REFERENCIA.Unidade</f>
        <v>KG</v>
      </c>
      <c r="T108" s="692">
        <f ca="1">OFFSET(CÁLCULO!H$15,ROW($T108)-ROW(T$15),0)</f>
        <v>720</v>
      </c>
      <c r="U108" s="693">
        <f t="shared" ca="1" si="31"/>
        <v>10.6</v>
      </c>
      <c r="V108" s="694" t="s">
        <v>663</v>
      </c>
      <c r="W108" s="692" cm="1">
        <f t="array" aca="1" ref="W108" ca="1">IF($C108="S",ROUND(IF(TIPOORCAMENTO="Proposto",ORÇAMENTO.CustoUnitario*(1+$AH108),ORÇAMENTO.PrecoUnitarioLicitado),15-13*$AF$10),0)</f>
        <v>13.14</v>
      </c>
      <c r="X108" s="695" cm="1">
        <f t="array" aca="1" ref="X108" ca="1">IF($C108="S",IF(OR(Import.TipoArredondamento&lt;&gt;"TransfereGOV",ACOMPANHAMENTO="BM"),VTOTAL1,SUM(OFFSET(CÁLCULO!$AI$15,ROW($X108)-ROW($X$15),1):OFFSET(CÁLCULO!$BB$15,ROW($X108)-ROW($X$15),-1))),IF($C108=0,0,ROUND(SomaAgrup,15-13*$AF$11)))</f>
        <v>9460.7999999999993</v>
      </c>
      <c r="Y108" s="696" t="s">
        <v>751</v>
      </c>
      <c r="Z108" s="680" t="str">
        <f ca="1">IF(AND($C108="S",$X108&gt;0),IF(ISBLANK($Y108),"RA",LEFT($Y108,2)),"")</f>
        <v>RA</v>
      </c>
      <c r="AA108" s="697" cm="1">
        <f t="array" aca="1" ref="AA108" ca="1">IF($C108="S",IF($Z108="CP",$X108,IF($Z108="RA",(($X108)*QCI!$AA$3),0)),SomaAgrup)</f>
        <v>0</v>
      </c>
      <c r="AB108" s="698" cm="1">
        <f t="array" aca="1" ref="AB108" ca="1">IF($C108="S",IF($Z108="OU",ROUND($X108,2),0),SomaAgrup)</f>
        <v>0</v>
      </c>
      <c r="AC108" s="723" t="str" cm="1">
        <f t="array" aca="1" ref="AC108" ca="1">IF($N108=""," ",
IF(AND($C108&lt;&gt;"S",OR($R108="",$R108="(digite a descrição aqui)")),"DESCRIÇÃO",
IF(AND($C108="S",OR($Q108&lt;&gt;"",$T108&gt;0,$U108&gt;0),$P108=""),"FONTE",
IF(AND($C108="S",$P108&lt;&gt;"",OR($T108&gt;0,$U108&gt;0),$Q108=""),"CÓDIGO",
IF(AND($C108="S",$P108&lt;&gt;"",$Q108&lt;&gt;"",$R108="(Código não identificado nas referências)"),"CÓDIGO N/ID",
IF(AND($C108="S",OR($R108="",$R108="(digite a descrição aqui)"),OR($Q108&lt;&gt;"",$T108&gt;0,$U108&gt;0)),"DESCRIÇÃO",
IF(AND($C108="S",$P108&lt;&gt;"",$Q108&lt;&gt;"",$S108=""),"UNIDADE",
IF(AND($C108="S",$P108&lt;&gt;"",$Q108&lt;&gt;"",$U108=0),"SEM CUSTO",
IF(AND(TIPOORCAMENTO="Licitado",$AL108=0,$AN108&gt;0),"SEM PREÇO",
IF(AND($C108="S",$P108&lt;&gt;"",$Q108&lt;&gt;"",$U108&gt;0,AND($V108&lt;&gt;"BDI 1",$V108&lt;&gt;"BDI 2",$V108&lt;&gt;"BDI 3")),IF(ISNUMBER($V108),"JUSTIFICAR BDI","BDI"),
IF(OR(AND(import.recurso="OGU",TIPOORCAMENTO="Proposto",LEFT($O$8,5)&lt;&gt;"(N/D:",$AG108&lt;&gt;"",ORÇAMENTO.CustoUnitario&gt;$AG108),AND(TIPOORCAMENTO="LICITADO",ORÇAMENTO.PrecoUnitarioLicitado&gt;$AN108)),"ACIMA REF.",
IF(AND($C108="S",$P108&lt;&gt;"",$Q108&lt;&gt;"",$T108=0,$U108&gt;0),"QUANT.",
IF(AND(Import.TipoArredondamento="TransfereGOV",$L108="F",$C108="S",LEN($Q108)&gt;13),"Código &gt;13",
IF(AND(Import.TipoArredondamento="TransfereGOV",$L108="F",$C108&lt;&gt;"S",LEN($R108)&gt;100),"Descrição &gt;100",
IF(AND(Import.TipoArredondamento="TransfereGOV",$L108="F",$C108="S",LEN($R108)&gt;500),"Descrição &gt;500",
IF(AND(Import.TipoArredondamento="TransfereGOV",$L108="F",$C108="S",LEFT(TRIM(UPPER($P108)),6)&lt;&gt;"SINAPI",ISNA(VLOOKUP(TRIM(UPPER($S108)),ListaTgov.Unidades,1,FALSE))),"Unid. Não Disp",
" "))))))))))))))))</f>
        <v xml:space="preserve"> </v>
      </c>
      <c r="AD108" s="680" t="str">
        <f ca="1">IF(C108&lt;=CRONO.NivelExibicao,MAX($AD$15:OFFSET(AD108,-1,0))+IF($C108&lt;&gt;1,1,MAX(1,COUNTIF(QCI!$A$13:$A$24,OFFSET($E108,-1,0)))),"")</f>
        <v/>
      </c>
      <c r="AE108" s="681" t="str" cm="1">
        <f t="array" aca="1" ref="AE108" ca="1">IF(AND($C108="S",ORÇAMENTO.CodBarra&lt;&gt;""),IF(ORÇAMENTO.Fonte="",ORÇAMENTO.CodBarra,CONCATENATE(ORÇAMENTO.Fonte," ",ORÇAMENTO.CodBarra)))</f>
        <v>SINAPI 104922</v>
      </c>
      <c r="AF108" s="682" cm="1">
        <f t="array" aca="1" ref="AF108" ca="1">IF(ISERROR(ORÇAMENTO.BancoRef),"(abra o arquivo 'Referência "&amp;Excel_BuiltIn_Database&amp;".xlsm)",IF(OR($C108&lt;&gt;"S",ORÇAMENTO.CodBarra=""),"(Sem Código)",IF(ISERROR(MATCH($AE108,INDIRECT(ORÇAMENTO.BancoRef),0)),"(Código não identificado nas referências)",MATCH($AE108,INDIRECT(ORÇAMENTO.BancoRef),0))))</f>
        <v>10216</v>
      </c>
      <c r="AG108" s="714" cm="1">
        <f t="array" aca="1" ref="AG108" ca="1">ROUND(IF(DESONERACAO="sim",REFERENCIA.Desonerado,REFERENCIA.NaoDesonerado),2)</f>
        <v>10.6</v>
      </c>
      <c r="AH108" s="715">
        <f ca="1">ROUND(IF(ISNUMBER(ORÇAMENTO.OpcaoBDI),ORÇAMENTO.OpcaoBDI,IF(LEFT(ORÇAMENTO.OpcaoBDI,3)="BDI",HLOOKUP(ORÇAMENTO.OpcaoBDI,$F$4:$H$5,2,FALSE),0)),15-11*$AF$9)</f>
        <v>0.24</v>
      </c>
      <c r="AJ108" s="716"/>
      <c r="AL108" s="718"/>
      <c r="AM108" s="710">
        <f t="shared" ca="1" si="0"/>
        <v>9460.7999999999993</v>
      </c>
      <c r="AN108" s="721" cm="1">
        <f t="array" aca="1" ref="AN108" ca="1">ROUND(ORÇAMENTO.CustoUnitario*(1+$AH108),2)</f>
        <v>13.14</v>
      </c>
    </row>
    <row r="109" spans="1:40" s="670" customFormat="1" x14ac:dyDescent="0.2">
      <c r="A109" s="670">
        <f t="shared" si="17"/>
        <v>2</v>
      </c>
      <c r="B109" s="670">
        <f t="shared" ca="1" si="18"/>
        <v>2</v>
      </c>
      <c r="C109" s="670">
        <f t="shared" ca="1" si="19"/>
        <v>2</v>
      </c>
      <c r="D109" s="670">
        <f t="shared" ca="1" si="20"/>
        <v>2</v>
      </c>
      <c r="E109" s="670">
        <f ca="1">IF($C109=1,OFFSET(E109,-1,0)+MAX(1,COUNTIF(QCI!$A$13:$A$24,OFFSET(ORÇAMENTO!E109,-1,0))),OFFSET(E109,-1,0))</f>
        <v>1</v>
      </c>
      <c r="F109" s="670">
        <f t="shared" ca="1" si="21"/>
        <v>15</v>
      </c>
      <c r="G109" s="670">
        <f t="shared" ca="1" si="22"/>
        <v>0</v>
      </c>
      <c r="H109" s="670">
        <f t="shared" ca="1" si="23"/>
        <v>0</v>
      </c>
      <c r="I109" s="670">
        <f t="shared" ca="1" si="24"/>
        <v>0</v>
      </c>
      <c r="J109" s="670">
        <f t="shared" ca="1" si="32"/>
        <v>82</v>
      </c>
      <c r="K109" s="670">
        <f ca="1">IF(OR($C109="S",$C109=0),0,MATCH(OFFSET($D109,0,$C109)+IF($C109&lt;&gt;1,1,COUNTIF(QCI!$A$13:$A$24,ORÇAMENTO!E109)),OFFSET($D109,1,$C109,ROW($C$191)-ROW($C109)),0))</f>
        <v>2</v>
      </c>
      <c r="L109" s="114" t="str">
        <f t="shared" ca="1" si="26"/>
        <v>F</v>
      </c>
      <c r="M109" s="115" t="s">
        <v>702</v>
      </c>
      <c r="N109" s="116" t="str">
        <f t="shared" ca="1" si="27"/>
        <v>Nível 2</v>
      </c>
      <c r="O109" s="117" t="str">
        <f t="shared" ca="1" si="28"/>
        <v>1.15.</v>
      </c>
      <c r="P109" s="688" t="s">
        <v>250</v>
      </c>
      <c r="Q109" s="689" t="s">
        <v>250</v>
      </c>
      <c r="R109" s="690" t="s">
        <v>1306</v>
      </c>
      <c r="S109" s="691" t="s">
        <v>688</v>
      </c>
      <c r="T109" s="122">
        <f ca="1">OFFSET(CÁLCULO!H$15,ROW($T109)-ROW(T$15),0)</f>
        <v>0</v>
      </c>
      <c r="U109" s="693">
        <f t="shared" ca="1" si="31"/>
        <v>0</v>
      </c>
      <c r="V109" s="694" t="s">
        <v>663</v>
      </c>
      <c r="W109" s="122" cm="1">
        <f t="array" aca="1" ref="W109" ca="1">IF($C109="S",ROUND(IF(TIPOORCAMENTO="Proposto",ORÇAMENTO.CustoUnitario*(1+$AH109),ORÇAMENTO.PrecoUnitarioLicitado),15-13*$AF$10),0)</f>
        <v>0</v>
      </c>
      <c r="X109" s="125" cm="1">
        <f t="array" aca="1" ref="X109" ca="1">IF($C109="S",IF(OR(Import.TipoArredondamento&lt;&gt;"TransfereGOV",ACOMPANHAMENTO="BM"),VTOTAL1,SUM(OFFSET(CÁLCULO!$AI$15,ROW($X109)-ROW($X$15),1):OFFSET(CÁLCULO!$BB$15,ROW($X109)-ROW($X$15),-1))),IF($C109=0,0,ROUND(SomaAgrup,15-13*$AF$11)))</f>
        <v>30663.74</v>
      </c>
      <c r="Y109" s="126" t="s">
        <v>751</v>
      </c>
      <c r="Z109" s="670" t="str">
        <f t="shared" ca="1" si="29"/>
        <v/>
      </c>
      <c r="AA109" s="127" cm="1">
        <f t="array" aca="1" ref="AA109" ca="1">IF($C109="S",IF($Z109="CP",$X109,IF($Z109="RA",(($X109)*QCI!$AA$3),0)),SomaAgrup)</f>
        <v>0</v>
      </c>
      <c r="AB109" s="128" cm="1">
        <f t="array" aca="1" ref="AB109" ca="1">IF($C109="S",IF($Z109="OU",ROUND($X109,2),0),SomaAgrup)</f>
        <v>0</v>
      </c>
      <c r="AC109" s="565" t="str" cm="1">
        <f t="array" aca="1" ref="AC109" ca="1">IF($N109=""," ",
IF(AND($C109&lt;&gt;"S",OR($R109="",$R109="(digite a descrição aqui)")),"DESCRIÇÃO",
IF(AND($C109="S",OR($Q109&lt;&gt;"",$T109&gt;0,$U109&gt;0),$P109=""),"FONTE",
IF(AND($C109="S",$P109&lt;&gt;"",OR($T109&gt;0,$U109&gt;0),$Q109=""),"CÓDIGO",
IF(AND($C109="S",$P109&lt;&gt;"",$Q109&lt;&gt;"",$R109="(Código não identificado nas referências)"),"CÓDIGO N/ID",
IF(AND($C109="S",OR($R109="",$R109="(digite a descrição aqui)"),OR($Q109&lt;&gt;"",$T109&gt;0,$U109&gt;0)),"DESCRIÇÃO",
IF(AND($C109="S",$P109&lt;&gt;"",$Q109&lt;&gt;"",$S109=""),"UNIDADE",
IF(AND($C109="S",$P109&lt;&gt;"",$Q109&lt;&gt;"",$U109=0),"SEM CUSTO",
IF(AND(TIPOORCAMENTO="Licitado",$AL109=0,$AN109&gt;0),"SEM PREÇO",
IF(AND($C109="S",$P109&lt;&gt;"",$Q109&lt;&gt;"",$U109&gt;0,AND($V109&lt;&gt;"BDI 1",$V109&lt;&gt;"BDI 2",$V109&lt;&gt;"BDI 3")),IF(ISNUMBER($V109),"JUSTIFICAR BDI","BDI"),
IF(OR(AND(import.recurso="OGU",TIPOORCAMENTO="Proposto",LEFT($O$8,5)&lt;&gt;"(N/D:",$AG109&lt;&gt;"",ORÇAMENTO.CustoUnitario&gt;$AG109),AND(TIPOORCAMENTO="LICITADO",ORÇAMENTO.PrecoUnitarioLicitado&gt;$AN109)),"ACIMA REF.",
IF(AND($C109="S",$P109&lt;&gt;"",$Q109&lt;&gt;"",$T109=0,$U109&gt;0),"QUANT.",
IF(AND(Import.TipoArredondamento="TransfereGOV",$L109="F",$C109="S",LEN($Q109)&gt;13),"Código &gt;13",
IF(AND(Import.TipoArredondamento="TransfereGOV",$L109="F",$C109&lt;&gt;"S",LEN($R109)&gt;100),"Descrição &gt;100",
IF(AND(Import.TipoArredondamento="TransfereGOV",$L109="F",$C109="S",LEN($R109)&gt;500),"Descrição &gt;500",
IF(AND(Import.TipoArredondamento="TransfereGOV",$L109="F",$C109="S",LEFT(TRIM(UPPER($P109)),6)&lt;&gt;"SINAPI",ISNA(VLOOKUP(TRIM(UPPER($S109)),ListaTgov.Unidades,1,FALSE))),"Unid. Não Disp",
" "))))))))))))))))</f>
        <v xml:space="preserve"> </v>
      </c>
      <c r="AD109" s="670">
        <f ca="1">IF(C109&lt;=CRONO.NivelExibicao,MAX($AD$15:OFFSET(AD109,-1,0))+IF($C109&lt;&gt;1,1,MAX(1,COUNTIF(QCI!$A$13:$A$24,OFFSET($E109,-1,0)))),"")</f>
        <v>16</v>
      </c>
      <c r="AE109" s="668" t="b" cm="1">
        <f t="array" aca="1" ref="AE109" ca="1">IF(AND($C109="S",ORÇAMENTO.CodBarra&lt;&gt;""),IF(ORÇAMENTO.Fonte="",ORÇAMENTO.CodBarra,CONCATENATE(ORÇAMENTO.Fonte," ",ORÇAMENTO.CodBarra)))</f>
        <v>0</v>
      </c>
      <c r="AF109" s="669" t="str" cm="1">
        <f t="array" aca="1" ref="AF109" ca="1">IF(ISERROR(ORÇAMENTO.BancoRef),"(abra o arquivo 'Referência "&amp;Excel_BuiltIn_Database&amp;".xlsm)",IF(OR($C109&lt;&gt;"S",ORÇAMENTO.CodBarra=""),"(Sem Código)",IF(ISERROR(MATCH($AE109,INDIRECT(ORÇAMENTO.BancoRef),0)),"(Código não identificado nas referências)",MATCH($AE109,INDIRECT(ORÇAMENTO.BancoRef),0))))</f>
        <v>(Sem Código)</v>
      </c>
      <c r="AG109" s="428" cm="1">
        <f t="array" aca="1" ref="AG109" ca="1">ROUND(IF(DESONERACAO="sim",REFERENCIA.Desonerado,REFERENCIA.NaoDesonerado),2)</f>
        <v>0</v>
      </c>
      <c r="AH109" s="429">
        <f t="shared" ca="1" si="30"/>
        <v>0.24</v>
      </c>
      <c r="AJ109" s="431"/>
      <c r="AL109" s="439"/>
      <c r="AM109" s="336">
        <f t="shared" ca="1" si="0"/>
        <v>30663.74</v>
      </c>
      <c r="AN109" s="470" cm="1">
        <f t="array" aca="1" ref="AN109" ca="1">ROUND(ORÇAMENTO.CustoUnitario*(1+$AH109),2)</f>
        <v>0</v>
      </c>
    </row>
    <row r="110" spans="1:40" s="670" customFormat="1" ht="38.25" x14ac:dyDescent="0.2">
      <c r="A110" s="670" t="str">
        <f t="shared" si="17"/>
        <v>S</v>
      </c>
      <c r="B110" s="670">
        <f t="shared" ca="1" si="18"/>
        <v>2</v>
      </c>
      <c r="C110" s="670" t="str">
        <f t="shared" ca="1" si="19"/>
        <v>S</v>
      </c>
      <c r="D110" s="670">
        <f t="shared" ca="1" si="20"/>
        <v>0</v>
      </c>
      <c r="E110" s="670">
        <f ca="1">IF($C110=1,OFFSET(E110,-1,0)+MAX(1,COUNTIF(QCI!$A$13:$A$24,OFFSET(ORÇAMENTO!E110,-1,0))),OFFSET(E110,-1,0))</f>
        <v>1</v>
      </c>
      <c r="F110" s="670">
        <f t="shared" ca="1" si="21"/>
        <v>15</v>
      </c>
      <c r="G110" s="670">
        <f t="shared" ca="1" si="22"/>
        <v>0</v>
      </c>
      <c r="H110" s="670">
        <f t="shared" ca="1" si="23"/>
        <v>0</v>
      </c>
      <c r="I110" s="670">
        <f t="shared" ca="1" si="24"/>
        <v>1</v>
      </c>
      <c r="J110" s="670">
        <f t="shared" ca="1" si="32"/>
        <v>0</v>
      </c>
      <c r="K110" s="670">
        <f ca="1">IF(OR($C110="S",$C110=0),0,MATCH(OFFSET($D110,0,$C110)+IF($C110&lt;&gt;1,1,COUNTIF(QCI!$A$13:$A$24,ORÇAMENTO!E110)),OFFSET($D110,1,$C110,ROW($C$191)-ROW($C110)),0))</f>
        <v>0</v>
      </c>
      <c r="L110" s="114" t="str">
        <f t="shared" ca="1" si="26"/>
        <v>F</v>
      </c>
      <c r="M110" s="115" t="s">
        <v>705</v>
      </c>
      <c r="N110" s="116" t="str">
        <f t="shared" ca="1" si="27"/>
        <v>Serviço</v>
      </c>
      <c r="O110" s="117" t="str">
        <f t="shared" ca="1" si="28"/>
        <v>1.15.1.</v>
      </c>
      <c r="P110" s="688" t="s">
        <v>1064</v>
      </c>
      <c r="Q110" s="689" t="s">
        <v>1039</v>
      </c>
      <c r="R110" s="690" t="str" cm="1">
        <f t="array" aca="1" ref="R110" ca="1">IF($C110="S",REFERENCIA.Descricao,"(digite a descrição aqui)")</f>
        <v>ALVENARIA DE VEDAÇÃO COM TIJOLO MACIÇO REQUEIMADO, ESP. 20CM, PARA REVESTIMENTO, INCLUSIVE ARGAMASSA PARA ASSENTAMENTO</v>
      </c>
      <c r="S110" s="691" t="str" cm="1">
        <f t="array" aca="1" ref="S110" ca="1">REFERENCIA.Unidade</f>
        <v>m2</v>
      </c>
      <c r="T110" s="122">
        <f ca="1">OFFSET(CÁLCULO!H$15,ROW($T110)-ROW(T$15),0)</f>
        <v>94</v>
      </c>
      <c r="U110" s="693">
        <f t="shared" ca="1" si="31"/>
        <v>263.07</v>
      </c>
      <c r="V110" s="694" t="s">
        <v>663</v>
      </c>
      <c r="W110" s="122" cm="1">
        <f t="array" aca="1" ref="W110" ca="1">IF($C110="S",ROUND(IF(TIPOORCAMENTO="Proposto",ORÇAMENTO.CustoUnitario*(1+$AH110),ORÇAMENTO.PrecoUnitarioLicitado),15-13*$AF$10),0)</f>
        <v>326.20999999999998</v>
      </c>
      <c r="X110" s="125" cm="1">
        <f t="array" aca="1" ref="X110" ca="1">IF($C110="S",IF(OR(Import.TipoArredondamento&lt;&gt;"TransfereGOV",ACOMPANHAMENTO="BM"),VTOTAL1,SUM(OFFSET(CÁLCULO!$AI$15,ROW($X110)-ROW($X$15),1):OFFSET(CÁLCULO!$BB$15,ROW($X110)-ROW($X$15),-1))),IF($C110=0,0,ROUND(SomaAgrup,15-13*$AF$11)))</f>
        <v>30663.74</v>
      </c>
      <c r="Y110" s="126" t="s">
        <v>751</v>
      </c>
      <c r="Z110" s="670" t="str">
        <f t="shared" ca="1" si="29"/>
        <v>RA</v>
      </c>
      <c r="AA110" s="127" cm="1">
        <f t="array" aca="1" ref="AA110" ca="1">IF($C110="S",IF($Z110="CP",$X110,IF($Z110="RA",(($X110)*QCI!$AA$3),0)),SomaAgrup)</f>
        <v>0</v>
      </c>
      <c r="AB110" s="128" cm="1">
        <f t="array" aca="1" ref="AB110" ca="1">IF($C110="S",IF($Z110="OU",ROUND($X110,2),0),SomaAgrup)</f>
        <v>0</v>
      </c>
      <c r="AC110" s="565" t="str" cm="1">
        <f t="array" aca="1" ref="AC110" ca="1">IF($N110=""," ",
IF(AND($C110&lt;&gt;"S",OR($R110="",$R110="(digite a descrição aqui)")),"DESCRIÇÃO",
IF(AND($C110="S",OR($Q110&lt;&gt;"",$T110&gt;0,$U110&gt;0),$P110=""),"FONTE",
IF(AND($C110="S",$P110&lt;&gt;"",OR($T110&gt;0,$U110&gt;0),$Q110=""),"CÓDIGO",
IF(AND($C110="S",$P110&lt;&gt;"",$Q110&lt;&gt;"",$R110="(Código não identificado nas referências)"),"CÓDIGO N/ID",
IF(AND($C110="S",OR($R110="",$R110="(digite a descrição aqui)"),OR($Q110&lt;&gt;"",$T110&gt;0,$U110&gt;0)),"DESCRIÇÃO",
IF(AND($C110="S",$P110&lt;&gt;"",$Q110&lt;&gt;"",$S110=""),"UNIDADE",
IF(AND($C110="S",$P110&lt;&gt;"",$Q110&lt;&gt;"",$U110=0),"SEM CUSTO",
IF(AND(TIPOORCAMENTO="Licitado",$AL110=0,$AN110&gt;0),"SEM PREÇO",
IF(AND($C110="S",$P110&lt;&gt;"",$Q110&lt;&gt;"",$U110&gt;0,AND($V110&lt;&gt;"BDI 1",$V110&lt;&gt;"BDI 2",$V110&lt;&gt;"BDI 3")),IF(ISNUMBER($V110),"JUSTIFICAR BDI","BDI"),
IF(OR(AND(import.recurso="OGU",TIPOORCAMENTO="Proposto",LEFT($O$8,5)&lt;&gt;"(N/D:",$AG110&lt;&gt;"",ORÇAMENTO.CustoUnitario&gt;$AG110),AND(TIPOORCAMENTO="LICITADO",ORÇAMENTO.PrecoUnitarioLicitado&gt;$AN110)),"ACIMA REF.",
IF(AND($C110="S",$P110&lt;&gt;"",$Q110&lt;&gt;"",$T110=0,$U110&gt;0),"QUANT.",
IF(AND(Import.TipoArredondamento="TransfereGOV",$L110="F",$C110="S",LEN($Q110)&gt;13),"Código &gt;13",
IF(AND(Import.TipoArredondamento="TransfereGOV",$L110="F",$C110&lt;&gt;"S",LEN($R110)&gt;100),"Descrição &gt;100",
IF(AND(Import.TipoArredondamento="TransfereGOV",$L110="F",$C110="S",LEN($R110)&gt;500),"Descrição &gt;500",
IF(AND(Import.TipoArredondamento="TransfereGOV",$L110="F",$C110="S",LEFT(TRIM(UPPER($P110)),6)&lt;&gt;"SINAPI",ISNA(VLOOKUP(TRIM(UPPER($S110)),ListaTgov.Unidades,1,FALSE))),"Unid. Não Disp",
" "))))))))))))))))</f>
        <v xml:space="preserve"> </v>
      </c>
      <c r="AD110" s="670" t="str">
        <f ca="1">IF(C110&lt;=CRONO.NivelExibicao,MAX($AD$15:OFFSET(AD110,-1,0))+IF($C110&lt;&gt;1,1,MAX(1,COUNTIF(QCI!$A$13:$A$24,OFFSET($E110,-1,0)))),"")</f>
        <v/>
      </c>
      <c r="AE110" s="668" t="str" cm="1">
        <f t="array" aca="1" ref="AE110" ca="1">IF(AND($C110="S",ORÇAMENTO.CodBarra&lt;&gt;""),IF(ORÇAMENTO.Fonte="",ORÇAMENTO.CodBarra,CONCATENATE(ORÇAMENTO.Fonte," ",ORÇAMENTO.CodBarra)))</f>
        <v>SETOP ED-48228</v>
      </c>
      <c r="AF110" s="669" cm="1">
        <f t="array" aca="1" ref="AF110" ca="1">IF(ISERROR(ORÇAMENTO.BancoRef),"(abra o arquivo 'Referência "&amp;Excel_BuiltIn_Database&amp;".xlsm)",IF(OR($C110&lt;&gt;"S",ORÇAMENTO.CodBarra=""),"(Sem Código)",IF(ISERROR(MATCH($AE110,INDIRECT(ORÇAMENTO.BancoRef),0)),"(Código não identificado nas referências)",MATCH($AE110,INDIRECT(ORÇAMENTO.BancoRef),0))))</f>
        <v>19226</v>
      </c>
      <c r="AG110" s="428" cm="1">
        <f t="array" aca="1" ref="AG110" ca="1">ROUND(IF(DESONERACAO="sim",REFERENCIA.Desonerado,REFERENCIA.NaoDesonerado),2)</f>
        <v>263.07</v>
      </c>
      <c r="AH110" s="429">
        <f t="shared" ca="1" si="30"/>
        <v>0.24</v>
      </c>
      <c r="AJ110" s="431"/>
      <c r="AL110" s="439"/>
      <c r="AM110" s="336">
        <f t="shared" ca="1" si="0"/>
        <v>30663.74</v>
      </c>
      <c r="AN110" s="470" cm="1">
        <f t="array" aca="1" ref="AN110" ca="1">ROUND(ORÇAMENTO.CustoUnitario*(1+$AH110),2)</f>
        <v>326.20999999999998</v>
      </c>
    </row>
    <row r="111" spans="1:40" s="670" customFormat="1" x14ac:dyDescent="0.2">
      <c r="A111" s="670">
        <f t="shared" si="17"/>
        <v>2</v>
      </c>
      <c r="B111" s="670">
        <f t="shared" ca="1" si="18"/>
        <v>2</v>
      </c>
      <c r="C111" s="670">
        <f t="shared" ca="1" si="19"/>
        <v>2</v>
      </c>
      <c r="D111" s="670">
        <f t="shared" ca="1" si="20"/>
        <v>3</v>
      </c>
      <c r="E111" s="670">
        <f ca="1">IF($C111=1,OFFSET(E111,-1,0)+MAX(1,COUNTIF(QCI!$A$13:$A$24,OFFSET(ORÇAMENTO!E111,-1,0))),OFFSET(E111,-1,0))</f>
        <v>1</v>
      </c>
      <c r="F111" s="670">
        <f t="shared" ca="1" si="21"/>
        <v>16</v>
      </c>
      <c r="G111" s="670">
        <f t="shared" ca="1" si="22"/>
        <v>0</v>
      </c>
      <c r="H111" s="670">
        <f t="shared" ca="1" si="23"/>
        <v>0</v>
      </c>
      <c r="I111" s="670">
        <f t="shared" ca="1" si="24"/>
        <v>0</v>
      </c>
      <c r="J111" s="670">
        <f t="shared" ca="1" si="32"/>
        <v>80</v>
      </c>
      <c r="K111" s="670">
        <f ca="1">IF(OR($C111="S",$C111=0),0,MATCH(OFFSET($D111,0,$C111)+IF($C111&lt;&gt;1,1,COUNTIF(QCI!$A$13:$A$24,ORÇAMENTO!E111)),OFFSET($D111,1,$C111,ROW($C$191)-ROW($C111)),0))</f>
        <v>3</v>
      </c>
      <c r="L111" s="114" t="str">
        <f t="shared" ca="1" si="26"/>
        <v>F</v>
      </c>
      <c r="M111" s="115" t="s">
        <v>702</v>
      </c>
      <c r="N111" s="116" t="str">
        <f t="shared" ca="1" si="27"/>
        <v>Nível 2</v>
      </c>
      <c r="O111" s="117" t="str">
        <f t="shared" ca="1" si="28"/>
        <v>1.16.</v>
      </c>
      <c r="P111" s="688" t="s">
        <v>250</v>
      </c>
      <c r="Q111" s="689" t="s">
        <v>250</v>
      </c>
      <c r="R111" s="690" t="s">
        <v>1307</v>
      </c>
      <c r="S111" s="691" t="s">
        <v>688</v>
      </c>
      <c r="T111" s="122">
        <f ca="1">OFFSET(CÁLCULO!H$15,ROW($T111)-ROW(T$15),0)</f>
        <v>0</v>
      </c>
      <c r="U111" s="693">
        <f t="shared" ca="1" si="31"/>
        <v>0</v>
      </c>
      <c r="V111" s="694" t="s">
        <v>663</v>
      </c>
      <c r="W111" s="122" cm="1">
        <f t="array" aca="1" ref="W111" ca="1">IF($C111="S",ROUND(IF(TIPOORCAMENTO="Proposto",ORÇAMENTO.CustoUnitario*(1+$AH111),ORÇAMENTO.PrecoUnitarioLicitado),15-13*$AF$10),0)</f>
        <v>0</v>
      </c>
      <c r="X111" s="125" cm="1">
        <f t="array" aca="1" ref="X111" ca="1">IF($C111="S",IF(OR(Import.TipoArredondamento&lt;&gt;"TransfereGOV",ACOMPANHAMENTO="BM"),VTOTAL1,SUM(OFFSET(CÁLCULO!$AI$15,ROW($X111)-ROW($X$15),1):OFFSET(CÁLCULO!$BB$15,ROW($X111)-ROW($X$15),-1))),IF($C111=0,0,ROUND(SomaAgrup,15-13*$AF$11)))</f>
        <v>22241.98</v>
      </c>
      <c r="Y111" s="126" t="s">
        <v>751</v>
      </c>
      <c r="Z111" s="670" t="str">
        <f t="shared" ca="1" si="29"/>
        <v/>
      </c>
      <c r="AA111" s="127" cm="1">
        <f t="array" aca="1" ref="AA111" ca="1">IF($C111="S",IF($Z111="CP",$X111,IF($Z111="RA",(($X111)*QCI!$AA$3),0)),SomaAgrup)</f>
        <v>0</v>
      </c>
      <c r="AB111" s="128" cm="1">
        <f t="array" aca="1" ref="AB111" ca="1">IF($C111="S",IF($Z111="OU",ROUND($X111,2),0),SomaAgrup)</f>
        <v>0</v>
      </c>
      <c r="AC111" s="565" t="str" cm="1">
        <f t="array" aca="1" ref="AC111" ca="1">IF($N111=""," ",
IF(AND($C111&lt;&gt;"S",OR($R111="",$R111="(digite a descrição aqui)")),"DESCRIÇÃO",
IF(AND($C111="S",OR($Q111&lt;&gt;"",$T111&gt;0,$U111&gt;0),$P111=""),"FONTE",
IF(AND($C111="S",$P111&lt;&gt;"",OR($T111&gt;0,$U111&gt;0),$Q111=""),"CÓDIGO",
IF(AND($C111="S",$P111&lt;&gt;"",$Q111&lt;&gt;"",$R111="(Código não identificado nas referências)"),"CÓDIGO N/ID",
IF(AND($C111="S",OR($R111="",$R111="(digite a descrição aqui)"),OR($Q111&lt;&gt;"",$T111&gt;0,$U111&gt;0)),"DESCRIÇÃO",
IF(AND($C111="S",$P111&lt;&gt;"",$Q111&lt;&gt;"",$S111=""),"UNIDADE",
IF(AND($C111="S",$P111&lt;&gt;"",$Q111&lt;&gt;"",$U111=0),"SEM CUSTO",
IF(AND(TIPOORCAMENTO="Licitado",$AL111=0,$AN111&gt;0),"SEM PREÇO",
IF(AND($C111="S",$P111&lt;&gt;"",$Q111&lt;&gt;"",$U111&gt;0,AND($V111&lt;&gt;"BDI 1",$V111&lt;&gt;"BDI 2",$V111&lt;&gt;"BDI 3")),IF(ISNUMBER($V111),"JUSTIFICAR BDI","BDI"),
IF(OR(AND(import.recurso="OGU",TIPOORCAMENTO="Proposto",LEFT($O$8,5)&lt;&gt;"(N/D:",$AG111&lt;&gt;"",ORÇAMENTO.CustoUnitario&gt;$AG111),AND(TIPOORCAMENTO="LICITADO",ORÇAMENTO.PrecoUnitarioLicitado&gt;$AN111)),"ACIMA REF.",
IF(AND($C111="S",$P111&lt;&gt;"",$Q111&lt;&gt;"",$T111=0,$U111&gt;0),"QUANT.",
IF(AND(Import.TipoArredondamento="TransfereGOV",$L111="F",$C111="S",LEN($Q111)&gt;13),"Código &gt;13",
IF(AND(Import.TipoArredondamento="TransfereGOV",$L111="F",$C111&lt;&gt;"S",LEN($R111)&gt;100),"Descrição &gt;100",
IF(AND(Import.TipoArredondamento="TransfereGOV",$L111="F",$C111="S",LEN($R111)&gt;500),"Descrição &gt;500",
IF(AND(Import.TipoArredondamento="TransfereGOV",$L111="F",$C111="S",LEFT(TRIM(UPPER($P111)),6)&lt;&gt;"SINAPI",ISNA(VLOOKUP(TRIM(UPPER($S111)),ListaTgov.Unidades,1,FALSE))),"Unid. Não Disp",
" "))))))))))))))))</f>
        <v xml:space="preserve"> </v>
      </c>
      <c r="AD111" s="670">
        <f ca="1">IF(C111&lt;=CRONO.NivelExibicao,MAX($AD$15:OFFSET(AD111,-1,0))+IF($C111&lt;&gt;1,1,MAX(1,COUNTIF(QCI!$A$13:$A$24,OFFSET($E111,-1,0)))),"")</f>
        <v>17</v>
      </c>
      <c r="AE111" s="668" t="b" cm="1">
        <f t="array" aca="1" ref="AE111" ca="1">IF(AND($C111="S",ORÇAMENTO.CodBarra&lt;&gt;""),IF(ORÇAMENTO.Fonte="",ORÇAMENTO.CodBarra,CONCATENATE(ORÇAMENTO.Fonte," ",ORÇAMENTO.CodBarra)))</f>
        <v>0</v>
      </c>
      <c r="AF111" s="669" t="str" cm="1">
        <f t="array" aca="1" ref="AF111" ca="1">IF(ISERROR(ORÇAMENTO.BancoRef),"(abra o arquivo 'Referência "&amp;Excel_BuiltIn_Database&amp;".xlsm)",IF(OR($C111&lt;&gt;"S",ORÇAMENTO.CodBarra=""),"(Sem Código)",IF(ISERROR(MATCH($AE111,INDIRECT(ORÇAMENTO.BancoRef),0)),"(Código não identificado nas referências)",MATCH($AE111,INDIRECT(ORÇAMENTO.BancoRef),0))))</f>
        <v>(Sem Código)</v>
      </c>
      <c r="AG111" s="428" cm="1">
        <f t="array" aca="1" ref="AG111" ca="1">ROUND(IF(DESONERACAO="sim",REFERENCIA.Desonerado,REFERENCIA.NaoDesonerado),2)</f>
        <v>0</v>
      </c>
      <c r="AH111" s="429">
        <f t="shared" ca="1" si="30"/>
        <v>0.24</v>
      </c>
      <c r="AJ111" s="431"/>
      <c r="AL111" s="439"/>
      <c r="AM111" s="336">
        <f t="shared" ca="1" si="0"/>
        <v>22241.98</v>
      </c>
      <c r="AN111" s="470" cm="1">
        <f t="array" aca="1" ref="AN111" ca="1">ROUND(ORÇAMENTO.CustoUnitario*(1+$AH111),2)</f>
        <v>0</v>
      </c>
    </row>
    <row r="112" spans="1:40" s="670" customFormat="1" ht="63.75" x14ac:dyDescent="0.2">
      <c r="A112" s="670" t="str">
        <f t="shared" si="17"/>
        <v>S</v>
      </c>
      <c r="B112" s="670">
        <f t="shared" ca="1" si="18"/>
        <v>2</v>
      </c>
      <c r="C112" s="670" t="str">
        <f t="shared" ca="1" si="19"/>
        <v>S</v>
      </c>
      <c r="D112" s="670">
        <f t="shared" ca="1" si="20"/>
        <v>0</v>
      </c>
      <c r="E112" s="670">
        <f ca="1">IF($C112=1,OFFSET(E112,-1,0)+MAX(1,COUNTIF(QCI!$A$13:$A$24,OFFSET(ORÇAMENTO!E112,-1,0))),OFFSET(E112,-1,0))</f>
        <v>1</v>
      </c>
      <c r="F112" s="670">
        <f t="shared" ca="1" si="21"/>
        <v>16</v>
      </c>
      <c r="G112" s="670">
        <f t="shared" ca="1" si="22"/>
        <v>0</v>
      </c>
      <c r="H112" s="670">
        <f t="shared" ca="1" si="23"/>
        <v>0</v>
      </c>
      <c r="I112" s="670">
        <f t="shared" ca="1" si="24"/>
        <v>1</v>
      </c>
      <c r="J112" s="670">
        <f t="shared" ca="1" si="32"/>
        <v>0</v>
      </c>
      <c r="K112" s="670">
        <f ca="1">IF(OR($C112="S",$C112=0),0,MATCH(OFFSET($D112,0,$C112)+IF($C112&lt;&gt;1,1,COUNTIF(QCI!$A$13:$A$24,ORÇAMENTO!E112)),OFFSET($D112,1,$C112,ROW($C$191)-ROW($C112)),0))</f>
        <v>0</v>
      </c>
      <c r="L112" s="114" t="str">
        <f t="shared" ca="1" si="26"/>
        <v>F</v>
      </c>
      <c r="M112" s="115" t="s">
        <v>705</v>
      </c>
      <c r="N112" s="116" t="str">
        <f t="shared" ca="1" si="27"/>
        <v>Serviço</v>
      </c>
      <c r="O112" s="117" t="str">
        <f t="shared" ca="1" si="28"/>
        <v>1.16.1.</v>
      </c>
      <c r="P112" s="688" t="s">
        <v>1064</v>
      </c>
      <c r="Q112" s="689" t="s">
        <v>1249</v>
      </c>
      <c r="R112" s="690" t="str" cm="1">
        <f t="array" aca="1" ref="R112" ca="1">IF($C112="S",REFERENCIA.Descricao,"(digite a descrição aqui)")</f>
        <v>COBERTURA EM TELHA DE FIBROCIMENTO,TIPO CALHA ESTRUTURAL, LARGURA 49CM, (CANALETE 49/KALHETA), COM RECOBRIMENTO TRANSVERSAL E LONGITUDINAL, EXCLUSIVE CUMEEIRA E ENGRADAMENTO, INCLUSIVE ACESSÓRIOS DE FIXAÇÃO E IÇAMENTO MANUAL VERTICAL</v>
      </c>
      <c r="S112" s="691" t="str" cm="1">
        <f t="array" aca="1" ref="S112" ca="1">REFERENCIA.Unidade</f>
        <v>m2</v>
      </c>
      <c r="T112" s="122">
        <f ca="1">OFFSET(CÁLCULO!H$15,ROW($T112)-ROW(T$15),0)</f>
        <v>74.5</v>
      </c>
      <c r="U112" s="693">
        <f t="shared" ca="1" si="31"/>
        <v>205.59</v>
      </c>
      <c r="V112" s="694" t="s">
        <v>663</v>
      </c>
      <c r="W112" s="122" cm="1">
        <f t="array" aca="1" ref="W112" ca="1">IF($C112="S",ROUND(IF(TIPOORCAMENTO="Proposto",ORÇAMENTO.CustoUnitario*(1+$AH112),ORÇAMENTO.PrecoUnitarioLicitado),15-13*$AF$10),0)</f>
        <v>254.93</v>
      </c>
      <c r="X112" s="125" cm="1">
        <f t="array" aca="1" ref="X112" ca="1">IF($C112="S",IF(OR(Import.TipoArredondamento&lt;&gt;"TransfereGOV",ACOMPANHAMENTO="BM"),VTOTAL1,SUM(OFFSET(CÁLCULO!$AI$15,ROW($X112)-ROW($X$15),1):OFFSET(CÁLCULO!$BB$15,ROW($X112)-ROW($X$15),-1))),IF($C112=0,0,ROUND(SomaAgrup,15-13*$AF$11)))</f>
        <v>18992.29</v>
      </c>
      <c r="Y112" s="126" t="s">
        <v>751</v>
      </c>
      <c r="Z112" s="670" t="str">
        <f t="shared" ca="1" si="29"/>
        <v>RA</v>
      </c>
      <c r="AA112" s="127" cm="1">
        <f t="array" aca="1" ref="AA112" ca="1">IF($C112="S",IF($Z112="CP",$X112,IF($Z112="RA",(($X112)*QCI!$AA$3),0)),SomaAgrup)</f>
        <v>0</v>
      </c>
      <c r="AB112" s="128" cm="1">
        <f t="array" aca="1" ref="AB112" ca="1">IF($C112="S",IF($Z112="OU",ROUND($X112,2),0),SomaAgrup)</f>
        <v>0</v>
      </c>
      <c r="AC112" s="565" t="str" cm="1">
        <f t="array" aca="1" ref="AC112" ca="1">IF($N112=""," ",
IF(AND($C112&lt;&gt;"S",OR($R112="",$R112="(digite a descrição aqui)")),"DESCRIÇÃO",
IF(AND($C112="S",OR($Q112&lt;&gt;"",$T112&gt;0,$U112&gt;0),$P112=""),"FONTE",
IF(AND($C112="S",$P112&lt;&gt;"",OR($T112&gt;0,$U112&gt;0),$Q112=""),"CÓDIGO",
IF(AND($C112="S",$P112&lt;&gt;"",$Q112&lt;&gt;"",$R112="(Código não identificado nas referências)"),"CÓDIGO N/ID",
IF(AND($C112="S",OR($R112="",$R112="(digite a descrição aqui)"),OR($Q112&lt;&gt;"",$T112&gt;0,$U112&gt;0)),"DESCRIÇÃO",
IF(AND($C112="S",$P112&lt;&gt;"",$Q112&lt;&gt;"",$S112=""),"UNIDADE",
IF(AND($C112="S",$P112&lt;&gt;"",$Q112&lt;&gt;"",$U112=0),"SEM CUSTO",
IF(AND(TIPOORCAMENTO="Licitado",$AL112=0,$AN112&gt;0),"SEM PREÇO",
IF(AND($C112="S",$P112&lt;&gt;"",$Q112&lt;&gt;"",$U112&gt;0,AND($V112&lt;&gt;"BDI 1",$V112&lt;&gt;"BDI 2",$V112&lt;&gt;"BDI 3")),IF(ISNUMBER($V112),"JUSTIFICAR BDI","BDI"),
IF(OR(AND(import.recurso="OGU",TIPOORCAMENTO="Proposto",LEFT($O$8,5)&lt;&gt;"(N/D:",$AG112&lt;&gt;"",ORÇAMENTO.CustoUnitario&gt;$AG112),AND(TIPOORCAMENTO="LICITADO",ORÇAMENTO.PrecoUnitarioLicitado&gt;$AN112)),"ACIMA REF.",
IF(AND($C112="S",$P112&lt;&gt;"",$Q112&lt;&gt;"",$T112=0,$U112&gt;0),"QUANT.",
IF(AND(Import.TipoArredondamento="TransfereGOV",$L112="F",$C112="S",LEN($Q112)&gt;13),"Código &gt;13",
IF(AND(Import.TipoArredondamento="TransfereGOV",$L112="F",$C112&lt;&gt;"S",LEN($R112)&gt;100),"Descrição &gt;100",
IF(AND(Import.TipoArredondamento="TransfereGOV",$L112="F",$C112="S",LEN($R112)&gt;500),"Descrição &gt;500",
IF(AND(Import.TipoArredondamento="TransfereGOV",$L112="F",$C112="S",LEFT(TRIM(UPPER($P112)),6)&lt;&gt;"SINAPI",ISNA(VLOOKUP(TRIM(UPPER($S112)),ListaTgov.Unidades,1,FALSE))),"Unid. Não Disp",
" "))))))))))))))))</f>
        <v xml:space="preserve"> </v>
      </c>
      <c r="AD112" s="670" t="str">
        <f ca="1">IF(C112&lt;=CRONO.NivelExibicao,MAX($AD$15:OFFSET(AD112,-1,0))+IF($C112&lt;&gt;1,1,MAX(1,COUNTIF(QCI!$A$13:$A$24,OFFSET($E112,-1,0)))),"")</f>
        <v/>
      </c>
      <c r="AE112" s="668" t="str" cm="1">
        <f t="array" aca="1" ref="AE112" ca="1">IF(AND($C112="S",ORÇAMENTO.CodBarra&lt;&gt;""),IF(ORÇAMENTO.Fonte="",ORÇAMENTO.CodBarra,CONCATENATE(ORÇAMENTO.Fonte," ",ORÇAMENTO.CodBarra)))</f>
        <v>SETOP ED-48426</v>
      </c>
      <c r="AF112" s="669" cm="1">
        <f t="array" aca="1" ref="AF112" ca="1">IF(ISERROR(ORÇAMENTO.BancoRef),"(abra o arquivo 'Referência "&amp;Excel_BuiltIn_Database&amp;".xlsm)",IF(OR($C112&lt;&gt;"S",ORÇAMENTO.CodBarra=""),"(Sem Código)",IF(ISERROR(MATCH($AE112,INDIRECT(ORÇAMENTO.BancoRef),0)),"(Código não identificado nas referências)",MATCH($AE112,INDIRECT(ORÇAMENTO.BancoRef),0))))</f>
        <v>19381</v>
      </c>
      <c r="AG112" s="428" cm="1">
        <f t="array" aca="1" ref="AG112" ca="1">ROUND(IF(DESONERACAO="sim",REFERENCIA.Desonerado,REFERENCIA.NaoDesonerado),2)</f>
        <v>205.59</v>
      </c>
      <c r="AH112" s="429">
        <f t="shared" ca="1" si="30"/>
        <v>0.24</v>
      </c>
      <c r="AJ112" s="431"/>
      <c r="AL112" s="439"/>
      <c r="AM112" s="336">
        <f t="shared" ca="1" si="0"/>
        <v>18992.29</v>
      </c>
      <c r="AN112" s="470" cm="1">
        <f t="array" aca="1" ref="AN112" ca="1">ROUND(ORÇAMENTO.CustoUnitario*(1+$AH112),2)</f>
        <v>254.93</v>
      </c>
    </row>
    <row r="113" spans="1:40" s="670" customFormat="1" ht="51" x14ac:dyDescent="0.2">
      <c r="A113" s="670" t="str">
        <f t="shared" si="17"/>
        <v>S</v>
      </c>
      <c r="B113" s="670">
        <f t="shared" ca="1" si="18"/>
        <v>2</v>
      </c>
      <c r="C113" s="670" t="str">
        <f t="shared" ca="1" si="19"/>
        <v>S</v>
      </c>
      <c r="D113" s="670">
        <f t="shared" ca="1" si="20"/>
        <v>0</v>
      </c>
      <c r="E113" s="670">
        <f ca="1">IF($C113=1,OFFSET(E113,-1,0)+MAX(1,COUNTIF(QCI!$A$13:$A$24,OFFSET(ORÇAMENTO!E113,-1,0))),OFFSET(E113,-1,0))</f>
        <v>1</v>
      </c>
      <c r="F113" s="670">
        <f t="shared" ca="1" si="21"/>
        <v>16</v>
      </c>
      <c r="G113" s="670">
        <f t="shared" ca="1" si="22"/>
        <v>0</v>
      </c>
      <c r="H113" s="670">
        <f t="shared" ca="1" si="23"/>
        <v>0</v>
      </c>
      <c r="I113" s="670">
        <f t="shared" ca="1" si="24"/>
        <v>2</v>
      </c>
      <c r="J113" s="670">
        <f t="shared" ca="1" si="32"/>
        <v>0</v>
      </c>
      <c r="K113" s="670">
        <f ca="1">IF(OR($C113="S",$C113=0),0,MATCH(OFFSET($D113,0,$C113)+IF($C113&lt;&gt;1,1,COUNTIF(QCI!$A$13:$A$24,ORÇAMENTO!E113)),OFFSET($D113,1,$C113,ROW($C$191)-ROW($C113)),0))</f>
        <v>0</v>
      </c>
      <c r="L113" s="114" t="str">
        <f t="shared" ca="1" si="26"/>
        <v>F</v>
      </c>
      <c r="M113" s="115" t="s">
        <v>705</v>
      </c>
      <c r="N113" s="116" t="str">
        <f t="shared" ca="1" si="27"/>
        <v>Serviço</v>
      </c>
      <c r="O113" s="117" t="str">
        <f t="shared" ca="1" si="28"/>
        <v>1.16.2.</v>
      </c>
      <c r="P113" s="688" t="s">
        <v>750</v>
      </c>
      <c r="Q113" s="689" t="s">
        <v>1040</v>
      </c>
      <c r="R113" s="690" t="str" cm="1">
        <f t="array" aca="1" ref="R113" ca="1">IF($C113="S",REFERENCIA.Descricao,"(digite a descrição aqui)")</f>
        <v>TRAMA DE MADEIRA COMPOSTA POR TERÇAS PARA TELHADOS DE ATÉ 2 ÁGUAS PARA TELHA ONDULADA DE FIBROCIMENTO, METÁLICA, PLÁSTICA OU TERMOACÚSTICA, INCLUSO TRANSPORTE VERTICAL. AF_10/2025</v>
      </c>
      <c r="S113" s="691" t="str" cm="1">
        <f t="array" aca="1" ref="S113" ca="1">REFERENCIA.Unidade</f>
        <v>M2</v>
      </c>
      <c r="T113" s="122">
        <f ca="1">OFFSET(CÁLCULO!H$15,ROW($T113)-ROW(T$15),0)</f>
        <v>74.5</v>
      </c>
      <c r="U113" s="693">
        <f t="shared" ca="1" si="31"/>
        <v>35.18</v>
      </c>
      <c r="V113" s="694" t="s">
        <v>663</v>
      </c>
      <c r="W113" s="122" cm="1">
        <f t="array" aca="1" ref="W113" ca="1">IF($C113="S",ROUND(IF(TIPOORCAMENTO="Proposto",ORÇAMENTO.CustoUnitario*(1+$AH113),ORÇAMENTO.PrecoUnitarioLicitado),15-13*$AF$10),0)</f>
        <v>43.62</v>
      </c>
      <c r="X113" s="125" cm="1">
        <f t="array" aca="1" ref="X113" ca="1">IF($C113="S",IF(OR(Import.TipoArredondamento&lt;&gt;"TransfereGOV",ACOMPANHAMENTO="BM"),VTOTAL1,SUM(OFFSET(CÁLCULO!$AI$15,ROW($X113)-ROW($X$15),1):OFFSET(CÁLCULO!$BB$15,ROW($X113)-ROW($X$15),-1))),IF($C113=0,0,ROUND(SomaAgrup,15-13*$AF$11)))</f>
        <v>3249.69</v>
      </c>
      <c r="Y113" s="126" t="s">
        <v>751</v>
      </c>
      <c r="Z113" s="670" t="str">
        <f t="shared" ca="1" si="29"/>
        <v>RA</v>
      </c>
      <c r="AA113" s="127" cm="1">
        <f t="array" aca="1" ref="AA113" ca="1">IF($C113="S",IF($Z113="CP",$X113,IF($Z113="RA",(($X113)*QCI!$AA$3),0)),SomaAgrup)</f>
        <v>0</v>
      </c>
      <c r="AB113" s="128" cm="1">
        <f t="array" aca="1" ref="AB113" ca="1">IF($C113="S",IF($Z113="OU",ROUND($X113,2),0),SomaAgrup)</f>
        <v>0</v>
      </c>
      <c r="AC113" s="565" t="str" cm="1">
        <f t="array" aca="1" ref="AC113" ca="1">IF($N113=""," ",
IF(AND($C113&lt;&gt;"S",OR($R113="",$R113="(digite a descrição aqui)")),"DESCRIÇÃO",
IF(AND($C113="S",OR($Q113&lt;&gt;"",$T113&gt;0,$U113&gt;0),$P113=""),"FONTE",
IF(AND($C113="S",$P113&lt;&gt;"",OR($T113&gt;0,$U113&gt;0),$Q113=""),"CÓDIGO",
IF(AND($C113="S",$P113&lt;&gt;"",$Q113&lt;&gt;"",$R113="(Código não identificado nas referências)"),"CÓDIGO N/ID",
IF(AND($C113="S",OR($R113="",$R113="(digite a descrição aqui)"),OR($Q113&lt;&gt;"",$T113&gt;0,$U113&gt;0)),"DESCRIÇÃO",
IF(AND($C113="S",$P113&lt;&gt;"",$Q113&lt;&gt;"",$S113=""),"UNIDADE",
IF(AND($C113="S",$P113&lt;&gt;"",$Q113&lt;&gt;"",$U113=0),"SEM CUSTO",
IF(AND(TIPOORCAMENTO="Licitado",$AL113=0,$AN113&gt;0),"SEM PREÇO",
IF(AND($C113="S",$P113&lt;&gt;"",$Q113&lt;&gt;"",$U113&gt;0,AND($V113&lt;&gt;"BDI 1",$V113&lt;&gt;"BDI 2",$V113&lt;&gt;"BDI 3")),IF(ISNUMBER($V113),"JUSTIFICAR BDI","BDI"),
IF(OR(AND(import.recurso="OGU",TIPOORCAMENTO="Proposto",LEFT($O$8,5)&lt;&gt;"(N/D:",$AG113&lt;&gt;"",ORÇAMENTO.CustoUnitario&gt;$AG113),AND(TIPOORCAMENTO="LICITADO",ORÇAMENTO.PrecoUnitarioLicitado&gt;$AN113)),"ACIMA REF.",
IF(AND($C113="S",$P113&lt;&gt;"",$Q113&lt;&gt;"",$T113=0,$U113&gt;0),"QUANT.",
IF(AND(Import.TipoArredondamento="TransfereGOV",$L113="F",$C113="S",LEN($Q113)&gt;13),"Código &gt;13",
IF(AND(Import.TipoArredondamento="TransfereGOV",$L113="F",$C113&lt;&gt;"S",LEN($R113)&gt;100),"Descrição &gt;100",
IF(AND(Import.TipoArredondamento="TransfereGOV",$L113="F",$C113="S",LEN($R113)&gt;500),"Descrição &gt;500",
IF(AND(Import.TipoArredondamento="TransfereGOV",$L113="F",$C113="S",LEFT(TRIM(UPPER($P113)),6)&lt;&gt;"SINAPI",ISNA(VLOOKUP(TRIM(UPPER($S113)),ListaTgov.Unidades,1,FALSE))),"Unid. Não Disp",
" "))))))))))))))))</f>
        <v xml:space="preserve"> </v>
      </c>
      <c r="AD113" s="670" t="str">
        <f ca="1">IF(C113&lt;=CRONO.NivelExibicao,MAX($AD$15:OFFSET(AD113,-1,0))+IF($C113&lt;&gt;1,1,MAX(1,COUNTIF(QCI!$A$13:$A$24,OFFSET($E113,-1,0)))),"")</f>
        <v/>
      </c>
      <c r="AE113" s="668" t="str" cm="1">
        <f t="array" aca="1" ref="AE113" ca="1">IF(AND($C113="S",ORÇAMENTO.CodBarra&lt;&gt;""),IF(ORÇAMENTO.Fonte="",ORÇAMENTO.CodBarra,CONCATENATE(ORÇAMENTO.Fonte," ",ORÇAMENTO.CodBarra)))</f>
        <v>SINAPI 92543</v>
      </c>
      <c r="AF113" s="669" cm="1">
        <f t="array" aca="1" ref="AF113" ca="1">IF(ISERROR(ORÇAMENTO.BancoRef),"(abra o arquivo 'Referência "&amp;Excel_BuiltIn_Database&amp;".xlsm)",IF(OR($C113&lt;&gt;"S",ORÇAMENTO.CodBarra=""),"(Sem Código)",IF(ISERROR(MATCH($AE113,INDIRECT(ORÇAMENTO.BancoRef),0)),"(Código não identificado nas referências)",MATCH($AE113,INDIRECT(ORÇAMENTO.BancoRef),0))))</f>
        <v>9967</v>
      </c>
      <c r="AG113" s="428" cm="1">
        <f t="array" aca="1" ref="AG113" ca="1">ROUND(IF(DESONERACAO="sim",REFERENCIA.Desonerado,REFERENCIA.NaoDesonerado),2)</f>
        <v>35.18</v>
      </c>
      <c r="AH113" s="429">
        <f t="shared" ca="1" si="30"/>
        <v>0.24</v>
      </c>
      <c r="AJ113" s="431"/>
      <c r="AL113" s="439"/>
      <c r="AM113" s="336">
        <f t="shared" ca="1" si="0"/>
        <v>3249.69</v>
      </c>
      <c r="AN113" s="470" cm="1">
        <f t="array" aca="1" ref="AN113" ca="1">ROUND(ORÇAMENTO.CustoUnitario*(1+$AH113),2)</f>
        <v>43.62</v>
      </c>
    </row>
    <row r="114" spans="1:40" s="670" customFormat="1" x14ac:dyDescent="0.2">
      <c r="A114" s="670">
        <f t="shared" si="17"/>
        <v>2</v>
      </c>
      <c r="B114" s="670">
        <f t="shared" ca="1" si="18"/>
        <v>2</v>
      </c>
      <c r="C114" s="670">
        <f t="shared" ca="1" si="19"/>
        <v>2</v>
      </c>
      <c r="D114" s="670">
        <f t="shared" ca="1" si="20"/>
        <v>27</v>
      </c>
      <c r="E114" s="670">
        <f ca="1">IF($C114=1,OFFSET(E114,-1,0)+MAX(1,COUNTIF(QCI!$A$13:$A$24,OFFSET(ORÇAMENTO!E114,-1,0))),OFFSET(E114,-1,0))</f>
        <v>1</v>
      </c>
      <c r="F114" s="670">
        <f t="shared" ca="1" si="21"/>
        <v>17</v>
      </c>
      <c r="G114" s="670">
        <f t="shared" ca="1" si="22"/>
        <v>0</v>
      </c>
      <c r="H114" s="670">
        <f t="shared" ca="1" si="23"/>
        <v>0</v>
      </c>
      <c r="I114" s="670">
        <f t="shared" ca="1" si="24"/>
        <v>0</v>
      </c>
      <c r="J114" s="670">
        <f t="shared" ca="1" si="32"/>
        <v>77</v>
      </c>
      <c r="K114" s="670">
        <f ca="1">IF(OR($C114="S",$C114=0),0,MATCH(OFFSET($D114,0,$C114)+IF($C114&lt;&gt;1,1,COUNTIF(QCI!$A$13:$A$24,ORÇAMENTO!E114)),OFFSET($D114,1,$C114,ROW($C$191)-ROW($C114)),0))</f>
        <v>27</v>
      </c>
      <c r="L114" s="114" t="str">
        <f t="shared" ca="1" si="26"/>
        <v>F</v>
      </c>
      <c r="M114" s="115" t="s">
        <v>702</v>
      </c>
      <c r="N114" s="116" t="str">
        <f t="shared" ca="1" si="27"/>
        <v>Nível 2</v>
      </c>
      <c r="O114" s="117" t="str">
        <f t="shared" ca="1" si="28"/>
        <v>1.17.</v>
      </c>
      <c r="P114" s="688" t="s">
        <v>250</v>
      </c>
      <c r="Q114" s="689" t="s">
        <v>250</v>
      </c>
      <c r="R114" s="690" t="s">
        <v>1312</v>
      </c>
      <c r="S114" s="691" t="s">
        <v>688</v>
      </c>
      <c r="T114" s="122">
        <f ca="1">OFFSET(CÁLCULO!H$15,ROW($T114)-ROW(T$15),0)</f>
        <v>0</v>
      </c>
      <c r="U114" s="693">
        <f t="shared" ca="1" si="31"/>
        <v>0</v>
      </c>
      <c r="V114" s="694" t="s">
        <v>663</v>
      </c>
      <c r="W114" s="122" cm="1">
        <f t="array" aca="1" ref="W114" ca="1">IF($C114="S",ROUND(IF(TIPOORCAMENTO="Proposto",ORÇAMENTO.CustoUnitario*(1+$AH114),ORÇAMENTO.PrecoUnitarioLicitado),15-13*$AF$10),0)</f>
        <v>0</v>
      </c>
      <c r="X114" s="125" cm="1">
        <f t="array" aca="1" ref="X114" ca="1">IF($C114="S",IF(OR(Import.TipoArredondamento&lt;&gt;"TransfereGOV",ACOMPANHAMENTO="BM"),VTOTAL1,SUM(OFFSET(CÁLCULO!$AI$15,ROW($X114)-ROW($X$15),1):OFFSET(CÁLCULO!$BB$15,ROW($X114)-ROW($X$15),-1))),IF($C114=0,0,ROUND(SomaAgrup,15-13*$AF$11)))</f>
        <v>136074.57</v>
      </c>
      <c r="Y114" s="126" t="s">
        <v>751</v>
      </c>
      <c r="Z114" s="670" t="str">
        <f t="shared" ca="1" si="29"/>
        <v/>
      </c>
      <c r="AA114" s="127" cm="1">
        <f t="array" aca="1" ref="AA114" ca="1">IF($C114="S",IF($Z114="CP",$X114,IF($Z114="RA",(($X114)*QCI!$AA$3),0)),SomaAgrup)</f>
        <v>0</v>
      </c>
      <c r="AB114" s="128" cm="1">
        <f t="array" aca="1" ref="AB114" ca="1">IF($C114="S",IF($Z114="OU",ROUND($X114,2),0),SomaAgrup)</f>
        <v>0</v>
      </c>
      <c r="AC114" s="565" t="str" cm="1">
        <f t="array" aca="1" ref="AC114" ca="1">IF($N114=""," ",
IF(AND($C114&lt;&gt;"S",OR($R114="",$R114="(digite a descrição aqui)")),"DESCRIÇÃO",
IF(AND($C114="S",OR($Q114&lt;&gt;"",$T114&gt;0,$U114&gt;0),$P114=""),"FONTE",
IF(AND($C114="S",$P114&lt;&gt;"",OR($T114&gt;0,$U114&gt;0),$Q114=""),"CÓDIGO",
IF(AND($C114="S",$P114&lt;&gt;"",$Q114&lt;&gt;"",$R114="(Código não identificado nas referências)"),"CÓDIGO N/ID",
IF(AND($C114="S",OR($R114="",$R114="(digite a descrição aqui)"),OR($Q114&lt;&gt;"",$T114&gt;0,$U114&gt;0)),"DESCRIÇÃO",
IF(AND($C114="S",$P114&lt;&gt;"",$Q114&lt;&gt;"",$S114=""),"UNIDADE",
IF(AND($C114="S",$P114&lt;&gt;"",$Q114&lt;&gt;"",$U114=0),"SEM CUSTO",
IF(AND(TIPOORCAMENTO="Licitado",$AL114=0,$AN114&gt;0),"SEM PREÇO",
IF(AND($C114="S",$P114&lt;&gt;"",$Q114&lt;&gt;"",$U114&gt;0,AND($V114&lt;&gt;"BDI 1",$V114&lt;&gt;"BDI 2",$V114&lt;&gt;"BDI 3")),IF(ISNUMBER($V114),"JUSTIFICAR BDI","BDI"),
IF(OR(AND(import.recurso="OGU",TIPOORCAMENTO="Proposto",LEFT($O$8,5)&lt;&gt;"(N/D:",$AG114&lt;&gt;"",ORÇAMENTO.CustoUnitario&gt;$AG114),AND(TIPOORCAMENTO="LICITADO",ORÇAMENTO.PrecoUnitarioLicitado&gt;$AN114)),"ACIMA REF.",
IF(AND($C114="S",$P114&lt;&gt;"",$Q114&lt;&gt;"",$T114=0,$U114&gt;0),"QUANT.",
IF(AND(Import.TipoArredondamento="TransfereGOV",$L114="F",$C114="S",LEN($Q114)&gt;13),"Código &gt;13",
IF(AND(Import.TipoArredondamento="TransfereGOV",$L114="F",$C114&lt;&gt;"S",LEN($R114)&gt;100),"Descrição &gt;100",
IF(AND(Import.TipoArredondamento="TransfereGOV",$L114="F",$C114="S",LEN($R114)&gt;500),"Descrição &gt;500",
IF(AND(Import.TipoArredondamento="TransfereGOV",$L114="F",$C114="S",LEFT(TRIM(UPPER($P114)),6)&lt;&gt;"SINAPI",ISNA(VLOOKUP(TRIM(UPPER($S114)),ListaTgov.Unidades,1,FALSE))),"Unid. Não Disp",
" "))))))))))))))))</f>
        <v xml:space="preserve"> </v>
      </c>
      <c r="AD114" s="670">
        <f ca="1">IF(C114&lt;=CRONO.NivelExibicao,MAX($AD$15:OFFSET(AD114,-1,0))+IF($C114&lt;&gt;1,1,MAX(1,COUNTIF(QCI!$A$13:$A$24,OFFSET($E114,-1,0)))),"")</f>
        <v>18</v>
      </c>
      <c r="AE114" s="668" t="b" cm="1">
        <f t="array" aca="1" ref="AE114" ca="1">IF(AND($C114="S",ORÇAMENTO.CodBarra&lt;&gt;""),IF(ORÇAMENTO.Fonte="",ORÇAMENTO.CodBarra,CONCATENATE(ORÇAMENTO.Fonte," ",ORÇAMENTO.CodBarra)))</f>
        <v>0</v>
      </c>
      <c r="AF114" s="669" t="str" cm="1">
        <f t="array" aca="1" ref="AF114" ca="1">IF(ISERROR(ORÇAMENTO.BancoRef),"(abra o arquivo 'Referência "&amp;Excel_BuiltIn_Database&amp;".xlsm)",IF(OR($C114&lt;&gt;"S",ORÇAMENTO.CodBarra=""),"(Sem Código)",IF(ISERROR(MATCH($AE114,INDIRECT(ORÇAMENTO.BancoRef),0)),"(Código não identificado nas referências)",MATCH($AE114,INDIRECT(ORÇAMENTO.BancoRef),0))))</f>
        <v>(Sem Código)</v>
      </c>
      <c r="AG114" s="428" cm="1">
        <f t="array" aca="1" ref="AG114" ca="1">ROUND(IF(DESONERACAO="sim",REFERENCIA.Desonerado,REFERENCIA.NaoDesonerado),2)</f>
        <v>0</v>
      </c>
      <c r="AH114" s="429">
        <f t="shared" ca="1" si="30"/>
        <v>0.24</v>
      </c>
      <c r="AJ114" s="431"/>
      <c r="AL114" s="439"/>
      <c r="AM114" s="336">
        <f t="shared" ca="1" si="0"/>
        <v>136074.57</v>
      </c>
      <c r="AN114" s="470" cm="1">
        <f t="array" aca="1" ref="AN114" ca="1">ROUND(ORÇAMENTO.CustoUnitario*(1+$AH114),2)</f>
        <v>0</v>
      </c>
    </row>
    <row r="115" spans="1:40" s="670" customFormat="1" ht="51" x14ac:dyDescent="0.2">
      <c r="A115" s="670" t="str">
        <f t="shared" si="17"/>
        <v>S</v>
      </c>
      <c r="B115" s="670">
        <f t="shared" ca="1" si="18"/>
        <v>2</v>
      </c>
      <c r="C115" s="670" t="str">
        <f t="shared" ca="1" si="19"/>
        <v>S</v>
      </c>
      <c r="D115" s="670">
        <f t="shared" ca="1" si="20"/>
        <v>0</v>
      </c>
      <c r="E115" s="670">
        <f ca="1">IF($C115=1,OFFSET(E115,-1,0)+MAX(1,COUNTIF(QCI!$A$13:$A$24,OFFSET(ORÇAMENTO!E115,-1,0))),OFFSET(E115,-1,0))</f>
        <v>1</v>
      </c>
      <c r="F115" s="670">
        <f t="shared" ca="1" si="21"/>
        <v>17</v>
      </c>
      <c r="G115" s="670">
        <f t="shared" ca="1" si="22"/>
        <v>0</v>
      </c>
      <c r="H115" s="670">
        <f t="shared" ca="1" si="23"/>
        <v>0</v>
      </c>
      <c r="I115" s="670">
        <f t="shared" ca="1" si="24"/>
        <v>1</v>
      </c>
      <c r="J115" s="670">
        <f t="shared" ca="1" si="32"/>
        <v>0</v>
      </c>
      <c r="K115" s="670">
        <f ca="1">IF(OR($C115="S",$C115=0),0,MATCH(OFFSET($D115,0,$C115)+IF($C115&lt;&gt;1,1,COUNTIF(QCI!$A$13:$A$24,ORÇAMENTO!E115)),OFFSET($D115,1,$C115,ROW($C$191)-ROW($C115)),0))</f>
        <v>0</v>
      </c>
      <c r="L115" s="114" t="str">
        <f t="shared" ca="1" si="26"/>
        <v>F</v>
      </c>
      <c r="M115" s="115" t="s">
        <v>705</v>
      </c>
      <c r="N115" s="116" t="str">
        <f t="shared" ca="1" si="27"/>
        <v>Serviço</v>
      </c>
      <c r="O115" s="117" t="str">
        <f t="shared" ca="1" si="28"/>
        <v>1.17.1.</v>
      </c>
      <c r="P115" s="688" t="s">
        <v>1064</v>
      </c>
      <c r="Q115" s="689" t="s">
        <v>1041</v>
      </c>
      <c r="R115" s="690" t="str" cm="1">
        <f t="array" aca="1" ref="R115" ca="1">IF($C115="S",REFERENCIA.Descricao,"(digite a descrição aqui)")</f>
        <v>ELETRODUTO DE AÇO GALVANIZADO MÉDIO, DIÂMETRO DE 32MM (1.1/4"), INSTALAÇÃO APARENTE OU SOBRE FORRO COM ABRAÇADEIRA METÁLICA DE CUNHA, TIPO "D", INCLUSIVE ACESSÓRIOS PARA FIXAÇÃO E CONEXÕES</v>
      </c>
      <c r="S115" s="691" t="str" cm="1">
        <f t="array" aca="1" ref="S115" ca="1">REFERENCIA.Unidade</f>
        <v>m</v>
      </c>
      <c r="T115" s="122">
        <f ca="1">OFFSET(CÁLCULO!H$15,ROW($T115)-ROW(T$15),0)</f>
        <v>4</v>
      </c>
      <c r="U115" s="693">
        <f t="shared" ca="1" si="31"/>
        <v>46.96</v>
      </c>
      <c r="V115" s="694" t="s">
        <v>663</v>
      </c>
      <c r="W115" s="122" cm="1">
        <f t="array" aca="1" ref="W115" ca="1">IF($C115="S",ROUND(IF(TIPOORCAMENTO="Proposto",ORÇAMENTO.CustoUnitario*(1+$AH115),ORÇAMENTO.PrecoUnitarioLicitado),15-13*$AF$10),0)</f>
        <v>58.23</v>
      </c>
      <c r="X115" s="125" cm="1">
        <f t="array" aca="1" ref="X115" ca="1">IF($C115="S",IF(OR(Import.TipoArredondamento&lt;&gt;"TransfereGOV",ACOMPANHAMENTO="BM"),VTOTAL1,SUM(OFFSET(CÁLCULO!$AI$15,ROW($X115)-ROW($X$15),1):OFFSET(CÁLCULO!$BB$15,ROW($X115)-ROW($X$15),-1))),IF($C115=0,0,ROUND(SomaAgrup,15-13*$AF$11)))</f>
        <v>232.92</v>
      </c>
      <c r="Y115" s="126" t="s">
        <v>751</v>
      </c>
      <c r="Z115" s="670" t="str">
        <f t="shared" ca="1" si="29"/>
        <v>RA</v>
      </c>
      <c r="AA115" s="127" cm="1">
        <f t="array" aca="1" ref="AA115" ca="1">IF($C115="S",IF($Z115="CP",$X115,IF($Z115="RA",(($X115)*QCI!$AA$3),0)),SomaAgrup)</f>
        <v>0</v>
      </c>
      <c r="AB115" s="128" cm="1">
        <f t="array" aca="1" ref="AB115" ca="1">IF($C115="S",IF($Z115="OU",ROUND($X115,2),0),SomaAgrup)</f>
        <v>0</v>
      </c>
      <c r="AC115" s="565" t="str" cm="1">
        <f t="array" aca="1" ref="AC115" ca="1">IF($N115=""," ",
IF(AND($C115&lt;&gt;"S",OR($R115="",$R115="(digite a descrição aqui)")),"DESCRIÇÃO",
IF(AND($C115="S",OR($Q115&lt;&gt;"",$T115&gt;0,$U115&gt;0),$P115=""),"FONTE",
IF(AND($C115="S",$P115&lt;&gt;"",OR($T115&gt;0,$U115&gt;0),$Q115=""),"CÓDIGO",
IF(AND($C115="S",$P115&lt;&gt;"",$Q115&lt;&gt;"",$R115="(Código não identificado nas referências)"),"CÓDIGO N/ID",
IF(AND($C115="S",OR($R115="",$R115="(digite a descrição aqui)"),OR($Q115&lt;&gt;"",$T115&gt;0,$U115&gt;0)),"DESCRIÇÃO",
IF(AND($C115="S",$P115&lt;&gt;"",$Q115&lt;&gt;"",$S115=""),"UNIDADE",
IF(AND($C115="S",$P115&lt;&gt;"",$Q115&lt;&gt;"",$U115=0),"SEM CUSTO",
IF(AND(TIPOORCAMENTO="Licitado",$AL115=0,$AN115&gt;0),"SEM PREÇO",
IF(AND($C115="S",$P115&lt;&gt;"",$Q115&lt;&gt;"",$U115&gt;0,AND($V115&lt;&gt;"BDI 1",$V115&lt;&gt;"BDI 2",$V115&lt;&gt;"BDI 3")),IF(ISNUMBER($V115),"JUSTIFICAR BDI","BDI"),
IF(OR(AND(import.recurso="OGU",TIPOORCAMENTO="Proposto",LEFT($O$8,5)&lt;&gt;"(N/D:",$AG115&lt;&gt;"",ORÇAMENTO.CustoUnitario&gt;$AG115),AND(TIPOORCAMENTO="LICITADO",ORÇAMENTO.PrecoUnitarioLicitado&gt;$AN115)),"ACIMA REF.",
IF(AND($C115="S",$P115&lt;&gt;"",$Q115&lt;&gt;"",$T115=0,$U115&gt;0),"QUANT.",
IF(AND(Import.TipoArredondamento="TransfereGOV",$L115="F",$C115="S",LEN($Q115)&gt;13),"Código &gt;13",
IF(AND(Import.TipoArredondamento="TransfereGOV",$L115="F",$C115&lt;&gt;"S",LEN($R115)&gt;100),"Descrição &gt;100",
IF(AND(Import.TipoArredondamento="TransfereGOV",$L115="F",$C115="S",LEN($R115)&gt;500),"Descrição &gt;500",
IF(AND(Import.TipoArredondamento="TransfereGOV",$L115="F",$C115="S",LEFT(TRIM(UPPER($P115)),6)&lt;&gt;"SINAPI",ISNA(VLOOKUP(TRIM(UPPER($S115)),ListaTgov.Unidades,1,FALSE))),"Unid. Não Disp",
" "))))))))))))))))</f>
        <v xml:space="preserve"> </v>
      </c>
      <c r="AD115" s="670" t="str">
        <f ca="1">IF(C115&lt;=CRONO.NivelExibicao,MAX($AD$15:OFFSET(AD115,-1,0))+IF($C115&lt;&gt;1,1,MAX(1,COUNTIF(QCI!$A$13:$A$24,OFFSET($E115,-1,0)))),"")</f>
        <v/>
      </c>
      <c r="AE115" s="668" t="str" cm="1">
        <f t="array" aca="1" ref="AE115" ca="1">IF(AND($C115="S",ORÇAMENTO.CodBarra&lt;&gt;""),IF(ORÇAMENTO.Fonte="",ORÇAMENTO.CodBarra,CONCATENATE(ORÇAMENTO.Fonte," ",ORÇAMENTO.CodBarra)))</f>
        <v>SETOP ED-49319</v>
      </c>
      <c r="AF115" s="669" cm="1">
        <f t="array" aca="1" ref="AF115" ca="1">IF(ISERROR(ORÇAMENTO.BancoRef),"(abra o arquivo 'Referência "&amp;Excel_BuiltIn_Database&amp;".xlsm)",IF(OR($C115&lt;&gt;"S",ORÇAMENTO.CodBarra=""),"(Sem Código)",IF(ISERROR(MATCH($AE115,INDIRECT(ORÇAMENTO.BancoRef),0)),"(Código não identificado nas referências)",MATCH($AE115,INDIRECT(ORÇAMENTO.BancoRef),0))))</f>
        <v>20353</v>
      </c>
      <c r="AG115" s="428" cm="1">
        <f t="array" aca="1" ref="AG115" ca="1">ROUND(IF(DESONERACAO="sim",REFERENCIA.Desonerado,REFERENCIA.NaoDesonerado),2)</f>
        <v>46.96</v>
      </c>
      <c r="AH115" s="429">
        <f t="shared" ca="1" si="30"/>
        <v>0.24</v>
      </c>
      <c r="AJ115" s="431"/>
      <c r="AL115" s="439"/>
      <c r="AM115" s="336">
        <f t="shared" ca="1" si="0"/>
        <v>232.92</v>
      </c>
      <c r="AN115" s="470" cm="1">
        <f t="array" aca="1" ref="AN115" ca="1">ROUND(ORÇAMENTO.CustoUnitario*(1+$AH115),2)</f>
        <v>58.23</v>
      </c>
    </row>
    <row r="116" spans="1:40" s="670" customFormat="1" ht="51" x14ac:dyDescent="0.2">
      <c r="A116" s="670" t="str">
        <f t="shared" si="17"/>
        <v>S</v>
      </c>
      <c r="B116" s="670">
        <f t="shared" ca="1" si="18"/>
        <v>2</v>
      </c>
      <c r="C116" s="670" t="str">
        <f t="shared" ca="1" si="19"/>
        <v>S</v>
      </c>
      <c r="D116" s="670">
        <f t="shared" ca="1" si="20"/>
        <v>0</v>
      </c>
      <c r="E116" s="670">
        <f ca="1">IF($C116=1,OFFSET(E116,-1,0)+MAX(1,COUNTIF(QCI!$A$13:$A$24,OFFSET(ORÇAMENTO!E116,-1,0))),OFFSET(E116,-1,0))</f>
        <v>1</v>
      </c>
      <c r="F116" s="670">
        <f t="shared" ca="1" si="21"/>
        <v>17</v>
      </c>
      <c r="G116" s="670">
        <f t="shared" ca="1" si="22"/>
        <v>0</v>
      </c>
      <c r="H116" s="670">
        <f t="shared" ca="1" si="23"/>
        <v>0</v>
      </c>
      <c r="I116" s="670">
        <f t="shared" ca="1" si="24"/>
        <v>2</v>
      </c>
      <c r="J116" s="670">
        <f t="shared" ca="1" si="32"/>
        <v>0</v>
      </c>
      <c r="K116" s="670">
        <f ca="1">IF(OR($C116="S",$C116=0),0,MATCH(OFFSET($D116,0,$C116)+IF($C116&lt;&gt;1,1,COUNTIF(QCI!$A$13:$A$24,ORÇAMENTO!E116)),OFFSET($D116,1,$C116,ROW($C$191)-ROW($C116)),0))</f>
        <v>0</v>
      </c>
      <c r="L116" s="114" t="str">
        <f t="shared" ca="1" si="26"/>
        <v>F</v>
      </c>
      <c r="M116" s="115" t="s">
        <v>705</v>
      </c>
      <c r="N116" s="116" t="str">
        <f t="shared" ca="1" si="27"/>
        <v>Serviço</v>
      </c>
      <c r="O116" s="117" t="str">
        <f t="shared" ca="1" si="28"/>
        <v>1.17.2.</v>
      </c>
      <c r="P116" s="688" t="s">
        <v>1064</v>
      </c>
      <c r="Q116" s="689" t="s">
        <v>1042</v>
      </c>
      <c r="R116" s="690" t="str" cm="1">
        <f t="array" aca="1" ref="R116" ca="1">IF($C116="S",REFERENCIA.Descricao,"(digite a descrição aqui)")</f>
        <v>ELETRODUTO DE AÇO GALVANIZADO MÉDIO, DIÂMETRO DE 50MM (2"), INSTALAÇÃO APARENTE OU SOBRE FORRO COM ABRAÇADEIRA METÁLICA DE CUNHA, TIPO "D", INCLUSIVE ACESSÓRIOS PARA FIXAÇÃO E CONEXÕES</v>
      </c>
      <c r="S116" s="691" t="str" cm="1">
        <f t="array" aca="1" ref="S116" ca="1">REFERENCIA.Unidade</f>
        <v>m</v>
      </c>
      <c r="T116" s="122">
        <f ca="1">OFFSET(CÁLCULO!H$15,ROW($T116)-ROW(T$15),0)</f>
        <v>5</v>
      </c>
      <c r="U116" s="693">
        <f t="shared" ca="1" si="31"/>
        <v>44.68</v>
      </c>
      <c r="V116" s="694" t="s">
        <v>663</v>
      </c>
      <c r="W116" s="122" cm="1">
        <f t="array" aca="1" ref="W116" ca="1">IF($C116="S",ROUND(IF(TIPOORCAMENTO="Proposto",ORÇAMENTO.CustoUnitario*(1+$AH116),ORÇAMENTO.PrecoUnitarioLicitado),15-13*$AF$10),0)</f>
        <v>55.4</v>
      </c>
      <c r="X116" s="125" cm="1">
        <f t="array" aca="1" ref="X116" ca="1">IF($C116="S",IF(OR(Import.TipoArredondamento&lt;&gt;"TransfereGOV",ACOMPANHAMENTO="BM"),VTOTAL1,SUM(OFFSET(CÁLCULO!$AI$15,ROW($X116)-ROW($X$15),1):OFFSET(CÁLCULO!$BB$15,ROW($X116)-ROW($X$15),-1))),IF($C116=0,0,ROUND(SomaAgrup,15-13*$AF$11)))</f>
        <v>277</v>
      </c>
      <c r="Y116" s="126" t="s">
        <v>751</v>
      </c>
      <c r="Z116" s="670" t="str">
        <f t="shared" ca="1" si="29"/>
        <v>RA</v>
      </c>
      <c r="AA116" s="127" cm="1">
        <f t="array" aca="1" ref="AA116" ca="1">IF($C116="S",IF($Z116="CP",$X116,IF($Z116="RA",(($X116)*QCI!$AA$3),0)),SomaAgrup)</f>
        <v>0</v>
      </c>
      <c r="AB116" s="128" cm="1">
        <f t="array" aca="1" ref="AB116" ca="1">IF($C116="S",IF($Z116="OU",ROUND($X116,2),0),SomaAgrup)</f>
        <v>0</v>
      </c>
      <c r="AC116" s="565" t="str" cm="1">
        <f t="array" aca="1" ref="AC116" ca="1">IF($N116=""," ",
IF(AND($C116&lt;&gt;"S",OR($R116="",$R116="(digite a descrição aqui)")),"DESCRIÇÃO",
IF(AND($C116="S",OR($Q116&lt;&gt;"",$T116&gt;0,$U116&gt;0),$P116=""),"FONTE",
IF(AND($C116="S",$P116&lt;&gt;"",OR($T116&gt;0,$U116&gt;0),$Q116=""),"CÓDIGO",
IF(AND($C116="S",$P116&lt;&gt;"",$Q116&lt;&gt;"",$R116="(Código não identificado nas referências)"),"CÓDIGO N/ID",
IF(AND($C116="S",OR($R116="",$R116="(digite a descrição aqui)"),OR($Q116&lt;&gt;"",$T116&gt;0,$U116&gt;0)),"DESCRIÇÃO",
IF(AND($C116="S",$P116&lt;&gt;"",$Q116&lt;&gt;"",$S116=""),"UNIDADE",
IF(AND($C116="S",$P116&lt;&gt;"",$Q116&lt;&gt;"",$U116=0),"SEM CUSTO",
IF(AND(TIPOORCAMENTO="Licitado",$AL116=0,$AN116&gt;0),"SEM PREÇO",
IF(AND($C116="S",$P116&lt;&gt;"",$Q116&lt;&gt;"",$U116&gt;0,AND($V116&lt;&gt;"BDI 1",$V116&lt;&gt;"BDI 2",$V116&lt;&gt;"BDI 3")),IF(ISNUMBER($V116),"JUSTIFICAR BDI","BDI"),
IF(OR(AND(import.recurso="OGU",TIPOORCAMENTO="Proposto",LEFT($O$8,5)&lt;&gt;"(N/D:",$AG116&lt;&gt;"",ORÇAMENTO.CustoUnitario&gt;$AG116),AND(TIPOORCAMENTO="LICITADO",ORÇAMENTO.PrecoUnitarioLicitado&gt;$AN116)),"ACIMA REF.",
IF(AND($C116="S",$P116&lt;&gt;"",$Q116&lt;&gt;"",$T116=0,$U116&gt;0),"QUANT.",
IF(AND(Import.TipoArredondamento="TransfereGOV",$L116="F",$C116="S",LEN($Q116)&gt;13),"Código &gt;13",
IF(AND(Import.TipoArredondamento="TransfereGOV",$L116="F",$C116&lt;&gt;"S",LEN($R116)&gt;100),"Descrição &gt;100",
IF(AND(Import.TipoArredondamento="TransfereGOV",$L116="F",$C116="S",LEN($R116)&gt;500),"Descrição &gt;500",
IF(AND(Import.TipoArredondamento="TransfereGOV",$L116="F",$C116="S",LEFT(TRIM(UPPER($P116)),6)&lt;&gt;"SINAPI",ISNA(VLOOKUP(TRIM(UPPER($S116)),ListaTgov.Unidades,1,FALSE))),"Unid. Não Disp",
" "))))))))))))))))</f>
        <v xml:space="preserve"> </v>
      </c>
      <c r="AD116" s="670" t="str">
        <f ca="1">IF(C116&lt;=CRONO.NivelExibicao,MAX($AD$15:OFFSET(AD116,-1,0))+IF($C116&lt;&gt;1,1,MAX(1,COUNTIF(QCI!$A$13:$A$24,OFFSET($E116,-1,0)))),"")</f>
        <v/>
      </c>
      <c r="AE116" s="668" t="str" cm="1">
        <f t="array" aca="1" ref="AE116" ca="1">IF(AND($C116="S",ORÇAMENTO.CodBarra&lt;&gt;""),IF(ORÇAMENTO.Fonte="",ORÇAMENTO.CodBarra,CONCATENATE(ORÇAMENTO.Fonte," ",ORÇAMENTO.CodBarra)))</f>
        <v>SETOP ED-49321</v>
      </c>
      <c r="AF116" s="669" cm="1">
        <f t="array" aca="1" ref="AF116" ca="1">IF(ISERROR(ORÇAMENTO.BancoRef),"(abra o arquivo 'Referência "&amp;Excel_BuiltIn_Database&amp;".xlsm)",IF(OR($C116&lt;&gt;"S",ORÇAMENTO.CodBarra=""),"(Sem Código)",IF(ISERROR(MATCH($AE116,INDIRECT(ORÇAMENTO.BancoRef),0)),"(Código não identificado nas referências)",MATCH($AE116,INDIRECT(ORÇAMENTO.BancoRef),0))))</f>
        <v>20355</v>
      </c>
      <c r="AG116" s="428" cm="1">
        <f t="array" aca="1" ref="AG116" ca="1">ROUND(IF(DESONERACAO="sim",REFERENCIA.Desonerado,REFERENCIA.NaoDesonerado),2)</f>
        <v>44.68</v>
      </c>
      <c r="AH116" s="429">
        <f t="shared" ca="1" si="30"/>
        <v>0.24</v>
      </c>
      <c r="AJ116" s="431"/>
      <c r="AL116" s="439"/>
      <c r="AM116" s="336">
        <f t="shared" ca="1" si="0"/>
        <v>277</v>
      </c>
      <c r="AN116" s="470" cm="1">
        <f t="array" aca="1" ref="AN116" ca="1">ROUND(ORÇAMENTO.CustoUnitario*(1+$AH116),2)</f>
        <v>55.4</v>
      </c>
    </row>
    <row r="117" spans="1:40" s="670" customFormat="1" ht="25.5" x14ac:dyDescent="0.2">
      <c r="A117" s="670" t="str">
        <f t="shared" si="17"/>
        <v>S</v>
      </c>
      <c r="B117" s="670">
        <f t="shared" ca="1" si="18"/>
        <v>2</v>
      </c>
      <c r="C117" s="670" t="str">
        <f t="shared" ca="1" si="19"/>
        <v>S</v>
      </c>
      <c r="D117" s="670">
        <f t="shared" ca="1" si="20"/>
        <v>0</v>
      </c>
      <c r="E117" s="670">
        <f ca="1">IF($C117=1,OFFSET(E117,-1,0)+MAX(1,COUNTIF(QCI!$A$13:$A$24,OFFSET(ORÇAMENTO!E117,-1,0))),OFFSET(E117,-1,0))</f>
        <v>1</v>
      </c>
      <c r="F117" s="670">
        <f t="shared" ca="1" si="21"/>
        <v>17</v>
      </c>
      <c r="G117" s="670">
        <f t="shared" ca="1" si="22"/>
        <v>0</v>
      </c>
      <c r="H117" s="670">
        <f t="shared" ca="1" si="23"/>
        <v>0</v>
      </c>
      <c r="I117" s="670">
        <f t="shared" ca="1" si="24"/>
        <v>3</v>
      </c>
      <c r="J117" s="670">
        <f t="shared" ca="1" si="32"/>
        <v>0</v>
      </c>
      <c r="K117" s="670">
        <f ca="1">IF(OR($C117="S",$C117=0),0,MATCH(OFFSET($D117,0,$C117)+IF($C117&lt;&gt;1,1,COUNTIF(QCI!$A$13:$A$24,ORÇAMENTO!E117)),OFFSET($D117,1,$C117,ROW($C$191)-ROW($C117)),0))</f>
        <v>0</v>
      </c>
      <c r="L117" s="114" t="str">
        <f t="shared" ca="1" si="26"/>
        <v>F</v>
      </c>
      <c r="M117" s="115" t="s">
        <v>705</v>
      </c>
      <c r="N117" s="116" t="str">
        <f t="shared" ca="1" si="27"/>
        <v>Serviço</v>
      </c>
      <c r="O117" s="117" t="str">
        <f t="shared" ca="1" si="28"/>
        <v>1.17.3.</v>
      </c>
      <c r="P117" s="688" t="s">
        <v>957</v>
      </c>
      <c r="Q117" s="689" t="s">
        <v>1096</v>
      </c>
      <c r="R117" s="690" t="str" cm="1">
        <f t="array" aca="1" ref="R117" ca="1">IF($C117="S",REFERENCIA.Descricao,"(digite a descrição aqui)")</f>
        <v>CAIXA DE PASSAGEM EM ALUMÍNIO COM TAMPA E VEDAÇÃO 20X20CM</v>
      </c>
      <c r="S117" s="691" t="str" cm="1">
        <f t="array" aca="1" ref="S117" ca="1">REFERENCIA.Unidade</f>
        <v>UNIDADE</v>
      </c>
      <c r="T117" s="122">
        <f ca="1">OFFSET(CÁLCULO!H$15,ROW($T117)-ROW(T$15),0)</f>
        <v>32</v>
      </c>
      <c r="U117" s="693">
        <f t="shared" ca="1" si="31"/>
        <v>116.46</v>
      </c>
      <c r="V117" s="694" t="s">
        <v>663</v>
      </c>
      <c r="W117" s="122" cm="1">
        <f t="array" aca="1" ref="W117" ca="1">IF($C117="S",ROUND(IF(TIPOORCAMENTO="Proposto",ORÇAMENTO.CustoUnitario*(1+$AH117),ORÇAMENTO.PrecoUnitarioLicitado),15-13*$AF$10),0)</f>
        <v>144.41</v>
      </c>
      <c r="X117" s="125" cm="1">
        <f t="array" aca="1" ref="X117" ca="1">IF($C117="S",IF(OR(Import.TipoArredondamento&lt;&gt;"TransfereGOV",ACOMPANHAMENTO="BM"),VTOTAL1,SUM(OFFSET(CÁLCULO!$AI$15,ROW($X117)-ROW($X$15),1):OFFSET(CÁLCULO!$BB$15,ROW($X117)-ROW($X$15),-1))),IF($C117=0,0,ROUND(SomaAgrup,15-13*$AF$11)))</f>
        <v>4621.12</v>
      </c>
      <c r="Y117" s="126" t="s">
        <v>751</v>
      </c>
      <c r="Z117" s="670" t="str">
        <f t="shared" ca="1" si="29"/>
        <v>RA</v>
      </c>
      <c r="AA117" s="127" cm="1">
        <f t="array" aca="1" ref="AA117" ca="1">IF($C117="S",IF($Z117="CP",$X117,IF($Z117="RA",(($X117)*QCI!$AA$3),0)),SomaAgrup)</f>
        <v>0</v>
      </c>
      <c r="AB117" s="128" cm="1">
        <f t="array" aca="1" ref="AB117" ca="1">IF($C117="S",IF($Z117="OU",ROUND($X117,2),0),SomaAgrup)</f>
        <v>0</v>
      </c>
      <c r="AC117" s="565" t="str" cm="1">
        <f t="array" aca="1" ref="AC117" ca="1">IF($N117=""," ",
IF(AND($C117&lt;&gt;"S",OR($R117="",$R117="(digite a descrição aqui)")),"DESCRIÇÃO",
IF(AND($C117="S",OR($Q117&lt;&gt;"",$T117&gt;0,$U117&gt;0),$P117=""),"FONTE",
IF(AND($C117="S",$P117&lt;&gt;"",OR($T117&gt;0,$U117&gt;0),$Q117=""),"CÓDIGO",
IF(AND($C117="S",$P117&lt;&gt;"",$Q117&lt;&gt;"",$R117="(Código não identificado nas referências)"),"CÓDIGO N/ID",
IF(AND($C117="S",OR($R117="",$R117="(digite a descrição aqui)"),OR($Q117&lt;&gt;"",$T117&gt;0,$U117&gt;0)),"DESCRIÇÃO",
IF(AND($C117="S",$P117&lt;&gt;"",$Q117&lt;&gt;"",$S117=""),"UNIDADE",
IF(AND($C117="S",$P117&lt;&gt;"",$Q117&lt;&gt;"",$U117=0),"SEM CUSTO",
IF(AND(TIPOORCAMENTO="Licitado",$AL117=0,$AN117&gt;0),"SEM PREÇO",
IF(AND($C117="S",$P117&lt;&gt;"",$Q117&lt;&gt;"",$U117&gt;0,AND($V117&lt;&gt;"BDI 1",$V117&lt;&gt;"BDI 2",$V117&lt;&gt;"BDI 3")),IF(ISNUMBER($V117),"JUSTIFICAR BDI","BDI"),
IF(OR(AND(import.recurso="OGU",TIPOORCAMENTO="Proposto",LEFT($O$8,5)&lt;&gt;"(N/D:",$AG117&lt;&gt;"",ORÇAMENTO.CustoUnitario&gt;$AG117),AND(TIPOORCAMENTO="LICITADO",ORÇAMENTO.PrecoUnitarioLicitado&gt;$AN117)),"ACIMA REF.",
IF(AND($C117="S",$P117&lt;&gt;"",$Q117&lt;&gt;"",$T117=0,$U117&gt;0),"QUANT.",
IF(AND(Import.TipoArredondamento="TransfereGOV",$L117="F",$C117="S",LEN($Q117)&gt;13),"Código &gt;13",
IF(AND(Import.TipoArredondamento="TransfereGOV",$L117="F",$C117&lt;&gt;"S",LEN($R117)&gt;100),"Descrição &gt;100",
IF(AND(Import.TipoArredondamento="TransfereGOV",$L117="F",$C117="S",LEN($R117)&gt;500),"Descrição &gt;500",
IF(AND(Import.TipoArredondamento="TransfereGOV",$L117="F",$C117="S",LEFT(TRIM(UPPER($P117)),6)&lt;&gt;"SINAPI",ISNA(VLOOKUP(TRIM(UPPER($S117)),ListaTgov.Unidades,1,FALSE))),"Unid. Não Disp",
" "))))))))))))))))</f>
        <v>Unid. Não Disp</v>
      </c>
      <c r="AD117" s="670" t="str">
        <f ca="1">IF(C117&lt;=CRONO.NivelExibicao,MAX($AD$15:OFFSET(AD117,-1,0))+IF($C117&lt;&gt;1,1,MAX(1,COUNTIF(QCI!$A$13:$A$24,OFFSET($E117,-1,0)))),"")</f>
        <v/>
      </c>
      <c r="AE117" s="668" t="str" cm="1">
        <f t="array" aca="1" ref="AE117" ca="1">IF(AND($C117="S",ORÇAMENTO.CodBarra&lt;&gt;""),IF(ORÇAMENTO.Fonte="",ORÇAMENTO.CodBarra,CONCATENATE(ORÇAMENTO.Fonte," ",ORÇAMENTO.CodBarra)))</f>
        <v>Cotação 10</v>
      </c>
      <c r="AF117" s="669" cm="1">
        <f t="array" aca="1" ref="AF117" ca="1">IF(ISERROR(ORÇAMENTO.BancoRef),"(abra o arquivo 'Referência "&amp;Excel_BuiltIn_Database&amp;".xlsm)",IF(OR($C117&lt;&gt;"S",ORÇAMENTO.CodBarra=""),"(Sem Código)",IF(ISERROR(MATCH($AE117,INDIRECT(ORÇAMENTO.BancoRef),0)),"(Código não identificado nas referências)",MATCH($AE117,INDIRECT(ORÇAMENTO.BancoRef),0))))</f>
        <v>19</v>
      </c>
      <c r="AG117" s="428" cm="1">
        <f t="array" aca="1" ref="AG117" ca="1">ROUND(IF(DESONERACAO="sim",REFERENCIA.Desonerado,REFERENCIA.NaoDesonerado),2)</f>
        <v>116.46</v>
      </c>
      <c r="AH117" s="429">
        <f t="shared" ca="1" si="30"/>
        <v>0.24</v>
      </c>
      <c r="AJ117" s="431"/>
      <c r="AL117" s="439"/>
      <c r="AM117" s="336">
        <f t="shared" ca="1" si="0"/>
        <v>4621.12</v>
      </c>
      <c r="AN117" s="470" cm="1">
        <f t="array" aca="1" ref="AN117" ca="1">ROUND(ORÇAMENTO.CustoUnitario*(1+$AH117),2)</f>
        <v>144.41</v>
      </c>
    </row>
    <row r="118" spans="1:40" s="670" customFormat="1" ht="38.25" x14ac:dyDescent="0.2">
      <c r="A118" s="670" t="str">
        <f t="shared" si="17"/>
        <v>S</v>
      </c>
      <c r="B118" s="670">
        <f t="shared" ca="1" si="18"/>
        <v>2</v>
      </c>
      <c r="C118" s="670" t="str">
        <f t="shared" ca="1" si="19"/>
        <v>S</v>
      </c>
      <c r="D118" s="670">
        <f t="shared" ca="1" si="20"/>
        <v>0</v>
      </c>
      <c r="E118" s="670">
        <f ca="1">IF($C118=1,OFFSET(E118,-1,0)+MAX(1,COUNTIF(QCI!$A$13:$A$24,OFFSET(ORÇAMENTO!E118,-1,0))),OFFSET(E118,-1,0))</f>
        <v>1</v>
      </c>
      <c r="F118" s="670">
        <f t="shared" ca="1" si="21"/>
        <v>17</v>
      </c>
      <c r="G118" s="670">
        <f t="shared" ca="1" si="22"/>
        <v>0</v>
      </c>
      <c r="H118" s="670">
        <f t="shared" ca="1" si="23"/>
        <v>0</v>
      </c>
      <c r="I118" s="670">
        <f t="shared" ca="1" si="24"/>
        <v>4</v>
      </c>
      <c r="J118" s="670">
        <f t="shared" ca="1" si="32"/>
        <v>0</v>
      </c>
      <c r="K118" s="670">
        <f ca="1">IF(OR($C118="S",$C118=0),0,MATCH(OFFSET($D118,0,$C118)+IF($C118&lt;&gt;1,1,COUNTIF(QCI!$A$13:$A$24,ORÇAMENTO!E118)),OFFSET($D118,1,$C118,ROW($C$191)-ROW($C118)),0))</f>
        <v>0</v>
      </c>
      <c r="L118" s="114" t="str">
        <f t="shared" ca="1" si="26"/>
        <v>F</v>
      </c>
      <c r="M118" s="115" t="s">
        <v>705</v>
      </c>
      <c r="N118" s="116" t="str">
        <f t="shared" ca="1" si="27"/>
        <v>Serviço</v>
      </c>
      <c r="O118" s="117" t="str">
        <f t="shared" ca="1" si="28"/>
        <v>1.17.4.</v>
      </c>
      <c r="P118" s="688" t="s">
        <v>1064</v>
      </c>
      <c r="Q118" s="689" t="s">
        <v>1069</v>
      </c>
      <c r="R118" s="690" t="str" cm="1">
        <f t="array" aca="1" ref="R118" ca="1">IF($C118="S",REFERENCIA.Descricao,"(digite a descrição aqui)")</f>
        <v>DUTO CORRUGADO HELICOIDAL, EM POLIETILENO DE ALTA DENSIDADE (PEAD), DIÂMETRO DE 1.1/4", PARA CABO SUBTERRÂNEO, EXCLUSIVE ESCAVAÇÃO</v>
      </c>
      <c r="S118" s="691" t="str" cm="1">
        <f t="array" aca="1" ref="S118" ca="1">REFERENCIA.Unidade</f>
        <v>m</v>
      </c>
      <c r="T118" s="122">
        <f ca="1">OFFSET(CÁLCULO!H$15,ROW($T118)-ROW(T$15),0)</f>
        <v>65</v>
      </c>
      <c r="U118" s="693">
        <f t="shared" ca="1" si="31"/>
        <v>7.22</v>
      </c>
      <c r="V118" s="694" t="s">
        <v>663</v>
      </c>
      <c r="W118" s="122" cm="1">
        <f t="array" aca="1" ref="W118" ca="1">IF($C118="S",ROUND(IF(TIPOORCAMENTO="Proposto",ORÇAMENTO.CustoUnitario*(1+$AH118),ORÇAMENTO.PrecoUnitarioLicitado),15-13*$AF$10),0)</f>
        <v>8.9499999999999993</v>
      </c>
      <c r="X118" s="125" cm="1">
        <f t="array" aca="1" ref="X118" ca="1">IF($C118="S",IF(OR(Import.TipoArredondamento&lt;&gt;"TransfereGOV",ACOMPANHAMENTO="BM"),VTOTAL1,SUM(OFFSET(CÁLCULO!$AI$15,ROW($X118)-ROW($X$15),1):OFFSET(CÁLCULO!$BB$15,ROW($X118)-ROW($X$15),-1))),IF($C118=0,0,ROUND(SomaAgrup,15-13*$AF$11)))</f>
        <v>581.75</v>
      </c>
      <c r="Y118" s="126" t="s">
        <v>751</v>
      </c>
      <c r="Z118" s="670" t="str">
        <f t="shared" ca="1" si="29"/>
        <v>RA</v>
      </c>
      <c r="AA118" s="127" cm="1">
        <f t="array" aca="1" ref="AA118" ca="1">IF($C118="S",IF($Z118="CP",$X118,IF($Z118="RA",(($X118)*QCI!$AA$3),0)),SomaAgrup)</f>
        <v>0</v>
      </c>
      <c r="AB118" s="128" cm="1">
        <f t="array" aca="1" ref="AB118" ca="1">IF($C118="S",IF($Z118="OU",ROUND($X118,2),0),SomaAgrup)</f>
        <v>0</v>
      </c>
      <c r="AC118" s="565" t="str" cm="1">
        <f t="array" aca="1" ref="AC118" ca="1">IF($N118=""," ",
IF(AND($C118&lt;&gt;"S",OR($R118="",$R118="(digite a descrição aqui)")),"DESCRIÇÃO",
IF(AND($C118="S",OR($Q118&lt;&gt;"",$T118&gt;0,$U118&gt;0),$P118=""),"FONTE",
IF(AND($C118="S",$P118&lt;&gt;"",OR($T118&gt;0,$U118&gt;0),$Q118=""),"CÓDIGO",
IF(AND($C118="S",$P118&lt;&gt;"",$Q118&lt;&gt;"",$R118="(Código não identificado nas referências)"),"CÓDIGO N/ID",
IF(AND($C118="S",OR($R118="",$R118="(digite a descrição aqui)"),OR($Q118&lt;&gt;"",$T118&gt;0,$U118&gt;0)),"DESCRIÇÃO",
IF(AND($C118="S",$P118&lt;&gt;"",$Q118&lt;&gt;"",$S118=""),"UNIDADE",
IF(AND($C118="S",$P118&lt;&gt;"",$Q118&lt;&gt;"",$U118=0),"SEM CUSTO",
IF(AND(TIPOORCAMENTO="Licitado",$AL118=0,$AN118&gt;0),"SEM PREÇO",
IF(AND($C118="S",$P118&lt;&gt;"",$Q118&lt;&gt;"",$U118&gt;0,AND($V118&lt;&gt;"BDI 1",$V118&lt;&gt;"BDI 2",$V118&lt;&gt;"BDI 3")),IF(ISNUMBER($V118),"JUSTIFICAR BDI","BDI"),
IF(OR(AND(import.recurso="OGU",TIPOORCAMENTO="Proposto",LEFT($O$8,5)&lt;&gt;"(N/D:",$AG118&lt;&gt;"",ORÇAMENTO.CustoUnitario&gt;$AG118),AND(TIPOORCAMENTO="LICITADO",ORÇAMENTO.PrecoUnitarioLicitado&gt;$AN118)),"ACIMA REF.",
IF(AND($C118="S",$P118&lt;&gt;"",$Q118&lt;&gt;"",$T118=0,$U118&gt;0),"QUANT.",
IF(AND(Import.TipoArredondamento="TransfereGOV",$L118="F",$C118="S",LEN($Q118)&gt;13),"Código &gt;13",
IF(AND(Import.TipoArredondamento="TransfereGOV",$L118="F",$C118&lt;&gt;"S",LEN($R118)&gt;100),"Descrição &gt;100",
IF(AND(Import.TipoArredondamento="TransfereGOV",$L118="F",$C118="S",LEN($R118)&gt;500),"Descrição &gt;500",
IF(AND(Import.TipoArredondamento="TransfereGOV",$L118="F",$C118="S",LEFT(TRIM(UPPER($P118)),6)&lt;&gt;"SINAPI",ISNA(VLOOKUP(TRIM(UPPER($S118)),ListaTgov.Unidades,1,FALSE))),"Unid. Não Disp",
" "))))))))))))))))</f>
        <v xml:space="preserve"> </v>
      </c>
      <c r="AD118" s="670" t="str">
        <f ca="1">IF(C118&lt;=CRONO.NivelExibicao,MAX($AD$15:OFFSET(AD118,-1,0))+IF($C118&lt;&gt;1,1,MAX(1,COUNTIF(QCI!$A$13:$A$24,OFFSET($E118,-1,0)))),"")</f>
        <v/>
      </c>
      <c r="AE118" s="668" t="str" cm="1">
        <f t="array" aca="1" ref="AE118" ca="1">IF(AND($C118="S",ORÇAMENTO.CodBarra&lt;&gt;""),IF(ORÇAMENTO.Fonte="",ORÇAMENTO.CodBarra,CONCATENATE(ORÇAMENTO.Fonte," ",ORÇAMENTO.CodBarra)))</f>
        <v>SETOP ED-26658</v>
      </c>
      <c r="AF118" s="669" cm="1">
        <f t="array" aca="1" ref="AF118" ca="1">IF(ISERROR(ORÇAMENTO.BancoRef),"(abra o arquivo 'Referência "&amp;Excel_BuiltIn_Database&amp;".xlsm)",IF(OR($C118&lt;&gt;"S",ORÇAMENTO.CodBarra=""),"(Sem Código)",IF(ISERROR(MATCH($AE118,INDIRECT(ORÇAMENTO.BancoRef),0)),"(Código não identificado nas referências)",MATCH($AE118,INDIRECT(ORÇAMENTO.BancoRef),0))))</f>
        <v>20486</v>
      </c>
      <c r="AG118" s="428" cm="1">
        <f t="array" aca="1" ref="AG118" ca="1">ROUND(IF(DESONERACAO="sim",REFERENCIA.Desonerado,REFERENCIA.NaoDesonerado),2)</f>
        <v>7.22</v>
      </c>
      <c r="AH118" s="429">
        <f t="shared" ca="1" si="30"/>
        <v>0.24</v>
      </c>
      <c r="AJ118" s="431"/>
      <c r="AL118" s="439"/>
      <c r="AM118" s="336">
        <f t="shared" ca="1" si="0"/>
        <v>581.75</v>
      </c>
      <c r="AN118" s="470" cm="1">
        <f t="array" aca="1" ref="AN118" ca="1">ROUND(ORÇAMENTO.CustoUnitario*(1+$AH118),2)</f>
        <v>8.9499999999999993</v>
      </c>
    </row>
    <row r="119" spans="1:40" s="670" customFormat="1" ht="38.25" x14ac:dyDescent="0.2">
      <c r="A119" s="670" t="str">
        <f t="shared" si="17"/>
        <v>S</v>
      </c>
      <c r="B119" s="670">
        <f t="shared" ca="1" si="18"/>
        <v>2</v>
      </c>
      <c r="C119" s="670" t="str">
        <f t="shared" ca="1" si="19"/>
        <v>S</v>
      </c>
      <c r="D119" s="670">
        <f t="shared" ca="1" si="20"/>
        <v>0</v>
      </c>
      <c r="E119" s="670">
        <f ca="1">IF($C119=1,OFFSET(E119,-1,0)+MAX(1,COUNTIF(QCI!$A$13:$A$24,OFFSET(ORÇAMENTO!E119,-1,0))),OFFSET(E119,-1,0))</f>
        <v>1</v>
      </c>
      <c r="F119" s="670">
        <f t="shared" ca="1" si="21"/>
        <v>17</v>
      </c>
      <c r="G119" s="670">
        <f t="shared" ca="1" si="22"/>
        <v>0</v>
      </c>
      <c r="H119" s="670">
        <f t="shared" ca="1" si="23"/>
        <v>0</v>
      </c>
      <c r="I119" s="670">
        <f t="shared" ca="1" si="24"/>
        <v>5</v>
      </c>
      <c r="J119" s="670">
        <f t="shared" ca="1" si="32"/>
        <v>0</v>
      </c>
      <c r="K119" s="670">
        <f ca="1">IF(OR($C119="S",$C119=0),0,MATCH(OFFSET($D119,0,$C119)+IF($C119&lt;&gt;1,1,COUNTIF(QCI!$A$13:$A$24,ORÇAMENTO!E119)),OFFSET($D119,1,$C119,ROW($C$191)-ROW($C119)),0))</f>
        <v>0</v>
      </c>
      <c r="L119" s="114" t="str">
        <f t="shared" ca="1" si="26"/>
        <v>F</v>
      </c>
      <c r="M119" s="115" t="s">
        <v>705</v>
      </c>
      <c r="N119" s="116" t="str">
        <f t="shared" ca="1" si="27"/>
        <v>Serviço</v>
      </c>
      <c r="O119" s="117" t="str">
        <f t="shared" ca="1" si="28"/>
        <v>1.17.5.</v>
      </c>
      <c r="P119" s="688" t="s">
        <v>750</v>
      </c>
      <c r="Q119" s="689" t="s">
        <v>1043</v>
      </c>
      <c r="R119" s="690" t="str" cm="1">
        <f t="array" aca="1" ref="R119" ca="1">IF($C119="S",REFERENCIA.Descricao,"(digite a descrição aqui)")</f>
        <v>ELETRODUTO FLEXÍVEL CORRUGADO, PEAD, DN 50 (1 1/2"), PARA REDE ENTERRADA DE DISTRIBUIÇÃO DE ENERGIA ELÉTRICA - FORNECIMENTO E INSTALAÇÃO. AF_12/2021</v>
      </c>
      <c r="S119" s="691" t="str" cm="1">
        <f t="array" aca="1" ref="S119" ca="1">REFERENCIA.Unidade</f>
        <v>M</v>
      </c>
      <c r="T119" s="122">
        <f ca="1">OFFSET(CÁLCULO!H$15,ROW($T119)-ROW(T$15),0)</f>
        <v>8</v>
      </c>
      <c r="U119" s="693">
        <f t="shared" ca="1" si="31"/>
        <v>7.93</v>
      </c>
      <c r="V119" s="694" t="s">
        <v>663</v>
      </c>
      <c r="W119" s="122" cm="1">
        <f t="array" aca="1" ref="W119" ca="1">IF($C119="S",ROUND(IF(TIPOORCAMENTO="Proposto",ORÇAMENTO.CustoUnitario*(1+$AH119),ORÇAMENTO.PrecoUnitarioLicitado),15-13*$AF$10),0)</f>
        <v>9.83</v>
      </c>
      <c r="X119" s="125" cm="1">
        <f t="array" aca="1" ref="X119" ca="1">IF($C119="S",IF(OR(Import.TipoArredondamento&lt;&gt;"TransfereGOV",ACOMPANHAMENTO="BM"),VTOTAL1,SUM(OFFSET(CÁLCULO!$AI$15,ROW($X119)-ROW($X$15),1):OFFSET(CÁLCULO!$BB$15,ROW($X119)-ROW($X$15),-1))),IF($C119=0,0,ROUND(SomaAgrup,15-13*$AF$11)))</f>
        <v>78.64</v>
      </c>
      <c r="Y119" s="126" t="s">
        <v>751</v>
      </c>
      <c r="Z119" s="670" t="str">
        <f t="shared" ca="1" si="29"/>
        <v>RA</v>
      </c>
      <c r="AA119" s="127" cm="1">
        <f t="array" aca="1" ref="AA119" ca="1">IF($C119="S",IF($Z119="CP",$X119,IF($Z119="RA",(($X119)*QCI!$AA$3),0)),SomaAgrup)</f>
        <v>0</v>
      </c>
      <c r="AB119" s="128" cm="1">
        <f t="array" aca="1" ref="AB119" ca="1">IF($C119="S",IF($Z119="OU",ROUND($X119,2),0),SomaAgrup)</f>
        <v>0</v>
      </c>
      <c r="AC119" s="565" t="str" cm="1">
        <f t="array" aca="1" ref="AC119" ca="1">IF($N119=""," ",
IF(AND($C119&lt;&gt;"S",OR($R119="",$R119="(digite a descrição aqui)")),"DESCRIÇÃO",
IF(AND($C119="S",OR($Q119&lt;&gt;"",$T119&gt;0,$U119&gt;0),$P119=""),"FONTE",
IF(AND($C119="S",$P119&lt;&gt;"",OR($T119&gt;0,$U119&gt;0),$Q119=""),"CÓDIGO",
IF(AND($C119="S",$P119&lt;&gt;"",$Q119&lt;&gt;"",$R119="(Código não identificado nas referências)"),"CÓDIGO N/ID",
IF(AND($C119="S",OR($R119="",$R119="(digite a descrição aqui)"),OR($Q119&lt;&gt;"",$T119&gt;0,$U119&gt;0)),"DESCRIÇÃO",
IF(AND($C119="S",$P119&lt;&gt;"",$Q119&lt;&gt;"",$S119=""),"UNIDADE",
IF(AND($C119="S",$P119&lt;&gt;"",$Q119&lt;&gt;"",$U119=0),"SEM CUSTO",
IF(AND(TIPOORCAMENTO="Licitado",$AL119=0,$AN119&gt;0),"SEM PREÇO",
IF(AND($C119="S",$P119&lt;&gt;"",$Q119&lt;&gt;"",$U119&gt;0,AND($V119&lt;&gt;"BDI 1",$V119&lt;&gt;"BDI 2",$V119&lt;&gt;"BDI 3")),IF(ISNUMBER($V119),"JUSTIFICAR BDI","BDI"),
IF(OR(AND(import.recurso="OGU",TIPOORCAMENTO="Proposto",LEFT($O$8,5)&lt;&gt;"(N/D:",$AG119&lt;&gt;"",ORÇAMENTO.CustoUnitario&gt;$AG119),AND(TIPOORCAMENTO="LICITADO",ORÇAMENTO.PrecoUnitarioLicitado&gt;$AN119)),"ACIMA REF.",
IF(AND($C119="S",$P119&lt;&gt;"",$Q119&lt;&gt;"",$T119=0,$U119&gt;0),"QUANT.",
IF(AND(Import.TipoArredondamento="TransfereGOV",$L119="F",$C119="S",LEN($Q119)&gt;13),"Código &gt;13",
IF(AND(Import.TipoArredondamento="TransfereGOV",$L119="F",$C119&lt;&gt;"S",LEN($R119)&gt;100),"Descrição &gt;100",
IF(AND(Import.TipoArredondamento="TransfereGOV",$L119="F",$C119="S",LEN($R119)&gt;500),"Descrição &gt;500",
IF(AND(Import.TipoArredondamento="TransfereGOV",$L119="F",$C119="S",LEFT(TRIM(UPPER($P119)),6)&lt;&gt;"SINAPI",ISNA(VLOOKUP(TRIM(UPPER($S119)),ListaTgov.Unidades,1,FALSE))),"Unid. Não Disp",
" "))))))))))))))))</f>
        <v xml:space="preserve"> </v>
      </c>
      <c r="AD119" s="670" t="str">
        <f ca="1">IF(C119&lt;=CRONO.NivelExibicao,MAX($AD$15:OFFSET(AD119,-1,0))+IF($C119&lt;&gt;1,1,MAX(1,COUNTIF(QCI!$A$13:$A$24,OFFSET($E119,-1,0)))),"")</f>
        <v/>
      </c>
      <c r="AE119" s="668" t="str" cm="1">
        <f t="array" aca="1" ref="AE119" ca="1">IF(AND($C119="S",ORÇAMENTO.CodBarra&lt;&gt;""),IF(ORÇAMENTO.Fonte="",ORÇAMENTO.CodBarra,CONCATENATE(ORÇAMENTO.Fonte," ",ORÇAMENTO.CodBarra)))</f>
        <v>SINAPI 97667</v>
      </c>
      <c r="AF119" s="669" cm="1">
        <f t="array" aca="1" ref="AF119" ca="1">IF(ISERROR(ORÇAMENTO.BancoRef),"(abra o arquivo 'Referência "&amp;Excel_BuiltIn_Database&amp;".xlsm)",IF(OR($C119&lt;&gt;"S",ORÇAMENTO.CodBarra=""),"(Sem Código)",IF(ISERROR(MATCH($AE119,INDIRECT(ORÇAMENTO.BancoRef),0)),"(Código não identificado nas referências)",MATCH($AE119,INDIRECT(ORÇAMENTO.BancoRef),0))))</f>
        <v>15008</v>
      </c>
      <c r="AG119" s="428" cm="1">
        <f t="array" aca="1" ref="AG119" ca="1">ROUND(IF(DESONERACAO="sim",REFERENCIA.Desonerado,REFERENCIA.NaoDesonerado),2)</f>
        <v>7.93</v>
      </c>
      <c r="AH119" s="429">
        <f t="shared" ca="1" si="30"/>
        <v>0.24</v>
      </c>
      <c r="AJ119" s="431"/>
      <c r="AL119" s="439"/>
      <c r="AM119" s="336">
        <f t="shared" ca="1" si="0"/>
        <v>78.64</v>
      </c>
      <c r="AN119" s="470" cm="1">
        <f t="array" aca="1" ref="AN119" ca="1">ROUND(ORÇAMENTO.CustoUnitario*(1+$AH119),2)</f>
        <v>9.83</v>
      </c>
    </row>
    <row r="120" spans="1:40" s="670" customFormat="1" ht="38.25" x14ac:dyDescent="0.2">
      <c r="A120" s="670" t="str">
        <f t="shared" si="17"/>
        <v>S</v>
      </c>
      <c r="B120" s="670">
        <f t="shared" ca="1" si="18"/>
        <v>2</v>
      </c>
      <c r="C120" s="670" t="str">
        <f t="shared" ca="1" si="19"/>
        <v>S</v>
      </c>
      <c r="D120" s="670">
        <f t="shared" ca="1" si="20"/>
        <v>0</v>
      </c>
      <c r="E120" s="670">
        <f ca="1">IF($C120=1,OFFSET(E120,-1,0)+MAX(1,COUNTIF(QCI!$A$13:$A$24,OFFSET(ORÇAMENTO!E120,-1,0))),OFFSET(E120,-1,0))</f>
        <v>1</v>
      </c>
      <c r="F120" s="670">
        <f t="shared" ca="1" si="21"/>
        <v>17</v>
      </c>
      <c r="G120" s="670">
        <f t="shared" ca="1" si="22"/>
        <v>0</v>
      </c>
      <c r="H120" s="670">
        <f t="shared" ca="1" si="23"/>
        <v>0</v>
      </c>
      <c r="I120" s="670">
        <f t="shared" ca="1" si="24"/>
        <v>6</v>
      </c>
      <c r="J120" s="670">
        <f t="shared" ca="1" si="32"/>
        <v>0</v>
      </c>
      <c r="K120" s="670">
        <f ca="1">IF(OR($C120="S",$C120=0),0,MATCH(OFFSET($D120,0,$C120)+IF($C120&lt;&gt;1,1,COUNTIF(QCI!$A$13:$A$24,ORÇAMENTO!E120)),OFFSET($D120,1,$C120,ROW($C$191)-ROW($C120)),0))</f>
        <v>0</v>
      </c>
      <c r="L120" s="114" t="str">
        <f t="shared" ca="1" si="26"/>
        <v>F</v>
      </c>
      <c r="M120" s="115" t="s">
        <v>705</v>
      </c>
      <c r="N120" s="116" t="str">
        <f t="shared" ca="1" si="27"/>
        <v>Serviço</v>
      </c>
      <c r="O120" s="117" t="str">
        <f t="shared" ca="1" si="28"/>
        <v>1.17.6.</v>
      </c>
      <c r="P120" s="688" t="s">
        <v>750</v>
      </c>
      <c r="Q120" s="689" t="s">
        <v>1044</v>
      </c>
      <c r="R120" s="690" t="str" cm="1">
        <f t="array" aca="1" ref="R120" ca="1">IF($C120="S",REFERENCIA.Descricao,"(digite a descrição aqui)")</f>
        <v>ELETRODUTO FLEXÍVEL CORRUGADO, PEAD, DN 63 (2"), PARA REDE ENTERRADA DE DISTRIBUIÇÃO DE ENERGIA ELÉTRICA - FORNECIMENTO E INSTALAÇÃO. AF_12/2021</v>
      </c>
      <c r="S120" s="691" t="str" cm="1">
        <f t="array" aca="1" ref="S120" ca="1">REFERENCIA.Unidade</f>
        <v>M</v>
      </c>
      <c r="T120" s="122">
        <f ca="1">OFFSET(CÁLCULO!H$15,ROW($T120)-ROW(T$15),0)</f>
        <v>250</v>
      </c>
      <c r="U120" s="693">
        <f t="shared" ca="1" si="31"/>
        <v>11.26</v>
      </c>
      <c r="V120" s="694" t="s">
        <v>663</v>
      </c>
      <c r="W120" s="122" cm="1">
        <f t="array" aca="1" ref="W120" ca="1">IF($C120="S",ROUND(IF(TIPOORCAMENTO="Proposto",ORÇAMENTO.CustoUnitario*(1+$AH120),ORÇAMENTO.PrecoUnitarioLicitado),15-13*$AF$10),0)</f>
        <v>13.96</v>
      </c>
      <c r="X120" s="125" cm="1">
        <f t="array" aca="1" ref="X120" ca="1">IF($C120="S",IF(OR(Import.TipoArredondamento&lt;&gt;"TransfereGOV",ACOMPANHAMENTO="BM"),VTOTAL1,SUM(OFFSET(CÁLCULO!$AI$15,ROW($X120)-ROW($X$15),1):OFFSET(CÁLCULO!$BB$15,ROW($X120)-ROW($X$15),-1))),IF($C120=0,0,ROUND(SomaAgrup,15-13*$AF$11)))</f>
        <v>3490</v>
      </c>
      <c r="Y120" s="126" t="s">
        <v>751</v>
      </c>
      <c r="Z120" s="670" t="str">
        <f t="shared" ca="1" si="29"/>
        <v>RA</v>
      </c>
      <c r="AA120" s="127" cm="1">
        <f t="array" aca="1" ref="AA120" ca="1">IF($C120="S",IF($Z120="CP",$X120,IF($Z120="RA",(($X120)*QCI!$AA$3),0)),SomaAgrup)</f>
        <v>0</v>
      </c>
      <c r="AB120" s="128" cm="1">
        <f t="array" aca="1" ref="AB120" ca="1">IF($C120="S",IF($Z120="OU",ROUND($X120,2),0),SomaAgrup)</f>
        <v>0</v>
      </c>
      <c r="AC120" s="565" t="str" cm="1">
        <f t="array" aca="1" ref="AC120" ca="1">IF($N120=""," ",
IF(AND($C120&lt;&gt;"S",OR($R120="",$R120="(digite a descrição aqui)")),"DESCRIÇÃO",
IF(AND($C120="S",OR($Q120&lt;&gt;"",$T120&gt;0,$U120&gt;0),$P120=""),"FONTE",
IF(AND($C120="S",$P120&lt;&gt;"",OR($T120&gt;0,$U120&gt;0),$Q120=""),"CÓDIGO",
IF(AND($C120="S",$P120&lt;&gt;"",$Q120&lt;&gt;"",$R120="(Código não identificado nas referências)"),"CÓDIGO N/ID",
IF(AND($C120="S",OR($R120="",$R120="(digite a descrição aqui)"),OR($Q120&lt;&gt;"",$T120&gt;0,$U120&gt;0)),"DESCRIÇÃO",
IF(AND($C120="S",$P120&lt;&gt;"",$Q120&lt;&gt;"",$S120=""),"UNIDADE",
IF(AND($C120="S",$P120&lt;&gt;"",$Q120&lt;&gt;"",$U120=0),"SEM CUSTO",
IF(AND(TIPOORCAMENTO="Licitado",$AL120=0,$AN120&gt;0),"SEM PREÇO",
IF(AND($C120="S",$P120&lt;&gt;"",$Q120&lt;&gt;"",$U120&gt;0,AND($V120&lt;&gt;"BDI 1",$V120&lt;&gt;"BDI 2",$V120&lt;&gt;"BDI 3")),IF(ISNUMBER($V120),"JUSTIFICAR BDI","BDI"),
IF(OR(AND(import.recurso="OGU",TIPOORCAMENTO="Proposto",LEFT($O$8,5)&lt;&gt;"(N/D:",$AG120&lt;&gt;"",ORÇAMENTO.CustoUnitario&gt;$AG120),AND(TIPOORCAMENTO="LICITADO",ORÇAMENTO.PrecoUnitarioLicitado&gt;$AN120)),"ACIMA REF.",
IF(AND($C120="S",$P120&lt;&gt;"",$Q120&lt;&gt;"",$T120=0,$U120&gt;0),"QUANT.",
IF(AND(Import.TipoArredondamento="TransfereGOV",$L120="F",$C120="S",LEN($Q120)&gt;13),"Código &gt;13",
IF(AND(Import.TipoArredondamento="TransfereGOV",$L120="F",$C120&lt;&gt;"S",LEN($R120)&gt;100),"Descrição &gt;100",
IF(AND(Import.TipoArredondamento="TransfereGOV",$L120="F",$C120="S",LEN($R120)&gt;500),"Descrição &gt;500",
IF(AND(Import.TipoArredondamento="TransfereGOV",$L120="F",$C120="S",LEFT(TRIM(UPPER($P120)),6)&lt;&gt;"SINAPI",ISNA(VLOOKUP(TRIM(UPPER($S120)),ListaTgov.Unidades,1,FALSE))),"Unid. Não Disp",
" "))))))))))))))))</f>
        <v xml:space="preserve"> </v>
      </c>
      <c r="AD120" s="670" t="str">
        <f ca="1">IF(C120&lt;=CRONO.NivelExibicao,MAX($AD$15:OFFSET(AD120,-1,0))+IF($C120&lt;&gt;1,1,MAX(1,COUNTIF(QCI!$A$13:$A$24,OFFSET($E120,-1,0)))),"")</f>
        <v/>
      </c>
      <c r="AE120" s="668" t="str" cm="1">
        <f t="array" aca="1" ref="AE120" ca="1">IF(AND($C120="S",ORÇAMENTO.CodBarra&lt;&gt;""),IF(ORÇAMENTO.Fonte="",ORÇAMENTO.CodBarra,CONCATENATE(ORÇAMENTO.Fonte," ",ORÇAMENTO.CodBarra)))</f>
        <v>SINAPI 97668</v>
      </c>
      <c r="AF120" s="669" cm="1">
        <f t="array" aca="1" ref="AF120" ca="1">IF(ISERROR(ORÇAMENTO.BancoRef),"(abra o arquivo 'Referência "&amp;Excel_BuiltIn_Database&amp;".xlsm)",IF(OR($C120&lt;&gt;"S",ORÇAMENTO.CodBarra=""),"(Sem Código)",IF(ISERROR(MATCH($AE120,INDIRECT(ORÇAMENTO.BancoRef),0)),"(Código não identificado nas referências)",MATCH($AE120,INDIRECT(ORÇAMENTO.BancoRef),0))))</f>
        <v>15009</v>
      </c>
      <c r="AG120" s="428" cm="1">
        <f t="array" aca="1" ref="AG120" ca="1">ROUND(IF(DESONERACAO="sim",REFERENCIA.Desonerado,REFERENCIA.NaoDesonerado),2)</f>
        <v>11.26</v>
      </c>
      <c r="AH120" s="429">
        <f t="shared" ca="1" si="30"/>
        <v>0.24</v>
      </c>
      <c r="AJ120" s="431"/>
      <c r="AL120" s="439"/>
      <c r="AM120" s="336">
        <f t="shared" ca="1" si="0"/>
        <v>3490</v>
      </c>
      <c r="AN120" s="470" cm="1">
        <f t="array" aca="1" ref="AN120" ca="1">ROUND(ORÇAMENTO.CustoUnitario*(1+$AH120),2)</f>
        <v>13.96</v>
      </c>
    </row>
    <row r="121" spans="1:40" s="670" customFormat="1" ht="38.25" x14ac:dyDescent="0.2">
      <c r="A121" s="670" t="str">
        <f t="shared" si="17"/>
        <v>S</v>
      </c>
      <c r="B121" s="670">
        <f t="shared" ca="1" si="18"/>
        <v>2</v>
      </c>
      <c r="C121" s="670" t="str">
        <f t="shared" ca="1" si="19"/>
        <v>S</v>
      </c>
      <c r="D121" s="670">
        <f t="shared" ca="1" si="20"/>
        <v>0</v>
      </c>
      <c r="E121" s="670">
        <f ca="1">IF($C121=1,OFFSET(E121,-1,0)+MAX(1,COUNTIF(QCI!$A$13:$A$24,OFFSET(ORÇAMENTO!E121,-1,0))),OFFSET(E121,-1,0))</f>
        <v>1</v>
      </c>
      <c r="F121" s="670">
        <f t="shared" ca="1" si="21"/>
        <v>17</v>
      </c>
      <c r="G121" s="670">
        <f t="shared" ca="1" si="22"/>
        <v>0</v>
      </c>
      <c r="H121" s="670">
        <f t="shared" ca="1" si="23"/>
        <v>0</v>
      </c>
      <c r="I121" s="670">
        <f t="shared" ca="1" si="24"/>
        <v>7</v>
      </c>
      <c r="J121" s="670">
        <f t="shared" ca="1" si="32"/>
        <v>0</v>
      </c>
      <c r="K121" s="670">
        <f ca="1">IF(OR($C121="S",$C121=0),0,MATCH(OFFSET($D121,0,$C121)+IF($C121&lt;&gt;1,1,COUNTIF(QCI!$A$13:$A$24,ORÇAMENTO!E121)),OFFSET($D121,1,$C121,ROW($C$191)-ROW($C121)),0))</f>
        <v>0</v>
      </c>
      <c r="L121" s="114" t="str">
        <f t="shared" ca="1" si="26"/>
        <v>F</v>
      </c>
      <c r="M121" s="115" t="s">
        <v>705</v>
      </c>
      <c r="N121" s="116" t="str">
        <f t="shared" ca="1" si="27"/>
        <v>Serviço</v>
      </c>
      <c r="O121" s="117" t="str">
        <f t="shared" ca="1" si="28"/>
        <v>1.17.7.</v>
      </c>
      <c r="P121" s="688" t="s">
        <v>750</v>
      </c>
      <c r="Q121" s="689" t="s">
        <v>1045</v>
      </c>
      <c r="R121" s="690" t="str" cm="1">
        <f t="array" aca="1" ref="R121" ca="1">IF($C121="S",REFERENCIA.Descricao,"(digite a descrição aqui)")</f>
        <v>ELETRODUTO FLEXÍVEL CORRUGADO, PEAD, DN 90 (3"), PARA REDE ENTERRADA DE DISTRIBUIÇÃO DE ENERGIA ELÉTRICA - FORNECIMENTO E INSTALAÇÃO. AF_12/2021</v>
      </c>
      <c r="S121" s="691" t="str" cm="1">
        <f t="array" aca="1" ref="S121" ca="1">REFERENCIA.Unidade</f>
        <v>M</v>
      </c>
      <c r="T121" s="122">
        <f ca="1">OFFSET(CÁLCULO!H$15,ROW($T121)-ROW(T$15),0)</f>
        <v>55</v>
      </c>
      <c r="U121" s="693">
        <f t="shared" ca="1" si="31"/>
        <v>16.940000000000001</v>
      </c>
      <c r="V121" s="694" t="s">
        <v>663</v>
      </c>
      <c r="W121" s="122" cm="1">
        <f t="array" aca="1" ref="W121" ca="1">IF($C121="S",ROUND(IF(TIPOORCAMENTO="Proposto",ORÇAMENTO.CustoUnitario*(1+$AH121),ORÇAMENTO.PrecoUnitarioLicitado),15-13*$AF$10),0)</f>
        <v>21.01</v>
      </c>
      <c r="X121" s="125" cm="1">
        <f t="array" aca="1" ref="X121" ca="1">IF($C121="S",IF(OR(Import.TipoArredondamento&lt;&gt;"TransfereGOV",ACOMPANHAMENTO="BM"),VTOTAL1,SUM(OFFSET(CÁLCULO!$AI$15,ROW($X121)-ROW($X$15),1):OFFSET(CÁLCULO!$BB$15,ROW($X121)-ROW($X$15),-1))),IF($C121=0,0,ROUND(SomaAgrup,15-13*$AF$11)))</f>
        <v>1155.55</v>
      </c>
      <c r="Y121" s="126" t="s">
        <v>751</v>
      </c>
      <c r="Z121" s="670" t="str">
        <f t="shared" ca="1" si="29"/>
        <v>RA</v>
      </c>
      <c r="AA121" s="127" cm="1">
        <f t="array" aca="1" ref="AA121" ca="1">IF($C121="S",IF($Z121="CP",$X121,IF($Z121="RA",(($X121)*QCI!$AA$3),0)),SomaAgrup)</f>
        <v>0</v>
      </c>
      <c r="AB121" s="128" cm="1">
        <f t="array" aca="1" ref="AB121" ca="1">IF($C121="S",IF($Z121="OU",ROUND($X121,2),0),SomaAgrup)</f>
        <v>0</v>
      </c>
      <c r="AC121" s="565" t="str" cm="1">
        <f t="array" aca="1" ref="AC121" ca="1">IF($N121=""," ",
IF(AND($C121&lt;&gt;"S",OR($R121="",$R121="(digite a descrição aqui)")),"DESCRIÇÃO",
IF(AND($C121="S",OR($Q121&lt;&gt;"",$T121&gt;0,$U121&gt;0),$P121=""),"FONTE",
IF(AND($C121="S",$P121&lt;&gt;"",OR($T121&gt;0,$U121&gt;0),$Q121=""),"CÓDIGO",
IF(AND($C121="S",$P121&lt;&gt;"",$Q121&lt;&gt;"",$R121="(Código não identificado nas referências)"),"CÓDIGO N/ID",
IF(AND($C121="S",OR($R121="",$R121="(digite a descrição aqui)"),OR($Q121&lt;&gt;"",$T121&gt;0,$U121&gt;0)),"DESCRIÇÃO",
IF(AND($C121="S",$P121&lt;&gt;"",$Q121&lt;&gt;"",$S121=""),"UNIDADE",
IF(AND($C121="S",$P121&lt;&gt;"",$Q121&lt;&gt;"",$U121=0),"SEM CUSTO",
IF(AND(TIPOORCAMENTO="Licitado",$AL121=0,$AN121&gt;0),"SEM PREÇO",
IF(AND($C121="S",$P121&lt;&gt;"",$Q121&lt;&gt;"",$U121&gt;0,AND($V121&lt;&gt;"BDI 1",$V121&lt;&gt;"BDI 2",$V121&lt;&gt;"BDI 3")),IF(ISNUMBER($V121),"JUSTIFICAR BDI","BDI"),
IF(OR(AND(import.recurso="OGU",TIPOORCAMENTO="Proposto",LEFT($O$8,5)&lt;&gt;"(N/D:",$AG121&lt;&gt;"",ORÇAMENTO.CustoUnitario&gt;$AG121),AND(TIPOORCAMENTO="LICITADO",ORÇAMENTO.PrecoUnitarioLicitado&gt;$AN121)),"ACIMA REF.",
IF(AND($C121="S",$P121&lt;&gt;"",$Q121&lt;&gt;"",$T121=0,$U121&gt;0),"QUANT.",
IF(AND(Import.TipoArredondamento="TransfereGOV",$L121="F",$C121="S",LEN($Q121)&gt;13),"Código &gt;13",
IF(AND(Import.TipoArredondamento="TransfereGOV",$L121="F",$C121&lt;&gt;"S",LEN($R121)&gt;100),"Descrição &gt;100",
IF(AND(Import.TipoArredondamento="TransfereGOV",$L121="F",$C121="S",LEN($R121)&gt;500),"Descrição &gt;500",
IF(AND(Import.TipoArredondamento="TransfereGOV",$L121="F",$C121="S",LEFT(TRIM(UPPER($P121)),6)&lt;&gt;"SINAPI",ISNA(VLOOKUP(TRIM(UPPER($S121)),ListaTgov.Unidades,1,FALSE))),"Unid. Não Disp",
" "))))))))))))))))</f>
        <v xml:space="preserve"> </v>
      </c>
      <c r="AD121" s="670" t="str">
        <f ca="1">IF(C121&lt;=CRONO.NivelExibicao,MAX($AD$15:OFFSET(AD121,-1,0))+IF($C121&lt;&gt;1,1,MAX(1,COUNTIF(QCI!$A$13:$A$24,OFFSET($E121,-1,0)))),"")</f>
        <v/>
      </c>
      <c r="AE121" s="668" t="str" cm="1">
        <f t="array" aca="1" ref="AE121" ca="1">IF(AND($C121="S",ORÇAMENTO.CodBarra&lt;&gt;""),IF(ORÇAMENTO.Fonte="",ORÇAMENTO.CodBarra,CONCATENATE(ORÇAMENTO.Fonte," ",ORÇAMENTO.CodBarra)))</f>
        <v>SINAPI 97669</v>
      </c>
      <c r="AF121" s="669" cm="1">
        <f t="array" aca="1" ref="AF121" ca="1">IF(ISERROR(ORÇAMENTO.BancoRef),"(abra o arquivo 'Referência "&amp;Excel_BuiltIn_Database&amp;".xlsm)",IF(OR($C121&lt;&gt;"S",ORÇAMENTO.CodBarra=""),"(Sem Código)",IF(ISERROR(MATCH($AE121,INDIRECT(ORÇAMENTO.BancoRef),0)),"(Código não identificado nas referências)",MATCH($AE121,INDIRECT(ORÇAMENTO.BancoRef),0))))</f>
        <v>15010</v>
      </c>
      <c r="AG121" s="428" cm="1">
        <f t="array" aca="1" ref="AG121" ca="1">ROUND(IF(DESONERACAO="sim",REFERENCIA.Desonerado,REFERENCIA.NaoDesonerado),2)</f>
        <v>16.940000000000001</v>
      </c>
      <c r="AH121" s="429">
        <f t="shared" ca="1" si="30"/>
        <v>0.24</v>
      </c>
      <c r="AJ121" s="431"/>
      <c r="AL121" s="439"/>
      <c r="AM121" s="336">
        <f t="shared" ca="1" si="0"/>
        <v>1155.55</v>
      </c>
      <c r="AN121" s="470" cm="1">
        <f t="array" aca="1" ref="AN121" ca="1">ROUND(ORÇAMENTO.CustoUnitario*(1+$AH121),2)</f>
        <v>21.01</v>
      </c>
    </row>
    <row r="122" spans="1:40" s="670" customFormat="1" ht="25.5" x14ac:dyDescent="0.2">
      <c r="A122" s="670" t="str">
        <f t="shared" si="17"/>
        <v>S</v>
      </c>
      <c r="B122" s="670">
        <f t="shared" ca="1" si="18"/>
        <v>2</v>
      </c>
      <c r="C122" s="670" t="str">
        <f t="shared" ca="1" si="19"/>
        <v>S</v>
      </c>
      <c r="D122" s="670">
        <f t="shared" ca="1" si="20"/>
        <v>0</v>
      </c>
      <c r="E122" s="670">
        <f ca="1">IF($C122=1,OFFSET(E122,-1,0)+MAX(1,COUNTIF(QCI!$A$13:$A$24,OFFSET(ORÇAMENTO!E122,-1,0))),OFFSET(E122,-1,0))</f>
        <v>1</v>
      </c>
      <c r="F122" s="670">
        <f t="shared" ca="1" si="21"/>
        <v>17</v>
      </c>
      <c r="G122" s="670">
        <f t="shared" ca="1" si="22"/>
        <v>0</v>
      </c>
      <c r="H122" s="670">
        <f t="shared" ca="1" si="23"/>
        <v>0</v>
      </c>
      <c r="I122" s="670">
        <f t="shared" ca="1" si="24"/>
        <v>8</v>
      </c>
      <c r="J122" s="670">
        <f t="shared" ca="1" si="32"/>
        <v>0</v>
      </c>
      <c r="K122" s="670">
        <f ca="1">IF(OR($C122="S",$C122=0),0,MATCH(OFFSET($D122,0,$C122)+IF($C122&lt;&gt;1,1,COUNTIF(QCI!$A$13:$A$24,ORÇAMENTO!E122)),OFFSET($D122,1,$C122,ROW($C$191)-ROW($C122)),0))</f>
        <v>0</v>
      </c>
      <c r="L122" s="114" t="str">
        <f t="shared" ca="1" si="26"/>
        <v>F</v>
      </c>
      <c r="M122" s="115" t="s">
        <v>705</v>
      </c>
      <c r="N122" s="116" t="str">
        <f t="shared" ca="1" si="27"/>
        <v>Serviço</v>
      </c>
      <c r="O122" s="117" t="str">
        <f t="shared" ca="1" si="28"/>
        <v>1.17.8.</v>
      </c>
      <c r="P122" s="688" t="s">
        <v>750</v>
      </c>
      <c r="Q122" s="689" t="s">
        <v>1046</v>
      </c>
      <c r="R122" s="690" t="str" cm="1">
        <f t="array" aca="1" ref="R122" ca="1">IF($C122="S",REFERENCIA.Descricao,"(digite a descrição aqui)")</f>
        <v>LUMINÁRIA DE LED PARA ILUMINAÇÃO PÚBLICA, DE 138 W ATÉ 180 W - FORNECIMENTO E INSTALAÇÃO. AF_02/2025_PS</v>
      </c>
      <c r="S122" s="691" t="str" cm="1">
        <f t="array" aca="1" ref="S122" ca="1">REFERENCIA.Unidade</f>
        <v>UN</v>
      </c>
      <c r="T122" s="122">
        <f ca="1">OFFSET(CÁLCULO!H$15,ROW($T122)-ROW(T$15),0)</f>
        <v>5</v>
      </c>
      <c r="U122" s="693">
        <f t="shared" ca="1" si="31"/>
        <v>498.43</v>
      </c>
      <c r="V122" s="694" t="s">
        <v>663</v>
      </c>
      <c r="W122" s="122" cm="1">
        <f t="array" aca="1" ref="W122" ca="1">IF($C122="S",ROUND(IF(TIPOORCAMENTO="Proposto",ORÇAMENTO.CustoUnitario*(1+$AH122),ORÇAMENTO.PrecoUnitarioLicitado),15-13*$AF$10),0)</f>
        <v>618.04999999999995</v>
      </c>
      <c r="X122" s="125" cm="1">
        <f t="array" aca="1" ref="X122" ca="1">IF($C122="S",IF(OR(Import.TipoArredondamento&lt;&gt;"TransfereGOV",ACOMPANHAMENTO="BM"),VTOTAL1,SUM(OFFSET(CÁLCULO!$AI$15,ROW($X122)-ROW($X$15),1):OFFSET(CÁLCULO!$BB$15,ROW($X122)-ROW($X$15),-1))),IF($C122=0,0,ROUND(SomaAgrup,15-13*$AF$11)))</f>
        <v>3090.25</v>
      </c>
      <c r="Y122" s="126" t="s">
        <v>751</v>
      </c>
      <c r="Z122" s="670" t="str">
        <f t="shared" ca="1" si="29"/>
        <v>RA</v>
      </c>
      <c r="AA122" s="127" cm="1">
        <f t="array" aca="1" ref="AA122" ca="1">IF($C122="S",IF($Z122="CP",$X122,IF($Z122="RA",(($X122)*QCI!$AA$3),0)),SomaAgrup)</f>
        <v>0</v>
      </c>
      <c r="AB122" s="128" cm="1">
        <f t="array" aca="1" ref="AB122" ca="1">IF($C122="S",IF($Z122="OU",ROUND($X122,2),0),SomaAgrup)</f>
        <v>0</v>
      </c>
      <c r="AC122" s="565" t="str" cm="1">
        <f t="array" aca="1" ref="AC122" ca="1">IF($N122=""," ",
IF(AND($C122&lt;&gt;"S",OR($R122="",$R122="(digite a descrição aqui)")),"DESCRIÇÃO",
IF(AND($C122="S",OR($Q122&lt;&gt;"",$T122&gt;0,$U122&gt;0),$P122=""),"FONTE",
IF(AND($C122="S",$P122&lt;&gt;"",OR($T122&gt;0,$U122&gt;0),$Q122=""),"CÓDIGO",
IF(AND($C122="S",$P122&lt;&gt;"",$Q122&lt;&gt;"",$R122="(Código não identificado nas referências)"),"CÓDIGO N/ID",
IF(AND($C122="S",OR($R122="",$R122="(digite a descrição aqui)"),OR($Q122&lt;&gt;"",$T122&gt;0,$U122&gt;0)),"DESCRIÇÃO",
IF(AND($C122="S",$P122&lt;&gt;"",$Q122&lt;&gt;"",$S122=""),"UNIDADE",
IF(AND($C122="S",$P122&lt;&gt;"",$Q122&lt;&gt;"",$U122=0),"SEM CUSTO",
IF(AND(TIPOORCAMENTO="Licitado",$AL122=0,$AN122&gt;0),"SEM PREÇO",
IF(AND($C122="S",$P122&lt;&gt;"",$Q122&lt;&gt;"",$U122&gt;0,AND($V122&lt;&gt;"BDI 1",$V122&lt;&gt;"BDI 2",$V122&lt;&gt;"BDI 3")),IF(ISNUMBER($V122),"JUSTIFICAR BDI","BDI"),
IF(OR(AND(import.recurso="OGU",TIPOORCAMENTO="Proposto",LEFT($O$8,5)&lt;&gt;"(N/D:",$AG122&lt;&gt;"",ORÇAMENTO.CustoUnitario&gt;$AG122),AND(TIPOORCAMENTO="LICITADO",ORÇAMENTO.PrecoUnitarioLicitado&gt;$AN122)),"ACIMA REF.",
IF(AND($C122="S",$P122&lt;&gt;"",$Q122&lt;&gt;"",$T122=0,$U122&gt;0),"QUANT.",
IF(AND(Import.TipoArredondamento="TransfereGOV",$L122="F",$C122="S",LEN($Q122)&gt;13),"Código &gt;13",
IF(AND(Import.TipoArredondamento="TransfereGOV",$L122="F",$C122&lt;&gt;"S",LEN($R122)&gt;100),"Descrição &gt;100",
IF(AND(Import.TipoArredondamento="TransfereGOV",$L122="F",$C122="S",LEN($R122)&gt;500),"Descrição &gt;500",
IF(AND(Import.TipoArredondamento="TransfereGOV",$L122="F",$C122="S",LEFT(TRIM(UPPER($P122)),6)&lt;&gt;"SINAPI",ISNA(VLOOKUP(TRIM(UPPER($S122)),ListaTgov.Unidades,1,FALSE))),"Unid. Não Disp",
" "))))))))))))))))</f>
        <v xml:space="preserve"> </v>
      </c>
      <c r="AD122" s="670" t="str">
        <f ca="1">IF(C122&lt;=CRONO.NivelExibicao,MAX($AD$15:OFFSET(AD122,-1,0))+IF($C122&lt;&gt;1,1,MAX(1,COUNTIF(QCI!$A$13:$A$24,OFFSET($E122,-1,0)))),"")</f>
        <v/>
      </c>
      <c r="AE122" s="668" t="str" cm="1">
        <f t="array" aca="1" ref="AE122" ca="1">IF(AND($C122="S",ORÇAMENTO.CodBarra&lt;&gt;""),IF(ORÇAMENTO.Fonte="",ORÇAMENTO.CodBarra,CONCATENATE(ORÇAMENTO.Fonte," ",ORÇAMENTO.CodBarra)))</f>
        <v>SINAPI 101658</v>
      </c>
      <c r="AF122" s="669" cm="1">
        <f t="array" aca="1" ref="AF122" ca="1">IF(ISERROR(ORÇAMENTO.BancoRef),"(abra o arquivo 'Referência "&amp;Excel_BuiltIn_Database&amp;".xlsm)",IF(OR($C122&lt;&gt;"S",ORÇAMENTO.CodBarra=""),"(Sem Código)",IF(ISERROR(MATCH($AE122,INDIRECT(ORÇAMENTO.BancoRef),0)),"(Código não identificado nas referências)",MATCH($AE122,INDIRECT(ORÇAMENTO.BancoRef),0))))</f>
        <v>13567</v>
      </c>
      <c r="AG122" s="428" cm="1">
        <f t="array" aca="1" ref="AG122" ca="1">ROUND(IF(DESONERACAO="sim",REFERENCIA.Desonerado,REFERENCIA.NaoDesonerado),2)</f>
        <v>498.43</v>
      </c>
      <c r="AH122" s="429">
        <f t="shared" ca="1" si="30"/>
        <v>0.24</v>
      </c>
      <c r="AJ122" s="431"/>
      <c r="AL122" s="439"/>
      <c r="AM122" s="336">
        <f t="shared" ca="1" si="0"/>
        <v>3090.25</v>
      </c>
      <c r="AN122" s="470" cm="1">
        <f t="array" aca="1" ref="AN122" ca="1">ROUND(ORÇAMENTO.CustoUnitario*(1+$AH122),2)</f>
        <v>618.04999999999995</v>
      </c>
    </row>
    <row r="123" spans="1:40" s="670" customFormat="1" ht="38.25" x14ac:dyDescent="0.2">
      <c r="A123" s="670" t="str">
        <f t="shared" si="17"/>
        <v>S</v>
      </c>
      <c r="B123" s="670">
        <f t="shared" ca="1" si="18"/>
        <v>2</v>
      </c>
      <c r="C123" s="670" t="str">
        <f t="shared" ca="1" si="19"/>
        <v>S</v>
      </c>
      <c r="D123" s="670">
        <f t="shared" ca="1" si="20"/>
        <v>0</v>
      </c>
      <c r="E123" s="670">
        <f ca="1">IF($C123=1,OFFSET(E123,-1,0)+MAX(1,COUNTIF(QCI!$A$13:$A$24,OFFSET(ORÇAMENTO!E123,-1,0))),OFFSET(E123,-1,0))</f>
        <v>1</v>
      </c>
      <c r="F123" s="670">
        <f t="shared" ca="1" si="21"/>
        <v>17</v>
      </c>
      <c r="G123" s="670">
        <f t="shared" ca="1" si="22"/>
        <v>0</v>
      </c>
      <c r="H123" s="670">
        <f t="shared" ca="1" si="23"/>
        <v>0</v>
      </c>
      <c r="I123" s="670">
        <f t="shared" ca="1" si="24"/>
        <v>9</v>
      </c>
      <c r="J123" s="670">
        <f t="shared" ca="1" si="32"/>
        <v>0</v>
      </c>
      <c r="K123" s="670">
        <f ca="1">IF(OR($C123="S",$C123=0),0,MATCH(OFFSET($D123,0,$C123)+IF($C123&lt;&gt;1,1,COUNTIF(QCI!$A$13:$A$24,ORÇAMENTO!E123)),OFFSET($D123,1,$C123,ROW($C$191)-ROW($C123)),0))</f>
        <v>0</v>
      </c>
      <c r="L123" s="114" t="str">
        <f t="shared" ca="1" si="26"/>
        <v>F</v>
      </c>
      <c r="M123" s="115" t="s">
        <v>705</v>
      </c>
      <c r="N123" s="116" t="str">
        <f t="shared" ca="1" si="27"/>
        <v>Serviço</v>
      </c>
      <c r="O123" s="117" t="str">
        <f t="shared" ca="1" si="28"/>
        <v>1.17.9.</v>
      </c>
      <c r="P123" s="688" t="s">
        <v>750</v>
      </c>
      <c r="Q123" s="689" t="s">
        <v>1047</v>
      </c>
      <c r="R123" s="690" t="str" cm="1">
        <f t="array" aca="1" ref="R123" ca="1">IF($C123="S",REFERENCIA.Descricao,"(digite a descrição aqui)")</f>
        <v>POSTE DE AÇO CÔNICO CONTÍNUO CURVO DUPLO, ENGASTAMENTO SIMPLES COM 1 M DE SOLO, H=9M - FORNECIMENTO E INSTALAÇÃO. AF_04/2025</v>
      </c>
      <c r="S123" s="691" t="str" cm="1">
        <f t="array" aca="1" ref="S123" ca="1">REFERENCIA.Unidade</f>
        <v>UN</v>
      </c>
      <c r="T123" s="122">
        <f ca="1">OFFSET(CÁLCULO!H$15,ROW($T123)-ROW(T$15),0)</f>
        <v>5</v>
      </c>
      <c r="U123" s="693">
        <f t="shared" ca="1" si="31"/>
        <v>2448.69</v>
      </c>
      <c r="V123" s="694" t="s">
        <v>663</v>
      </c>
      <c r="W123" s="122" cm="1">
        <f t="array" aca="1" ref="W123" ca="1">IF($C123="S",ROUND(IF(TIPOORCAMENTO="Proposto",ORÇAMENTO.CustoUnitario*(1+$AH123),ORÇAMENTO.PrecoUnitarioLicitado),15-13*$AF$10),0)</f>
        <v>3036.38</v>
      </c>
      <c r="X123" s="125" cm="1">
        <f t="array" aca="1" ref="X123" ca="1">IF($C123="S",IF(OR(Import.TipoArredondamento&lt;&gt;"TransfereGOV",ACOMPANHAMENTO="BM"),VTOTAL1,SUM(OFFSET(CÁLCULO!$AI$15,ROW($X123)-ROW($X$15),1):OFFSET(CÁLCULO!$BB$15,ROW($X123)-ROW($X$15),-1))),IF($C123=0,0,ROUND(SomaAgrup,15-13*$AF$11)))</f>
        <v>15181.9</v>
      </c>
      <c r="Y123" s="126" t="s">
        <v>751</v>
      </c>
      <c r="Z123" s="670" t="str">
        <f t="shared" ca="1" si="29"/>
        <v>RA</v>
      </c>
      <c r="AA123" s="127" cm="1">
        <f t="array" aca="1" ref="AA123" ca="1">IF($C123="S",IF($Z123="CP",$X123,IF($Z123="RA",(($X123)*QCI!$AA$3),0)),SomaAgrup)</f>
        <v>0</v>
      </c>
      <c r="AB123" s="128" cm="1">
        <f t="array" aca="1" ref="AB123" ca="1">IF($C123="S",IF($Z123="OU",ROUND($X123,2),0),SomaAgrup)</f>
        <v>0</v>
      </c>
      <c r="AC123" s="565" t="str" cm="1">
        <f t="array" aca="1" ref="AC123" ca="1">IF($N123=""," ",
IF(AND($C123&lt;&gt;"S",OR($R123="",$R123="(digite a descrição aqui)")),"DESCRIÇÃO",
IF(AND($C123="S",OR($Q123&lt;&gt;"",$T123&gt;0,$U123&gt;0),$P123=""),"FONTE",
IF(AND($C123="S",$P123&lt;&gt;"",OR($T123&gt;0,$U123&gt;0),$Q123=""),"CÓDIGO",
IF(AND($C123="S",$P123&lt;&gt;"",$Q123&lt;&gt;"",$R123="(Código não identificado nas referências)"),"CÓDIGO N/ID",
IF(AND($C123="S",OR($R123="",$R123="(digite a descrição aqui)"),OR($Q123&lt;&gt;"",$T123&gt;0,$U123&gt;0)),"DESCRIÇÃO",
IF(AND($C123="S",$P123&lt;&gt;"",$Q123&lt;&gt;"",$S123=""),"UNIDADE",
IF(AND($C123="S",$P123&lt;&gt;"",$Q123&lt;&gt;"",$U123=0),"SEM CUSTO",
IF(AND(TIPOORCAMENTO="Licitado",$AL123=0,$AN123&gt;0),"SEM PREÇO",
IF(AND($C123="S",$P123&lt;&gt;"",$Q123&lt;&gt;"",$U123&gt;0,AND($V123&lt;&gt;"BDI 1",$V123&lt;&gt;"BDI 2",$V123&lt;&gt;"BDI 3")),IF(ISNUMBER($V123),"JUSTIFICAR BDI","BDI"),
IF(OR(AND(import.recurso="OGU",TIPOORCAMENTO="Proposto",LEFT($O$8,5)&lt;&gt;"(N/D:",$AG123&lt;&gt;"",ORÇAMENTO.CustoUnitario&gt;$AG123),AND(TIPOORCAMENTO="LICITADO",ORÇAMENTO.PrecoUnitarioLicitado&gt;$AN123)),"ACIMA REF.",
IF(AND($C123="S",$P123&lt;&gt;"",$Q123&lt;&gt;"",$T123=0,$U123&gt;0),"QUANT.",
IF(AND(Import.TipoArredondamento="TransfereGOV",$L123="F",$C123="S",LEN($Q123)&gt;13),"Código &gt;13",
IF(AND(Import.TipoArredondamento="TransfereGOV",$L123="F",$C123&lt;&gt;"S",LEN($R123)&gt;100),"Descrição &gt;100",
IF(AND(Import.TipoArredondamento="TransfereGOV",$L123="F",$C123="S",LEN($R123)&gt;500),"Descrição &gt;500",
IF(AND(Import.TipoArredondamento="TransfereGOV",$L123="F",$C123="S",LEFT(TRIM(UPPER($P123)),6)&lt;&gt;"SINAPI",ISNA(VLOOKUP(TRIM(UPPER($S123)),ListaTgov.Unidades,1,FALSE))),"Unid. Não Disp",
" "))))))))))))))))</f>
        <v xml:space="preserve"> </v>
      </c>
      <c r="AD123" s="670" t="str">
        <f ca="1">IF(C123&lt;=CRONO.NivelExibicao,MAX($AD$15:OFFSET(AD123,-1,0))+IF($C123&lt;&gt;1,1,MAX(1,COUNTIF(QCI!$A$13:$A$24,OFFSET($E123,-1,0)))),"")</f>
        <v/>
      </c>
      <c r="AE123" s="668" t="str" cm="1">
        <f t="array" aca="1" ref="AE123" ca="1">IF(AND($C123="S",ORÇAMENTO.CodBarra&lt;&gt;""),IF(ORÇAMENTO.Fonte="",ORÇAMENTO.CodBarra,CONCATENATE(ORÇAMENTO.Fonte," ",ORÇAMENTO.CodBarra)))</f>
        <v>SINAPI 100623</v>
      </c>
      <c r="AF123" s="669" cm="1">
        <f t="array" aca="1" ref="AF123" ca="1">IF(ISERROR(ORÇAMENTO.BancoRef),"(abra o arquivo 'Referência "&amp;Excel_BuiltIn_Database&amp;".xlsm)",IF(OR($C123&lt;&gt;"S",ORÇAMENTO.CodBarra=""),"(Sem Código)",IF(ISERROR(MATCH($AE123,INDIRECT(ORÇAMENTO.BancoRef),0)),"(Código não identificado nas referências)",MATCH($AE123,INDIRECT(ORÇAMENTO.BancoRef),0))))</f>
        <v>14477</v>
      </c>
      <c r="AG123" s="428" cm="1">
        <f t="array" aca="1" ref="AG123" ca="1">ROUND(IF(DESONERACAO="sim",REFERENCIA.Desonerado,REFERENCIA.NaoDesonerado),2)</f>
        <v>2448.69</v>
      </c>
      <c r="AH123" s="429">
        <f t="shared" ca="1" si="30"/>
        <v>0.24</v>
      </c>
      <c r="AJ123" s="431"/>
      <c r="AL123" s="439"/>
      <c r="AM123" s="336">
        <f t="shared" ca="1" si="0"/>
        <v>15181.9</v>
      </c>
      <c r="AN123" s="470" cm="1">
        <f t="array" aca="1" ref="AN123" ca="1">ROUND(ORÇAMENTO.CustoUnitario*(1+$AH123),2)</f>
        <v>3036.38</v>
      </c>
    </row>
    <row r="124" spans="1:40" s="670" customFormat="1" x14ac:dyDescent="0.2">
      <c r="A124" s="670" t="str">
        <f t="shared" si="17"/>
        <v>S</v>
      </c>
      <c r="B124" s="670">
        <f t="shared" ca="1" si="18"/>
        <v>2</v>
      </c>
      <c r="C124" s="670" t="str">
        <f t="shared" ca="1" si="19"/>
        <v>S</v>
      </c>
      <c r="D124" s="670">
        <f t="shared" ca="1" si="20"/>
        <v>0</v>
      </c>
      <c r="E124" s="670">
        <f ca="1">IF($C124=1,OFFSET(E124,-1,0)+MAX(1,COUNTIF(QCI!$A$13:$A$24,OFFSET(ORÇAMENTO!E124,-1,0))),OFFSET(E124,-1,0))</f>
        <v>1</v>
      </c>
      <c r="F124" s="670">
        <f t="shared" ca="1" si="21"/>
        <v>17</v>
      </c>
      <c r="G124" s="670">
        <f t="shared" ca="1" si="22"/>
        <v>0</v>
      </c>
      <c r="H124" s="670">
        <f t="shared" ca="1" si="23"/>
        <v>0</v>
      </c>
      <c r="I124" s="670">
        <f t="shared" ca="1" si="24"/>
        <v>10</v>
      </c>
      <c r="J124" s="670">
        <f t="shared" ca="1" si="32"/>
        <v>0</v>
      </c>
      <c r="K124" s="670">
        <f ca="1">IF(OR($C124="S",$C124=0),0,MATCH(OFFSET($D124,0,$C124)+IF($C124&lt;&gt;1,1,COUNTIF(QCI!$A$13:$A$24,ORÇAMENTO!E124)),OFFSET($D124,1,$C124,ROW($C$191)-ROW($C124)),0))</f>
        <v>0</v>
      </c>
      <c r="L124" s="114" t="str">
        <f t="shared" ca="1" si="26"/>
        <v>F</v>
      </c>
      <c r="M124" s="115" t="s">
        <v>705</v>
      </c>
      <c r="N124" s="116" t="str">
        <f t="shared" ca="1" si="27"/>
        <v>Serviço</v>
      </c>
      <c r="O124" s="117" t="str">
        <f t="shared" ca="1" si="28"/>
        <v>1.17.10.</v>
      </c>
      <c r="P124" s="688" t="s">
        <v>957</v>
      </c>
      <c r="Q124" s="689" t="s">
        <v>1097</v>
      </c>
      <c r="R124" s="690" t="str" cm="1">
        <f t="array" aca="1" ref="R124" ca="1">IF($C124="S",REFERENCIA.Descricao,"(digite a descrição aqui)")</f>
        <v>RELÉ FOTOELÉTRICO 50/60 HZ, 110/220 V, 1200 VA, COMPLETO</v>
      </c>
      <c r="S124" s="691" t="str" cm="1">
        <f t="array" aca="1" ref="S124" ca="1">REFERENCIA.Unidade</f>
        <v>UNIDADE</v>
      </c>
      <c r="T124" s="122">
        <f ca="1">OFFSET(CÁLCULO!H$15,ROW($T124)-ROW(T$15),0)</f>
        <v>2</v>
      </c>
      <c r="U124" s="693">
        <f t="shared" ca="1" si="31"/>
        <v>105.18</v>
      </c>
      <c r="V124" s="694" t="s">
        <v>663</v>
      </c>
      <c r="W124" s="122" cm="1">
        <f t="array" aca="1" ref="W124" ca="1">IF($C124="S",ROUND(IF(TIPOORCAMENTO="Proposto",ORÇAMENTO.CustoUnitario*(1+$AH124),ORÇAMENTO.PrecoUnitarioLicitado),15-13*$AF$10),0)</f>
        <v>130.41999999999999</v>
      </c>
      <c r="X124" s="125" cm="1">
        <f t="array" aca="1" ref="X124" ca="1">IF($C124="S",IF(OR(Import.TipoArredondamento&lt;&gt;"TransfereGOV",ACOMPANHAMENTO="BM"),VTOTAL1,SUM(OFFSET(CÁLCULO!$AI$15,ROW($X124)-ROW($X$15),1):OFFSET(CÁLCULO!$BB$15,ROW($X124)-ROW($X$15),-1))),IF($C124=0,0,ROUND(SomaAgrup,15-13*$AF$11)))</f>
        <v>260.83999999999997</v>
      </c>
      <c r="Y124" s="126" t="s">
        <v>751</v>
      </c>
      <c r="Z124" s="670" t="str">
        <f t="shared" ca="1" si="29"/>
        <v>RA</v>
      </c>
      <c r="AA124" s="127" cm="1">
        <f t="array" aca="1" ref="AA124" ca="1">IF($C124="S",IF($Z124="CP",$X124,IF($Z124="RA",(($X124)*QCI!$AA$3),0)),SomaAgrup)</f>
        <v>0</v>
      </c>
      <c r="AB124" s="128" cm="1">
        <f t="array" aca="1" ref="AB124" ca="1">IF($C124="S",IF($Z124="OU",ROUND($X124,2),0),SomaAgrup)</f>
        <v>0</v>
      </c>
      <c r="AC124" s="565" t="str" cm="1">
        <f t="array" aca="1" ref="AC124" ca="1">IF($N124=""," ",
IF(AND($C124&lt;&gt;"S",OR($R124="",$R124="(digite a descrição aqui)")),"DESCRIÇÃO",
IF(AND($C124="S",OR($Q124&lt;&gt;"",$T124&gt;0,$U124&gt;0),$P124=""),"FONTE",
IF(AND($C124="S",$P124&lt;&gt;"",OR($T124&gt;0,$U124&gt;0),$Q124=""),"CÓDIGO",
IF(AND($C124="S",$P124&lt;&gt;"",$Q124&lt;&gt;"",$R124="(Código não identificado nas referências)"),"CÓDIGO N/ID",
IF(AND($C124="S",OR($R124="",$R124="(digite a descrição aqui)"),OR($Q124&lt;&gt;"",$T124&gt;0,$U124&gt;0)),"DESCRIÇÃO",
IF(AND($C124="S",$P124&lt;&gt;"",$Q124&lt;&gt;"",$S124=""),"UNIDADE",
IF(AND($C124="S",$P124&lt;&gt;"",$Q124&lt;&gt;"",$U124=0),"SEM CUSTO",
IF(AND(TIPOORCAMENTO="Licitado",$AL124=0,$AN124&gt;0),"SEM PREÇO",
IF(AND($C124="S",$P124&lt;&gt;"",$Q124&lt;&gt;"",$U124&gt;0,AND($V124&lt;&gt;"BDI 1",$V124&lt;&gt;"BDI 2",$V124&lt;&gt;"BDI 3")),IF(ISNUMBER($V124),"JUSTIFICAR BDI","BDI"),
IF(OR(AND(import.recurso="OGU",TIPOORCAMENTO="Proposto",LEFT($O$8,5)&lt;&gt;"(N/D:",$AG124&lt;&gt;"",ORÇAMENTO.CustoUnitario&gt;$AG124),AND(TIPOORCAMENTO="LICITADO",ORÇAMENTO.PrecoUnitarioLicitado&gt;$AN124)),"ACIMA REF.",
IF(AND($C124="S",$P124&lt;&gt;"",$Q124&lt;&gt;"",$T124=0,$U124&gt;0),"QUANT.",
IF(AND(Import.TipoArredondamento="TransfereGOV",$L124="F",$C124="S",LEN($Q124)&gt;13),"Código &gt;13",
IF(AND(Import.TipoArredondamento="TransfereGOV",$L124="F",$C124&lt;&gt;"S",LEN($R124)&gt;100),"Descrição &gt;100",
IF(AND(Import.TipoArredondamento="TransfereGOV",$L124="F",$C124="S",LEN($R124)&gt;500),"Descrição &gt;500",
IF(AND(Import.TipoArredondamento="TransfereGOV",$L124="F",$C124="S",LEFT(TRIM(UPPER($P124)),6)&lt;&gt;"SINAPI",ISNA(VLOOKUP(TRIM(UPPER($S124)),ListaTgov.Unidades,1,FALSE))),"Unid. Não Disp",
" "))))))))))))))))</f>
        <v>Unid. Não Disp</v>
      </c>
      <c r="AD124" s="670" t="str">
        <f ca="1">IF(C124&lt;=CRONO.NivelExibicao,MAX($AD$15:OFFSET(AD124,-1,0))+IF($C124&lt;&gt;1,1,MAX(1,COUNTIF(QCI!$A$13:$A$24,OFFSET($E124,-1,0)))),"")</f>
        <v/>
      </c>
      <c r="AE124" s="668" t="str" cm="1">
        <f t="array" aca="1" ref="AE124" ca="1">IF(AND($C124="S",ORÇAMENTO.CodBarra&lt;&gt;""),IF(ORÇAMENTO.Fonte="",ORÇAMENTO.CodBarra,CONCATENATE(ORÇAMENTO.Fonte," ",ORÇAMENTO.CodBarra)))</f>
        <v>Cotação 11</v>
      </c>
      <c r="AF124" s="669" cm="1">
        <f t="array" aca="1" ref="AF124" ca="1">IF(ISERROR(ORÇAMENTO.BancoRef),"(abra o arquivo 'Referência "&amp;Excel_BuiltIn_Database&amp;".xlsm)",IF(OR($C124&lt;&gt;"S",ORÇAMENTO.CodBarra=""),"(Sem Código)",IF(ISERROR(MATCH($AE124,INDIRECT(ORÇAMENTO.BancoRef),0)),"(Código não identificado nas referências)",MATCH($AE124,INDIRECT(ORÇAMENTO.BancoRef),0))))</f>
        <v>20</v>
      </c>
      <c r="AG124" s="428" cm="1">
        <f t="array" aca="1" ref="AG124" ca="1">ROUND(IF(DESONERACAO="sim",REFERENCIA.Desonerado,REFERENCIA.NaoDesonerado),2)</f>
        <v>105.18</v>
      </c>
      <c r="AH124" s="429">
        <f t="shared" ca="1" si="30"/>
        <v>0.24</v>
      </c>
      <c r="AJ124" s="431"/>
      <c r="AL124" s="439"/>
      <c r="AM124" s="336">
        <f t="shared" ca="1" si="0"/>
        <v>260.83999999999997</v>
      </c>
      <c r="AN124" s="470" cm="1">
        <f t="array" aca="1" ref="AN124" ca="1">ROUND(ORÇAMENTO.CustoUnitario*(1+$AH124),2)</f>
        <v>130.41999999999999</v>
      </c>
    </row>
    <row r="125" spans="1:40" s="670" customFormat="1" ht="38.25" x14ac:dyDescent="0.2">
      <c r="A125" s="670" t="str">
        <f t="shared" si="17"/>
        <v>S</v>
      </c>
      <c r="B125" s="670">
        <f t="shared" ca="1" si="18"/>
        <v>2</v>
      </c>
      <c r="C125" s="670" t="str">
        <f t="shared" ca="1" si="19"/>
        <v>S</v>
      </c>
      <c r="D125" s="670">
        <f t="shared" ca="1" si="20"/>
        <v>0</v>
      </c>
      <c r="E125" s="670">
        <f ca="1">IF($C125=1,OFFSET(E125,-1,0)+MAX(1,COUNTIF(QCI!$A$13:$A$24,OFFSET(ORÇAMENTO!E125,-1,0))),OFFSET(E125,-1,0))</f>
        <v>1</v>
      </c>
      <c r="F125" s="670">
        <f t="shared" ca="1" si="21"/>
        <v>17</v>
      </c>
      <c r="G125" s="670">
        <f t="shared" ca="1" si="22"/>
        <v>0</v>
      </c>
      <c r="H125" s="670">
        <f t="shared" ca="1" si="23"/>
        <v>0</v>
      </c>
      <c r="I125" s="670">
        <f t="shared" ca="1" si="24"/>
        <v>11</v>
      </c>
      <c r="J125" s="670">
        <f t="shared" ca="1" si="32"/>
        <v>0</v>
      </c>
      <c r="K125" s="670">
        <f ca="1">IF(OR($C125="S",$C125=0),0,MATCH(OFFSET($D125,0,$C125)+IF($C125&lt;&gt;1,1,COUNTIF(QCI!$A$13:$A$24,ORÇAMENTO!E125)),OFFSET($D125,1,$C125,ROW($C$191)-ROW($C125)),0))</f>
        <v>0</v>
      </c>
      <c r="L125" s="114" t="str">
        <f t="shared" ca="1" si="26"/>
        <v>F</v>
      </c>
      <c r="M125" s="115" t="s">
        <v>705</v>
      </c>
      <c r="N125" s="116" t="str">
        <f t="shared" ca="1" si="27"/>
        <v>Serviço</v>
      </c>
      <c r="O125" s="117" t="str">
        <f t="shared" ca="1" si="28"/>
        <v>1.17.11.</v>
      </c>
      <c r="P125" s="688" t="s">
        <v>750</v>
      </c>
      <c r="Q125" s="689" t="s">
        <v>1048</v>
      </c>
      <c r="R125" s="690" t="str" cm="1">
        <f t="array" aca="1" ref="R125" ca="1">IF($C125="S",REFERENCIA.Descricao,"(digite a descrição aqui)")</f>
        <v>CABO DE COBRE FLEXÍVEL ISOLADO, 2,5 MM², ANTI-CHAMA 0,6/1,0 KV, PARA CIRCUITOS TERMINAIS - FORNECIMENTO E INSTALAÇÃO. AF_03/2023</v>
      </c>
      <c r="S125" s="691" t="str" cm="1">
        <f t="array" aca="1" ref="S125" ca="1">REFERENCIA.Unidade</f>
        <v>M</v>
      </c>
      <c r="T125" s="122">
        <f ca="1">OFFSET(CÁLCULO!H$15,ROW($T125)-ROW(T$15),0)</f>
        <v>200</v>
      </c>
      <c r="U125" s="693">
        <f t="shared" ca="1" si="31"/>
        <v>5.45</v>
      </c>
      <c r="V125" s="694" t="s">
        <v>663</v>
      </c>
      <c r="W125" s="122" cm="1">
        <f t="array" aca="1" ref="W125" ca="1">IF($C125="S",ROUND(IF(TIPOORCAMENTO="Proposto",ORÇAMENTO.CustoUnitario*(1+$AH125),ORÇAMENTO.PrecoUnitarioLicitado),15-13*$AF$10),0)</f>
        <v>6.76</v>
      </c>
      <c r="X125" s="125" cm="1">
        <f t="array" aca="1" ref="X125" ca="1">IF($C125="S",IF(OR(Import.TipoArredondamento&lt;&gt;"TransfereGOV",ACOMPANHAMENTO="BM"),VTOTAL1,SUM(OFFSET(CÁLCULO!$AI$15,ROW($X125)-ROW($X$15),1):OFFSET(CÁLCULO!$BB$15,ROW($X125)-ROW($X$15),-1))),IF($C125=0,0,ROUND(SomaAgrup,15-13*$AF$11)))</f>
        <v>1352</v>
      </c>
      <c r="Y125" s="126" t="s">
        <v>751</v>
      </c>
      <c r="Z125" s="670" t="str">
        <f t="shared" ca="1" si="29"/>
        <v>RA</v>
      </c>
      <c r="AA125" s="127" cm="1">
        <f t="array" aca="1" ref="AA125" ca="1">IF($C125="S",IF($Z125="CP",$X125,IF($Z125="RA",(($X125)*QCI!$AA$3),0)),SomaAgrup)</f>
        <v>0</v>
      </c>
      <c r="AB125" s="128" cm="1">
        <f t="array" aca="1" ref="AB125" ca="1">IF($C125="S",IF($Z125="OU",ROUND($X125,2),0),SomaAgrup)</f>
        <v>0</v>
      </c>
      <c r="AC125" s="565" t="str" cm="1">
        <f t="array" aca="1" ref="AC125" ca="1">IF($N125=""," ",
IF(AND($C125&lt;&gt;"S",OR($R125="",$R125="(digite a descrição aqui)")),"DESCRIÇÃO",
IF(AND($C125="S",OR($Q125&lt;&gt;"",$T125&gt;0,$U125&gt;0),$P125=""),"FONTE",
IF(AND($C125="S",$P125&lt;&gt;"",OR($T125&gt;0,$U125&gt;0),$Q125=""),"CÓDIGO",
IF(AND($C125="S",$P125&lt;&gt;"",$Q125&lt;&gt;"",$R125="(Código não identificado nas referências)"),"CÓDIGO N/ID",
IF(AND($C125="S",OR($R125="",$R125="(digite a descrição aqui)"),OR($Q125&lt;&gt;"",$T125&gt;0,$U125&gt;0)),"DESCRIÇÃO",
IF(AND($C125="S",$P125&lt;&gt;"",$Q125&lt;&gt;"",$S125=""),"UNIDADE",
IF(AND($C125="S",$P125&lt;&gt;"",$Q125&lt;&gt;"",$U125=0),"SEM CUSTO",
IF(AND(TIPOORCAMENTO="Licitado",$AL125=0,$AN125&gt;0),"SEM PREÇO",
IF(AND($C125="S",$P125&lt;&gt;"",$Q125&lt;&gt;"",$U125&gt;0,AND($V125&lt;&gt;"BDI 1",$V125&lt;&gt;"BDI 2",$V125&lt;&gt;"BDI 3")),IF(ISNUMBER($V125),"JUSTIFICAR BDI","BDI"),
IF(OR(AND(import.recurso="OGU",TIPOORCAMENTO="Proposto",LEFT($O$8,5)&lt;&gt;"(N/D:",$AG125&lt;&gt;"",ORÇAMENTO.CustoUnitario&gt;$AG125),AND(TIPOORCAMENTO="LICITADO",ORÇAMENTO.PrecoUnitarioLicitado&gt;$AN125)),"ACIMA REF.",
IF(AND($C125="S",$P125&lt;&gt;"",$Q125&lt;&gt;"",$T125=0,$U125&gt;0),"QUANT.",
IF(AND(Import.TipoArredondamento="TransfereGOV",$L125="F",$C125="S",LEN($Q125)&gt;13),"Código &gt;13",
IF(AND(Import.TipoArredondamento="TransfereGOV",$L125="F",$C125&lt;&gt;"S",LEN($R125)&gt;100),"Descrição &gt;100",
IF(AND(Import.TipoArredondamento="TransfereGOV",$L125="F",$C125="S",LEN($R125)&gt;500),"Descrição &gt;500",
IF(AND(Import.TipoArredondamento="TransfereGOV",$L125="F",$C125="S",LEFT(TRIM(UPPER($P125)),6)&lt;&gt;"SINAPI",ISNA(VLOOKUP(TRIM(UPPER($S125)),ListaTgov.Unidades,1,FALSE))),"Unid. Não Disp",
" "))))))))))))))))</f>
        <v xml:space="preserve"> </v>
      </c>
      <c r="AD125" s="670" t="str">
        <f ca="1">IF(C125&lt;=CRONO.NivelExibicao,MAX($AD$15:OFFSET(AD125,-1,0))+IF($C125&lt;&gt;1,1,MAX(1,COUNTIF(QCI!$A$13:$A$24,OFFSET($E125,-1,0)))),"")</f>
        <v/>
      </c>
      <c r="AE125" s="668" t="str" cm="1">
        <f t="array" aca="1" ref="AE125" ca="1">IF(AND($C125="S",ORÇAMENTO.CodBarra&lt;&gt;""),IF(ORÇAMENTO.Fonte="",ORÇAMENTO.CodBarra,CONCATENATE(ORÇAMENTO.Fonte," ",ORÇAMENTO.CodBarra)))</f>
        <v>SINAPI 91927</v>
      </c>
      <c r="AF125" s="669" cm="1">
        <f t="array" aca="1" ref="AF125" ca="1">IF(ISERROR(ORÇAMENTO.BancoRef),"(abra o arquivo 'Referência "&amp;Excel_BuiltIn_Database&amp;".xlsm)",IF(OR($C125&lt;&gt;"S",ORÇAMENTO.CodBarra=""),"(Sem Código)",IF(ISERROR(MATCH($AE125,INDIRECT(ORÇAMENTO.BancoRef),0)),"(Código não identificado nas referências)",MATCH($AE125,INDIRECT(ORÇAMENTO.BancoRef),0))))</f>
        <v>10605</v>
      </c>
      <c r="AG125" s="428" cm="1">
        <f t="array" aca="1" ref="AG125" ca="1">ROUND(IF(DESONERACAO="sim",REFERENCIA.Desonerado,REFERENCIA.NaoDesonerado),2)</f>
        <v>5.45</v>
      </c>
      <c r="AH125" s="429">
        <f t="shared" ca="1" si="30"/>
        <v>0.24</v>
      </c>
      <c r="AJ125" s="431"/>
      <c r="AL125" s="439"/>
      <c r="AM125" s="336">
        <f t="shared" ca="1" si="0"/>
        <v>1352</v>
      </c>
      <c r="AN125" s="470" cm="1">
        <f t="array" aca="1" ref="AN125" ca="1">ROUND(ORÇAMENTO.CustoUnitario*(1+$AH125),2)</f>
        <v>6.76</v>
      </c>
    </row>
    <row r="126" spans="1:40" s="670" customFormat="1" ht="38.25" x14ac:dyDescent="0.2">
      <c r="A126" s="670" t="str">
        <f t="shared" si="17"/>
        <v>S</v>
      </c>
      <c r="B126" s="670">
        <f t="shared" ca="1" si="18"/>
        <v>2</v>
      </c>
      <c r="C126" s="670" t="str">
        <f t="shared" ca="1" si="19"/>
        <v>S</v>
      </c>
      <c r="D126" s="670">
        <f t="shared" ca="1" si="20"/>
        <v>0</v>
      </c>
      <c r="E126" s="670">
        <f ca="1">IF($C126=1,OFFSET(E126,-1,0)+MAX(1,COUNTIF(QCI!$A$13:$A$24,OFFSET(ORÇAMENTO!E126,-1,0))),OFFSET(E126,-1,0))</f>
        <v>1</v>
      </c>
      <c r="F126" s="670">
        <f t="shared" ca="1" si="21"/>
        <v>17</v>
      </c>
      <c r="G126" s="670">
        <f t="shared" ca="1" si="22"/>
        <v>0</v>
      </c>
      <c r="H126" s="670">
        <f t="shared" ca="1" si="23"/>
        <v>0</v>
      </c>
      <c r="I126" s="670">
        <f t="shared" ca="1" si="24"/>
        <v>12</v>
      </c>
      <c r="J126" s="670">
        <f t="shared" ca="1" si="32"/>
        <v>0</v>
      </c>
      <c r="K126" s="670">
        <f ca="1">IF(OR($C126="S",$C126=0),0,MATCH(OFFSET($D126,0,$C126)+IF($C126&lt;&gt;1,1,COUNTIF(QCI!$A$13:$A$24,ORÇAMENTO!E126)),OFFSET($D126,1,$C126,ROW($C$191)-ROW($C126)),0))</f>
        <v>0</v>
      </c>
      <c r="L126" s="114" t="str">
        <f t="shared" ca="1" si="26"/>
        <v>F</v>
      </c>
      <c r="M126" s="115" t="s">
        <v>705</v>
      </c>
      <c r="N126" s="116" t="str">
        <f t="shared" ca="1" si="27"/>
        <v>Serviço</v>
      </c>
      <c r="O126" s="117" t="str">
        <f t="shared" ca="1" si="28"/>
        <v>1.17.12.</v>
      </c>
      <c r="P126" s="688" t="s">
        <v>750</v>
      </c>
      <c r="Q126" s="689" t="s">
        <v>1049</v>
      </c>
      <c r="R126" s="690" t="str" cm="1">
        <f t="array" aca="1" ref="R126" ca="1">IF($C126="S",REFERENCIA.Descricao,"(digite a descrição aqui)")</f>
        <v>CABO DE COBRE FLEXÍVEL ISOLADO, 10 MM², 0,6/1,0 KV, PARA REDE AÉREA DE DISTRIBUIÇÃO DE ENERGIA ELÉTRICA DE BAIXA TENSÃO - FORNECIMENTO E INSTALAÇÃO. AF_12/2025</v>
      </c>
      <c r="S126" s="691" t="str" cm="1">
        <f t="array" aca="1" ref="S126" ca="1">REFERENCIA.Unidade</f>
        <v>M</v>
      </c>
      <c r="T126" s="122">
        <f ca="1">OFFSET(CÁLCULO!H$15,ROW($T126)-ROW(T$15),0)</f>
        <v>52</v>
      </c>
      <c r="U126" s="693">
        <f t="shared" ca="1" si="31"/>
        <v>11.2</v>
      </c>
      <c r="V126" s="694" t="s">
        <v>663</v>
      </c>
      <c r="W126" s="122" cm="1">
        <f t="array" aca="1" ref="W126" ca="1">IF($C126="S",ROUND(IF(TIPOORCAMENTO="Proposto",ORÇAMENTO.CustoUnitario*(1+$AH126),ORÇAMENTO.PrecoUnitarioLicitado),15-13*$AF$10),0)</f>
        <v>13.89</v>
      </c>
      <c r="X126" s="125" cm="1">
        <f t="array" aca="1" ref="X126" ca="1">IF($C126="S",IF(OR(Import.TipoArredondamento&lt;&gt;"TransfereGOV",ACOMPANHAMENTO="BM"),VTOTAL1,SUM(OFFSET(CÁLCULO!$AI$15,ROW($X126)-ROW($X$15),1):OFFSET(CÁLCULO!$BB$15,ROW($X126)-ROW($X$15),-1))),IF($C126=0,0,ROUND(SomaAgrup,15-13*$AF$11)))</f>
        <v>722.28</v>
      </c>
      <c r="Y126" s="126" t="s">
        <v>751</v>
      </c>
      <c r="Z126" s="670" t="str">
        <f t="shared" ca="1" si="29"/>
        <v>RA</v>
      </c>
      <c r="AA126" s="127" cm="1">
        <f t="array" aca="1" ref="AA126" ca="1">IF($C126="S",IF($Z126="CP",$X126,IF($Z126="RA",(($X126)*QCI!$AA$3),0)),SomaAgrup)</f>
        <v>0</v>
      </c>
      <c r="AB126" s="128" cm="1">
        <f t="array" aca="1" ref="AB126" ca="1">IF($C126="S",IF($Z126="OU",ROUND($X126,2),0),SomaAgrup)</f>
        <v>0</v>
      </c>
      <c r="AC126" s="565" t="str" cm="1">
        <f t="array" aca="1" ref="AC126" ca="1">IF($N126=""," ",
IF(AND($C126&lt;&gt;"S",OR($R126="",$R126="(digite a descrição aqui)")),"DESCRIÇÃO",
IF(AND($C126="S",OR($Q126&lt;&gt;"",$T126&gt;0,$U126&gt;0),$P126=""),"FONTE",
IF(AND($C126="S",$P126&lt;&gt;"",OR($T126&gt;0,$U126&gt;0),$Q126=""),"CÓDIGO",
IF(AND($C126="S",$P126&lt;&gt;"",$Q126&lt;&gt;"",$R126="(Código não identificado nas referências)"),"CÓDIGO N/ID",
IF(AND($C126="S",OR($R126="",$R126="(digite a descrição aqui)"),OR($Q126&lt;&gt;"",$T126&gt;0,$U126&gt;0)),"DESCRIÇÃO",
IF(AND($C126="S",$P126&lt;&gt;"",$Q126&lt;&gt;"",$S126=""),"UNIDADE",
IF(AND($C126="S",$P126&lt;&gt;"",$Q126&lt;&gt;"",$U126=0),"SEM CUSTO",
IF(AND(TIPOORCAMENTO="Licitado",$AL126=0,$AN126&gt;0),"SEM PREÇO",
IF(AND($C126="S",$P126&lt;&gt;"",$Q126&lt;&gt;"",$U126&gt;0,AND($V126&lt;&gt;"BDI 1",$V126&lt;&gt;"BDI 2",$V126&lt;&gt;"BDI 3")),IF(ISNUMBER($V126),"JUSTIFICAR BDI","BDI"),
IF(OR(AND(import.recurso="OGU",TIPOORCAMENTO="Proposto",LEFT($O$8,5)&lt;&gt;"(N/D:",$AG126&lt;&gt;"",ORÇAMENTO.CustoUnitario&gt;$AG126),AND(TIPOORCAMENTO="LICITADO",ORÇAMENTO.PrecoUnitarioLicitado&gt;$AN126)),"ACIMA REF.",
IF(AND($C126="S",$P126&lt;&gt;"",$Q126&lt;&gt;"",$T126=0,$U126&gt;0),"QUANT.",
IF(AND(Import.TipoArredondamento="TransfereGOV",$L126="F",$C126="S",LEN($Q126)&gt;13),"Código &gt;13",
IF(AND(Import.TipoArredondamento="TransfereGOV",$L126="F",$C126&lt;&gt;"S",LEN($R126)&gt;100),"Descrição &gt;100",
IF(AND(Import.TipoArredondamento="TransfereGOV",$L126="F",$C126="S",LEN($R126)&gt;500),"Descrição &gt;500",
IF(AND(Import.TipoArredondamento="TransfereGOV",$L126="F",$C126="S",LEFT(TRIM(UPPER($P126)),6)&lt;&gt;"SINAPI",ISNA(VLOOKUP(TRIM(UPPER($S126)),ListaTgov.Unidades,1,FALSE))),"Unid. Não Disp",
" "))))))))))))))))</f>
        <v xml:space="preserve"> </v>
      </c>
      <c r="AD126" s="670" t="str">
        <f ca="1">IF(C126&lt;=CRONO.NivelExibicao,MAX($AD$15:OFFSET(AD126,-1,0))+IF($C126&lt;&gt;1,1,MAX(1,COUNTIF(QCI!$A$13:$A$24,OFFSET($E126,-1,0)))),"")</f>
        <v/>
      </c>
      <c r="AE126" s="668" t="str" cm="1">
        <f t="array" aca="1" ref="AE126" ca="1">IF(AND($C126="S",ORÇAMENTO.CodBarra&lt;&gt;""),IF(ORÇAMENTO.Fonte="",ORÇAMENTO.CodBarra,CONCATENATE(ORÇAMENTO.Fonte," ",ORÇAMENTO.CodBarra)))</f>
        <v>SINAPI 101560</v>
      </c>
      <c r="AF126" s="669" cm="1">
        <f t="array" aca="1" ref="AF126" ca="1">IF(ISERROR(ORÇAMENTO.BancoRef),"(abra o arquivo 'Referência "&amp;Excel_BuiltIn_Database&amp;".xlsm)",IF(OR($C126&lt;&gt;"S",ORÇAMENTO.CodBarra=""),"(Sem Código)",IF(ISERROR(MATCH($AE126,INDIRECT(ORÇAMENTO.BancoRef),0)),"(Código não identificado nas referências)",MATCH($AE126,INDIRECT(ORÇAMENTO.BancoRef),0))))</f>
        <v>11010</v>
      </c>
      <c r="AG126" s="428" cm="1">
        <f t="array" aca="1" ref="AG126" ca="1">ROUND(IF(DESONERACAO="sim",REFERENCIA.Desonerado,REFERENCIA.NaoDesonerado),2)</f>
        <v>11.2</v>
      </c>
      <c r="AH126" s="429">
        <f t="shared" ca="1" si="30"/>
        <v>0.24</v>
      </c>
      <c r="AJ126" s="431"/>
      <c r="AL126" s="439"/>
      <c r="AM126" s="336">
        <f t="shared" ca="1" si="0"/>
        <v>722.28</v>
      </c>
      <c r="AN126" s="470" cm="1">
        <f t="array" aca="1" ref="AN126" ca="1">ROUND(ORÇAMENTO.CustoUnitario*(1+$AH126),2)</f>
        <v>13.89</v>
      </c>
    </row>
    <row r="127" spans="1:40" s="670" customFormat="1" ht="38.25" x14ac:dyDescent="0.2">
      <c r="A127" s="670" t="str">
        <f t="shared" si="17"/>
        <v>S</v>
      </c>
      <c r="B127" s="670">
        <f t="shared" ca="1" si="18"/>
        <v>2</v>
      </c>
      <c r="C127" s="670" t="str">
        <f t="shared" ca="1" si="19"/>
        <v>S</v>
      </c>
      <c r="D127" s="670">
        <f t="shared" ca="1" si="20"/>
        <v>0</v>
      </c>
      <c r="E127" s="670">
        <f ca="1">IF($C127=1,OFFSET(E127,-1,0)+MAX(1,COUNTIF(QCI!$A$13:$A$24,OFFSET(ORÇAMENTO!E127,-1,0))),OFFSET(E127,-1,0))</f>
        <v>1</v>
      </c>
      <c r="F127" s="670">
        <f t="shared" ca="1" si="21"/>
        <v>17</v>
      </c>
      <c r="G127" s="670">
        <f t="shared" ca="1" si="22"/>
        <v>0</v>
      </c>
      <c r="H127" s="670">
        <f t="shared" ca="1" si="23"/>
        <v>0</v>
      </c>
      <c r="I127" s="670">
        <f t="shared" ca="1" si="24"/>
        <v>13</v>
      </c>
      <c r="J127" s="670">
        <f t="shared" ca="1" si="32"/>
        <v>0</v>
      </c>
      <c r="K127" s="670">
        <f ca="1">IF(OR($C127="S",$C127=0),0,MATCH(OFFSET($D127,0,$C127)+IF($C127&lt;&gt;1,1,COUNTIF(QCI!$A$13:$A$24,ORÇAMENTO!E127)),OFFSET($D127,1,$C127,ROW($C$191)-ROW($C127)),0))</f>
        <v>0</v>
      </c>
      <c r="L127" s="114" t="str">
        <f t="shared" ca="1" si="26"/>
        <v>F</v>
      </c>
      <c r="M127" s="115" t="s">
        <v>705</v>
      </c>
      <c r="N127" s="116" t="str">
        <f t="shared" ca="1" si="27"/>
        <v>Serviço</v>
      </c>
      <c r="O127" s="117" t="str">
        <f t="shared" ca="1" si="28"/>
        <v>1.17.13.</v>
      </c>
      <c r="P127" s="688" t="s">
        <v>750</v>
      </c>
      <c r="Q127" s="689" t="s">
        <v>1050</v>
      </c>
      <c r="R127" s="690" t="str" cm="1">
        <f t="array" aca="1" ref="R127" ca="1">IF($C127="S",REFERENCIA.Descricao,"(digite a descrição aqui)")</f>
        <v>CABO DE COBRE FLEXÍVEL ISOLADO, 16 MM², ANTI-CHAMA 0,6/1,0 KV, PARA CIRCUITOS TERMINAIS - FORNECIMENTO E INSTALAÇÃO. AF_03/2023</v>
      </c>
      <c r="S127" s="691" t="str" cm="1">
        <f t="array" aca="1" ref="S127" ca="1">REFERENCIA.Unidade</f>
        <v>M</v>
      </c>
      <c r="T127" s="122">
        <f ca="1">OFFSET(CÁLCULO!H$15,ROW($T127)-ROW(T$15),0)</f>
        <v>230</v>
      </c>
      <c r="U127" s="693">
        <f t="shared" ca="1" si="31"/>
        <v>28.26</v>
      </c>
      <c r="V127" s="694" t="s">
        <v>663</v>
      </c>
      <c r="W127" s="122" cm="1">
        <f t="array" aca="1" ref="W127" ca="1">IF($C127="S",ROUND(IF(TIPOORCAMENTO="Proposto",ORÇAMENTO.CustoUnitario*(1+$AH127),ORÇAMENTO.PrecoUnitarioLicitado),15-13*$AF$10),0)</f>
        <v>35.04</v>
      </c>
      <c r="X127" s="125" cm="1">
        <f t="array" aca="1" ref="X127" ca="1">IF($C127="S",IF(OR(Import.TipoArredondamento&lt;&gt;"TransfereGOV",ACOMPANHAMENTO="BM"),VTOTAL1,SUM(OFFSET(CÁLCULO!$AI$15,ROW($X127)-ROW($X$15),1):OFFSET(CÁLCULO!$BB$15,ROW($X127)-ROW($X$15),-1))),IF($C127=0,0,ROUND(SomaAgrup,15-13*$AF$11)))</f>
        <v>8059.2</v>
      </c>
      <c r="Y127" s="126" t="s">
        <v>751</v>
      </c>
      <c r="Z127" s="670" t="str">
        <f t="shared" ca="1" si="29"/>
        <v>RA</v>
      </c>
      <c r="AA127" s="127" cm="1">
        <f t="array" aca="1" ref="AA127" ca="1">IF($C127="S",IF($Z127="CP",$X127,IF($Z127="RA",(($X127)*QCI!$AA$3),0)),SomaAgrup)</f>
        <v>0</v>
      </c>
      <c r="AB127" s="128" cm="1">
        <f t="array" aca="1" ref="AB127" ca="1">IF($C127="S",IF($Z127="OU",ROUND($X127,2),0),SomaAgrup)</f>
        <v>0</v>
      </c>
      <c r="AC127" s="565" t="str" cm="1">
        <f t="array" aca="1" ref="AC127" ca="1">IF($N127=""," ",
IF(AND($C127&lt;&gt;"S",OR($R127="",$R127="(digite a descrição aqui)")),"DESCRIÇÃO",
IF(AND($C127="S",OR($Q127&lt;&gt;"",$T127&gt;0,$U127&gt;0),$P127=""),"FONTE",
IF(AND($C127="S",$P127&lt;&gt;"",OR($T127&gt;0,$U127&gt;0),$Q127=""),"CÓDIGO",
IF(AND($C127="S",$P127&lt;&gt;"",$Q127&lt;&gt;"",$R127="(Código não identificado nas referências)"),"CÓDIGO N/ID",
IF(AND($C127="S",OR($R127="",$R127="(digite a descrição aqui)"),OR($Q127&lt;&gt;"",$T127&gt;0,$U127&gt;0)),"DESCRIÇÃO",
IF(AND($C127="S",$P127&lt;&gt;"",$Q127&lt;&gt;"",$S127=""),"UNIDADE",
IF(AND($C127="S",$P127&lt;&gt;"",$Q127&lt;&gt;"",$U127=0),"SEM CUSTO",
IF(AND(TIPOORCAMENTO="Licitado",$AL127=0,$AN127&gt;0),"SEM PREÇO",
IF(AND($C127="S",$P127&lt;&gt;"",$Q127&lt;&gt;"",$U127&gt;0,AND($V127&lt;&gt;"BDI 1",$V127&lt;&gt;"BDI 2",$V127&lt;&gt;"BDI 3")),IF(ISNUMBER($V127),"JUSTIFICAR BDI","BDI"),
IF(OR(AND(import.recurso="OGU",TIPOORCAMENTO="Proposto",LEFT($O$8,5)&lt;&gt;"(N/D:",$AG127&lt;&gt;"",ORÇAMENTO.CustoUnitario&gt;$AG127),AND(TIPOORCAMENTO="LICITADO",ORÇAMENTO.PrecoUnitarioLicitado&gt;$AN127)),"ACIMA REF.",
IF(AND($C127="S",$P127&lt;&gt;"",$Q127&lt;&gt;"",$T127=0,$U127&gt;0),"QUANT.",
IF(AND(Import.TipoArredondamento="TransfereGOV",$L127="F",$C127="S",LEN($Q127)&gt;13),"Código &gt;13",
IF(AND(Import.TipoArredondamento="TransfereGOV",$L127="F",$C127&lt;&gt;"S",LEN($R127)&gt;100),"Descrição &gt;100",
IF(AND(Import.TipoArredondamento="TransfereGOV",$L127="F",$C127="S",LEN($R127)&gt;500),"Descrição &gt;500",
IF(AND(Import.TipoArredondamento="TransfereGOV",$L127="F",$C127="S",LEFT(TRIM(UPPER($P127)),6)&lt;&gt;"SINAPI",ISNA(VLOOKUP(TRIM(UPPER($S127)),ListaTgov.Unidades,1,FALSE))),"Unid. Não Disp",
" "))))))))))))))))</f>
        <v xml:space="preserve"> </v>
      </c>
      <c r="AD127" s="670" t="str">
        <f ca="1">IF(C127&lt;=CRONO.NivelExibicao,MAX($AD$15:OFFSET(AD127,-1,0))+IF($C127&lt;&gt;1,1,MAX(1,COUNTIF(QCI!$A$13:$A$24,OFFSET($E127,-1,0)))),"")</f>
        <v/>
      </c>
      <c r="AE127" s="668" t="str" cm="1">
        <f t="array" aca="1" ref="AE127" ca="1">IF(AND($C127="S",ORÇAMENTO.CodBarra&lt;&gt;""),IF(ORÇAMENTO.Fonte="",ORÇAMENTO.CodBarra,CONCATENATE(ORÇAMENTO.Fonte," ",ORÇAMENTO.CodBarra)))</f>
        <v>SINAPI 91935</v>
      </c>
      <c r="AF127" s="669" cm="1">
        <f t="array" aca="1" ref="AF127" ca="1">IF(ISERROR(ORÇAMENTO.BancoRef),"(abra o arquivo 'Referência "&amp;Excel_BuiltIn_Database&amp;".xlsm)",IF(OR($C127&lt;&gt;"S",ORÇAMENTO.CodBarra=""),"(Sem Código)",IF(ISERROR(MATCH($AE127,INDIRECT(ORÇAMENTO.BancoRef),0)),"(Código não identificado nas referências)",MATCH($AE127,INDIRECT(ORÇAMENTO.BancoRef),0))))</f>
        <v>10603</v>
      </c>
      <c r="AG127" s="428" cm="1">
        <f t="array" aca="1" ref="AG127" ca="1">ROUND(IF(DESONERACAO="sim",REFERENCIA.Desonerado,REFERENCIA.NaoDesonerado),2)</f>
        <v>28.26</v>
      </c>
      <c r="AH127" s="429">
        <f t="shared" ca="1" si="30"/>
        <v>0.24</v>
      </c>
      <c r="AJ127" s="431"/>
      <c r="AL127" s="439"/>
      <c r="AM127" s="336">
        <f t="shared" ca="1" si="0"/>
        <v>8059.2</v>
      </c>
      <c r="AN127" s="470" cm="1">
        <f t="array" aca="1" ref="AN127" ca="1">ROUND(ORÇAMENTO.CustoUnitario*(1+$AH127),2)</f>
        <v>35.04</v>
      </c>
    </row>
    <row r="128" spans="1:40" s="670" customFormat="1" ht="38.25" x14ac:dyDescent="0.2">
      <c r="A128" s="670" t="str">
        <f t="shared" si="17"/>
        <v>S</v>
      </c>
      <c r="B128" s="670">
        <f t="shared" ca="1" si="18"/>
        <v>2</v>
      </c>
      <c r="C128" s="670" t="str">
        <f t="shared" ca="1" si="19"/>
        <v>S</v>
      </c>
      <c r="D128" s="670">
        <f t="shared" ca="1" si="20"/>
        <v>0</v>
      </c>
      <c r="E128" s="670">
        <f ca="1">IF($C128=1,OFFSET(E128,-1,0)+MAX(1,COUNTIF(QCI!$A$13:$A$24,OFFSET(ORÇAMENTO!E128,-1,0))),OFFSET(E128,-1,0))</f>
        <v>1</v>
      </c>
      <c r="F128" s="670">
        <f t="shared" ca="1" si="21"/>
        <v>17</v>
      </c>
      <c r="G128" s="670">
        <f t="shared" ca="1" si="22"/>
        <v>0</v>
      </c>
      <c r="H128" s="670">
        <f t="shared" ca="1" si="23"/>
        <v>0</v>
      </c>
      <c r="I128" s="670">
        <f t="shared" ca="1" si="24"/>
        <v>14</v>
      </c>
      <c r="J128" s="670">
        <f t="shared" ca="1" si="32"/>
        <v>0</v>
      </c>
      <c r="K128" s="670">
        <f ca="1">IF(OR($C128="S",$C128=0),0,MATCH(OFFSET($D128,0,$C128)+IF($C128&lt;&gt;1,1,COUNTIF(QCI!$A$13:$A$24,ORÇAMENTO!E128)),OFFSET($D128,1,$C128,ROW($C$191)-ROW($C128)),0))</f>
        <v>0</v>
      </c>
      <c r="L128" s="114" t="str">
        <f t="shared" ca="1" si="26"/>
        <v>F</v>
      </c>
      <c r="M128" s="115" t="s">
        <v>705</v>
      </c>
      <c r="N128" s="116" t="str">
        <f t="shared" ca="1" si="27"/>
        <v>Serviço</v>
      </c>
      <c r="O128" s="117" t="str">
        <f t="shared" ca="1" si="28"/>
        <v>1.17.14.</v>
      </c>
      <c r="P128" s="688" t="s">
        <v>750</v>
      </c>
      <c r="Q128" s="689" t="s">
        <v>1051</v>
      </c>
      <c r="R128" s="690" t="str" cm="1">
        <f t="array" aca="1" ref="R128" ca="1">IF($C128="S",REFERENCIA.Descricao,"(digite a descrição aqui)")</f>
        <v>CABO DE COBRE FLEXÍVEL ISOLADO, 25 MM², ANTI-CHAMA 0,6/1,0 KV, PARA REDE ENTERRADA DE DISTRIBUIÇÃO DE ENERGIA ELÉTRICA - FORNECIMENTO E INSTALAÇÃO. AF_12/2021</v>
      </c>
      <c r="S128" s="691" t="str" cm="1">
        <f t="array" aca="1" ref="S128" ca="1">REFERENCIA.Unidade</f>
        <v>M</v>
      </c>
      <c r="T128" s="122">
        <f ca="1">OFFSET(CÁLCULO!H$15,ROW($T128)-ROW(T$15),0)</f>
        <v>21</v>
      </c>
      <c r="U128" s="693">
        <f t="shared" ca="1" si="31"/>
        <v>30.58</v>
      </c>
      <c r="V128" s="694" t="s">
        <v>663</v>
      </c>
      <c r="W128" s="122" cm="1">
        <f t="array" aca="1" ref="W128" ca="1">IF($C128="S",ROUND(IF(TIPOORCAMENTO="Proposto",ORÇAMENTO.CustoUnitario*(1+$AH128),ORÇAMENTO.PrecoUnitarioLicitado),15-13*$AF$10),0)</f>
        <v>37.92</v>
      </c>
      <c r="X128" s="125" cm="1">
        <f t="array" aca="1" ref="X128" ca="1">IF($C128="S",IF(OR(Import.TipoArredondamento&lt;&gt;"TransfereGOV",ACOMPANHAMENTO="BM"),VTOTAL1,SUM(OFFSET(CÁLCULO!$AI$15,ROW($X128)-ROW($X$15),1):OFFSET(CÁLCULO!$BB$15,ROW($X128)-ROW($X$15),-1))),IF($C128=0,0,ROUND(SomaAgrup,15-13*$AF$11)))</f>
        <v>796.32</v>
      </c>
      <c r="Y128" s="126" t="s">
        <v>751</v>
      </c>
      <c r="Z128" s="670" t="str">
        <f t="shared" ca="1" si="29"/>
        <v>RA</v>
      </c>
      <c r="AA128" s="127" cm="1">
        <f t="array" aca="1" ref="AA128" ca="1">IF($C128="S",IF($Z128="CP",$X128,IF($Z128="RA",(($X128)*QCI!$AA$3),0)),SomaAgrup)</f>
        <v>0</v>
      </c>
      <c r="AB128" s="128" cm="1">
        <f t="array" aca="1" ref="AB128" ca="1">IF($C128="S",IF($Z128="OU",ROUND($X128,2),0),SomaAgrup)</f>
        <v>0</v>
      </c>
      <c r="AC128" s="565" t="str" cm="1">
        <f t="array" aca="1" ref="AC128" ca="1">IF($N128=""," ",
IF(AND($C128&lt;&gt;"S",OR($R128="",$R128="(digite a descrição aqui)")),"DESCRIÇÃO",
IF(AND($C128="S",OR($Q128&lt;&gt;"",$T128&gt;0,$U128&gt;0),$P128=""),"FONTE",
IF(AND($C128="S",$P128&lt;&gt;"",OR($T128&gt;0,$U128&gt;0),$Q128=""),"CÓDIGO",
IF(AND($C128="S",$P128&lt;&gt;"",$Q128&lt;&gt;"",$R128="(Código não identificado nas referências)"),"CÓDIGO N/ID",
IF(AND($C128="S",OR($R128="",$R128="(digite a descrição aqui)"),OR($Q128&lt;&gt;"",$T128&gt;0,$U128&gt;0)),"DESCRIÇÃO",
IF(AND($C128="S",$P128&lt;&gt;"",$Q128&lt;&gt;"",$S128=""),"UNIDADE",
IF(AND($C128="S",$P128&lt;&gt;"",$Q128&lt;&gt;"",$U128=0),"SEM CUSTO",
IF(AND(TIPOORCAMENTO="Licitado",$AL128=0,$AN128&gt;0),"SEM PREÇO",
IF(AND($C128="S",$P128&lt;&gt;"",$Q128&lt;&gt;"",$U128&gt;0,AND($V128&lt;&gt;"BDI 1",$V128&lt;&gt;"BDI 2",$V128&lt;&gt;"BDI 3")),IF(ISNUMBER($V128),"JUSTIFICAR BDI","BDI"),
IF(OR(AND(import.recurso="OGU",TIPOORCAMENTO="Proposto",LEFT($O$8,5)&lt;&gt;"(N/D:",$AG128&lt;&gt;"",ORÇAMENTO.CustoUnitario&gt;$AG128),AND(TIPOORCAMENTO="LICITADO",ORÇAMENTO.PrecoUnitarioLicitado&gt;$AN128)),"ACIMA REF.",
IF(AND($C128="S",$P128&lt;&gt;"",$Q128&lt;&gt;"",$T128=0,$U128&gt;0),"QUANT.",
IF(AND(Import.TipoArredondamento="TransfereGOV",$L128="F",$C128="S",LEN($Q128)&gt;13),"Código &gt;13",
IF(AND(Import.TipoArredondamento="TransfereGOV",$L128="F",$C128&lt;&gt;"S",LEN($R128)&gt;100),"Descrição &gt;100",
IF(AND(Import.TipoArredondamento="TransfereGOV",$L128="F",$C128="S",LEN($R128)&gt;500),"Descrição &gt;500",
IF(AND(Import.TipoArredondamento="TransfereGOV",$L128="F",$C128="S",LEFT(TRIM(UPPER($P128)),6)&lt;&gt;"SINAPI",ISNA(VLOOKUP(TRIM(UPPER($S128)),ListaTgov.Unidades,1,FALSE))),"Unid. Não Disp",
" "))))))))))))))))</f>
        <v xml:space="preserve"> </v>
      </c>
      <c r="AD128" s="670" t="str">
        <f ca="1">IF(C128&lt;=CRONO.NivelExibicao,MAX($AD$15:OFFSET(AD128,-1,0))+IF($C128&lt;&gt;1,1,MAX(1,COUNTIF(QCI!$A$13:$A$24,OFFSET($E128,-1,0)))),"")</f>
        <v/>
      </c>
      <c r="AE128" s="668" t="str" cm="1">
        <f t="array" aca="1" ref="AE128" ca="1">IF(AND($C128="S",ORÇAMENTO.CodBarra&lt;&gt;""),IF(ORÇAMENTO.Fonte="",ORÇAMENTO.CodBarra,CONCATENATE(ORÇAMENTO.Fonte," ",ORÇAMENTO.CodBarra)))</f>
        <v>SINAPI 92984</v>
      </c>
      <c r="AF128" s="669" cm="1">
        <f t="array" aca="1" ref="AF128" ca="1">IF(ISERROR(ORÇAMENTO.BancoRef),"(abra o arquivo 'Referência "&amp;Excel_BuiltIn_Database&amp;".xlsm)",IF(OR($C128&lt;&gt;"S",ORÇAMENTO.CodBarra=""),"(Sem Código)",IF(ISERROR(MATCH($AE128,INDIRECT(ORÇAMENTO.BancoRef),0)),"(Código não identificado nas referências)",MATCH($AE128,INDIRECT(ORÇAMENTO.BancoRef),0))))</f>
        <v>14991</v>
      </c>
      <c r="AG128" s="428" cm="1">
        <f t="array" aca="1" ref="AG128" ca="1">ROUND(IF(DESONERACAO="sim",REFERENCIA.Desonerado,REFERENCIA.NaoDesonerado),2)</f>
        <v>30.58</v>
      </c>
      <c r="AH128" s="429">
        <f t="shared" ca="1" si="30"/>
        <v>0.24</v>
      </c>
      <c r="AJ128" s="431"/>
      <c r="AL128" s="439"/>
      <c r="AM128" s="336">
        <f t="shared" ca="1" si="0"/>
        <v>796.32</v>
      </c>
      <c r="AN128" s="470" cm="1">
        <f t="array" aca="1" ref="AN128" ca="1">ROUND(ORÇAMENTO.CustoUnitario*(1+$AH128),2)</f>
        <v>37.92</v>
      </c>
    </row>
    <row r="129" spans="1:40" s="670" customFormat="1" ht="38.25" x14ac:dyDescent="0.2">
      <c r="A129" s="670" t="str">
        <f t="shared" si="17"/>
        <v>S</v>
      </c>
      <c r="B129" s="670">
        <f t="shared" ca="1" si="18"/>
        <v>2</v>
      </c>
      <c r="C129" s="670" t="str">
        <f t="shared" ca="1" si="19"/>
        <v>S</v>
      </c>
      <c r="D129" s="670">
        <f t="shared" ca="1" si="20"/>
        <v>0</v>
      </c>
      <c r="E129" s="670">
        <f ca="1">IF($C129=1,OFFSET(E129,-1,0)+MAX(1,COUNTIF(QCI!$A$13:$A$24,OFFSET(ORÇAMENTO!E129,-1,0))),OFFSET(E129,-1,0))</f>
        <v>1</v>
      </c>
      <c r="F129" s="670">
        <f t="shared" ca="1" si="21"/>
        <v>17</v>
      </c>
      <c r="G129" s="670">
        <f t="shared" ca="1" si="22"/>
        <v>0</v>
      </c>
      <c r="H129" s="670">
        <f t="shared" ca="1" si="23"/>
        <v>0</v>
      </c>
      <c r="I129" s="670">
        <f t="shared" ca="1" si="24"/>
        <v>15</v>
      </c>
      <c r="J129" s="670">
        <f t="shared" ca="1" si="32"/>
        <v>0</v>
      </c>
      <c r="K129" s="670">
        <f ca="1">IF(OR($C129="S",$C129=0),0,MATCH(OFFSET($D129,0,$C129)+IF($C129&lt;&gt;1,1,COUNTIF(QCI!$A$13:$A$24,ORÇAMENTO!E129)),OFFSET($D129,1,$C129,ROW($C$191)-ROW($C129)),0))</f>
        <v>0</v>
      </c>
      <c r="L129" s="114" t="str">
        <f t="shared" ca="1" si="26"/>
        <v>F</v>
      </c>
      <c r="M129" s="115" t="s">
        <v>705</v>
      </c>
      <c r="N129" s="116" t="str">
        <f t="shared" ca="1" si="27"/>
        <v>Serviço</v>
      </c>
      <c r="O129" s="117" t="str">
        <f t="shared" ca="1" si="28"/>
        <v>1.17.15.</v>
      </c>
      <c r="P129" s="688" t="s">
        <v>750</v>
      </c>
      <c r="Q129" s="689" t="s">
        <v>1052</v>
      </c>
      <c r="R129" s="690" t="str" cm="1">
        <f t="array" aca="1" ref="R129" ca="1">IF($C129="S",REFERENCIA.Descricao,"(digite a descrição aqui)")</f>
        <v>CABO DE COBRE FLEXÍVEL ISOLADO, 35 MM², ANTI-CHAMA 0,6/1,0 KV, PARA REDE ENTERRADA DE DISTRIBUIÇÃO DE ENERGIA ELÉTRICA - FORNECIMENTO E INSTALAÇÃO. AF_12/2021</v>
      </c>
      <c r="S129" s="691" t="str" cm="1">
        <f t="array" aca="1" ref="S129" ca="1">REFERENCIA.Unidade</f>
        <v>M</v>
      </c>
      <c r="T129" s="122">
        <f ca="1">OFFSET(CÁLCULO!H$15,ROW($T129)-ROW(T$15),0)</f>
        <v>975</v>
      </c>
      <c r="U129" s="693">
        <f t="shared" ca="1" si="31"/>
        <v>42.19</v>
      </c>
      <c r="V129" s="694" t="s">
        <v>663</v>
      </c>
      <c r="W129" s="122" cm="1">
        <f t="array" aca="1" ref="W129" ca="1">IF($C129="S",ROUND(IF(TIPOORCAMENTO="Proposto",ORÇAMENTO.CustoUnitario*(1+$AH129),ORÇAMENTO.PrecoUnitarioLicitado),15-13*$AF$10),0)</f>
        <v>52.32</v>
      </c>
      <c r="X129" s="125" cm="1">
        <f t="array" aca="1" ref="X129" ca="1">IF($C129="S",IF(OR(Import.TipoArredondamento&lt;&gt;"TransfereGOV",ACOMPANHAMENTO="BM"),VTOTAL1,SUM(OFFSET(CÁLCULO!$AI$15,ROW($X129)-ROW($X$15),1):OFFSET(CÁLCULO!$BB$15,ROW($X129)-ROW($X$15),-1))),IF($C129=0,0,ROUND(SomaAgrup,15-13*$AF$11)))</f>
        <v>51012</v>
      </c>
      <c r="Y129" s="126" t="s">
        <v>751</v>
      </c>
      <c r="Z129" s="670" t="str">
        <f t="shared" ca="1" si="29"/>
        <v>RA</v>
      </c>
      <c r="AA129" s="127" cm="1">
        <f t="array" aca="1" ref="AA129" ca="1">IF($C129="S",IF($Z129="CP",$X129,IF($Z129="RA",(($X129)*QCI!$AA$3),0)),SomaAgrup)</f>
        <v>0</v>
      </c>
      <c r="AB129" s="128" cm="1">
        <f t="array" aca="1" ref="AB129" ca="1">IF($C129="S",IF($Z129="OU",ROUND($X129,2),0),SomaAgrup)</f>
        <v>0</v>
      </c>
      <c r="AC129" s="565" t="str" cm="1">
        <f t="array" aca="1" ref="AC129" ca="1">IF($N129=""," ",
IF(AND($C129&lt;&gt;"S",OR($R129="",$R129="(digite a descrição aqui)")),"DESCRIÇÃO",
IF(AND($C129="S",OR($Q129&lt;&gt;"",$T129&gt;0,$U129&gt;0),$P129=""),"FONTE",
IF(AND($C129="S",$P129&lt;&gt;"",OR($T129&gt;0,$U129&gt;0),$Q129=""),"CÓDIGO",
IF(AND($C129="S",$P129&lt;&gt;"",$Q129&lt;&gt;"",$R129="(Código não identificado nas referências)"),"CÓDIGO N/ID",
IF(AND($C129="S",OR($R129="",$R129="(digite a descrição aqui)"),OR($Q129&lt;&gt;"",$T129&gt;0,$U129&gt;0)),"DESCRIÇÃO",
IF(AND($C129="S",$P129&lt;&gt;"",$Q129&lt;&gt;"",$S129=""),"UNIDADE",
IF(AND($C129="S",$P129&lt;&gt;"",$Q129&lt;&gt;"",$U129=0),"SEM CUSTO",
IF(AND(TIPOORCAMENTO="Licitado",$AL129=0,$AN129&gt;0),"SEM PREÇO",
IF(AND($C129="S",$P129&lt;&gt;"",$Q129&lt;&gt;"",$U129&gt;0,AND($V129&lt;&gt;"BDI 1",$V129&lt;&gt;"BDI 2",$V129&lt;&gt;"BDI 3")),IF(ISNUMBER($V129),"JUSTIFICAR BDI","BDI"),
IF(OR(AND(import.recurso="OGU",TIPOORCAMENTO="Proposto",LEFT($O$8,5)&lt;&gt;"(N/D:",$AG129&lt;&gt;"",ORÇAMENTO.CustoUnitario&gt;$AG129),AND(TIPOORCAMENTO="LICITADO",ORÇAMENTO.PrecoUnitarioLicitado&gt;$AN129)),"ACIMA REF.",
IF(AND($C129="S",$P129&lt;&gt;"",$Q129&lt;&gt;"",$T129=0,$U129&gt;0),"QUANT.",
IF(AND(Import.TipoArredondamento="TransfereGOV",$L129="F",$C129="S",LEN($Q129)&gt;13),"Código &gt;13",
IF(AND(Import.TipoArredondamento="TransfereGOV",$L129="F",$C129&lt;&gt;"S",LEN($R129)&gt;100),"Descrição &gt;100",
IF(AND(Import.TipoArredondamento="TransfereGOV",$L129="F",$C129="S",LEN($R129)&gt;500),"Descrição &gt;500",
IF(AND(Import.TipoArredondamento="TransfereGOV",$L129="F",$C129="S",LEFT(TRIM(UPPER($P129)),6)&lt;&gt;"SINAPI",ISNA(VLOOKUP(TRIM(UPPER($S129)),ListaTgov.Unidades,1,FALSE))),"Unid. Não Disp",
" "))))))))))))))))</f>
        <v xml:space="preserve"> </v>
      </c>
      <c r="AD129" s="670" t="str">
        <f ca="1">IF(C129&lt;=CRONO.NivelExibicao,MAX($AD$15:OFFSET(AD129,-1,0))+IF($C129&lt;&gt;1,1,MAX(1,COUNTIF(QCI!$A$13:$A$24,OFFSET($E129,-1,0)))),"")</f>
        <v/>
      </c>
      <c r="AE129" s="668" t="str" cm="1">
        <f t="array" aca="1" ref="AE129" ca="1">IF(AND($C129="S",ORÇAMENTO.CodBarra&lt;&gt;""),IF(ORÇAMENTO.Fonte="",ORÇAMENTO.CodBarra,CONCATENATE(ORÇAMENTO.Fonte," ",ORÇAMENTO.CodBarra)))</f>
        <v>SINAPI 92986</v>
      </c>
      <c r="AF129" s="669" cm="1">
        <f t="array" aca="1" ref="AF129" ca="1">IF(ISERROR(ORÇAMENTO.BancoRef),"(abra o arquivo 'Referência "&amp;Excel_BuiltIn_Database&amp;".xlsm)",IF(OR($C129&lt;&gt;"S",ORÇAMENTO.CodBarra=""),"(Sem Código)",IF(ISERROR(MATCH($AE129,INDIRECT(ORÇAMENTO.BancoRef),0)),"(Código não identificado nas referências)",MATCH($AE129,INDIRECT(ORÇAMENTO.BancoRef),0))))</f>
        <v>14993</v>
      </c>
      <c r="AG129" s="428" cm="1">
        <f t="array" aca="1" ref="AG129" ca="1">ROUND(IF(DESONERACAO="sim",REFERENCIA.Desonerado,REFERENCIA.NaoDesonerado),2)</f>
        <v>42.19</v>
      </c>
      <c r="AH129" s="429">
        <f t="shared" ca="1" si="30"/>
        <v>0.24</v>
      </c>
      <c r="AJ129" s="431"/>
      <c r="AL129" s="439"/>
      <c r="AM129" s="336">
        <f t="shared" ca="1" si="0"/>
        <v>51012</v>
      </c>
      <c r="AN129" s="470" cm="1">
        <f t="array" aca="1" ref="AN129" ca="1">ROUND(ORÇAMENTO.CustoUnitario*(1+$AH129),2)</f>
        <v>52.32</v>
      </c>
    </row>
    <row r="130" spans="1:40" s="670" customFormat="1" ht="38.25" x14ac:dyDescent="0.2">
      <c r="A130" s="670" t="str">
        <f t="shared" si="17"/>
        <v>S</v>
      </c>
      <c r="B130" s="670">
        <f t="shared" ca="1" si="18"/>
        <v>2</v>
      </c>
      <c r="C130" s="670" t="str">
        <f t="shared" ca="1" si="19"/>
        <v>S</v>
      </c>
      <c r="D130" s="670">
        <f t="shared" ca="1" si="20"/>
        <v>0</v>
      </c>
      <c r="E130" s="670">
        <f ca="1">IF($C130=1,OFFSET(E130,-1,0)+MAX(1,COUNTIF(QCI!$A$13:$A$24,OFFSET(ORÇAMENTO!E130,-1,0))),OFFSET(E130,-1,0))</f>
        <v>1</v>
      </c>
      <c r="F130" s="670">
        <f t="shared" ca="1" si="21"/>
        <v>17</v>
      </c>
      <c r="G130" s="670">
        <f t="shared" ca="1" si="22"/>
        <v>0</v>
      </c>
      <c r="H130" s="670">
        <f t="shared" ca="1" si="23"/>
        <v>0</v>
      </c>
      <c r="I130" s="670">
        <f t="shared" ca="1" si="24"/>
        <v>16</v>
      </c>
      <c r="J130" s="670">
        <f t="shared" ca="1" si="32"/>
        <v>0</v>
      </c>
      <c r="K130" s="670">
        <f ca="1">IF(OR($C130="S",$C130=0),0,MATCH(OFFSET($D130,0,$C130)+IF($C130&lt;&gt;1,1,COUNTIF(QCI!$A$13:$A$24,ORÇAMENTO!E130)),OFFSET($D130,1,$C130,ROW($C$191)-ROW($C130)),0))</f>
        <v>0</v>
      </c>
      <c r="L130" s="114" t="str">
        <f t="shared" ca="1" si="26"/>
        <v>F</v>
      </c>
      <c r="M130" s="115" t="s">
        <v>705</v>
      </c>
      <c r="N130" s="116" t="str">
        <f t="shared" ca="1" si="27"/>
        <v>Serviço</v>
      </c>
      <c r="O130" s="117" t="str">
        <f t="shared" ca="1" si="28"/>
        <v>1.17.16.</v>
      </c>
      <c r="P130" s="688" t="s">
        <v>750</v>
      </c>
      <c r="Q130" s="689" t="s">
        <v>1053</v>
      </c>
      <c r="R130" s="690" t="str" cm="1">
        <f t="array" aca="1" ref="R130" ca="1">IF($C130="S",REFERENCIA.Descricao,"(digite a descrição aqui)")</f>
        <v>CABO DE COBRE FLEXÍVEL ISOLADO, 50 MM², 0,6/1,0 KV, PARA REDE AÉREA DE DISTRIBUIÇÃO DE ENERGIA ELÉTRICA DE BAIXA TENSÃO - FORNECIMENTO E INSTALAÇÃO. AF_12/2025</v>
      </c>
      <c r="S130" s="691" t="str" cm="1">
        <f t="array" aca="1" ref="S130" ca="1">REFERENCIA.Unidade</f>
        <v>M</v>
      </c>
      <c r="T130" s="122">
        <f ca="1">OFFSET(CÁLCULO!H$15,ROW($T130)-ROW(T$15),0)</f>
        <v>63</v>
      </c>
      <c r="U130" s="693">
        <f t="shared" ca="1" si="31"/>
        <v>57.45</v>
      </c>
      <c r="V130" s="694" t="s">
        <v>663</v>
      </c>
      <c r="W130" s="122" cm="1">
        <f t="array" aca="1" ref="W130" ca="1">IF($C130="S",ROUND(IF(TIPOORCAMENTO="Proposto",ORÇAMENTO.CustoUnitario*(1+$AH130),ORÇAMENTO.PrecoUnitarioLicitado),15-13*$AF$10),0)</f>
        <v>71.239999999999995</v>
      </c>
      <c r="X130" s="125" cm="1">
        <f t="array" aca="1" ref="X130" ca="1">IF($C130="S",IF(OR(Import.TipoArredondamento&lt;&gt;"TransfereGOV",ACOMPANHAMENTO="BM"),VTOTAL1,SUM(OFFSET(CÁLCULO!$AI$15,ROW($X130)-ROW($X$15),1):OFFSET(CÁLCULO!$BB$15,ROW($X130)-ROW($X$15),-1))),IF($C130=0,0,ROUND(SomaAgrup,15-13*$AF$11)))</f>
        <v>4488.12</v>
      </c>
      <c r="Y130" s="126" t="s">
        <v>751</v>
      </c>
      <c r="Z130" s="670" t="str">
        <f t="shared" ca="1" si="29"/>
        <v>RA</v>
      </c>
      <c r="AA130" s="127" cm="1">
        <f t="array" aca="1" ref="AA130" ca="1">IF($C130="S",IF($Z130="CP",$X130,IF($Z130="RA",(($X130)*QCI!$AA$3),0)),SomaAgrup)</f>
        <v>0</v>
      </c>
      <c r="AB130" s="128" cm="1">
        <f t="array" aca="1" ref="AB130" ca="1">IF($C130="S",IF($Z130="OU",ROUND($X130,2),0),SomaAgrup)</f>
        <v>0</v>
      </c>
      <c r="AC130" s="565" t="str" cm="1">
        <f t="array" aca="1" ref="AC130" ca="1">IF($N130=""," ",
IF(AND($C130&lt;&gt;"S",OR($R130="",$R130="(digite a descrição aqui)")),"DESCRIÇÃO",
IF(AND($C130="S",OR($Q130&lt;&gt;"",$T130&gt;0,$U130&gt;0),$P130=""),"FONTE",
IF(AND($C130="S",$P130&lt;&gt;"",OR($T130&gt;0,$U130&gt;0),$Q130=""),"CÓDIGO",
IF(AND($C130="S",$P130&lt;&gt;"",$Q130&lt;&gt;"",$R130="(Código não identificado nas referências)"),"CÓDIGO N/ID",
IF(AND($C130="S",OR($R130="",$R130="(digite a descrição aqui)"),OR($Q130&lt;&gt;"",$T130&gt;0,$U130&gt;0)),"DESCRIÇÃO",
IF(AND($C130="S",$P130&lt;&gt;"",$Q130&lt;&gt;"",$S130=""),"UNIDADE",
IF(AND($C130="S",$P130&lt;&gt;"",$Q130&lt;&gt;"",$U130=0),"SEM CUSTO",
IF(AND(TIPOORCAMENTO="Licitado",$AL130=0,$AN130&gt;0),"SEM PREÇO",
IF(AND($C130="S",$P130&lt;&gt;"",$Q130&lt;&gt;"",$U130&gt;0,AND($V130&lt;&gt;"BDI 1",$V130&lt;&gt;"BDI 2",$V130&lt;&gt;"BDI 3")),IF(ISNUMBER($V130),"JUSTIFICAR BDI","BDI"),
IF(OR(AND(import.recurso="OGU",TIPOORCAMENTO="Proposto",LEFT($O$8,5)&lt;&gt;"(N/D:",$AG130&lt;&gt;"",ORÇAMENTO.CustoUnitario&gt;$AG130),AND(TIPOORCAMENTO="LICITADO",ORÇAMENTO.PrecoUnitarioLicitado&gt;$AN130)),"ACIMA REF.",
IF(AND($C130="S",$P130&lt;&gt;"",$Q130&lt;&gt;"",$T130=0,$U130&gt;0),"QUANT.",
IF(AND(Import.TipoArredondamento="TransfereGOV",$L130="F",$C130="S",LEN($Q130)&gt;13),"Código &gt;13",
IF(AND(Import.TipoArredondamento="TransfereGOV",$L130="F",$C130&lt;&gt;"S",LEN($R130)&gt;100),"Descrição &gt;100",
IF(AND(Import.TipoArredondamento="TransfereGOV",$L130="F",$C130="S",LEN($R130)&gt;500),"Descrição &gt;500",
IF(AND(Import.TipoArredondamento="TransfereGOV",$L130="F",$C130="S",LEFT(TRIM(UPPER($P130)),6)&lt;&gt;"SINAPI",ISNA(VLOOKUP(TRIM(UPPER($S130)),ListaTgov.Unidades,1,FALSE))),"Unid. Não Disp",
" "))))))))))))))))</f>
        <v xml:space="preserve"> </v>
      </c>
      <c r="AD130" s="670" t="str">
        <f ca="1">IF(C130&lt;=CRONO.NivelExibicao,MAX($AD$15:OFFSET(AD130,-1,0))+IF($C130&lt;&gt;1,1,MAX(1,COUNTIF(QCI!$A$13:$A$24,OFFSET($E130,-1,0)))),"")</f>
        <v/>
      </c>
      <c r="AE130" s="668" t="str" cm="1">
        <f t="array" aca="1" ref="AE130" ca="1">IF(AND($C130="S",ORÇAMENTO.CodBarra&lt;&gt;""),IF(ORÇAMENTO.Fonte="",ORÇAMENTO.CodBarra,CONCATENATE(ORÇAMENTO.Fonte," ",ORÇAMENTO.CodBarra)))</f>
        <v>SINAPI 101564</v>
      </c>
      <c r="AF130" s="669" cm="1">
        <f t="array" aca="1" ref="AF130" ca="1">IF(ISERROR(ORÇAMENTO.BancoRef),"(abra o arquivo 'Referência "&amp;Excel_BuiltIn_Database&amp;".xlsm)",IF(OR($C130&lt;&gt;"S",ORÇAMENTO.CodBarra=""),"(Sem Código)",IF(ISERROR(MATCH($AE130,INDIRECT(ORÇAMENTO.BancoRef),0)),"(Código não identificado nas referências)",MATCH($AE130,INDIRECT(ORÇAMENTO.BancoRef),0))))</f>
        <v>11015</v>
      </c>
      <c r="AG130" s="428" cm="1">
        <f t="array" aca="1" ref="AG130" ca="1">ROUND(IF(DESONERACAO="sim",REFERENCIA.Desonerado,REFERENCIA.NaoDesonerado),2)</f>
        <v>57.45</v>
      </c>
      <c r="AH130" s="429">
        <f t="shared" ca="1" si="30"/>
        <v>0.24</v>
      </c>
      <c r="AJ130" s="431"/>
      <c r="AL130" s="439"/>
      <c r="AM130" s="336">
        <f t="shared" ca="1" si="0"/>
        <v>4488.12</v>
      </c>
      <c r="AN130" s="470" cm="1">
        <f t="array" aca="1" ref="AN130" ca="1">ROUND(ORÇAMENTO.CustoUnitario*(1+$AH130),2)</f>
        <v>71.239999999999995</v>
      </c>
    </row>
    <row r="131" spans="1:40" s="670" customFormat="1" ht="38.25" x14ac:dyDescent="0.2">
      <c r="A131" s="670" t="str">
        <f t="shared" si="17"/>
        <v>S</v>
      </c>
      <c r="B131" s="670">
        <f t="shared" ca="1" si="18"/>
        <v>2</v>
      </c>
      <c r="C131" s="670" t="str">
        <f t="shared" ca="1" si="19"/>
        <v>S</v>
      </c>
      <c r="D131" s="670">
        <f t="shared" ca="1" si="20"/>
        <v>0</v>
      </c>
      <c r="E131" s="670">
        <f ca="1">IF($C131=1,OFFSET(E131,-1,0)+MAX(1,COUNTIF(QCI!$A$13:$A$24,OFFSET(ORÇAMENTO!E131,-1,0))),OFFSET(E131,-1,0))</f>
        <v>1</v>
      </c>
      <c r="F131" s="670">
        <f t="shared" ca="1" si="21"/>
        <v>17</v>
      </c>
      <c r="G131" s="670">
        <f t="shared" ca="1" si="22"/>
        <v>0</v>
      </c>
      <c r="H131" s="670">
        <f t="shared" ca="1" si="23"/>
        <v>0</v>
      </c>
      <c r="I131" s="670">
        <f t="shared" ca="1" si="24"/>
        <v>17</v>
      </c>
      <c r="J131" s="670">
        <f t="shared" ca="1" si="32"/>
        <v>0</v>
      </c>
      <c r="K131" s="670">
        <f ca="1">IF(OR($C131="S",$C131=0),0,MATCH(OFFSET($D131,0,$C131)+IF($C131&lt;&gt;1,1,COUNTIF(QCI!$A$13:$A$24,ORÇAMENTO!E131)),OFFSET($D131,1,$C131,ROW($C$191)-ROW($C131)),0))</f>
        <v>0</v>
      </c>
      <c r="L131" s="114" t="str">
        <f t="shared" ca="1" si="26"/>
        <v>F</v>
      </c>
      <c r="M131" s="115" t="s">
        <v>705</v>
      </c>
      <c r="N131" s="116" t="str">
        <f t="shared" ca="1" si="27"/>
        <v>Serviço</v>
      </c>
      <c r="O131" s="117" t="str">
        <f t="shared" ca="1" si="28"/>
        <v>1.17.17.</v>
      </c>
      <c r="P131" s="688" t="s">
        <v>750</v>
      </c>
      <c r="Q131" s="689" t="s">
        <v>1054</v>
      </c>
      <c r="R131" s="690" t="str" cm="1">
        <f t="array" aca="1" ref="R131" ca="1">IF($C131="S",REFERENCIA.Descricao,"(digite a descrição aqui)")</f>
        <v>CABO DE COBRE FLEXÍVEL ISOLADO, 70 MM², 0,6/1,0 KV, PARA REDE AÉREA DE DISTRIBUIÇÃO DE ENERGIA ELÉTRICA DE BAIXA TENSÃO - FORNECIMENTO E INSTALAÇÃO. AF_12/2025</v>
      </c>
      <c r="S131" s="691" t="str" cm="1">
        <f t="array" aca="1" ref="S131" ca="1">REFERENCIA.Unidade</f>
        <v>M</v>
      </c>
      <c r="T131" s="122">
        <f ca="1">OFFSET(CÁLCULO!H$15,ROW($T131)-ROW(T$15),0)</f>
        <v>220</v>
      </c>
      <c r="U131" s="693">
        <f t="shared" ca="1" si="31"/>
        <v>80.33</v>
      </c>
      <c r="V131" s="694" t="s">
        <v>663</v>
      </c>
      <c r="W131" s="122" cm="1">
        <f t="array" aca="1" ref="W131" ca="1">IF($C131="S",ROUND(IF(TIPOORCAMENTO="Proposto",ORÇAMENTO.CustoUnitario*(1+$AH131),ORÇAMENTO.PrecoUnitarioLicitado),15-13*$AF$10),0)</f>
        <v>99.61</v>
      </c>
      <c r="X131" s="125" cm="1">
        <f t="array" aca="1" ref="X131" ca="1">IF($C131="S",IF(OR(Import.TipoArredondamento&lt;&gt;"TransfereGOV",ACOMPANHAMENTO="BM"),VTOTAL1,SUM(OFFSET(CÁLCULO!$AI$15,ROW($X131)-ROW($X$15),1):OFFSET(CÁLCULO!$BB$15,ROW($X131)-ROW($X$15),-1))),IF($C131=0,0,ROUND(SomaAgrup,15-13*$AF$11)))</f>
        <v>21914.2</v>
      </c>
      <c r="Y131" s="126" t="s">
        <v>751</v>
      </c>
      <c r="Z131" s="670" t="str">
        <f t="shared" ca="1" si="29"/>
        <v>RA</v>
      </c>
      <c r="AA131" s="127" cm="1">
        <f t="array" aca="1" ref="AA131" ca="1">IF($C131="S",IF($Z131="CP",$X131,IF($Z131="RA",(($X131)*QCI!$AA$3),0)),SomaAgrup)</f>
        <v>0</v>
      </c>
      <c r="AB131" s="128" cm="1">
        <f t="array" aca="1" ref="AB131" ca="1">IF($C131="S",IF($Z131="OU",ROUND($X131,2),0),SomaAgrup)</f>
        <v>0</v>
      </c>
      <c r="AC131" s="565" t="str" cm="1">
        <f t="array" aca="1" ref="AC131" ca="1">IF($N131=""," ",
IF(AND($C131&lt;&gt;"S",OR($R131="",$R131="(digite a descrição aqui)")),"DESCRIÇÃO",
IF(AND($C131="S",OR($Q131&lt;&gt;"",$T131&gt;0,$U131&gt;0),$P131=""),"FONTE",
IF(AND($C131="S",$P131&lt;&gt;"",OR($T131&gt;0,$U131&gt;0),$Q131=""),"CÓDIGO",
IF(AND($C131="S",$P131&lt;&gt;"",$Q131&lt;&gt;"",$R131="(Código não identificado nas referências)"),"CÓDIGO N/ID",
IF(AND($C131="S",OR($R131="",$R131="(digite a descrição aqui)"),OR($Q131&lt;&gt;"",$T131&gt;0,$U131&gt;0)),"DESCRIÇÃO",
IF(AND($C131="S",$P131&lt;&gt;"",$Q131&lt;&gt;"",$S131=""),"UNIDADE",
IF(AND($C131="S",$P131&lt;&gt;"",$Q131&lt;&gt;"",$U131=0),"SEM CUSTO",
IF(AND(TIPOORCAMENTO="Licitado",$AL131=0,$AN131&gt;0),"SEM PREÇO",
IF(AND($C131="S",$P131&lt;&gt;"",$Q131&lt;&gt;"",$U131&gt;0,AND($V131&lt;&gt;"BDI 1",$V131&lt;&gt;"BDI 2",$V131&lt;&gt;"BDI 3")),IF(ISNUMBER($V131),"JUSTIFICAR BDI","BDI"),
IF(OR(AND(import.recurso="OGU",TIPOORCAMENTO="Proposto",LEFT($O$8,5)&lt;&gt;"(N/D:",$AG131&lt;&gt;"",ORÇAMENTO.CustoUnitario&gt;$AG131),AND(TIPOORCAMENTO="LICITADO",ORÇAMENTO.PrecoUnitarioLicitado&gt;$AN131)),"ACIMA REF.",
IF(AND($C131="S",$P131&lt;&gt;"",$Q131&lt;&gt;"",$T131=0,$U131&gt;0),"QUANT.",
IF(AND(Import.TipoArredondamento="TransfereGOV",$L131="F",$C131="S",LEN($Q131)&gt;13),"Código &gt;13",
IF(AND(Import.TipoArredondamento="TransfereGOV",$L131="F",$C131&lt;&gt;"S",LEN($R131)&gt;100),"Descrição &gt;100",
IF(AND(Import.TipoArredondamento="TransfereGOV",$L131="F",$C131="S",LEN($R131)&gt;500),"Descrição &gt;500",
IF(AND(Import.TipoArredondamento="TransfereGOV",$L131="F",$C131="S",LEFT(TRIM(UPPER($P131)),6)&lt;&gt;"SINAPI",ISNA(VLOOKUP(TRIM(UPPER($S131)),ListaTgov.Unidades,1,FALSE))),"Unid. Não Disp",
" "))))))))))))))))</f>
        <v xml:space="preserve"> </v>
      </c>
      <c r="AD131" s="670" t="str">
        <f ca="1">IF(C131&lt;=CRONO.NivelExibicao,MAX($AD$15:OFFSET(AD131,-1,0))+IF($C131&lt;&gt;1,1,MAX(1,COUNTIF(QCI!$A$13:$A$24,OFFSET($E131,-1,0)))),"")</f>
        <v/>
      </c>
      <c r="AE131" s="668" t="str" cm="1">
        <f t="array" aca="1" ref="AE131" ca="1">IF(AND($C131="S",ORÇAMENTO.CodBarra&lt;&gt;""),IF(ORÇAMENTO.Fonte="",ORÇAMENTO.CodBarra,CONCATENATE(ORÇAMENTO.Fonte," ",ORÇAMENTO.CodBarra)))</f>
        <v>SINAPI 101565</v>
      </c>
      <c r="AF131" s="669" cm="1">
        <f t="array" aca="1" ref="AF131" ca="1">IF(ISERROR(ORÇAMENTO.BancoRef),"(abra o arquivo 'Referência "&amp;Excel_BuiltIn_Database&amp;".xlsm)",IF(OR($C131&lt;&gt;"S",ORÇAMENTO.CodBarra=""),"(Sem Código)",IF(ISERROR(MATCH($AE131,INDIRECT(ORÇAMENTO.BancoRef),0)),"(Código não identificado nas referências)",MATCH($AE131,INDIRECT(ORÇAMENTO.BancoRef),0))))</f>
        <v>11016</v>
      </c>
      <c r="AG131" s="428" cm="1">
        <f t="array" aca="1" ref="AG131" ca="1">ROUND(IF(DESONERACAO="sim",REFERENCIA.Desonerado,REFERENCIA.NaoDesonerado),2)</f>
        <v>80.33</v>
      </c>
      <c r="AH131" s="429">
        <f t="shared" ca="1" si="30"/>
        <v>0.24</v>
      </c>
      <c r="AJ131" s="431"/>
      <c r="AL131" s="439"/>
      <c r="AM131" s="336">
        <f t="shared" ca="1" si="0"/>
        <v>21914.2</v>
      </c>
      <c r="AN131" s="470" cm="1">
        <f t="array" aca="1" ref="AN131" ca="1">ROUND(ORÇAMENTO.CustoUnitario*(1+$AH131),2)</f>
        <v>99.61</v>
      </c>
    </row>
    <row r="132" spans="1:40" s="670" customFormat="1" ht="25.5" x14ac:dyDescent="0.2">
      <c r="A132" s="670" t="str">
        <f t="shared" si="17"/>
        <v>S</v>
      </c>
      <c r="B132" s="670">
        <f t="shared" ca="1" si="18"/>
        <v>2</v>
      </c>
      <c r="C132" s="670" t="str">
        <f t="shared" ca="1" si="19"/>
        <v>S</v>
      </c>
      <c r="D132" s="670">
        <f t="shared" ca="1" si="20"/>
        <v>0</v>
      </c>
      <c r="E132" s="670">
        <f ca="1">IF($C132=1,OFFSET(E132,-1,0)+MAX(1,COUNTIF(QCI!$A$13:$A$24,OFFSET(ORÇAMENTO!E132,-1,0))),OFFSET(E132,-1,0))</f>
        <v>1</v>
      </c>
      <c r="F132" s="670">
        <f t="shared" ca="1" si="21"/>
        <v>17</v>
      </c>
      <c r="G132" s="670">
        <f t="shared" ca="1" si="22"/>
        <v>0</v>
      </c>
      <c r="H132" s="670">
        <f t="shared" ca="1" si="23"/>
        <v>0</v>
      </c>
      <c r="I132" s="670">
        <f t="shared" ca="1" si="24"/>
        <v>18</v>
      </c>
      <c r="J132" s="670">
        <f t="shared" ca="1" si="32"/>
        <v>0</v>
      </c>
      <c r="K132" s="670">
        <f ca="1">IF(OR($C132="S",$C132=0),0,MATCH(OFFSET($D132,0,$C132)+IF($C132&lt;&gt;1,1,COUNTIF(QCI!$A$13:$A$24,ORÇAMENTO!E132)),OFFSET($D132,1,$C132,ROW($C$191)-ROW($C132)),0))</f>
        <v>0</v>
      </c>
      <c r="L132" s="114" t="str">
        <f t="shared" ca="1" si="26"/>
        <v>F</v>
      </c>
      <c r="M132" s="115" t="s">
        <v>705</v>
      </c>
      <c r="N132" s="116" t="str">
        <f t="shared" ca="1" si="27"/>
        <v>Serviço</v>
      </c>
      <c r="O132" s="117" t="str">
        <f t="shared" ca="1" si="28"/>
        <v>1.17.18.</v>
      </c>
      <c r="P132" s="688" t="s">
        <v>957</v>
      </c>
      <c r="Q132" s="689" t="s">
        <v>1098</v>
      </c>
      <c r="R132" s="690" t="str" cm="1">
        <f t="array" aca="1" ref="R132" ca="1">IF($C132="S",REFERENCIA.Descricao,"(digite a descrição aqui)")</f>
        <v>PLACA DE MONTAGEM PARA QUADROS EM GERAL, EM CHAPA DE AÇO</v>
      </c>
      <c r="S132" s="691" t="str" cm="1">
        <f t="array" aca="1" ref="S132" ca="1">REFERENCIA.Unidade</f>
        <v>UNIDADE</v>
      </c>
      <c r="T132" s="122">
        <f ca="1">OFFSET(CÁLCULO!H$15,ROW($T132)-ROW(T$15),0)</f>
        <v>2</v>
      </c>
      <c r="U132" s="693">
        <f t="shared" ca="1" si="31"/>
        <v>446.2</v>
      </c>
      <c r="V132" s="694" t="s">
        <v>663</v>
      </c>
      <c r="W132" s="122" cm="1">
        <f t="array" aca="1" ref="W132" ca="1">IF($C132="S",ROUND(IF(TIPOORCAMENTO="Proposto",ORÇAMENTO.CustoUnitario*(1+$AH132),ORÇAMENTO.PrecoUnitarioLicitado),15-13*$AF$10),0)</f>
        <v>553.29</v>
      </c>
      <c r="X132" s="125" cm="1">
        <f t="array" aca="1" ref="X132" ca="1">IF($C132="S",IF(OR(Import.TipoArredondamento&lt;&gt;"TransfereGOV",ACOMPANHAMENTO="BM"),VTOTAL1,SUM(OFFSET(CÁLCULO!$AI$15,ROW($X132)-ROW($X$15),1):OFFSET(CÁLCULO!$BB$15,ROW($X132)-ROW($X$15),-1))),IF($C132=0,0,ROUND(SomaAgrup,15-13*$AF$11)))</f>
        <v>1106.58</v>
      </c>
      <c r="Y132" s="126" t="s">
        <v>751</v>
      </c>
      <c r="Z132" s="670" t="str">
        <f t="shared" ca="1" si="29"/>
        <v>RA</v>
      </c>
      <c r="AA132" s="127" cm="1">
        <f t="array" aca="1" ref="AA132" ca="1">IF($C132="S",IF($Z132="CP",$X132,IF($Z132="RA",(($X132)*QCI!$AA$3),0)),SomaAgrup)</f>
        <v>0</v>
      </c>
      <c r="AB132" s="128" cm="1">
        <f t="array" aca="1" ref="AB132" ca="1">IF($C132="S",IF($Z132="OU",ROUND($X132,2),0),SomaAgrup)</f>
        <v>0</v>
      </c>
      <c r="AC132" s="565" t="str" cm="1">
        <f t="array" aca="1" ref="AC132" ca="1">IF($N132=""," ",
IF(AND($C132&lt;&gt;"S",OR($R132="",$R132="(digite a descrição aqui)")),"DESCRIÇÃO",
IF(AND($C132="S",OR($Q132&lt;&gt;"",$T132&gt;0,$U132&gt;0),$P132=""),"FONTE",
IF(AND($C132="S",$P132&lt;&gt;"",OR($T132&gt;0,$U132&gt;0),$Q132=""),"CÓDIGO",
IF(AND($C132="S",$P132&lt;&gt;"",$Q132&lt;&gt;"",$R132="(Código não identificado nas referências)"),"CÓDIGO N/ID",
IF(AND($C132="S",OR($R132="",$R132="(digite a descrição aqui)"),OR($Q132&lt;&gt;"",$T132&gt;0,$U132&gt;0)),"DESCRIÇÃO",
IF(AND($C132="S",$P132&lt;&gt;"",$Q132&lt;&gt;"",$S132=""),"UNIDADE",
IF(AND($C132="S",$P132&lt;&gt;"",$Q132&lt;&gt;"",$U132=0),"SEM CUSTO",
IF(AND(TIPOORCAMENTO="Licitado",$AL132=0,$AN132&gt;0),"SEM PREÇO",
IF(AND($C132="S",$P132&lt;&gt;"",$Q132&lt;&gt;"",$U132&gt;0,AND($V132&lt;&gt;"BDI 1",$V132&lt;&gt;"BDI 2",$V132&lt;&gt;"BDI 3")),IF(ISNUMBER($V132),"JUSTIFICAR BDI","BDI"),
IF(OR(AND(import.recurso="OGU",TIPOORCAMENTO="Proposto",LEFT($O$8,5)&lt;&gt;"(N/D:",$AG132&lt;&gt;"",ORÇAMENTO.CustoUnitario&gt;$AG132),AND(TIPOORCAMENTO="LICITADO",ORÇAMENTO.PrecoUnitarioLicitado&gt;$AN132)),"ACIMA REF.",
IF(AND($C132="S",$P132&lt;&gt;"",$Q132&lt;&gt;"",$T132=0,$U132&gt;0),"QUANT.",
IF(AND(Import.TipoArredondamento="TransfereGOV",$L132="F",$C132="S",LEN($Q132)&gt;13),"Código &gt;13",
IF(AND(Import.TipoArredondamento="TransfereGOV",$L132="F",$C132&lt;&gt;"S",LEN($R132)&gt;100),"Descrição &gt;100",
IF(AND(Import.TipoArredondamento="TransfereGOV",$L132="F",$C132="S",LEN($R132)&gt;500),"Descrição &gt;500",
IF(AND(Import.TipoArredondamento="TransfereGOV",$L132="F",$C132="S",LEFT(TRIM(UPPER($P132)),6)&lt;&gt;"SINAPI",ISNA(VLOOKUP(TRIM(UPPER($S132)),ListaTgov.Unidades,1,FALSE))),"Unid. Não Disp",
" "))))))))))))))))</f>
        <v>Unid. Não Disp</v>
      </c>
      <c r="AD132" s="670" t="str">
        <f ca="1">IF(C132&lt;=CRONO.NivelExibicao,MAX($AD$15:OFFSET(AD132,-1,0))+IF($C132&lt;&gt;1,1,MAX(1,COUNTIF(QCI!$A$13:$A$24,OFFSET($E132,-1,0)))),"")</f>
        <v/>
      </c>
      <c r="AE132" s="668" t="str" cm="1">
        <f t="array" aca="1" ref="AE132" ca="1">IF(AND($C132="S",ORÇAMENTO.CodBarra&lt;&gt;""),IF(ORÇAMENTO.Fonte="",ORÇAMENTO.CodBarra,CONCATENATE(ORÇAMENTO.Fonte," ",ORÇAMENTO.CodBarra)))</f>
        <v>Cotação 12</v>
      </c>
      <c r="AF132" s="669" cm="1">
        <f t="array" aca="1" ref="AF132" ca="1">IF(ISERROR(ORÇAMENTO.BancoRef),"(abra o arquivo 'Referência "&amp;Excel_BuiltIn_Database&amp;".xlsm)",IF(OR($C132&lt;&gt;"S",ORÇAMENTO.CodBarra=""),"(Sem Código)",IF(ISERROR(MATCH($AE132,INDIRECT(ORÇAMENTO.BancoRef),0)),"(Código não identificado nas referências)",MATCH($AE132,INDIRECT(ORÇAMENTO.BancoRef),0))))</f>
        <v>21</v>
      </c>
      <c r="AG132" s="428" cm="1">
        <f t="array" aca="1" ref="AG132" ca="1">ROUND(IF(DESONERACAO="sim",REFERENCIA.Desonerado,REFERENCIA.NaoDesonerado),2)</f>
        <v>446.2</v>
      </c>
      <c r="AH132" s="429">
        <f t="shared" ca="1" si="30"/>
        <v>0.24</v>
      </c>
      <c r="AJ132" s="431"/>
      <c r="AL132" s="439"/>
      <c r="AM132" s="336">
        <f t="shared" ca="1" si="0"/>
        <v>1106.58</v>
      </c>
      <c r="AN132" s="470" cm="1">
        <f t="array" aca="1" ref="AN132" ca="1">ROUND(ORÇAMENTO.CustoUnitario*(1+$AH132),2)</f>
        <v>553.29</v>
      </c>
    </row>
    <row r="133" spans="1:40" s="670" customFormat="1" x14ac:dyDescent="0.2">
      <c r="A133" s="670" t="str">
        <f t="shared" si="17"/>
        <v>S</v>
      </c>
      <c r="B133" s="670">
        <f t="shared" ca="1" si="18"/>
        <v>2</v>
      </c>
      <c r="C133" s="670" t="str">
        <f t="shared" ca="1" si="19"/>
        <v>S</v>
      </c>
      <c r="D133" s="670">
        <f t="shared" ca="1" si="20"/>
        <v>0</v>
      </c>
      <c r="E133" s="670">
        <f ca="1">IF($C133=1,OFFSET(E133,-1,0)+MAX(1,COUNTIF(QCI!$A$13:$A$24,OFFSET(ORÇAMENTO!E133,-1,0))),OFFSET(E133,-1,0))</f>
        <v>1</v>
      </c>
      <c r="F133" s="670">
        <f t="shared" ca="1" si="21"/>
        <v>17</v>
      </c>
      <c r="G133" s="670">
        <f t="shared" ca="1" si="22"/>
        <v>0</v>
      </c>
      <c r="H133" s="670">
        <f t="shared" ca="1" si="23"/>
        <v>0</v>
      </c>
      <c r="I133" s="670">
        <f t="shared" ca="1" si="24"/>
        <v>19</v>
      </c>
      <c r="J133" s="670">
        <f t="shared" ca="1" si="32"/>
        <v>0</v>
      </c>
      <c r="K133" s="670">
        <f ca="1">IF(OR($C133="S",$C133=0),0,MATCH(OFFSET($D133,0,$C133)+IF($C133&lt;&gt;1,1,COUNTIF(QCI!$A$13:$A$24,ORÇAMENTO!E133)),OFFSET($D133,1,$C133,ROW($C$191)-ROW($C133)),0))</f>
        <v>0</v>
      </c>
      <c r="L133" s="114" t="str">
        <f t="shared" ca="1" si="26"/>
        <v>F</v>
      </c>
      <c r="M133" s="115" t="s">
        <v>705</v>
      </c>
      <c r="N133" s="116" t="str">
        <f t="shared" ca="1" si="27"/>
        <v>Serviço</v>
      </c>
      <c r="O133" s="117" t="str">
        <f t="shared" ca="1" si="28"/>
        <v>1.17.19.</v>
      </c>
      <c r="P133" s="688" t="s">
        <v>957</v>
      </c>
      <c r="Q133" s="689" t="s">
        <v>1099</v>
      </c>
      <c r="R133" s="690" t="str" cm="1">
        <f t="array" aca="1" ref="R133" ca="1">IF($C133="S",REFERENCIA.Descricao,"(digite a descrição aqui)")</f>
        <v>DISPOSITIVO SOFT STARTER PARA MOTOR 50 CV, TRIFÁSICO 220 V</v>
      </c>
      <c r="S133" s="691" t="str" cm="1">
        <f t="array" aca="1" ref="S133" ca="1">REFERENCIA.Unidade</f>
        <v>UNIDADE</v>
      </c>
      <c r="T133" s="122">
        <f ca="1">OFFSET(CÁLCULO!H$15,ROW($T133)-ROW(T$15),0)</f>
        <v>2</v>
      </c>
      <c r="U133" s="693">
        <f t="shared" ca="1" si="31"/>
        <v>5714.62</v>
      </c>
      <c r="V133" s="694" t="s">
        <v>663</v>
      </c>
      <c r="W133" s="122" cm="1">
        <f t="array" aca="1" ref="W133" ca="1">IF($C133="S",ROUND(IF(TIPOORCAMENTO="Proposto",ORÇAMENTO.CustoUnitario*(1+$AH133),ORÇAMENTO.PrecoUnitarioLicitado),15-13*$AF$10),0)</f>
        <v>7086.13</v>
      </c>
      <c r="X133" s="125" cm="1">
        <f t="array" aca="1" ref="X133" ca="1">IF($C133="S",IF(OR(Import.TipoArredondamento&lt;&gt;"TransfereGOV",ACOMPANHAMENTO="BM"),VTOTAL1,SUM(OFFSET(CÁLCULO!$AI$15,ROW($X133)-ROW($X$15),1):OFFSET(CÁLCULO!$BB$15,ROW($X133)-ROW($X$15),-1))),IF($C133=0,0,ROUND(SomaAgrup,15-13*$AF$11)))</f>
        <v>14172.26</v>
      </c>
      <c r="Y133" s="126" t="s">
        <v>751</v>
      </c>
      <c r="Z133" s="670" t="str">
        <f t="shared" ca="1" si="29"/>
        <v>RA</v>
      </c>
      <c r="AA133" s="127" cm="1">
        <f t="array" aca="1" ref="AA133" ca="1">IF($C133="S",IF($Z133="CP",$X133,IF($Z133="RA",(($X133)*QCI!$AA$3),0)),SomaAgrup)</f>
        <v>0</v>
      </c>
      <c r="AB133" s="128" cm="1">
        <f t="array" aca="1" ref="AB133" ca="1">IF($C133="S",IF($Z133="OU",ROUND($X133,2),0),SomaAgrup)</f>
        <v>0</v>
      </c>
      <c r="AC133" s="565" t="str" cm="1">
        <f t="array" aca="1" ref="AC133" ca="1">IF($N133=""," ",
IF(AND($C133&lt;&gt;"S",OR($R133="",$R133="(digite a descrição aqui)")),"DESCRIÇÃO",
IF(AND($C133="S",OR($Q133&lt;&gt;"",$T133&gt;0,$U133&gt;0),$P133=""),"FONTE",
IF(AND($C133="S",$P133&lt;&gt;"",OR($T133&gt;0,$U133&gt;0),$Q133=""),"CÓDIGO",
IF(AND($C133="S",$P133&lt;&gt;"",$Q133&lt;&gt;"",$R133="(Código não identificado nas referências)"),"CÓDIGO N/ID",
IF(AND($C133="S",OR($R133="",$R133="(digite a descrição aqui)"),OR($Q133&lt;&gt;"",$T133&gt;0,$U133&gt;0)),"DESCRIÇÃO",
IF(AND($C133="S",$P133&lt;&gt;"",$Q133&lt;&gt;"",$S133=""),"UNIDADE",
IF(AND($C133="S",$P133&lt;&gt;"",$Q133&lt;&gt;"",$U133=0),"SEM CUSTO",
IF(AND(TIPOORCAMENTO="Licitado",$AL133=0,$AN133&gt;0),"SEM PREÇO",
IF(AND($C133="S",$P133&lt;&gt;"",$Q133&lt;&gt;"",$U133&gt;0,AND($V133&lt;&gt;"BDI 1",$V133&lt;&gt;"BDI 2",$V133&lt;&gt;"BDI 3")),IF(ISNUMBER($V133),"JUSTIFICAR BDI","BDI"),
IF(OR(AND(import.recurso="OGU",TIPOORCAMENTO="Proposto",LEFT($O$8,5)&lt;&gt;"(N/D:",$AG133&lt;&gt;"",ORÇAMENTO.CustoUnitario&gt;$AG133),AND(TIPOORCAMENTO="LICITADO",ORÇAMENTO.PrecoUnitarioLicitado&gt;$AN133)),"ACIMA REF.",
IF(AND($C133="S",$P133&lt;&gt;"",$Q133&lt;&gt;"",$T133=0,$U133&gt;0),"QUANT.",
IF(AND(Import.TipoArredondamento="TransfereGOV",$L133="F",$C133="S",LEN($Q133)&gt;13),"Código &gt;13",
IF(AND(Import.TipoArredondamento="TransfereGOV",$L133="F",$C133&lt;&gt;"S",LEN($R133)&gt;100),"Descrição &gt;100",
IF(AND(Import.TipoArredondamento="TransfereGOV",$L133="F",$C133="S",LEN($R133)&gt;500),"Descrição &gt;500",
IF(AND(Import.TipoArredondamento="TransfereGOV",$L133="F",$C133="S",LEFT(TRIM(UPPER($P133)),6)&lt;&gt;"SINAPI",ISNA(VLOOKUP(TRIM(UPPER($S133)),ListaTgov.Unidades,1,FALSE))),"Unid. Não Disp",
" "))))))))))))))))</f>
        <v>Unid. Não Disp</v>
      </c>
      <c r="AD133" s="670" t="str">
        <f ca="1">IF(C133&lt;=CRONO.NivelExibicao,MAX($AD$15:OFFSET(AD133,-1,0))+IF($C133&lt;&gt;1,1,MAX(1,COUNTIF(QCI!$A$13:$A$24,OFFSET($E133,-1,0)))),"")</f>
        <v/>
      </c>
      <c r="AE133" s="668" t="str" cm="1">
        <f t="array" aca="1" ref="AE133" ca="1">IF(AND($C133="S",ORÇAMENTO.CodBarra&lt;&gt;""),IF(ORÇAMENTO.Fonte="",ORÇAMENTO.CodBarra,CONCATENATE(ORÇAMENTO.Fonte," ",ORÇAMENTO.CodBarra)))</f>
        <v>Cotação 13</v>
      </c>
      <c r="AF133" s="669" cm="1">
        <f t="array" aca="1" ref="AF133" ca="1">IF(ISERROR(ORÇAMENTO.BancoRef),"(abra o arquivo 'Referência "&amp;Excel_BuiltIn_Database&amp;".xlsm)",IF(OR($C133&lt;&gt;"S",ORÇAMENTO.CodBarra=""),"(Sem Código)",IF(ISERROR(MATCH($AE133,INDIRECT(ORÇAMENTO.BancoRef),0)),"(Código não identificado nas referências)",MATCH($AE133,INDIRECT(ORÇAMENTO.BancoRef),0))))</f>
        <v>22</v>
      </c>
      <c r="AG133" s="428" cm="1">
        <f t="array" aca="1" ref="AG133" ca="1">ROUND(IF(DESONERACAO="sim",REFERENCIA.Desonerado,REFERENCIA.NaoDesonerado),2)</f>
        <v>5714.62</v>
      </c>
      <c r="AH133" s="429">
        <f t="shared" ca="1" si="30"/>
        <v>0.24</v>
      </c>
      <c r="AJ133" s="431"/>
      <c r="AL133" s="439"/>
      <c r="AM133" s="336">
        <f t="shared" ca="1" si="0"/>
        <v>14172.26</v>
      </c>
      <c r="AN133" s="470" cm="1">
        <f t="array" aca="1" ref="AN133" ca="1">ROUND(ORÇAMENTO.CustoUnitario*(1+$AH133),2)</f>
        <v>7086.13</v>
      </c>
    </row>
    <row r="134" spans="1:40" s="670" customFormat="1" x14ac:dyDescent="0.2">
      <c r="A134" s="670" t="str">
        <f t="shared" si="17"/>
        <v>S</v>
      </c>
      <c r="B134" s="670">
        <f t="shared" ca="1" si="18"/>
        <v>2</v>
      </c>
      <c r="C134" s="670" t="str">
        <f t="shared" ca="1" si="19"/>
        <v>S</v>
      </c>
      <c r="D134" s="670">
        <f t="shared" ca="1" si="20"/>
        <v>0</v>
      </c>
      <c r="E134" s="670">
        <f ca="1">IF($C134=1,OFFSET(E134,-1,0)+MAX(1,COUNTIF(QCI!$A$13:$A$24,OFFSET(ORÇAMENTO!E134,-1,0))),OFFSET(E134,-1,0))</f>
        <v>1</v>
      </c>
      <c r="F134" s="670">
        <f t="shared" ca="1" si="21"/>
        <v>17</v>
      </c>
      <c r="G134" s="670">
        <f t="shared" ca="1" si="22"/>
        <v>0</v>
      </c>
      <c r="H134" s="670">
        <f t="shared" ca="1" si="23"/>
        <v>0</v>
      </c>
      <c r="I134" s="670">
        <f t="shared" ca="1" si="24"/>
        <v>20</v>
      </c>
      <c r="J134" s="670">
        <f t="shared" ca="1" si="32"/>
        <v>0</v>
      </c>
      <c r="K134" s="670">
        <f ca="1">IF(OR($C134="S",$C134=0),0,MATCH(OFFSET($D134,0,$C134)+IF($C134&lt;&gt;1,1,COUNTIF(QCI!$A$13:$A$24,ORÇAMENTO!E134)),OFFSET($D134,1,$C134,ROW($C$191)-ROW($C134)),0))</f>
        <v>0</v>
      </c>
      <c r="L134" s="114" t="str">
        <f t="shared" ca="1" si="26"/>
        <v>F</v>
      </c>
      <c r="M134" s="115" t="s">
        <v>705</v>
      </c>
      <c r="N134" s="116" t="str">
        <f t="shared" ca="1" si="27"/>
        <v>Serviço</v>
      </c>
      <c r="O134" s="117" t="str">
        <f t="shared" ca="1" si="28"/>
        <v>1.17.20.</v>
      </c>
      <c r="P134" s="688" t="s">
        <v>957</v>
      </c>
      <c r="Q134" s="689" t="s">
        <v>1100</v>
      </c>
      <c r="R134" s="690" t="str" cm="1">
        <f t="array" aca="1" ref="R134" ca="1">IF($C134="S",REFERENCIA.Descricao,"(digite a descrição aqui)")</f>
        <v>FUSÍVEL TIPO NH 2 DE 224 A ATÉ 400 A</v>
      </c>
      <c r="S134" s="691" t="str" cm="1">
        <f t="array" aca="1" ref="S134" ca="1">REFERENCIA.Unidade</f>
        <v>UNIDADE</v>
      </c>
      <c r="T134" s="122">
        <f ca="1">OFFSET(CÁLCULO!H$15,ROW($T134)-ROW(T$15),0)</f>
        <v>2</v>
      </c>
      <c r="U134" s="693">
        <f t="shared" ca="1" si="31"/>
        <v>120.69</v>
      </c>
      <c r="V134" s="694" t="s">
        <v>663</v>
      </c>
      <c r="W134" s="122" cm="1">
        <f t="array" aca="1" ref="W134" ca="1">IF($C134="S",ROUND(IF(TIPOORCAMENTO="Proposto",ORÇAMENTO.CustoUnitario*(1+$AH134),ORÇAMENTO.PrecoUnitarioLicitado),15-13*$AF$10),0)</f>
        <v>149.66</v>
      </c>
      <c r="X134" s="125" cm="1">
        <f t="array" aca="1" ref="X134" ca="1">IF($C134="S",IF(OR(Import.TipoArredondamento&lt;&gt;"TransfereGOV",ACOMPANHAMENTO="BM"),VTOTAL1,SUM(OFFSET(CÁLCULO!$AI$15,ROW($X134)-ROW($X$15),1):OFFSET(CÁLCULO!$BB$15,ROW($X134)-ROW($X$15),-1))),IF($C134=0,0,ROUND(SomaAgrup,15-13*$AF$11)))</f>
        <v>299.32</v>
      </c>
      <c r="Y134" s="126" t="s">
        <v>751</v>
      </c>
      <c r="Z134" s="670" t="str">
        <f t="shared" ca="1" si="29"/>
        <v>RA</v>
      </c>
      <c r="AA134" s="127" cm="1">
        <f t="array" aca="1" ref="AA134" ca="1">IF($C134="S",IF($Z134="CP",$X134,IF($Z134="RA",(($X134)*QCI!$AA$3),0)),SomaAgrup)</f>
        <v>0</v>
      </c>
      <c r="AB134" s="128" cm="1">
        <f t="array" aca="1" ref="AB134" ca="1">IF($C134="S",IF($Z134="OU",ROUND($X134,2),0),SomaAgrup)</f>
        <v>0</v>
      </c>
      <c r="AC134" s="565" t="str" cm="1">
        <f t="array" aca="1" ref="AC134" ca="1">IF($N134=""," ",
IF(AND($C134&lt;&gt;"S",OR($R134="",$R134="(digite a descrição aqui)")),"DESCRIÇÃO",
IF(AND($C134="S",OR($Q134&lt;&gt;"",$T134&gt;0,$U134&gt;0),$P134=""),"FONTE",
IF(AND($C134="S",$P134&lt;&gt;"",OR($T134&gt;0,$U134&gt;0),$Q134=""),"CÓDIGO",
IF(AND($C134="S",$P134&lt;&gt;"",$Q134&lt;&gt;"",$R134="(Código não identificado nas referências)"),"CÓDIGO N/ID",
IF(AND($C134="S",OR($R134="",$R134="(digite a descrição aqui)"),OR($Q134&lt;&gt;"",$T134&gt;0,$U134&gt;0)),"DESCRIÇÃO",
IF(AND($C134="S",$P134&lt;&gt;"",$Q134&lt;&gt;"",$S134=""),"UNIDADE",
IF(AND($C134="S",$P134&lt;&gt;"",$Q134&lt;&gt;"",$U134=0),"SEM CUSTO",
IF(AND(TIPOORCAMENTO="Licitado",$AL134=0,$AN134&gt;0),"SEM PREÇO",
IF(AND($C134="S",$P134&lt;&gt;"",$Q134&lt;&gt;"",$U134&gt;0,AND($V134&lt;&gt;"BDI 1",$V134&lt;&gt;"BDI 2",$V134&lt;&gt;"BDI 3")),IF(ISNUMBER($V134),"JUSTIFICAR BDI","BDI"),
IF(OR(AND(import.recurso="OGU",TIPOORCAMENTO="Proposto",LEFT($O$8,5)&lt;&gt;"(N/D:",$AG134&lt;&gt;"",ORÇAMENTO.CustoUnitario&gt;$AG134),AND(TIPOORCAMENTO="LICITADO",ORÇAMENTO.PrecoUnitarioLicitado&gt;$AN134)),"ACIMA REF.",
IF(AND($C134="S",$P134&lt;&gt;"",$Q134&lt;&gt;"",$T134=0,$U134&gt;0),"QUANT.",
IF(AND(Import.TipoArredondamento="TransfereGOV",$L134="F",$C134="S",LEN($Q134)&gt;13),"Código &gt;13",
IF(AND(Import.TipoArredondamento="TransfereGOV",$L134="F",$C134&lt;&gt;"S",LEN($R134)&gt;100),"Descrição &gt;100",
IF(AND(Import.TipoArredondamento="TransfereGOV",$L134="F",$C134="S",LEN($R134)&gt;500),"Descrição &gt;500",
IF(AND(Import.TipoArredondamento="TransfereGOV",$L134="F",$C134="S",LEFT(TRIM(UPPER($P134)),6)&lt;&gt;"SINAPI",ISNA(VLOOKUP(TRIM(UPPER($S134)),ListaTgov.Unidades,1,FALSE))),"Unid. Não Disp",
" "))))))))))))))))</f>
        <v>Unid. Não Disp</v>
      </c>
      <c r="AD134" s="670" t="str">
        <f ca="1">IF(C134&lt;=CRONO.NivelExibicao,MAX($AD$15:OFFSET(AD134,-1,0))+IF($C134&lt;&gt;1,1,MAX(1,COUNTIF(QCI!$A$13:$A$24,OFFSET($E134,-1,0)))),"")</f>
        <v/>
      </c>
      <c r="AE134" s="668" t="str" cm="1">
        <f t="array" aca="1" ref="AE134" ca="1">IF(AND($C134="S",ORÇAMENTO.CodBarra&lt;&gt;""),IF(ORÇAMENTO.Fonte="",ORÇAMENTO.CodBarra,CONCATENATE(ORÇAMENTO.Fonte," ",ORÇAMENTO.CodBarra)))</f>
        <v>Cotação 14</v>
      </c>
      <c r="AF134" s="669" cm="1">
        <f t="array" aca="1" ref="AF134" ca="1">IF(ISERROR(ORÇAMENTO.BancoRef),"(abra o arquivo 'Referência "&amp;Excel_BuiltIn_Database&amp;".xlsm)",IF(OR($C134&lt;&gt;"S",ORÇAMENTO.CodBarra=""),"(Sem Código)",IF(ISERROR(MATCH($AE134,INDIRECT(ORÇAMENTO.BancoRef),0)),"(Código não identificado nas referências)",MATCH($AE134,INDIRECT(ORÇAMENTO.BancoRef),0))))</f>
        <v>23</v>
      </c>
      <c r="AG134" s="428" cm="1">
        <f t="array" aca="1" ref="AG134" ca="1">ROUND(IF(DESONERACAO="sim",REFERENCIA.Desonerado,REFERENCIA.NaoDesonerado),2)</f>
        <v>120.69</v>
      </c>
      <c r="AH134" s="429">
        <f t="shared" ca="1" si="30"/>
        <v>0.24</v>
      </c>
      <c r="AJ134" s="431"/>
      <c r="AL134" s="439"/>
      <c r="AM134" s="336">
        <f t="shared" ca="1" si="0"/>
        <v>299.32</v>
      </c>
      <c r="AN134" s="470" cm="1">
        <f t="array" aca="1" ref="AN134" ca="1">ROUND(ORÇAMENTO.CustoUnitario*(1+$AH134),2)</f>
        <v>149.66</v>
      </c>
    </row>
    <row r="135" spans="1:40" s="670" customFormat="1" ht="51" x14ac:dyDescent="0.2">
      <c r="A135" s="670" t="str">
        <f t="shared" si="17"/>
        <v>S</v>
      </c>
      <c r="B135" s="670">
        <f t="shared" ca="1" si="18"/>
        <v>2</v>
      </c>
      <c r="C135" s="670" t="str">
        <f t="shared" ca="1" si="19"/>
        <v>S</v>
      </c>
      <c r="D135" s="670">
        <f t="shared" ca="1" si="20"/>
        <v>0</v>
      </c>
      <c r="E135" s="670">
        <f ca="1">IF($C135=1,OFFSET(E135,-1,0)+MAX(1,COUNTIF(QCI!$A$13:$A$24,OFFSET(ORÇAMENTO!E135,-1,0))),OFFSET(E135,-1,0))</f>
        <v>1</v>
      </c>
      <c r="F135" s="670">
        <f t="shared" ca="1" si="21"/>
        <v>17</v>
      </c>
      <c r="G135" s="670">
        <f t="shared" ca="1" si="22"/>
        <v>0</v>
      </c>
      <c r="H135" s="670">
        <f t="shared" ca="1" si="23"/>
        <v>0</v>
      </c>
      <c r="I135" s="670">
        <f t="shared" ca="1" si="24"/>
        <v>21</v>
      </c>
      <c r="J135" s="670">
        <f t="shared" ref="J135:J166" ca="1" si="33">IF(OR($C135="S",$C135=0),0,MATCH(0,OFFSET($D135,1,$C135,ROW($C$191)-ROW($C135)),0))</f>
        <v>0</v>
      </c>
      <c r="K135" s="670">
        <f ca="1">IF(OR($C135="S",$C135=0),0,MATCH(OFFSET($D135,0,$C135)+IF($C135&lt;&gt;1,1,COUNTIF(QCI!$A$13:$A$24,ORÇAMENTO!E135)),OFFSET($D135,1,$C135,ROW($C$191)-ROW($C135)),0))</f>
        <v>0</v>
      </c>
      <c r="L135" s="114" t="str">
        <f t="shared" ca="1" si="26"/>
        <v>F</v>
      </c>
      <c r="M135" s="115" t="s">
        <v>705</v>
      </c>
      <c r="N135" s="116" t="str">
        <f t="shared" ca="1" si="27"/>
        <v>Serviço</v>
      </c>
      <c r="O135" s="117" t="str">
        <f t="shared" ca="1" si="28"/>
        <v>1.17.21.</v>
      </c>
      <c r="P135" s="688" t="s">
        <v>750</v>
      </c>
      <c r="Q135" s="689" t="s">
        <v>1055</v>
      </c>
      <c r="R135" s="690" t="str" cm="1">
        <f t="array" aca="1" ref="R135" ca="1">IF($C135="S",REFERENCIA.Descricao,"(digite a descrição aqui)")</f>
        <v>QUADRO DE DISTRIBUIÇÃO DE ENERGIA EM CHAPA DE AÇO GALVANIZADO, DE EMBUTIR, COM BARRAMENTO TRIFÁSICO, PARA 18 DISJUNTORES DIN 100A - FORNECIMENTO E INSTALAÇÃO. AF_07/2025</v>
      </c>
      <c r="S135" s="691" t="str" cm="1">
        <f t="array" aca="1" ref="S135" ca="1">REFERENCIA.Unidade</f>
        <v>UN</v>
      </c>
      <c r="T135" s="122">
        <f ca="1">OFFSET(CÁLCULO!H$15,ROW($T135)-ROW(T$15),0)</f>
        <v>2</v>
      </c>
      <c r="U135" s="693">
        <f t="shared" ca="1" si="31"/>
        <v>599.89</v>
      </c>
      <c r="V135" s="694" t="s">
        <v>663</v>
      </c>
      <c r="W135" s="122" cm="1">
        <f t="array" aca="1" ref="W135" ca="1">IF($C135="S",ROUND(IF(TIPOORCAMENTO="Proposto",ORÇAMENTO.CustoUnitario*(1+$AH135),ORÇAMENTO.PrecoUnitarioLicitado),15-13*$AF$10),0)</f>
        <v>743.86</v>
      </c>
      <c r="X135" s="125" cm="1">
        <f t="array" aca="1" ref="X135" ca="1">IF($C135="S",IF(OR(Import.TipoArredondamento&lt;&gt;"TransfereGOV",ACOMPANHAMENTO="BM"),VTOTAL1,SUM(OFFSET(CÁLCULO!$AI$15,ROW($X135)-ROW($X$15),1):OFFSET(CÁLCULO!$BB$15,ROW($X135)-ROW($X$15),-1))),IF($C135=0,0,ROUND(SomaAgrup,15-13*$AF$11)))</f>
        <v>1487.72</v>
      </c>
      <c r="Y135" s="126" t="s">
        <v>751</v>
      </c>
      <c r="Z135" s="670" t="str">
        <f t="shared" ca="1" si="29"/>
        <v>RA</v>
      </c>
      <c r="AA135" s="127" cm="1">
        <f t="array" aca="1" ref="AA135" ca="1">IF($C135="S",IF($Z135="CP",$X135,IF($Z135="RA",(($X135)*QCI!$AA$3),0)),SomaAgrup)</f>
        <v>0</v>
      </c>
      <c r="AB135" s="128" cm="1">
        <f t="array" aca="1" ref="AB135" ca="1">IF($C135="S",IF($Z135="OU",ROUND($X135,2),0),SomaAgrup)</f>
        <v>0</v>
      </c>
      <c r="AC135" s="565" t="str" cm="1">
        <f t="array" aca="1" ref="AC135" ca="1">IF($N135=""," ",
IF(AND($C135&lt;&gt;"S",OR($R135="",$R135="(digite a descrição aqui)")),"DESCRIÇÃO",
IF(AND($C135="S",OR($Q135&lt;&gt;"",$T135&gt;0,$U135&gt;0),$P135=""),"FONTE",
IF(AND($C135="S",$P135&lt;&gt;"",OR($T135&gt;0,$U135&gt;0),$Q135=""),"CÓDIGO",
IF(AND($C135="S",$P135&lt;&gt;"",$Q135&lt;&gt;"",$R135="(Código não identificado nas referências)"),"CÓDIGO N/ID",
IF(AND($C135="S",OR($R135="",$R135="(digite a descrição aqui)"),OR($Q135&lt;&gt;"",$T135&gt;0,$U135&gt;0)),"DESCRIÇÃO",
IF(AND($C135="S",$P135&lt;&gt;"",$Q135&lt;&gt;"",$S135=""),"UNIDADE",
IF(AND($C135="S",$P135&lt;&gt;"",$Q135&lt;&gt;"",$U135=0),"SEM CUSTO",
IF(AND(TIPOORCAMENTO="Licitado",$AL135=0,$AN135&gt;0),"SEM PREÇO",
IF(AND($C135="S",$P135&lt;&gt;"",$Q135&lt;&gt;"",$U135&gt;0,AND($V135&lt;&gt;"BDI 1",$V135&lt;&gt;"BDI 2",$V135&lt;&gt;"BDI 3")),IF(ISNUMBER($V135),"JUSTIFICAR BDI","BDI"),
IF(OR(AND(import.recurso="OGU",TIPOORCAMENTO="Proposto",LEFT($O$8,5)&lt;&gt;"(N/D:",$AG135&lt;&gt;"",ORÇAMENTO.CustoUnitario&gt;$AG135),AND(TIPOORCAMENTO="LICITADO",ORÇAMENTO.PrecoUnitarioLicitado&gt;$AN135)),"ACIMA REF.",
IF(AND($C135="S",$P135&lt;&gt;"",$Q135&lt;&gt;"",$T135=0,$U135&gt;0),"QUANT.",
IF(AND(Import.TipoArredondamento="TransfereGOV",$L135="F",$C135="S",LEN($Q135)&gt;13),"Código &gt;13",
IF(AND(Import.TipoArredondamento="TransfereGOV",$L135="F",$C135&lt;&gt;"S",LEN($R135)&gt;100),"Descrição &gt;100",
IF(AND(Import.TipoArredondamento="TransfereGOV",$L135="F",$C135="S",LEN($R135)&gt;500),"Descrição &gt;500",
IF(AND(Import.TipoArredondamento="TransfereGOV",$L135="F",$C135="S",LEFT(TRIM(UPPER($P135)),6)&lt;&gt;"SINAPI",ISNA(VLOOKUP(TRIM(UPPER($S135)),ListaTgov.Unidades,1,FALSE))),"Unid. Não Disp",
" "))))))))))))))))</f>
        <v xml:space="preserve"> </v>
      </c>
      <c r="AD135" s="670" t="str">
        <f ca="1">IF(C135&lt;=CRONO.NivelExibicao,MAX($AD$15:OFFSET(AD135,-1,0))+IF($C135&lt;&gt;1,1,MAX(1,COUNTIF(QCI!$A$13:$A$24,OFFSET($E135,-1,0)))),"")</f>
        <v/>
      </c>
      <c r="AE135" s="668" t="str" cm="1">
        <f t="array" aca="1" ref="AE135" ca="1">IF(AND($C135="S",ORÇAMENTO.CodBarra&lt;&gt;""),IF(ORÇAMENTO.Fonte="",ORÇAMENTO.CodBarra,CONCATENATE(ORÇAMENTO.Fonte," ",ORÇAMENTO.CodBarra)))</f>
        <v>SINAPI 101883</v>
      </c>
      <c r="AF135" s="669" cm="1">
        <f t="array" aca="1" ref="AF135" ca="1">IF(ISERROR(ORÇAMENTO.BancoRef),"(abra o arquivo 'Referência "&amp;Excel_BuiltIn_Database&amp;".xlsm)",IF(OR($C135&lt;&gt;"S",ORÇAMENTO.CodBarra=""),"(Sem Código)",IF(ISERROR(MATCH($AE135,INDIRECT(ORÇAMENTO.BancoRef),0)),"(Código não identificado nas referências)",MATCH($AE135,INDIRECT(ORÇAMENTO.BancoRef),0))))</f>
        <v>10961</v>
      </c>
      <c r="AG135" s="428" cm="1">
        <f t="array" aca="1" ref="AG135" ca="1">ROUND(IF(DESONERACAO="sim",REFERENCIA.Desonerado,REFERENCIA.NaoDesonerado),2)</f>
        <v>599.89</v>
      </c>
      <c r="AH135" s="429">
        <f t="shared" ca="1" si="30"/>
        <v>0.24</v>
      </c>
      <c r="AJ135" s="431"/>
      <c r="AL135" s="439"/>
      <c r="AM135" s="336">
        <f t="shared" ca="1" si="0"/>
        <v>1487.72</v>
      </c>
      <c r="AN135" s="470" cm="1">
        <f t="array" aca="1" ref="AN135" ca="1">ROUND(ORÇAMENTO.CustoUnitario*(1+$AH135),2)</f>
        <v>743.86</v>
      </c>
    </row>
    <row r="136" spans="1:40" s="670" customFormat="1" x14ac:dyDescent="0.2">
      <c r="A136" s="670" t="str">
        <f t="shared" si="17"/>
        <v>S</v>
      </c>
      <c r="B136" s="670">
        <f t="shared" ca="1" si="18"/>
        <v>2</v>
      </c>
      <c r="C136" s="670" t="str">
        <f t="shared" ca="1" si="19"/>
        <v>S</v>
      </c>
      <c r="D136" s="670">
        <f t="shared" ca="1" si="20"/>
        <v>0</v>
      </c>
      <c r="E136" s="670">
        <f ca="1">IF($C136=1,OFFSET(E136,-1,0)+MAX(1,COUNTIF(QCI!$A$13:$A$24,OFFSET(ORÇAMENTO!E136,-1,0))),OFFSET(E136,-1,0))</f>
        <v>1</v>
      </c>
      <c r="F136" s="670">
        <f t="shared" ca="1" si="21"/>
        <v>17</v>
      </c>
      <c r="G136" s="670">
        <f t="shared" ca="1" si="22"/>
        <v>0</v>
      </c>
      <c r="H136" s="670">
        <f t="shared" ca="1" si="23"/>
        <v>0</v>
      </c>
      <c r="I136" s="670">
        <f t="shared" ca="1" si="24"/>
        <v>22</v>
      </c>
      <c r="J136" s="670">
        <f t="shared" ca="1" si="33"/>
        <v>0</v>
      </c>
      <c r="K136" s="670">
        <f ca="1">IF(OR($C136="S",$C136=0),0,MATCH(OFFSET($D136,0,$C136)+IF($C136&lt;&gt;1,1,COUNTIF(QCI!$A$13:$A$24,ORÇAMENTO!E136)),OFFSET($D136,1,$C136,ROW($C$191)-ROW($C136)),0))</f>
        <v>0</v>
      </c>
      <c r="L136" s="114" t="str">
        <f t="shared" ca="1" si="26"/>
        <v>F</v>
      </c>
      <c r="M136" s="115" t="s">
        <v>705</v>
      </c>
      <c r="N136" s="116" t="str">
        <f t="shared" ca="1" si="27"/>
        <v>Serviço</v>
      </c>
      <c r="O136" s="117" t="str">
        <f t="shared" ca="1" si="28"/>
        <v>1.17.22.</v>
      </c>
      <c r="P136" s="688" t="s">
        <v>957</v>
      </c>
      <c r="Q136" s="689" t="s">
        <v>1101</v>
      </c>
      <c r="R136" s="690" t="str" cm="1">
        <f t="array" aca="1" ref="R136" ca="1">IF($C136="S",REFERENCIA.Descricao,"(digite a descrição aqui)")</f>
        <v>DISPOSITIVO DE PROTEÇÃO CONTRA SURTOS 275V - 15KA</v>
      </c>
      <c r="S136" s="691" t="str" cm="1">
        <f t="array" aca="1" ref="S136" ca="1">REFERENCIA.Unidade</f>
        <v>UNIDADE</v>
      </c>
      <c r="T136" s="122">
        <f ca="1">OFFSET(CÁLCULO!H$15,ROW($T136)-ROW(T$15),0)</f>
        <v>6</v>
      </c>
      <c r="U136" s="693">
        <f t="shared" ca="1" si="31"/>
        <v>66.34</v>
      </c>
      <c r="V136" s="694" t="s">
        <v>663</v>
      </c>
      <c r="W136" s="122" cm="1">
        <f t="array" aca="1" ref="W136" ca="1">IF($C136="S",ROUND(IF(TIPOORCAMENTO="Proposto",ORÇAMENTO.CustoUnitario*(1+$AH136),ORÇAMENTO.PrecoUnitarioLicitado),15-13*$AF$10),0)</f>
        <v>82.26</v>
      </c>
      <c r="X136" s="125" cm="1">
        <f t="array" aca="1" ref="X136" ca="1">IF($C136="S",IF(OR(Import.TipoArredondamento&lt;&gt;"TransfereGOV",ACOMPANHAMENTO="BM"),VTOTAL1,SUM(OFFSET(CÁLCULO!$AI$15,ROW($X136)-ROW($X$15),1):OFFSET(CÁLCULO!$BB$15,ROW($X136)-ROW($X$15),-1))),IF($C136=0,0,ROUND(SomaAgrup,15-13*$AF$11)))</f>
        <v>493.56</v>
      </c>
      <c r="Y136" s="126" t="s">
        <v>751</v>
      </c>
      <c r="Z136" s="670" t="str">
        <f t="shared" ca="1" si="29"/>
        <v>RA</v>
      </c>
      <c r="AA136" s="127" cm="1">
        <f t="array" aca="1" ref="AA136" ca="1">IF($C136="S",IF($Z136="CP",$X136,IF($Z136="RA",(($X136)*QCI!$AA$3),0)),SomaAgrup)</f>
        <v>0</v>
      </c>
      <c r="AB136" s="128" cm="1">
        <f t="array" aca="1" ref="AB136" ca="1">IF($C136="S",IF($Z136="OU",ROUND($X136,2),0),SomaAgrup)</f>
        <v>0</v>
      </c>
      <c r="AC136" s="565" t="str" cm="1">
        <f t="array" aca="1" ref="AC136" ca="1">IF($N136=""," ",
IF(AND($C136&lt;&gt;"S",OR($R136="",$R136="(digite a descrição aqui)")),"DESCRIÇÃO",
IF(AND($C136="S",OR($Q136&lt;&gt;"",$T136&gt;0,$U136&gt;0),$P136=""),"FONTE",
IF(AND($C136="S",$P136&lt;&gt;"",OR($T136&gt;0,$U136&gt;0),$Q136=""),"CÓDIGO",
IF(AND($C136="S",$P136&lt;&gt;"",$Q136&lt;&gt;"",$R136="(Código não identificado nas referências)"),"CÓDIGO N/ID",
IF(AND($C136="S",OR($R136="",$R136="(digite a descrição aqui)"),OR($Q136&lt;&gt;"",$T136&gt;0,$U136&gt;0)),"DESCRIÇÃO",
IF(AND($C136="S",$P136&lt;&gt;"",$Q136&lt;&gt;"",$S136=""),"UNIDADE",
IF(AND($C136="S",$P136&lt;&gt;"",$Q136&lt;&gt;"",$U136=0),"SEM CUSTO",
IF(AND(TIPOORCAMENTO="Licitado",$AL136=0,$AN136&gt;0),"SEM PREÇO",
IF(AND($C136="S",$P136&lt;&gt;"",$Q136&lt;&gt;"",$U136&gt;0,AND($V136&lt;&gt;"BDI 1",$V136&lt;&gt;"BDI 2",$V136&lt;&gt;"BDI 3")),IF(ISNUMBER($V136),"JUSTIFICAR BDI","BDI"),
IF(OR(AND(import.recurso="OGU",TIPOORCAMENTO="Proposto",LEFT($O$8,5)&lt;&gt;"(N/D:",$AG136&lt;&gt;"",ORÇAMENTO.CustoUnitario&gt;$AG136),AND(TIPOORCAMENTO="LICITADO",ORÇAMENTO.PrecoUnitarioLicitado&gt;$AN136)),"ACIMA REF.",
IF(AND($C136="S",$P136&lt;&gt;"",$Q136&lt;&gt;"",$T136=0,$U136&gt;0),"QUANT.",
IF(AND(Import.TipoArredondamento="TransfereGOV",$L136="F",$C136="S",LEN($Q136)&gt;13),"Código &gt;13",
IF(AND(Import.TipoArredondamento="TransfereGOV",$L136="F",$C136&lt;&gt;"S",LEN($R136)&gt;100),"Descrição &gt;100",
IF(AND(Import.TipoArredondamento="TransfereGOV",$L136="F",$C136="S",LEN($R136)&gt;500),"Descrição &gt;500",
IF(AND(Import.TipoArredondamento="TransfereGOV",$L136="F",$C136="S",LEFT(TRIM(UPPER($P136)),6)&lt;&gt;"SINAPI",ISNA(VLOOKUP(TRIM(UPPER($S136)),ListaTgov.Unidades,1,FALSE))),"Unid. Não Disp",
" "))))))))))))))))</f>
        <v>Unid. Não Disp</v>
      </c>
      <c r="AD136" s="670" t="str">
        <f ca="1">IF(C136&lt;=CRONO.NivelExibicao,MAX($AD$15:OFFSET(AD136,-1,0))+IF($C136&lt;&gt;1,1,MAX(1,COUNTIF(QCI!$A$13:$A$24,OFFSET($E136,-1,0)))),"")</f>
        <v/>
      </c>
      <c r="AE136" s="668" t="str" cm="1">
        <f t="array" aca="1" ref="AE136" ca="1">IF(AND($C136="S",ORÇAMENTO.CodBarra&lt;&gt;""),IF(ORÇAMENTO.Fonte="",ORÇAMENTO.CodBarra,CONCATENATE(ORÇAMENTO.Fonte," ",ORÇAMENTO.CodBarra)))</f>
        <v>Cotação 15</v>
      </c>
      <c r="AF136" s="669" cm="1">
        <f t="array" aca="1" ref="AF136" ca="1">IF(ISERROR(ORÇAMENTO.BancoRef),"(abra o arquivo 'Referência "&amp;Excel_BuiltIn_Database&amp;".xlsm)",IF(OR($C136&lt;&gt;"S",ORÇAMENTO.CodBarra=""),"(Sem Código)",IF(ISERROR(MATCH($AE136,INDIRECT(ORÇAMENTO.BancoRef),0)),"(Código não identificado nas referências)",MATCH($AE136,INDIRECT(ORÇAMENTO.BancoRef),0))))</f>
        <v>24</v>
      </c>
      <c r="AG136" s="428" cm="1">
        <f t="array" aca="1" ref="AG136" ca="1">ROUND(IF(DESONERACAO="sim",REFERENCIA.Desonerado,REFERENCIA.NaoDesonerado),2)</f>
        <v>66.34</v>
      </c>
      <c r="AH136" s="429">
        <f t="shared" ca="1" si="30"/>
        <v>0.24</v>
      </c>
      <c r="AJ136" s="431"/>
      <c r="AL136" s="439"/>
      <c r="AM136" s="336">
        <f t="shared" ca="1" si="0"/>
        <v>493.56</v>
      </c>
      <c r="AN136" s="470" cm="1">
        <f t="array" aca="1" ref="AN136" ca="1">ROUND(ORÇAMENTO.CustoUnitario*(1+$AH136),2)</f>
        <v>82.26</v>
      </c>
    </row>
    <row r="137" spans="1:40" s="670" customFormat="1" ht="25.5" x14ac:dyDescent="0.2">
      <c r="A137" s="670" t="str">
        <f t="shared" si="17"/>
        <v>S</v>
      </c>
      <c r="B137" s="670">
        <f t="shared" ca="1" si="18"/>
        <v>2</v>
      </c>
      <c r="C137" s="670" t="str">
        <f t="shared" ca="1" si="19"/>
        <v>S</v>
      </c>
      <c r="D137" s="670">
        <f t="shared" ca="1" si="20"/>
        <v>0</v>
      </c>
      <c r="E137" s="670">
        <f ca="1">IF($C137=1,OFFSET(E137,-1,0)+MAX(1,COUNTIF(QCI!$A$13:$A$24,OFFSET(ORÇAMENTO!E137,-1,0))),OFFSET(E137,-1,0))</f>
        <v>1</v>
      </c>
      <c r="F137" s="670">
        <f t="shared" ca="1" si="21"/>
        <v>17</v>
      </c>
      <c r="G137" s="670">
        <f t="shared" ca="1" si="22"/>
        <v>0</v>
      </c>
      <c r="H137" s="670">
        <f t="shared" ca="1" si="23"/>
        <v>0</v>
      </c>
      <c r="I137" s="670">
        <f t="shared" ca="1" si="24"/>
        <v>23</v>
      </c>
      <c r="J137" s="670">
        <f t="shared" ca="1" si="33"/>
        <v>0</v>
      </c>
      <c r="K137" s="670">
        <f ca="1">IF(OR($C137="S",$C137=0),0,MATCH(OFFSET($D137,0,$C137)+IF($C137&lt;&gt;1,1,COUNTIF(QCI!$A$13:$A$24,ORÇAMENTO!E137)),OFFSET($D137,1,$C137,ROW($C$191)-ROW($C137)),0))</f>
        <v>0</v>
      </c>
      <c r="L137" s="114" t="str">
        <f t="shared" ca="1" si="26"/>
        <v>F</v>
      </c>
      <c r="M137" s="115" t="s">
        <v>705</v>
      </c>
      <c r="N137" s="116" t="str">
        <f t="shared" ca="1" si="27"/>
        <v>Serviço</v>
      </c>
      <c r="O137" s="117" t="str">
        <f t="shared" ca="1" si="28"/>
        <v>1.17.23.</v>
      </c>
      <c r="P137" s="688" t="s">
        <v>957</v>
      </c>
      <c r="Q137" s="689" t="s">
        <v>1102</v>
      </c>
      <c r="R137" s="690" t="str" cm="1">
        <f t="array" aca="1" ref="R137" ca="1">IF($C137="S",REFERENCIA.Descricao,"(digite a descrição aqui)")</f>
        <v>Disjuntor termomagnetico tripolar  63 A, padrão DIN (Europeu - linha branca),curva C</v>
      </c>
      <c r="S137" s="691" t="str" cm="1">
        <f t="array" aca="1" ref="S137" ca="1">REFERENCIA.Unidade</f>
        <v>UNIDADE</v>
      </c>
      <c r="T137" s="122">
        <f ca="1">OFFSET(CÁLCULO!H$15,ROW($T137)-ROW(T$15),0)</f>
        <v>1</v>
      </c>
      <c r="U137" s="693">
        <f t="shared" ca="1" si="31"/>
        <v>114.41</v>
      </c>
      <c r="V137" s="694" t="s">
        <v>663</v>
      </c>
      <c r="W137" s="122" cm="1">
        <f t="array" aca="1" ref="W137" ca="1">IF($C137="S",ROUND(IF(TIPOORCAMENTO="Proposto",ORÇAMENTO.CustoUnitario*(1+$AH137),ORÇAMENTO.PrecoUnitarioLicitado),15-13*$AF$10),0)</f>
        <v>141.87</v>
      </c>
      <c r="X137" s="125" cm="1">
        <f t="array" aca="1" ref="X137" ca="1">IF($C137="S",IF(OR(Import.TipoArredondamento&lt;&gt;"TransfereGOV",ACOMPANHAMENTO="BM"),VTOTAL1,SUM(OFFSET(CÁLCULO!$AI$15,ROW($X137)-ROW($X$15),1):OFFSET(CÁLCULO!$BB$15,ROW($X137)-ROW($X$15),-1))),IF($C137=0,0,ROUND(SomaAgrup,15-13*$AF$11)))</f>
        <v>141.87</v>
      </c>
      <c r="Y137" s="126" t="s">
        <v>751</v>
      </c>
      <c r="Z137" s="670" t="str">
        <f t="shared" ca="1" si="29"/>
        <v>RA</v>
      </c>
      <c r="AA137" s="127" cm="1">
        <f t="array" aca="1" ref="AA137" ca="1">IF($C137="S",IF($Z137="CP",$X137,IF($Z137="RA",(($X137)*QCI!$AA$3),0)),SomaAgrup)</f>
        <v>0</v>
      </c>
      <c r="AB137" s="128" cm="1">
        <f t="array" aca="1" ref="AB137" ca="1">IF($C137="S",IF($Z137="OU",ROUND($X137,2),0),SomaAgrup)</f>
        <v>0</v>
      </c>
      <c r="AC137" s="565" t="str" cm="1">
        <f t="array" aca="1" ref="AC137" ca="1">IF($N137=""," ",
IF(AND($C137&lt;&gt;"S",OR($R137="",$R137="(digite a descrição aqui)")),"DESCRIÇÃO",
IF(AND($C137="S",OR($Q137&lt;&gt;"",$T137&gt;0,$U137&gt;0),$P137=""),"FONTE",
IF(AND($C137="S",$P137&lt;&gt;"",OR($T137&gt;0,$U137&gt;0),$Q137=""),"CÓDIGO",
IF(AND($C137="S",$P137&lt;&gt;"",$Q137&lt;&gt;"",$R137="(Código não identificado nas referências)"),"CÓDIGO N/ID",
IF(AND($C137="S",OR($R137="",$R137="(digite a descrição aqui)"),OR($Q137&lt;&gt;"",$T137&gt;0,$U137&gt;0)),"DESCRIÇÃO",
IF(AND($C137="S",$P137&lt;&gt;"",$Q137&lt;&gt;"",$S137=""),"UNIDADE",
IF(AND($C137="S",$P137&lt;&gt;"",$Q137&lt;&gt;"",$U137=0),"SEM CUSTO",
IF(AND(TIPOORCAMENTO="Licitado",$AL137=0,$AN137&gt;0),"SEM PREÇO",
IF(AND($C137="S",$P137&lt;&gt;"",$Q137&lt;&gt;"",$U137&gt;0,AND($V137&lt;&gt;"BDI 1",$V137&lt;&gt;"BDI 2",$V137&lt;&gt;"BDI 3")),IF(ISNUMBER($V137),"JUSTIFICAR BDI","BDI"),
IF(OR(AND(import.recurso="OGU",TIPOORCAMENTO="Proposto",LEFT($O$8,5)&lt;&gt;"(N/D:",$AG137&lt;&gt;"",ORÇAMENTO.CustoUnitario&gt;$AG137),AND(TIPOORCAMENTO="LICITADO",ORÇAMENTO.PrecoUnitarioLicitado&gt;$AN137)),"ACIMA REF.",
IF(AND($C137="S",$P137&lt;&gt;"",$Q137&lt;&gt;"",$T137=0,$U137&gt;0),"QUANT.",
IF(AND(Import.TipoArredondamento="TransfereGOV",$L137="F",$C137="S",LEN($Q137)&gt;13),"Código &gt;13",
IF(AND(Import.TipoArredondamento="TransfereGOV",$L137="F",$C137&lt;&gt;"S",LEN($R137)&gt;100),"Descrição &gt;100",
IF(AND(Import.TipoArredondamento="TransfereGOV",$L137="F",$C137="S",LEN($R137)&gt;500),"Descrição &gt;500",
IF(AND(Import.TipoArredondamento="TransfereGOV",$L137="F",$C137="S",LEFT(TRIM(UPPER($P137)),6)&lt;&gt;"SINAPI",ISNA(VLOOKUP(TRIM(UPPER($S137)),ListaTgov.Unidades,1,FALSE))),"Unid. Não Disp",
" "))))))))))))))))</f>
        <v>Unid. Não Disp</v>
      </c>
      <c r="AD137" s="670" t="str">
        <f ca="1">IF(C137&lt;=CRONO.NivelExibicao,MAX($AD$15:OFFSET(AD137,-1,0))+IF($C137&lt;&gt;1,1,MAX(1,COUNTIF(QCI!$A$13:$A$24,OFFSET($E137,-1,0)))),"")</f>
        <v/>
      </c>
      <c r="AE137" s="668" t="str" cm="1">
        <f t="array" aca="1" ref="AE137" ca="1">IF(AND($C137="S",ORÇAMENTO.CodBarra&lt;&gt;""),IF(ORÇAMENTO.Fonte="",ORÇAMENTO.CodBarra,CONCATENATE(ORÇAMENTO.Fonte," ",ORÇAMENTO.CodBarra)))</f>
        <v>Cotação 16</v>
      </c>
      <c r="AF137" s="669" cm="1">
        <f t="array" aca="1" ref="AF137" ca="1">IF(ISERROR(ORÇAMENTO.BancoRef),"(abra o arquivo 'Referência "&amp;Excel_BuiltIn_Database&amp;".xlsm)",IF(OR($C137&lt;&gt;"S",ORÇAMENTO.CodBarra=""),"(Sem Código)",IF(ISERROR(MATCH($AE137,INDIRECT(ORÇAMENTO.BancoRef),0)),"(Código não identificado nas referências)",MATCH($AE137,INDIRECT(ORÇAMENTO.BancoRef),0))))</f>
        <v>25</v>
      </c>
      <c r="AG137" s="428" cm="1">
        <f t="array" aca="1" ref="AG137" ca="1">ROUND(IF(DESONERACAO="sim",REFERENCIA.Desonerado,REFERENCIA.NaoDesonerado),2)</f>
        <v>114.41</v>
      </c>
      <c r="AH137" s="429">
        <f t="shared" ca="1" si="30"/>
        <v>0.24</v>
      </c>
      <c r="AJ137" s="431"/>
      <c r="AL137" s="439"/>
      <c r="AM137" s="336">
        <f t="shared" ca="1" si="0"/>
        <v>141.87</v>
      </c>
      <c r="AN137" s="470" cm="1">
        <f t="array" aca="1" ref="AN137" ca="1">ROUND(ORÇAMENTO.CustoUnitario*(1+$AH137),2)</f>
        <v>141.87</v>
      </c>
    </row>
    <row r="138" spans="1:40" s="670" customFormat="1" ht="25.5" x14ac:dyDescent="0.2">
      <c r="A138" s="670" t="str">
        <f t="shared" si="17"/>
        <v>S</v>
      </c>
      <c r="B138" s="670">
        <f t="shared" ca="1" si="18"/>
        <v>2</v>
      </c>
      <c r="C138" s="670" t="str">
        <f t="shared" ca="1" si="19"/>
        <v>S</v>
      </c>
      <c r="D138" s="670">
        <f t="shared" ca="1" si="20"/>
        <v>0</v>
      </c>
      <c r="E138" s="670">
        <f ca="1">IF($C138=1,OFFSET(E138,-1,0)+MAX(1,COUNTIF(QCI!$A$13:$A$24,OFFSET(ORÇAMENTO!E138,-1,0))),OFFSET(E138,-1,0))</f>
        <v>1</v>
      </c>
      <c r="F138" s="670">
        <f t="shared" ca="1" si="21"/>
        <v>17</v>
      </c>
      <c r="G138" s="670">
        <f t="shared" ca="1" si="22"/>
        <v>0</v>
      </c>
      <c r="H138" s="670">
        <f t="shared" ca="1" si="23"/>
        <v>0</v>
      </c>
      <c r="I138" s="670">
        <f t="shared" ca="1" si="24"/>
        <v>24</v>
      </c>
      <c r="J138" s="670">
        <f t="shared" ca="1" si="33"/>
        <v>0</v>
      </c>
      <c r="K138" s="670">
        <f ca="1">IF(OR($C138="S",$C138=0),0,MATCH(OFFSET($D138,0,$C138)+IF($C138&lt;&gt;1,1,COUNTIF(QCI!$A$13:$A$24,ORÇAMENTO!E138)),OFFSET($D138,1,$C138,ROW($C$191)-ROW($C138)),0))</f>
        <v>0</v>
      </c>
      <c r="L138" s="114" t="str">
        <f t="shared" ca="1" si="26"/>
        <v>F</v>
      </c>
      <c r="M138" s="115" t="s">
        <v>705</v>
      </c>
      <c r="N138" s="116" t="str">
        <f t="shared" ca="1" si="27"/>
        <v>Serviço</v>
      </c>
      <c r="O138" s="117" t="str">
        <f t="shared" ca="1" si="28"/>
        <v>1.17.24.</v>
      </c>
      <c r="P138" s="688" t="s">
        <v>957</v>
      </c>
      <c r="Q138" s="689" t="s">
        <v>1103</v>
      </c>
      <c r="R138" s="690" t="str" cm="1">
        <f t="array" aca="1" ref="R138" ca="1">IF($C138="S",REFERENCIA.Descricao,"(digite a descrição aqui)")</f>
        <v>Disjuntor termomagnetico tripolar 125 A, padrão DIN (Europeu - linha branca),10KA</v>
      </c>
      <c r="S138" s="691" t="str" cm="1">
        <f t="array" aca="1" ref="S138" ca="1">REFERENCIA.Unidade</f>
        <v>UNIDADE</v>
      </c>
      <c r="T138" s="122">
        <f ca="1">OFFSET(CÁLCULO!H$15,ROW($T138)-ROW(T$15),0)</f>
        <v>1</v>
      </c>
      <c r="U138" s="693">
        <f t="shared" ref="U138:U190" ca="1" si="34">AG138</f>
        <v>410.94</v>
      </c>
      <c r="V138" s="694" t="s">
        <v>663</v>
      </c>
      <c r="W138" s="122" cm="1">
        <f t="array" aca="1" ref="W138" ca="1">IF($C138="S",ROUND(IF(TIPOORCAMENTO="Proposto",ORÇAMENTO.CustoUnitario*(1+$AH138),ORÇAMENTO.PrecoUnitarioLicitado),15-13*$AF$10),0)</f>
        <v>509.57</v>
      </c>
      <c r="X138" s="125" cm="1">
        <f t="array" aca="1" ref="X138" ca="1">IF($C138="S",IF(OR(Import.TipoArredondamento&lt;&gt;"TransfereGOV",ACOMPANHAMENTO="BM"),VTOTAL1,SUM(OFFSET(CÁLCULO!$AI$15,ROW($X138)-ROW($X$15),1):OFFSET(CÁLCULO!$BB$15,ROW($X138)-ROW($X$15),-1))),IF($C138=0,0,ROUND(SomaAgrup,15-13*$AF$11)))</f>
        <v>509.57</v>
      </c>
      <c r="Y138" s="126" t="s">
        <v>751</v>
      </c>
      <c r="Z138" s="670" t="str">
        <f t="shared" ca="1" si="29"/>
        <v>RA</v>
      </c>
      <c r="AA138" s="127" cm="1">
        <f t="array" aca="1" ref="AA138" ca="1">IF($C138="S",IF($Z138="CP",$X138,IF($Z138="RA",(($X138)*QCI!$AA$3),0)),SomaAgrup)</f>
        <v>0</v>
      </c>
      <c r="AB138" s="128" cm="1">
        <f t="array" aca="1" ref="AB138" ca="1">IF($C138="S",IF($Z138="OU",ROUND($X138,2),0),SomaAgrup)</f>
        <v>0</v>
      </c>
      <c r="AC138" s="565" t="str" cm="1">
        <f t="array" aca="1" ref="AC138" ca="1">IF($N138=""," ",
IF(AND($C138&lt;&gt;"S",OR($R138="",$R138="(digite a descrição aqui)")),"DESCRIÇÃO",
IF(AND($C138="S",OR($Q138&lt;&gt;"",$T138&gt;0,$U138&gt;0),$P138=""),"FONTE",
IF(AND($C138="S",$P138&lt;&gt;"",OR($T138&gt;0,$U138&gt;0),$Q138=""),"CÓDIGO",
IF(AND($C138="S",$P138&lt;&gt;"",$Q138&lt;&gt;"",$R138="(Código não identificado nas referências)"),"CÓDIGO N/ID",
IF(AND($C138="S",OR($R138="",$R138="(digite a descrição aqui)"),OR($Q138&lt;&gt;"",$T138&gt;0,$U138&gt;0)),"DESCRIÇÃO",
IF(AND($C138="S",$P138&lt;&gt;"",$Q138&lt;&gt;"",$S138=""),"UNIDADE",
IF(AND($C138="S",$P138&lt;&gt;"",$Q138&lt;&gt;"",$U138=0),"SEM CUSTO",
IF(AND(TIPOORCAMENTO="Licitado",$AL138=0,$AN138&gt;0),"SEM PREÇO",
IF(AND($C138="S",$P138&lt;&gt;"",$Q138&lt;&gt;"",$U138&gt;0,AND($V138&lt;&gt;"BDI 1",$V138&lt;&gt;"BDI 2",$V138&lt;&gt;"BDI 3")),IF(ISNUMBER($V138),"JUSTIFICAR BDI","BDI"),
IF(OR(AND(import.recurso="OGU",TIPOORCAMENTO="Proposto",LEFT($O$8,5)&lt;&gt;"(N/D:",$AG138&lt;&gt;"",ORÇAMENTO.CustoUnitario&gt;$AG138),AND(TIPOORCAMENTO="LICITADO",ORÇAMENTO.PrecoUnitarioLicitado&gt;$AN138)),"ACIMA REF.",
IF(AND($C138="S",$P138&lt;&gt;"",$Q138&lt;&gt;"",$T138=0,$U138&gt;0),"QUANT.",
IF(AND(Import.TipoArredondamento="TransfereGOV",$L138="F",$C138="S",LEN($Q138)&gt;13),"Código &gt;13",
IF(AND(Import.TipoArredondamento="TransfereGOV",$L138="F",$C138&lt;&gt;"S",LEN($R138)&gt;100),"Descrição &gt;100",
IF(AND(Import.TipoArredondamento="TransfereGOV",$L138="F",$C138="S",LEN($R138)&gt;500),"Descrição &gt;500",
IF(AND(Import.TipoArredondamento="TransfereGOV",$L138="F",$C138="S",LEFT(TRIM(UPPER($P138)),6)&lt;&gt;"SINAPI",ISNA(VLOOKUP(TRIM(UPPER($S138)),ListaTgov.Unidades,1,FALSE))),"Unid. Não Disp",
" "))))))))))))))))</f>
        <v>Unid. Não Disp</v>
      </c>
      <c r="AD138" s="670" t="str">
        <f ca="1">IF(C138&lt;=CRONO.NivelExibicao,MAX($AD$15:OFFSET(AD138,-1,0))+IF($C138&lt;&gt;1,1,MAX(1,COUNTIF(QCI!$A$13:$A$24,OFFSET($E138,-1,0)))),"")</f>
        <v/>
      </c>
      <c r="AE138" s="668" t="str" cm="1">
        <f t="array" aca="1" ref="AE138" ca="1">IF(AND($C138="S",ORÇAMENTO.CodBarra&lt;&gt;""),IF(ORÇAMENTO.Fonte="",ORÇAMENTO.CodBarra,CONCATENATE(ORÇAMENTO.Fonte," ",ORÇAMENTO.CodBarra)))</f>
        <v>Cotação 17</v>
      </c>
      <c r="AF138" s="669" cm="1">
        <f t="array" aca="1" ref="AF138" ca="1">IF(ISERROR(ORÇAMENTO.BancoRef),"(abra o arquivo 'Referência "&amp;Excel_BuiltIn_Database&amp;".xlsm)",IF(OR($C138&lt;&gt;"S",ORÇAMENTO.CodBarra=""),"(Sem Código)",IF(ISERROR(MATCH($AE138,INDIRECT(ORÇAMENTO.BancoRef),0)),"(Código não identificado nas referências)",MATCH($AE138,INDIRECT(ORÇAMENTO.BancoRef),0))))</f>
        <v>26</v>
      </c>
      <c r="AG138" s="428" cm="1">
        <f t="array" aca="1" ref="AG138" ca="1">ROUND(IF(DESONERACAO="sim",REFERENCIA.Desonerado,REFERENCIA.NaoDesonerado),2)</f>
        <v>410.94</v>
      </c>
      <c r="AH138" s="429">
        <f t="shared" ca="1" si="30"/>
        <v>0.24</v>
      </c>
      <c r="AJ138" s="431"/>
      <c r="AL138" s="439"/>
      <c r="AM138" s="336">
        <f t="shared" ca="1" si="0"/>
        <v>509.57</v>
      </c>
      <c r="AN138" s="470" cm="1">
        <f t="array" aca="1" ref="AN138" ca="1">ROUND(ORÇAMENTO.CustoUnitario*(1+$AH138),2)</f>
        <v>509.57</v>
      </c>
    </row>
    <row r="139" spans="1:40" s="670" customFormat="1" ht="25.5" x14ac:dyDescent="0.2">
      <c r="A139" s="670" t="str">
        <f t="shared" si="17"/>
        <v>S</v>
      </c>
      <c r="B139" s="670">
        <f t="shared" ca="1" si="18"/>
        <v>2</v>
      </c>
      <c r="C139" s="670" t="str">
        <f t="shared" ca="1" si="19"/>
        <v>S</v>
      </c>
      <c r="D139" s="670">
        <f t="shared" ca="1" si="20"/>
        <v>0</v>
      </c>
      <c r="E139" s="670">
        <f ca="1">IF($C139=1,OFFSET(E139,-1,0)+MAX(1,COUNTIF(QCI!$A$13:$A$24,OFFSET(ORÇAMENTO!E139,-1,0))),OFFSET(E139,-1,0))</f>
        <v>1</v>
      </c>
      <c r="F139" s="670">
        <f t="shared" ca="1" si="21"/>
        <v>17</v>
      </c>
      <c r="G139" s="670">
        <f t="shared" ca="1" si="22"/>
        <v>0</v>
      </c>
      <c r="H139" s="670">
        <f t="shared" ca="1" si="23"/>
        <v>0</v>
      </c>
      <c r="I139" s="670">
        <f t="shared" ca="1" si="24"/>
        <v>25</v>
      </c>
      <c r="J139" s="670">
        <f t="shared" ca="1" si="33"/>
        <v>0</v>
      </c>
      <c r="K139" s="670">
        <f ca="1">IF(OR($C139="S",$C139=0),0,MATCH(OFFSET($D139,0,$C139)+IF($C139&lt;&gt;1,1,COUNTIF(QCI!$A$13:$A$24,ORÇAMENTO!E139)),OFFSET($D139,1,$C139,ROW($C$191)-ROW($C139)),0))</f>
        <v>0</v>
      </c>
      <c r="L139" s="114" t="str">
        <f t="shared" ca="1" si="26"/>
        <v>F</v>
      </c>
      <c r="M139" s="115" t="s">
        <v>705</v>
      </c>
      <c r="N139" s="116" t="str">
        <f t="shared" ca="1" si="27"/>
        <v>Serviço</v>
      </c>
      <c r="O139" s="117" t="str">
        <f t="shared" ca="1" si="28"/>
        <v>1.17.25.</v>
      </c>
      <c r="P139" s="688" t="s">
        <v>957</v>
      </c>
      <c r="Q139" s="689" t="s">
        <v>1104</v>
      </c>
      <c r="R139" s="690" t="str" cm="1">
        <f t="array" aca="1" ref="R139" ca="1">IF($C139="S",REFERENCIA.Descricao,"(digite a descrição aqui)")</f>
        <v>Disjuntor termomagnetico tripolar 175 A, padrão DIN (Europeu - linha branca),10KA</v>
      </c>
      <c r="S139" s="691" t="str" cm="1">
        <f t="array" aca="1" ref="S139" ca="1">REFERENCIA.Unidade</f>
        <v>UNIDADE</v>
      </c>
      <c r="T139" s="122">
        <f ca="1">OFFSET(CÁLCULO!H$15,ROW($T139)-ROW(T$15),0)</f>
        <v>1</v>
      </c>
      <c r="U139" s="693">
        <f t="shared" ca="1" si="34"/>
        <v>207.69</v>
      </c>
      <c r="V139" s="694" t="s">
        <v>663</v>
      </c>
      <c r="W139" s="122" cm="1">
        <f t="array" aca="1" ref="W139" ca="1">IF($C139="S",ROUND(IF(TIPOORCAMENTO="Proposto",ORÇAMENTO.CustoUnitario*(1+$AH139),ORÇAMENTO.PrecoUnitarioLicitado),15-13*$AF$10),0)</f>
        <v>257.54000000000002</v>
      </c>
      <c r="X139" s="125" cm="1">
        <f t="array" aca="1" ref="X139" ca="1">IF($C139="S",IF(OR(Import.TipoArredondamento&lt;&gt;"TransfereGOV",ACOMPANHAMENTO="BM"),VTOTAL1,SUM(OFFSET(CÁLCULO!$AI$15,ROW($X139)-ROW($X$15),1):OFFSET(CÁLCULO!$BB$15,ROW($X139)-ROW($X$15),-1))),IF($C139=0,0,ROUND(SomaAgrup,15-13*$AF$11)))</f>
        <v>257.54000000000002</v>
      </c>
      <c r="Y139" s="126" t="s">
        <v>751</v>
      </c>
      <c r="Z139" s="670" t="str">
        <f t="shared" ca="1" si="29"/>
        <v>RA</v>
      </c>
      <c r="AA139" s="127" cm="1">
        <f t="array" aca="1" ref="AA139" ca="1">IF($C139="S",IF($Z139="CP",$X139,IF($Z139="RA",(($X139)*QCI!$AA$3),0)),SomaAgrup)</f>
        <v>0</v>
      </c>
      <c r="AB139" s="128" cm="1">
        <f t="array" aca="1" ref="AB139" ca="1">IF($C139="S",IF($Z139="OU",ROUND($X139,2),0),SomaAgrup)</f>
        <v>0</v>
      </c>
      <c r="AC139" s="565" t="str" cm="1">
        <f t="array" aca="1" ref="AC139" ca="1">IF($N139=""," ",
IF(AND($C139&lt;&gt;"S",OR($R139="",$R139="(digite a descrição aqui)")),"DESCRIÇÃO",
IF(AND($C139="S",OR($Q139&lt;&gt;"",$T139&gt;0,$U139&gt;0),$P139=""),"FONTE",
IF(AND($C139="S",$P139&lt;&gt;"",OR($T139&gt;0,$U139&gt;0),$Q139=""),"CÓDIGO",
IF(AND($C139="S",$P139&lt;&gt;"",$Q139&lt;&gt;"",$R139="(Código não identificado nas referências)"),"CÓDIGO N/ID",
IF(AND($C139="S",OR($R139="",$R139="(digite a descrição aqui)"),OR($Q139&lt;&gt;"",$T139&gt;0,$U139&gt;0)),"DESCRIÇÃO",
IF(AND($C139="S",$P139&lt;&gt;"",$Q139&lt;&gt;"",$S139=""),"UNIDADE",
IF(AND($C139="S",$P139&lt;&gt;"",$Q139&lt;&gt;"",$U139=0),"SEM CUSTO",
IF(AND(TIPOORCAMENTO="Licitado",$AL139=0,$AN139&gt;0),"SEM PREÇO",
IF(AND($C139="S",$P139&lt;&gt;"",$Q139&lt;&gt;"",$U139&gt;0,AND($V139&lt;&gt;"BDI 1",$V139&lt;&gt;"BDI 2",$V139&lt;&gt;"BDI 3")),IF(ISNUMBER($V139),"JUSTIFICAR BDI","BDI"),
IF(OR(AND(import.recurso="OGU",TIPOORCAMENTO="Proposto",LEFT($O$8,5)&lt;&gt;"(N/D:",$AG139&lt;&gt;"",ORÇAMENTO.CustoUnitario&gt;$AG139),AND(TIPOORCAMENTO="LICITADO",ORÇAMENTO.PrecoUnitarioLicitado&gt;$AN139)),"ACIMA REF.",
IF(AND($C139="S",$P139&lt;&gt;"",$Q139&lt;&gt;"",$T139=0,$U139&gt;0),"QUANT.",
IF(AND(Import.TipoArredondamento="TransfereGOV",$L139="F",$C139="S",LEN($Q139)&gt;13),"Código &gt;13",
IF(AND(Import.TipoArredondamento="TransfereGOV",$L139="F",$C139&lt;&gt;"S",LEN($R139)&gt;100),"Descrição &gt;100",
IF(AND(Import.TipoArredondamento="TransfereGOV",$L139="F",$C139="S",LEN($R139)&gt;500),"Descrição &gt;500",
IF(AND(Import.TipoArredondamento="TransfereGOV",$L139="F",$C139="S",LEFT(TRIM(UPPER($P139)),6)&lt;&gt;"SINAPI",ISNA(VLOOKUP(TRIM(UPPER($S139)),ListaTgov.Unidades,1,FALSE))),"Unid. Não Disp",
" "))))))))))))))))</f>
        <v>Unid. Não Disp</v>
      </c>
      <c r="AD139" s="670" t="str">
        <f ca="1">IF(C139&lt;=CRONO.NivelExibicao,MAX($AD$15:OFFSET(AD139,-1,0))+IF($C139&lt;&gt;1,1,MAX(1,COUNTIF(QCI!$A$13:$A$24,OFFSET($E139,-1,0)))),"")</f>
        <v/>
      </c>
      <c r="AE139" s="668" t="str" cm="1">
        <f t="array" aca="1" ref="AE139" ca="1">IF(AND($C139="S",ORÇAMENTO.CodBarra&lt;&gt;""),IF(ORÇAMENTO.Fonte="",ORÇAMENTO.CodBarra,CONCATENATE(ORÇAMENTO.Fonte," ",ORÇAMENTO.CodBarra)))</f>
        <v>Cotação 18</v>
      </c>
      <c r="AF139" s="669" cm="1">
        <f t="array" aca="1" ref="AF139" ca="1">IF(ISERROR(ORÇAMENTO.BancoRef),"(abra o arquivo 'Referência "&amp;Excel_BuiltIn_Database&amp;".xlsm)",IF(OR($C139&lt;&gt;"S",ORÇAMENTO.CodBarra=""),"(Sem Código)",IF(ISERROR(MATCH($AE139,INDIRECT(ORÇAMENTO.BancoRef),0)),"(Código não identificado nas referências)",MATCH($AE139,INDIRECT(ORÇAMENTO.BancoRef),0))))</f>
        <v>27</v>
      </c>
      <c r="AG139" s="428" cm="1">
        <f t="array" aca="1" ref="AG139" ca="1">ROUND(IF(DESONERACAO="sim",REFERENCIA.Desonerado,REFERENCIA.NaoDesonerado),2)</f>
        <v>207.69</v>
      </c>
      <c r="AH139" s="429">
        <f t="shared" ca="1" si="30"/>
        <v>0.24</v>
      </c>
      <c r="AJ139" s="431"/>
      <c r="AL139" s="439"/>
      <c r="AM139" s="336">
        <f t="shared" ca="1" si="0"/>
        <v>257.54000000000002</v>
      </c>
      <c r="AN139" s="470" cm="1">
        <f t="array" aca="1" ref="AN139" ca="1">ROUND(ORÇAMENTO.CustoUnitario*(1+$AH139),2)</f>
        <v>257.54000000000002</v>
      </c>
    </row>
    <row r="140" spans="1:40" s="670" customFormat="1" ht="25.5" x14ac:dyDescent="0.2">
      <c r="A140" s="670" t="str">
        <f t="shared" si="17"/>
        <v>S</v>
      </c>
      <c r="B140" s="670">
        <f t="shared" ca="1" si="18"/>
        <v>2</v>
      </c>
      <c r="C140" s="670" t="str">
        <f t="shared" ca="1" si="19"/>
        <v>S</v>
      </c>
      <c r="D140" s="670">
        <f t="shared" ca="1" si="20"/>
        <v>0</v>
      </c>
      <c r="E140" s="670">
        <f ca="1">IF($C140=1,OFFSET(E140,-1,0)+MAX(1,COUNTIF(QCI!$A$13:$A$24,OFFSET(ORÇAMENTO!E140,-1,0))),OFFSET(E140,-1,0))</f>
        <v>1</v>
      </c>
      <c r="F140" s="670">
        <f t="shared" ca="1" si="21"/>
        <v>17</v>
      </c>
      <c r="G140" s="670">
        <f t="shared" ca="1" si="22"/>
        <v>0</v>
      </c>
      <c r="H140" s="670">
        <f t="shared" ca="1" si="23"/>
        <v>0</v>
      </c>
      <c r="I140" s="670">
        <f t="shared" ca="1" si="24"/>
        <v>26</v>
      </c>
      <c r="J140" s="670">
        <f t="shared" ca="1" si="33"/>
        <v>0</v>
      </c>
      <c r="K140" s="670">
        <f ca="1">IF(OR($C140="S",$C140=0),0,MATCH(OFFSET($D140,0,$C140)+IF($C140&lt;&gt;1,1,COUNTIF(QCI!$A$13:$A$24,ORÇAMENTO!E140)),OFFSET($D140,1,$C140,ROW($C$191)-ROW($C140)),0))</f>
        <v>0</v>
      </c>
      <c r="L140" s="114" t="str">
        <f t="shared" ca="1" si="26"/>
        <v>F</v>
      </c>
      <c r="M140" s="115" t="s">
        <v>705</v>
      </c>
      <c r="N140" s="116" t="str">
        <f t="shared" ca="1" si="27"/>
        <v>Serviço</v>
      </c>
      <c r="O140" s="117" t="str">
        <f t="shared" ca="1" si="28"/>
        <v>1.17.26.</v>
      </c>
      <c r="P140" s="688" t="s">
        <v>957</v>
      </c>
      <c r="Q140" s="689" t="s">
        <v>1105</v>
      </c>
      <c r="R140" s="690" t="str" cm="1">
        <f t="array" aca="1" ref="R140" ca="1">IF($C140="S",REFERENCIA.Descricao,"(digite a descrição aqui)")</f>
        <v>Disjuntor tripolar 50 A, padrão DIN (  linha branca ), curva de disparo C, corrente de interrupção 10KA, ref.: Siemens 5SX1 ou similar.</v>
      </c>
      <c r="S140" s="691" t="str" cm="1">
        <f t="array" aca="1" ref="S140" ca="1">REFERENCIA.Unidade</f>
        <v>UNIDADE</v>
      </c>
      <c r="T140" s="122">
        <f ca="1">OFFSET(CÁLCULO!H$15,ROW($T140)-ROW(T$15),0)</f>
        <v>1</v>
      </c>
      <c r="U140" s="693">
        <f t="shared" ca="1" si="34"/>
        <v>235.53</v>
      </c>
      <c r="V140" s="694" t="s">
        <v>663</v>
      </c>
      <c r="W140" s="122" cm="1">
        <f t="array" aca="1" ref="W140" ca="1">IF($C140="S",ROUND(IF(TIPOORCAMENTO="Proposto",ORÇAMENTO.CustoUnitario*(1+$AH140),ORÇAMENTO.PrecoUnitarioLicitado),15-13*$AF$10),0)</f>
        <v>292.06</v>
      </c>
      <c r="X140" s="125" cm="1">
        <f t="array" aca="1" ref="X140" ca="1">IF($C140="S",IF(OR(Import.TipoArredondamento&lt;&gt;"TransfereGOV",ACOMPANHAMENTO="BM"),VTOTAL1,SUM(OFFSET(CÁLCULO!$AI$15,ROW($X140)-ROW($X$15),1):OFFSET(CÁLCULO!$BB$15,ROW($X140)-ROW($X$15),-1))),IF($C140=0,0,ROUND(SomaAgrup,15-13*$AF$11)))</f>
        <v>292.06</v>
      </c>
      <c r="Y140" s="126" t="s">
        <v>751</v>
      </c>
      <c r="Z140" s="670" t="str">
        <f t="shared" ca="1" si="29"/>
        <v>RA</v>
      </c>
      <c r="AA140" s="127" cm="1">
        <f t="array" aca="1" ref="AA140" ca="1">IF($C140="S",IF($Z140="CP",$X140,IF($Z140="RA",(($X140)*QCI!$AA$3),0)),SomaAgrup)</f>
        <v>0</v>
      </c>
      <c r="AB140" s="128" cm="1">
        <f t="array" aca="1" ref="AB140" ca="1">IF($C140="S",IF($Z140="OU",ROUND($X140,2),0),SomaAgrup)</f>
        <v>0</v>
      </c>
      <c r="AC140" s="565" t="str" cm="1">
        <f t="array" aca="1" ref="AC140" ca="1">IF($N140=""," ",
IF(AND($C140&lt;&gt;"S",OR($R140="",$R140="(digite a descrição aqui)")),"DESCRIÇÃO",
IF(AND($C140="S",OR($Q140&lt;&gt;"",$T140&gt;0,$U140&gt;0),$P140=""),"FONTE",
IF(AND($C140="S",$P140&lt;&gt;"",OR($T140&gt;0,$U140&gt;0),$Q140=""),"CÓDIGO",
IF(AND($C140="S",$P140&lt;&gt;"",$Q140&lt;&gt;"",$R140="(Código não identificado nas referências)"),"CÓDIGO N/ID",
IF(AND($C140="S",OR($R140="",$R140="(digite a descrição aqui)"),OR($Q140&lt;&gt;"",$T140&gt;0,$U140&gt;0)),"DESCRIÇÃO",
IF(AND($C140="S",$P140&lt;&gt;"",$Q140&lt;&gt;"",$S140=""),"UNIDADE",
IF(AND($C140="S",$P140&lt;&gt;"",$Q140&lt;&gt;"",$U140=0),"SEM CUSTO",
IF(AND(TIPOORCAMENTO="Licitado",$AL140=0,$AN140&gt;0),"SEM PREÇO",
IF(AND($C140="S",$P140&lt;&gt;"",$Q140&lt;&gt;"",$U140&gt;0,AND($V140&lt;&gt;"BDI 1",$V140&lt;&gt;"BDI 2",$V140&lt;&gt;"BDI 3")),IF(ISNUMBER($V140),"JUSTIFICAR BDI","BDI"),
IF(OR(AND(import.recurso="OGU",TIPOORCAMENTO="Proposto",LEFT($O$8,5)&lt;&gt;"(N/D:",$AG140&lt;&gt;"",ORÇAMENTO.CustoUnitario&gt;$AG140),AND(TIPOORCAMENTO="LICITADO",ORÇAMENTO.PrecoUnitarioLicitado&gt;$AN140)),"ACIMA REF.",
IF(AND($C140="S",$P140&lt;&gt;"",$Q140&lt;&gt;"",$T140=0,$U140&gt;0),"QUANT.",
IF(AND(Import.TipoArredondamento="TransfereGOV",$L140="F",$C140="S",LEN($Q140)&gt;13),"Código &gt;13",
IF(AND(Import.TipoArredondamento="TransfereGOV",$L140="F",$C140&lt;&gt;"S",LEN($R140)&gt;100),"Descrição &gt;100",
IF(AND(Import.TipoArredondamento="TransfereGOV",$L140="F",$C140="S",LEN($R140)&gt;500),"Descrição &gt;500",
IF(AND(Import.TipoArredondamento="TransfereGOV",$L140="F",$C140="S",LEFT(TRIM(UPPER($P140)),6)&lt;&gt;"SINAPI",ISNA(VLOOKUP(TRIM(UPPER($S140)),ListaTgov.Unidades,1,FALSE))),"Unid. Não Disp",
" "))))))))))))))))</f>
        <v>Unid. Não Disp</v>
      </c>
      <c r="AD140" s="670" t="str">
        <f ca="1">IF(C140&lt;=CRONO.NivelExibicao,MAX($AD$15:OFFSET(AD140,-1,0))+IF($C140&lt;&gt;1,1,MAX(1,COUNTIF(QCI!$A$13:$A$24,OFFSET($E140,-1,0)))),"")</f>
        <v/>
      </c>
      <c r="AE140" s="668" t="str" cm="1">
        <f t="array" aca="1" ref="AE140" ca="1">IF(AND($C140="S",ORÇAMENTO.CodBarra&lt;&gt;""),IF(ORÇAMENTO.Fonte="",ORÇAMENTO.CodBarra,CONCATENATE(ORÇAMENTO.Fonte," ",ORÇAMENTO.CodBarra)))</f>
        <v>Cotação 19</v>
      </c>
      <c r="AF140" s="669" cm="1">
        <f t="array" aca="1" ref="AF140" ca="1">IF(ISERROR(ORÇAMENTO.BancoRef),"(abra o arquivo 'Referência "&amp;Excel_BuiltIn_Database&amp;".xlsm)",IF(OR($C140&lt;&gt;"S",ORÇAMENTO.CodBarra=""),"(Sem Código)",IF(ISERROR(MATCH($AE140,INDIRECT(ORÇAMENTO.BancoRef),0)),"(Código não identificado nas referências)",MATCH($AE140,INDIRECT(ORÇAMENTO.BancoRef),0))))</f>
        <v>28</v>
      </c>
      <c r="AG140" s="428" cm="1">
        <f t="array" aca="1" ref="AG140" ca="1">ROUND(IF(DESONERACAO="sim",REFERENCIA.Desonerado,REFERENCIA.NaoDesonerado),2)</f>
        <v>235.53</v>
      </c>
      <c r="AH140" s="429">
        <f t="shared" ca="1" si="30"/>
        <v>0.24</v>
      </c>
      <c r="AJ140" s="431"/>
      <c r="AL140" s="439"/>
      <c r="AM140" s="336">
        <f t="shared" ca="1" si="0"/>
        <v>292.06</v>
      </c>
      <c r="AN140" s="470" cm="1">
        <f t="array" aca="1" ref="AN140" ca="1">ROUND(ORÇAMENTO.CustoUnitario*(1+$AH140),2)</f>
        <v>292.06</v>
      </c>
    </row>
    <row r="141" spans="1:40" s="670" customFormat="1" x14ac:dyDescent="0.2">
      <c r="A141" s="670">
        <f t="shared" ref="A141:A189" si="35">CHOOSE(1+LOG(1+2*(ORÇAMENTO.Nivel="Meta")+4*(ORÇAMENTO.Nivel="Nível 2")+8*(ORÇAMENTO.Nivel="Nível 3")+16*(ORÇAMENTO.Nivel="Nível 4")+32*(ORÇAMENTO.Nivel="Serviço"),2),0,1,2,3,4,"S")</f>
        <v>2</v>
      </c>
      <c r="B141" s="670">
        <f t="shared" ref="B141:B189" ca="1" si="36">IF(OR(C141="s",C141=0),OFFSET(B141,-1,0),C141)</f>
        <v>2</v>
      </c>
      <c r="C141" s="670">
        <f t="shared" ref="C141:C189" ca="1" si="37">IF(OFFSET(C141,-1,0)="L",1,IF(OFFSET(C141,-1,0)=1,2,IF(OR(A141="s",A141=0),"S",IF(AND(OFFSET(C141,-1,0)=2,A141=4),3,IF(AND(OR(OFFSET(C141,-1,0)="s",OFFSET(C141,-1,0)=0),A141&lt;&gt;"s",A141&gt;OFFSET(B141,-1,0)),OFFSET(B141,-1,0),A141)))))</f>
        <v>2</v>
      </c>
      <c r="D141" s="670">
        <f t="shared" ref="D141:D189" ca="1" si="38">IF(OR(C141="S",C141=0),0,IF(ISERROR(K141),J141,SMALL(J141:K141,1)))</f>
        <v>4</v>
      </c>
      <c r="E141" s="670">
        <f ca="1">IF($C141=1,OFFSET(E141,-1,0)+MAX(1,COUNTIF(QCI!$A$13:$A$24,OFFSET(ORÇAMENTO!E141,-1,0))),OFFSET(E141,-1,0))</f>
        <v>1</v>
      </c>
      <c r="F141" s="670">
        <f t="shared" ref="F141:F189" ca="1" si="39">IF($C141=1,0,IF($C141=2,OFFSET(F141,-1,0)+1,OFFSET(F141,-1,0)))</f>
        <v>18</v>
      </c>
      <c r="G141" s="670">
        <f t="shared" ref="G141:G189" ca="1" si="40">IF(AND($C141&lt;=2,$C141&lt;&gt;0),0,IF($C141=3,OFFSET(G141,-1,0)+1,OFFSET(G141,-1,0)))</f>
        <v>0</v>
      </c>
      <c r="H141" s="670">
        <f t="shared" ref="H141:H189" ca="1" si="41">IF(AND($C141&lt;=3,$C141&lt;&gt;0),0,IF($C141=4,OFFSET(H141,-1,0)+1,OFFSET(H141,-1,0)))</f>
        <v>0</v>
      </c>
      <c r="I141" s="670">
        <f t="shared" ref="I141:I189" ca="1" si="42">IF(AND($C141&lt;=4,$C141&lt;&gt;0),0,IF(AND($C141="S",$X141&gt;0),OFFSET(I141,-1,0)+1,OFFSET(I141,-1,0)))</f>
        <v>0</v>
      </c>
      <c r="J141" s="670">
        <f t="shared" ca="1" si="33"/>
        <v>50</v>
      </c>
      <c r="K141" s="670">
        <f ca="1">IF(OR($C141="S",$C141=0),0,MATCH(OFFSET($D141,0,$C141)+IF($C141&lt;&gt;1,1,COUNTIF(QCI!$A$13:$A$24,ORÇAMENTO!E141)),OFFSET($D141,1,$C141,ROW($C$191)-ROW($C141)),0))</f>
        <v>4</v>
      </c>
      <c r="L141" s="114" t="str">
        <f t="shared" ref="L141:L189" ca="1" si="43">IF(OR($X141&gt;0,$C141=1,$C141=2,$C141=3,$C141=4),"F","")</f>
        <v>F</v>
      </c>
      <c r="M141" s="115" t="s">
        <v>702</v>
      </c>
      <c r="N141" s="116" t="str">
        <f t="shared" ref="N141:N189" ca="1" si="44">CHOOSE(1+LOG(1+2*(C141=1)+4*(C141=2)+8*(C141=3)+16*(C141=4)+32*(C141="S"),2),"","Meta","Nível 2","Nível 3","Nível 4","Serviço")</f>
        <v>Nível 2</v>
      </c>
      <c r="O141" s="117" t="str">
        <f t="shared" ref="O141:O189" ca="1" si="45">IF(OR($C141=0,$L141=""),"-",CONCATENATE(E141&amp;".",IF(AND($A$5&gt;=2,$C141&gt;=2),F141&amp;".",""),IF(AND($A$5&gt;=3,$C141&gt;=3),G141&amp;".",""),IF(AND($A$5&gt;=4,$C141&gt;=4),H141&amp;".",""),IF($C141="S",I141&amp;".","")))</f>
        <v>1.18.</v>
      </c>
      <c r="P141" s="688" t="s">
        <v>250</v>
      </c>
      <c r="Q141" s="689" t="s">
        <v>250</v>
      </c>
      <c r="R141" s="690" t="s">
        <v>1308</v>
      </c>
      <c r="S141" s="691" t="s">
        <v>688</v>
      </c>
      <c r="T141" s="122">
        <f ca="1">OFFSET(CÁLCULO!H$15,ROW($T141)-ROW(T$15),0)</f>
        <v>0</v>
      </c>
      <c r="U141" s="693">
        <f t="shared" ca="1" si="34"/>
        <v>0</v>
      </c>
      <c r="V141" s="694" t="s">
        <v>663</v>
      </c>
      <c r="W141" s="122" cm="1">
        <f t="array" aca="1" ref="W141" ca="1">IF($C141="S",ROUND(IF(TIPOORCAMENTO="Proposto",ORÇAMENTO.CustoUnitario*(1+$AH141),ORÇAMENTO.PrecoUnitarioLicitado),15-13*$AF$10),0)</f>
        <v>0</v>
      </c>
      <c r="X141" s="125" cm="1">
        <f t="array" aca="1" ref="X141" ca="1">IF($C141="S",IF(OR(Import.TipoArredondamento&lt;&gt;"TransfereGOV",ACOMPANHAMENTO="BM"),VTOTAL1,SUM(OFFSET(CÁLCULO!$AI$15,ROW($X141)-ROW($X$15),1):OFFSET(CÁLCULO!$BB$15,ROW($X141)-ROW($X$15),-1))),IF($C141=0,0,ROUND(SomaAgrup,15-13*$AF$11)))</f>
        <v>2542.14</v>
      </c>
      <c r="Y141" s="126" t="s">
        <v>751</v>
      </c>
      <c r="Z141" s="670" t="str">
        <f t="shared" ref="Z141:Z189" ca="1" si="46">IF(AND($C141="S",$X141&gt;0),IF(ISBLANK($Y141),"RA",LEFT($Y141,2)),"")</f>
        <v/>
      </c>
      <c r="AA141" s="127" cm="1">
        <f t="array" aca="1" ref="AA141" ca="1">IF($C141="S",IF($Z141="CP",$X141,IF($Z141="RA",(($X141)*QCI!$AA$3),0)),SomaAgrup)</f>
        <v>0</v>
      </c>
      <c r="AB141" s="128" cm="1">
        <f t="array" aca="1" ref="AB141" ca="1">IF($C141="S",IF($Z141="OU",ROUND($X141,2),0),SomaAgrup)</f>
        <v>0</v>
      </c>
      <c r="AC141" s="565" t="str" cm="1">
        <f t="array" aca="1" ref="AC141" ca="1">IF($N141=""," ",
IF(AND($C141&lt;&gt;"S",OR($R141="",$R141="(digite a descrição aqui)")),"DESCRIÇÃO",
IF(AND($C141="S",OR($Q141&lt;&gt;"",$T141&gt;0,$U141&gt;0),$P141=""),"FONTE",
IF(AND($C141="S",$P141&lt;&gt;"",OR($T141&gt;0,$U141&gt;0),$Q141=""),"CÓDIGO",
IF(AND($C141="S",$P141&lt;&gt;"",$Q141&lt;&gt;"",$R141="(Código não identificado nas referências)"),"CÓDIGO N/ID",
IF(AND($C141="S",OR($R141="",$R141="(digite a descrição aqui)"),OR($Q141&lt;&gt;"",$T141&gt;0,$U141&gt;0)),"DESCRIÇÃO",
IF(AND($C141="S",$P141&lt;&gt;"",$Q141&lt;&gt;"",$S141=""),"UNIDADE",
IF(AND($C141="S",$P141&lt;&gt;"",$Q141&lt;&gt;"",$U141=0),"SEM CUSTO",
IF(AND(TIPOORCAMENTO="Licitado",$AL141=0,$AN141&gt;0),"SEM PREÇO",
IF(AND($C141="S",$P141&lt;&gt;"",$Q141&lt;&gt;"",$U141&gt;0,AND($V141&lt;&gt;"BDI 1",$V141&lt;&gt;"BDI 2",$V141&lt;&gt;"BDI 3")),IF(ISNUMBER($V141),"JUSTIFICAR BDI","BDI"),
IF(OR(AND(import.recurso="OGU",TIPOORCAMENTO="Proposto",LEFT($O$8,5)&lt;&gt;"(N/D:",$AG141&lt;&gt;"",ORÇAMENTO.CustoUnitario&gt;$AG141),AND(TIPOORCAMENTO="LICITADO",ORÇAMENTO.PrecoUnitarioLicitado&gt;$AN141)),"ACIMA REF.",
IF(AND($C141="S",$P141&lt;&gt;"",$Q141&lt;&gt;"",$T141=0,$U141&gt;0),"QUANT.",
IF(AND(Import.TipoArredondamento="TransfereGOV",$L141="F",$C141="S",LEN($Q141)&gt;13),"Código &gt;13",
IF(AND(Import.TipoArredondamento="TransfereGOV",$L141="F",$C141&lt;&gt;"S",LEN($R141)&gt;100),"Descrição &gt;100",
IF(AND(Import.TipoArredondamento="TransfereGOV",$L141="F",$C141="S",LEN($R141)&gt;500),"Descrição &gt;500",
IF(AND(Import.TipoArredondamento="TransfereGOV",$L141="F",$C141="S",LEFT(TRIM(UPPER($P141)),6)&lt;&gt;"SINAPI",ISNA(VLOOKUP(TRIM(UPPER($S141)),ListaTgov.Unidades,1,FALSE))),"Unid. Não Disp",
" "))))))))))))))))</f>
        <v xml:space="preserve"> </v>
      </c>
      <c r="AD141" s="670">
        <f ca="1">IF(C141&lt;=CRONO.NivelExibicao,MAX($AD$15:OFFSET(AD141,-1,0))+IF($C141&lt;&gt;1,1,MAX(1,COUNTIF(QCI!$A$13:$A$24,OFFSET($E141,-1,0)))),"")</f>
        <v>19</v>
      </c>
      <c r="AE141" s="668" t="b" cm="1">
        <f t="array" aca="1" ref="AE141" ca="1">IF(AND($C141="S",ORÇAMENTO.CodBarra&lt;&gt;""),IF(ORÇAMENTO.Fonte="",ORÇAMENTO.CodBarra,CONCATENATE(ORÇAMENTO.Fonte," ",ORÇAMENTO.CodBarra)))</f>
        <v>0</v>
      </c>
      <c r="AF141" s="669" t="str" cm="1">
        <f t="array" aca="1" ref="AF141" ca="1">IF(ISERROR(ORÇAMENTO.BancoRef),"(abra o arquivo 'Referência "&amp;Excel_BuiltIn_Database&amp;".xlsm)",IF(OR($C141&lt;&gt;"S",ORÇAMENTO.CodBarra=""),"(Sem Código)",IF(ISERROR(MATCH($AE141,INDIRECT(ORÇAMENTO.BancoRef),0)),"(Código não identificado nas referências)",MATCH($AE141,INDIRECT(ORÇAMENTO.BancoRef),0))))</f>
        <v>(Sem Código)</v>
      </c>
      <c r="AG141" s="428" cm="1">
        <f t="array" aca="1" ref="AG141" ca="1">ROUND(IF(DESONERACAO="sim",REFERENCIA.Desonerado,REFERENCIA.NaoDesonerado),2)</f>
        <v>0</v>
      </c>
      <c r="AH141" s="429">
        <f t="shared" ref="AH141:AH189" ca="1" si="47">ROUND(IF(ISNUMBER(ORÇAMENTO.OpcaoBDI),ORÇAMENTO.OpcaoBDI,IF(LEFT(ORÇAMENTO.OpcaoBDI,3)="BDI",HLOOKUP(ORÇAMENTO.OpcaoBDI,$F$4:$H$5,2,FALSE),0)),15-11*$AF$9)</f>
        <v>0.24</v>
      </c>
      <c r="AJ141" s="431"/>
      <c r="AL141" s="439"/>
      <c r="AM141" s="336">
        <f t="shared" ca="1" si="0"/>
        <v>2542.14</v>
      </c>
      <c r="AN141" s="470" cm="1">
        <f t="array" aca="1" ref="AN141" ca="1">ROUND(ORÇAMENTO.CustoUnitario*(1+$AH141),2)</f>
        <v>0</v>
      </c>
    </row>
    <row r="142" spans="1:40" s="670" customFormat="1" ht="76.5" x14ac:dyDescent="0.2">
      <c r="A142" s="670" t="str">
        <f t="shared" si="35"/>
        <v>S</v>
      </c>
      <c r="B142" s="670">
        <f t="shared" ca="1" si="36"/>
        <v>2</v>
      </c>
      <c r="C142" s="670" t="str">
        <f t="shared" ca="1" si="37"/>
        <v>S</v>
      </c>
      <c r="D142" s="670">
        <f t="shared" ca="1" si="38"/>
        <v>0</v>
      </c>
      <c r="E142" s="670">
        <f ca="1">IF($C142=1,OFFSET(E142,-1,0)+MAX(1,COUNTIF(QCI!$A$13:$A$24,OFFSET(ORÇAMENTO!E142,-1,0))),OFFSET(E142,-1,0))</f>
        <v>1</v>
      </c>
      <c r="F142" s="670">
        <f t="shared" ca="1" si="39"/>
        <v>18</v>
      </c>
      <c r="G142" s="670">
        <f t="shared" ca="1" si="40"/>
        <v>0</v>
      </c>
      <c r="H142" s="670">
        <f t="shared" ca="1" si="41"/>
        <v>0</v>
      </c>
      <c r="I142" s="670">
        <f t="shared" ca="1" si="42"/>
        <v>1</v>
      </c>
      <c r="J142" s="670">
        <f t="shared" ca="1" si="33"/>
        <v>0</v>
      </c>
      <c r="K142" s="670">
        <f ca="1">IF(OR($C142="S",$C142=0),0,MATCH(OFFSET($D142,0,$C142)+IF($C142&lt;&gt;1,1,COUNTIF(QCI!$A$13:$A$24,ORÇAMENTO!E142)),OFFSET($D142,1,$C142,ROW($C$191)-ROW($C142)),0))</f>
        <v>0</v>
      </c>
      <c r="L142" s="114" t="str">
        <f t="shared" ca="1" si="43"/>
        <v>F</v>
      </c>
      <c r="M142" s="115" t="s">
        <v>705</v>
      </c>
      <c r="N142" s="116" t="str">
        <f t="shared" ca="1" si="44"/>
        <v>Serviço</v>
      </c>
      <c r="O142" s="117" t="str">
        <f t="shared" ca="1" si="45"/>
        <v>1.18.1.</v>
      </c>
      <c r="P142" s="688" t="s">
        <v>750</v>
      </c>
      <c r="Q142" s="689" t="s">
        <v>1250</v>
      </c>
      <c r="R142" s="690" t="str" cm="1">
        <f t="array" aca="1" ref="R142" ca="1">IF($C142="S",REFERENCIA.Descricao,"(digite a descrição aqui)")</f>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S142" s="691" t="str" cm="1">
        <f t="array" aca="1" ref="S142" ca="1">REFERENCIA.Unidade</f>
        <v>M2</v>
      </c>
      <c r="T142" s="122">
        <f ca="1">OFFSET(CÁLCULO!H$15,ROW($T142)-ROW(T$15),0)</f>
        <v>2</v>
      </c>
      <c r="U142" s="693">
        <f t="shared" ca="1" si="34"/>
        <v>319.20999999999998</v>
      </c>
      <c r="V142" s="694" t="s">
        <v>663</v>
      </c>
      <c r="W142" s="122" cm="1">
        <f t="array" aca="1" ref="W142" ca="1">IF($C142="S",ROUND(IF(TIPOORCAMENTO="Proposto",ORÇAMENTO.CustoUnitario*(1+$AH142),ORÇAMENTO.PrecoUnitarioLicitado),15-13*$AF$10),0)</f>
        <v>395.82</v>
      </c>
      <c r="X142" s="125" cm="1">
        <f t="array" aca="1" ref="X142" ca="1">IF($C142="S",IF(OR(Import.TipoArredondamento&lt;&gt;"TransfereGOV",ACOMPANHAMENTO="BM"),VTOTAL1,SUM(OFFSET(CÁLCULO!$AI$15,ROW($X142)-ROW($X$15),1):OFFSET(CÁLCULO!$BB$15,ROW($X142)-ROW($X$15),-1))),IF($C142=0,0,ROUND(SomaAgrup,15-13*$AF$11)))</f>
        <v>791.64</v>
      </c>
      <c r="Y142" s="126" t="s">
        <v>751</v>
      </c>
      <c r="Z142" s="670" t="str">
        <f t="shared" ca="1" si="46"/>
        <v>RA</v>
      </c>
      <c r="AA142" s="127" cm="1">
        <f t="array" aca="1" ref="AA142" ca="1">IF($C142="S",IF($Z142="CP",$X142,IF($Z142="RA",(($X142)*QCI!$AA$3),0)),SomaAgrup)</f>
        <v>0</v>
      </c>
      <c r="AB142" s="128" cm="1">
        <f t="array" aca="1" ref="AB142" ca="1">IF($C142="S",IF($Z142="OU",ROUND($X142,2),0),SomaAgrup)</f>
        <v>0</v>
      </c>
      <c r="AC142" s="565" t="str" cm="1">
        <f t="array" aca="1" ref="AC142" ca="1">IF($N142=""," ",
IF(AND($C142&lt;&gt;"S",OR($R142="",$R142="(digite a descrição aqui)")),"DESCRIÇÃO",
IF(AND($C142="S",OR($Q142&lt;&gt;"",$T142&gt;0,$U142&gt;0),$P142=""),"FONTE",
IF(AND($C142="S",$P142&lt;&gt;"",OR($T142&gt;0,$U142&gt;0),$Q142=""),"CÓDIGO",
IF(AND($C142="S",$P142&lt;&gt;"",$Q142&lt;&gt;"",$R142="(Código não identificado nas referências)"),"CÓDIGO N/ID",
IF(AND($C142="S",OR($R142="",$R142="(digite a descrição aqui)"),OR($Q142&lt;&gt;"",$T142&gt;0,$U142&gt;0)),"DESCRIÇÃO",
IF(AND($C142="S",$P142&lt;&gt;"",$Q142&lt;&gt;"",$S142=""),"UNIDADE",
IF(AND($C142="S",$P142&lt;&gt;"",$Q142&lt;&gt;"",$U142=0),"SEM CUSTO",
IF(AND(TIPOORCAMENTO="Licitado",$AL142=0,$AN142&gt;0),"SEM PREÇO",
IF(AND($C142="S",$P142&lt;&gt;"",$Q142&lt;&gt;"",$U142&gt;0,AND($V142&lt;&gt;"BDI 1",$V142&lt;&gt;"BDI 2",$V142&lt;&gt;"BDI 3")),IF(ISNUMBER($V142),"JUSTIFICAR BDI","BDI"),
IF(OR(AND(import.recurso="OGU",TIPOORCAMENTO="Proposto",LEFT($O$8,5)&lt;&gt;"(N/D:",$AG142&lt;&gt;"",ORÇAMENTO.CustoUnitario&gt;$AG142),AND(TIPOORCAMENTO="LICITADO",ORÇAMENTO.PrecoUnitarioLicitado&gt;$AN142)),"ACIMA REF.",
IF(AND($C142="S",$P142&lt;&gt;"",$Q142&lt;&gt;"",$T142=0,$U142&gt;0),"QUANT.",
IF(AND(Import.TipoArredondamento="TransfereGOV",$L142="F",$C142="S",LEN($Q142)&gt;13),"Código &gt;13",
IF(AND(Import.TipoArredondamento="TransfereGOV",$L142="F",$C142&lt;&gt;"S",LEN($R142)&gt;100),"Descrição &gt;100",
IF(AND(Import.TipoArredondamento="TransfereGOV",$L142="F",$C142="S",LEN($R142)&gt;500),"Descrição &gt;500",
IF(AND(Import.TipoArredondamento="TransfereGOV",$L142="F",$C142="S",LEFT(TRIM(UPPER($P142)),6)&lt;&gt;"SINAPI",ISNA(VLOOKUP(TRIM(UPPER($S142)),ListaTgov.Unidades,1,FALSE))),"Unid. Não Disp",
" "))))))))))))))))</f>
        <v xml:space="preserve"> </v>
      </c>
      <c r="AD142" s="670" t="str">
        <f ca="1">IF(C142&lt;=CRONO.NivelExibicao,MAX($AD$15:OFFSET(AD142,-1,0))+IF($C142&lt;&gt;1,1,MAX(1,COUNTIF(QCI!$A$13:$A$24,OFFSET($E142,-1,0)))),"")</f>
        <v/>
      </c>
      <c r="AE142" s="668" t="str" cm="1">
        <f t="array" aca="1" ref="AE142" ca="1">IF(AND($C142="S",ORÇAMENTO.CodBarra&lt;&gt;""),IF(ORÇAMENTO.Fonte="",ORÇAMENTO.CodBarra,CONCATENATE(ORÇAMENTO.Fonte," ",ORÇAMENTO.CodBarra)))</f>
        <v>SINAPI 94570</v>
      </c>
      <c r="AF142" s="669" cm="1">
        <f t="array" aca="1" ref="AF142" ca="1">IF(ISERROR(ORÇAMENTO.BancoRef),"(abra o arquivo 'Referência "&amp;Excel_BuiltIn_Database&amp;".xlsm)",IF(OR($C142&lt;&gt;"S",ORÇAMENTO.CodBarra=""),"(Sem Código)",IF(ISERROR(MATCH($AE142,INDIRECT(ORÇAMENTO.BancoRef),0)),"(Código não identificado nas referências)",MATCH($AE142,INDIRECT(ORÇAMENTO.BancoRef),0))))</f>
        <v>9650</v>
      </c>
      <c r="AG142" s="428" cm="1">
        <f t="array" aca="1" ref="AG142" ca="1">ROUND(IF(DESONERACAO="sim",REFERENCIA.Desonerado,REFERENCIA.NaoDesonerado),2)</f>
        <v>319.20999999999998</v>
      </c>
      <c r="AH142" s="429">
        <f t="shared" ca="1" si="47"/>
        <v>0.24</v>
      </c>
      <c r="AJ142" s="431"/>
      <c r="AL142" s="439"/>
      <c r="AM142" s="336">
        <f t="shared" ca="1" si="0"/>
        <v>791.64</v>
      </c>
      <c r="AN142" s="470" cm="1">
        <f t="array" aca="1" ref="AN142" ca="1">ROUND(ORÇAMENTO.CustoUnitario*(1+$AH142),2)</f>
        <v>395.82</v>
      </c>
    </row>
    <row r="143" spans="1:40" s="670" customFormat="1" ht="25.5" x14ac:dyDescent="0.2">
      <c r="A143" s="670" t="str">
        <f t="shared" si="35"/>
        <v>S</v>
      </c>
      <c r="B143" s="670">
        <f t="shared" ca="1" si="36"/>
        <v>2</v>
      </c>
      <c r="C143" s="670" t="str">
        <f t="shared" ca="1" si="37"/>
        <v>S</v>
      </c>
      <c r="D143" s="670">
        <f t="shared" ca="1" si="38"/>
        <v>0</v>
      </c>
      <c r="E143" s="670">
        <f ca="1">IF($C143=1,OFFSET(E143,-1,0)+MAX(1,COUNTIF(QCI!$A$13:$A$24,OFFSET(ORÇAMENTO!E143,-1,0))),OFFSET(E143,-1,0))</f>
        <v>1</v>
      </c>
      <c r="F143" s="670">
        <f t="shared" ca="1" si="39"/>
        <v>18</v>
      </c>
      <c r="G143" s="670">
        <f t="shared" ca="1" si="40"/>
        <v>0</v>
      </c>
      <c r="H143" s="670">
        <f t="shared" ca="1" si="41"/>
        <v>0</v>
      </c>
      <c r="I143" s="670">
        <f t="shared" ca="1" si="42"/>
        <v>2</v>
      </c>
      <c r="J143" s="670">
        <f t="shared" ca="1" si="33"/>
        <v>0</v>
      </c>
      <c r="K143" s="670">
        <f ca="1">IF(OR($C143="S",$C143=0),0,MATCH(OFFSET($D143,0,$C143)+IF($C143&lt;&gt;1,1,COUNTIF(QCI!$A$13:$A$24,ORÇAMENTO!E143)),OFFSET($D143,1,$C143,ROW($C$191)-ROW($C143)),0))</f>
        <v>0</v>
      </c>
      <c r="L143" s="114" t="str">
        <f t="shared" ca="1" si="43"/>
        <v>F</v>
      </c>
      <c r="M143" s="115" t="s">
        <v>705</v>
      </c>
      <c r="N143" s="116" t="str">
        <f t="shared" ca="1" si="44"/>
        <v>Serviço</v>
      </c>
      <c r="O143" s="117" t="str">
        <f t="shared" ca="1" si="45"/>
        <v>1.18.2.</v>
      </c>
      <c r="P143" s="688" t="s">
        <v>750</v>
      </c>
      <c r="Q143" s="689" t="s">
        <v>1252</v>
      </c>
      <c r="R143" s="690" t="str" cm="1">
        <f t="array" aca="1" ref="R143" ca="1">IF($C143="S",REFERENCIA.Descricao,"(digite a descrição aqui)")</f>
        <v>PORTA DE ALUMÍNIO DE ABRIR, P/ VIDRO, C/ GUARNIÇÃO, 87X210CM, FIXAÇÃO COM ARGAMASSA. AF_10/2025</v>
      </c>
      <c r="S143" s="691" t="str" cm="1">
        <f t="array" aca="1" ref="S143" ca="1">REFERENCIA.Unidade</f>
        <v>UN</v>
      </c>
      <c r="T143" s="122">
        <f ca="1">OFFSET(CÁLCULO!H$15,ROW($T143)-ROW(T$15),0)</f>
        <v>1</v>
      </c>
      <c r="U143" s="693">
        <f t="shared" ca="1" si="34"/>
        <v>912.7</v>
      </c>
      <c r="V143" s="694" t="s">
        <v>663</v>
      </c>
      <c r="W143" s="122" cm="1">
        <f t="array" aca="1" ref="W143" ca="1">IF($C143="S",ROUND(IF(TIPOORCAMENTO="Proposto",ORÇAMENTO.CustoUnitario*(1+$AH143),ORÇAMENTO.PrecoUnitarioLicitado),15-13*$AF$10),0)</f>
        <v>1131.75</v>
      </c>
      <c r="X143" s="125" cm="1">
        <f t="array" aca="1" ref="X143" ca="1">IF($C143="S",IF(OR(Import.TipoArredondamento&lt;&gt;"TransfereGOV",ACOMPANHAMENTO="BM"),VTOTAL1,SUM(OFFSET(CÁLCULO!$AI$15,ROW($X143)-ROW($X$15),1):OFFSET(CÁLCULO!$BB$15,ROW($X143)-ROW($X$15),-1))),IF($C143=0,0,ROUND(SomaAgrup,15-13*$AF$11)))</f>
        <v>1131.75</v>
      </c>
      <c r="Y143" s="126" t="s">
        <v>751</v>
      </c>
      <c r="Z143" s="670" t="str">
        <f t="shared" ca="1" si="46"/>
        <v>RA</v>
      </c>
      <c r="AA143" s="127" cm="1">
        <f t="array" aca="1" ref="AA143" ca="1">IF($C143="S",IF($Z143="CP",$X143,IF($Z143="RA",(($X143)*QCI!$AA$3),0)),SomaAgrup)</f>
        <v>0</v>
      </c>
      <c r="AB143" s="128" cm="1">
        <f t="array" aca="1" ref="AB143" ca="1">IF($C143="S",IF($Z143="OU",ROUND($X143,2),0),SomaAgrup)</f>
        <v>0</v>
      </c>
      <c r="AC143" s="565" t="str" cm="1">
        <f t="array" aca="1" ref="AC143" ca="1">IF($N143=""," ",
IF(AND($C143&lt;&gt;"S",OR($R143="",$R143="(digite a descrição aqui)")),"DESCRIÇÃO",
IF(AND($C143="S",OR($Q143&lt;&gt;"",$T143&gt;0,$U143&gt;0),$P143=""),"FONTE",
IF(AND($C143="S",$P143&lt;&gt;"",OR($T143&gt;0,$U143&gt;0),$Q143=""),"CÓDIGO",
IF(AND($C143="S",$P143&lt;&gt;"",$Q143&lt;&gt;"",$R143="(Código não identificado nas referências)"),"CÓDIGO N/ID",
IF(AND($C143="S",OR($R143="",$R143="(digite a descrição aqui)"),OR($Q143&lt;&gt;"",$T143&gt;0,$U143&gt;0)),"DESCRIÇÃO",
IF(AND($C143="S",$P143&lt;&gt;"",$Q143&lt;&gt;"",$S143=""),"UNIDADE",
IF(AND($C143="S",$P143&lt;&gt;"",$Q143&lt;&gt;"",$U143=0),"SEM CUSTO",
IF(AND(TIPOORCAMENTO="Licitado",$AL143=0,$AN143&gt;0),"SEM PREÇO",
IF(AND($C143="S",$P143&lt;&gt;"",$Q143&lt;&gt;"",$U143&gt;0,AND($V143&lt;&gt;"BDI 1",$V143&lt;&gt;"BDI 2",$V143&lt;&gt;"BDI 3")),IF(ISNUMBER($V143),"JUSTIFICAR BDI","BDI"),
IF(OR(AND(import.recurso="OGU",TIPOORCAMENTO="Proposto",LEFT($O$8,5)&lt;&gt;"(N/D:",$AG143&lt;&gt;"",ORÇAMENTO.CustoUnitario&gt;$AG143),AND(TIPOORCAMENTO="LICITADO",ORÇAMENTO.PrecoUnitarioLicitado&gt;$AN143)),"ACIMA REF.",
IF(AND($C143="S",$P143&lt;&gt;"",$Q143&lt;&gt;"",$T143=0,$U143&gt;0),"QUANT.",
IF(AND(Import.TipoArredondamento="TransfereGOV",$L143="F",$C143="S",LEN($Q143)&gt;13),"Código &gt;13",
IF(AND(Import.TipoArredondamento="TransfereGOV",$L143="F",$C143&lt;&gt;"S",LEN($R143)&gt;100),"Descrição &gt;100",
IF(AND(Import.TipoArredondamento="TransfereGOV",$L143="F",$C143="S",LEN($R143)&gt;500),"Descrição &gt;500",
IF(AND(Import.TipoArredondamento="TransfereGOV",$L143="F",$C143="S",LEFT(TRIM(UPPER($P143)),6)&lt;&gt;"SINAPI",ISNA(VLOOKUP(TRIM(UPPER($S143)),ListaTgov.Unidades,1,FALSE))),"Unid. Não Disp",
" "))))))))))))))))</f>
        <v xml:space="preserve"> </v>
      </c>
      <c r="AD143" s="670" t="str">
        <f ca="1">IF(C143&lt;=CRONO.NivelExibicao,MAX($AD$15:OFFSET(AD143,-1,0))+IF($C143&lt;&gt;1,1,MAX(1,COUNTIF(QCI!$A$13:$A$24,OFFSET($E143,-1,0)))),"")</f>
        <v/>
      </c>
      <c r="AE143" s="668" t="str" cm="1">
        <f t="array" aca="1" ref="AE143" ca="1">IF(AND($C143="S",ORÇAMENTO.CodBarra&lt;&gt;""),IF(ORÇAMENTO.Fonte="",ORÇAMENTO.CodBarra,CONCATENATE(ORÇAMENTO.Fonte," ",ORÇAMENTO.CodBarra)))</f>
        <v>SINAPI 106145</v>
      </c>
      <c r="AF143" s="669" cm="1">
        <f t="array" aca="1" ref="AF143" ca="1">IF(ISERROR(ORÇAMENTO.BancoRef),"(abra o arquivo 'Referência "&amp;Excel_BuiltIn_Database&amp;".xlsm)",IF(OR($C143&lt;&gt;"S",ORÇAMENTO.CodBarra=""),"(Sem Código)",IF(ISERROR(MATCH($AE143,INDIRECT(ORÇAMENTO.BancoRef),0)),"(Código não identificado nas referências)",MATCH($AE143,INDIRECT(ORÇAMENTO.BancoRef),0))))</f>
        <v>9770</v>
      </c>
      <c r="AG143" s="428" cm="1">
        <f t="array" aca="1" ref="AG143" ca="1">ROUND(IF(DESONERACAO="sim",REFERENCIA.Desonerado,REFERENCIA.NaoDesonerado),2)</f>
        <v>912.7</v>
      </c>
      <c r="AH143" s="429">
        <f t="shared" ca="1" si="47"/>
        <v>0.24</v>
      </c>
      <c r="AJ143" s="431"/>
      <c r="AL143" s="439"/>
      <c r="AM143" s="336">
        <f t="shared" ca="1" si="0"/>
        <v>1131.75</v>
      </c>
      <c r="AN143" s="470" cm="1">
        <f t="array" aca="1" ref="AN143" ca="1">ROUND(ORÇAMENTO.CustoUnitario*(1+$AH143),2)</f>
        <v>1131.75</v>
      </c>
    </row>
    <row r="144" spans="1:40" s="670" customFormat="1" ht="38.25" x14ac:dyDescent="0.2">
      <c r="A144" s="670" t="str">
        <f t="shared" si="35"/>
        <v>S</v>
      </c>
      <c r="B144" s="670">
        <f t="shared" ca="1" si="36"/>
        <v>2</v>
      </c>
      <c r="C144" s="670" t="str">
        <f t="shared" ca="1" si="37"/>
        <v>S</v>
      </c>
      <c r="D144" s="670">
        <f t="shared" ca="1" si="38"/>
        <v>0</v>
      </c>
      <c r="E144" s="670">
        <f ca="1">IF($C144=1,OFFSET(E144,-1,0)+MAX(1,COUNTIF(QCI!$A$13:$A$24,OFFSET(ORÇAMENTO!E144,-1,0))),OFFSET(E144,-1,0))</f>
        <v>1</v>
      </c>
      <c r="F144" s="670">
        <f t="shared" ca="1" si="39"/>
        <v>18</v>
      </c>
      <c r="G144" s="670">
        <f t="shared" ca="1" si="40"/>
        <v>0</v>
      </c>
      <c r="H144" s="670">
        <f t="shared" ca="1" si="41"/>
        <v>0</v>
      </c>
      <c r="I144" s="670">
        <f t="shared" ca="1" si="42"/>
        <v>3</v>
      </c>
      <c r="J144" s="670">
        <f t="shared" ca="1" si="33"/>
        <v>0</v>
      </c>
      <c r="K144" s="670">
        <f ca="1">IF(OR($C144="S",$C144=0),0,MATCH(OFFSET($D144,0,$C144)+IF($C144&lt;&gt;1,1,COUNTIF(QCI!$A$13:$A$24,ORÇAMENTO!E144)),OFFSET($D144,1,$C144,ROW($C$191)-ROW($C144)),0))</f>
        <v>0</v>
      </c>
      <c r="L144" s="114" t="str">
        <f t="shared" ca="1" si="43"/>
        <v>F</v>
      </c>
      <c r="M144" s="115" t="s">
        <v>705</v>
      </c>
      <c r="N144" s="116" t="str">
        <f t="shared" ca="1" si="44"/>
        <v>Serviço</v>
      </c>
      <c r="O144" s="117" t="str">
        <f t="shared" ca="1" si="45"/>
        <v>1.18.3.</v>
      </c>
      <c r="P144" s="688" t="s">
        <v>750</v>
      </c>
      <c r="Q144" s="689" t="s">
        <v>1251</v>
      </c>
      <c r="R144" s="690" t="str" cm="1">
        <f t="array" aca="1" ref="R144" ca="1">IF($C144="S",REFERENCIA.Descricao,"(digite a descrição aqui)")</f>
        <v>PORTA DE CORRER DE ALUMÍNIO, COM DUAS FOLHAS PARA VIDRO, INCLUSO VIDRO LISO INCOLOR, FECHADURA E PUXADOR, SEM ALIZAR. AF_10/2025</v>
      </c>
      <c r="S144" s="691" t="str" cm="1">
        <f t="array" aca="1" ref="S144" ca="1">REFERENCIA.Unidade</f>
        <v>M2</v>
      </c>
      <c r="T144" s="122">
        <f ca="1">OFFSET(CÁLCULO!H$15,ROW($T144)-ROW(T$15),0)</f>
        <v>1</v>
      </c>
      <c r="U144" s="693">
        <f t="shared" ca="1" si="34"/>
        <v>498.99</v>
      </c>
      <c r="V144" s="694" t="s">
        <v>663</v>
      </c>
      <c r="W144" s="122" cm="1">
        <f t="array" aca="1" ref="W144" ca="1">IF($C144="S",ROUND(IF(TIPOORCAMENTO="Proposto",ORÇAMENTO.CustoUnitario*(1+$AH144),ORÇAMENTO.PrecoUnitarioLicitado),15-13*$AF$10),0)</f>
        <v>618.75</v>
      </c>
      <c r="X144" s="125" cm="1">
        <f t="array" aca="1" ref="X144" ca="1">IF($C144="S",IF(OR(Import.TipoArredondamento&lt;&gt;"TransfereGOV",ACOMPANHAMENTO="BM"),VTOTAL1,SUM(OFFSET(CÁLCULO!$AI$15,ROW($X144)-ROW($X$15),1):OFFSET(CÁLCULO!$BB$15,ROW($X144)-ROW($X$15),-1))),IF($C144=0,0,ROUND(SomaAgrup,15-13*$AF$11)))</f>
        <v>618.75</v>
      </c>
      <c r="Y144" s="126" t="s">
        <v>751</v>
      </c>
      <c r="Z144" s="670" t="str">
        <f t="shared" ca="1" si="46"/>
        <v>RA</v>
      </c>
      <c r="AA144" s="127" cm="1">
        <f t="array" aca="1" ref="AA144" ca="1">IF($C144="S",IF($Z144="CP",$X144,IF($Z144="RA",(($X144)*QCI!$AA$3),0)),SomaAgrup)</f>
        <v>0</v>
      </c>
      <c r="AB144" s="128" cm="1">
        <f t="array" aca="1" ref="AB144" ca="1">IF($C144="S",IF($Z144="OU",ROUND($X144,2),0),SomaAgrup)</f>
        <v>0</v>
      </c>
      <c r="AC144" s="565" t="str" cm="1">
        <f t="array" aca="1" ref="AC144" ca="1">IF($N144=""," ",
IF(AND($C144&lt;&gt;"S",OR($R144="",$R144="(digite a descrição aqui)")),"DESCRIÇÃO",
IF(AND($C144="S",OR($Q144&lt;&gt;"",$T144&gt;0,$U144&gt;0),$P144=""),"FONTE",
IF(AND($C144="S",$P144&lt;&gt;"",OR($T144&gt;0,$U144&gt;0),$Q144=""),"CÓDIGO",
IF(AND($C144="S",$P144&lt;&gt;"",$Q144&lt;&gt;"",$R144="(Código não identificado nas referências)"),"CÓDIGO N/ID",
IF(AND($C144="S",OR($R144="",$R144="(digite a descrição aqui)"),OR($Q144&lt;&gt;"",$T144&gt;0,$U144&gt;0)),"DESCRIÇÃO",
IF(AND($C144="S",$P144&lt;&gt;"",$Q144&lt;&gt;"",$S144=""),"UNIDADE",
IF(AND($C144="S",$P144&lt;&gt;"",$Q144&lt;&gt;"",$U144=0),"SEM CUSTO",
IF(AND(TIPOORCAMENTO="Licitado",$AL144=0,$AN144&gt;0),"SEM PREÇO",
IF(AND($C144="S",$P144&lt;&gt;"",$Q144&lt;&gt;"",$U144&gt;0,AND($V144&lt;&gt;"BDI 1",$V144&lt;&gt;"BDI 2",$V144&lt;&gt;"BDI 3")),IF(ISNUMBER($V144),"JUSTIFICAR BDI","BDI"),
IF(OR(AND(import.recurso="OGU",TIPOORCAMENTO="Proposto",LEFT($O$8,5)&lt;&gt;"(N/D:",$AG144&lt;&gt;"",ORÇAMENTO.CustoUnitario&gt;$AG144),AND(TIPOORCAMENTO="LICITADO",ORÇAMENTO.PrecoUnitarioLicitado&gt;$AN144)),"ACIMA REF.",
IF(AND($C144="S",$P144&lt;&gt;"",$Q144&lt;&gt;"",$T144=0,$U144&gt;0),"QUANT.",
IF(AND(Import.TipoArredondamento="TransfereGOV",$L144="F",$C144="S",LEN($Q144)&gt;13),"Código &gt;13",
IF(AND(Import.TipoArredondamento="TransfereGOV",$L144="F",$C144&lt;&gt;"S",LEN($R144)&gt;100),"Descrição &gt;100",
IF(AND(Import.TipoArredondamento="TransfereGOV",$L144="F",$C144="S",LEN($R144)&gt;500),"Descrição &gt;500",
IF(AND(Import.TipoArredondamento="TransfereGOV",$L144="F",$C144="S",LEFT(TRIM(UPPER($P144)),6)&lt;&gt;"SINAPI",ISNA(VLOOKUP(TRIM(UPPER($S144)),ListaTgov.Unidades,1,FALSE))),"Unid. Não Disp",
" "))))))))))))))))</f>
        <v xml:space="preserve"> </v>
      </c>
      <c r="AD144" s="670" t="str">
        <f ca="1">IF(C144&lt;=CRONO.NivelExibicao,MAX($AD$15:OFFSET(AD144,-1,0))+IF($C144&lt;&gt;1,1,MAX(1,COUNTIF(QCI!$A$13:$A$24,OFFSET($E144,-1,0)))),"")</f>
        <v/>
      </c>
      <c r="AE144" s="668" t="str" cm="1">
        <f t="array" aca="1" ref="AE144" ca="1">IF(AND($C144="S",ORÇAMENTO.CodBarra&lt;&gt;""),IF(ORÇAMENTO.Fonte="",ORÇAMENTO.CodBarra,CONCATENATE(ORÇAMENTO.Fonte," ",ORÇAMENTO.CodBarra)))</f>
        <v>SINAPI 100702</v>
      </c>
      <c r="AF144" s="669" cm="1">
        <f t="array" aca="1" ref="AF144" ca="1">IF(ISERROR(ORÇAMENTO.BancoRef),"(abra o arquivo 'Referência "&amp;Excel_BuiltIn_Database&amp;".xlsm)",IF(OR($C144&lt;&gt;"S",ORÇAMENTO.CodBarra=""),"(Sem Código)",IF(ISERROR(MATCH($AE144,INDIRECT(ORÇAMENTO.BancoRef),0)),"(Código não identificado nas referências)",MATCH($AE144,INDIRECT(ORÇAMENTO.BancoRef),0))))</f>
        <v>9773</v>
      </c>
      <c r="AG144" s="428" cm="1">
        <f t="array" aca="1" ref="AG144" ca="1">ROUND(IF(DESONERACAO="sim",REFERENCIA.Desonerado,REFERENCIA.NaoDesonerado),2)</f>
        <v>498.99</v>
      </c>
      <c r="AH144" s="429">
        <f t="shared" ca="1" si="47"/>
        <v>0.24</v>
      </c>
      <c r="AJ144" s="431"/>
      <c r="AL144" s="439"/>
      <c r="AM144" s="336">
        <f t="shared" ca="1" si="0"/>
        <v>618.75</v>
      </c>
      <c r="AN144" s="470" cm="1">
        <f t="array" aca="1" ref="AN144" ca="1">ROUND(ORÇAMENTO.CustoUnitario*(1+$AH144),2)</f>
        <v>618.75</v>
      </c>
    </row>
    <row r="145" spans="1:40" s="670" customFormat="1" ht="25.5" x14ac:dyDescent="0.2">
      <c r="A145" s="670">
        <f t="shared" si="35"/>
        <v>2</v>
      </c>
      <c r="B145" s="670">
        <f t="shared" ca="1" si="36"/>
        <v>2</v>
      </c>
      <c r="C145" s="670">
        <f t="shared" ca="1" si="37"/>
        <v>2</v>
      </c>
      <c r="D145" s="670">
        <f t="shared" ca="1" si="38"/>
        <v>9</v>
      </c>
      <c r="E145" s="670">
        <f ca="1">IF($C145=1,OFFSET(E145,-1,0)+MAX(1,COUNTIF(QCI!$A$13:$A$24,OFFSET(ORÇAMENTO!E145,-1,0))),OFFSET(E145,-1,0))</f>
        <v>1</v>
      </c>
      <c r="F145" s="670">
        <f t="shared" ca="1" si="39"/>
        <v>19</v>
      </c>
      <c r="G145" s="670">
        <f t="shared" ca="1" si="40"/>
        <v>0</v>
      </c>
      <c r="H145" s="670">
        <f t="shared" ca="1" si="41"/>
        <v>0</v>
      </c>
      <c r="I145" s="670">
        <f t="shared" ca="1" si="42"/>
        <v>0</v>
      </c>
      <c r="J145" s="670">
        <f t="shared" ca="1" si="33"/>
        <v>46</v>
      </c>
      <c r="K145" s="670">
        <f ca="1">IF(OR($C145="S",$C145=0),0,MATCH(OFFSET($D145,0,$C145)+IF($C145&lt;&gt;1,1,COUNTIF(QCI!$A$13:$A$24,ORÇAMENTO!E145)),OFFSET($D145,1,$C145,ROW($C$191)-ROW($C145)),0))</f>
        <v>9</v>
      </c>
      <c r="L145" s="114" t="str">
        <f t="shared" ca="1" si="43"/>
        <v>F</v>
      </c>
      <c r="M145" s="115" t="s">
        <v>702</v>
      </c>
      <c r="N145" s="116" t="str">
        <f t="shared" ca="1" si="44"/>
        <v>Nível 2</v>
      </c>
      <c r="O145" s="117" t="str">
        <f t="shared" ca="1" si="45"/>
        <v>1.19.</v>
      </c>
      <c r="P145" s="688" t="s">
        <v>250</v>
      </c>
      <c r="Q145" s="689" t="s">
        <v>250</v>
      </c>
      <c r="R145" s="690" t="s">
        <v>1309</v>
      </c>
      <c r="S145" s="691" t="s">
        <v>688</v>
      </c>
      <c r="T145" s="122">
        <f ca="1">OFFSET(CÁLCULO!H$15,ROW($T145)-ROW(T$15),0)</f>
        <v>0</v>
      </c>
      <c r="U145" s="693">
        <f t="shared" ca="1" si="34"/>
        <v>0</v>
      </c>
      <c r="V145" s="694" t="s">
        <v>663</v>
      </c>
      <c r="W145" s="122" cm="1">
        <f t="array" aca="1" ref="W145" ca="1">IF($C145="S",ROUND(IF(TIPOORCAMENTO="Proposto",ORÇAMENTO.CustoUnitario*(1+$AH145),ORÇAMENTO.PrecoUnitarioLicitado),15-13*$AF$10),0)</f>
        <v>0</v>
      </c>
      <c r="X145" s="125" cm="1">
        <f t="array" aca="1" ref="X145" ca="1">IF($C145="S",IF(OR(Import.TipoArredondamento&lt;&gt;"TransfereGOV",ACOMPANHAMENTO="BM"),VTOTAL1,SUM(OFFSET(CÁLCULO!$AI$15,ROW($X145)-ROW($X$15),1):OFFSET(CÁLCULO!$BB$15,ROW($X145)-ROW($X$15),-1))),IF($C145=0,0,ROUND(SomaAgrup,15-13*$AF$11)))</f>
        <v>12552.34</v>
      </c>
      <c r="Y145" s="126" t="s">
        <v>751</v>
      </c>
      <c r="Z145" s="670" t="str">
        <f t="shared" ca="1" si="46"/>
        <v/>
      </c>
      <c r="AA145" s="127" cm="1">
        <f t="array" aca="1" ref="AA145" ca="1">IF($C145="S",IF($Z145="CP",$X145,IF($Z145="RA",(($X145)*QCI!$AA$3),0)),SomaAgrup)</f>
        <v>0</v>
      </c>
      <c r="AB145" s="128" cm="1">
        <f t="array" aca="1" ref="AB145" ca="1">IF($C145="S",IF($Z145="OU",ROUND($X145,2),0),SomaAgrup)</f>
        <v>0</v>
      </c>
      <c r="AC145" s="565" t="str" cm="1">
        <f t="array" aca="1" ref="AC145" ca="1">IF($N145=""," ",
IF(AND($C145&lt;&gt;"S",OR($R145="",$R145="(digite a descrição aqui)")),"DESCRIÇÃO",
IF(AND($C145="S",OR($Q145&lt;&gt;"",$T145&gt;0,$U145&gt;0),$P145=""),"FONTE",
IF(AND($C145="S",$P145&lt;&gt;"",OR($T145&gt;0,$U145&gt;0),$Q145=""),"CÓDIGO",
IF(AND($C145="S",$P145&lt;&gt;"",$Q145&lt;&gt;"",$R145="(Código não identificado nas referências)"),"CÓDIGO N/ID",
IF(AND($C145="S",OR($R145="",$R145="(digite a descrição aqui)"),OR($Q145&lt;&gt;"",$T145&gt;0,$U145&gt;0)),"DESCRIÇÃO",
IF(AND($C145="S",$P145&lt;&gt;"",$Q145&lt;&gt;"",$S145=""),"UNIDADE",
IF(AND($C145="S",$P145&lt;&gt;"",$Q145&lt;&gt;"",$U145=0),"SEM CUSTO",
IF(AND(TIPOORCAMENTO="Licitado",$AL145=0,$AN145&gt;0),"SEM PREÇO",
IF(AND($C145="S",$P145&lt;&gt;"",$Q145&lt;&gt;"",$U145&gt;0,AND($V145&lt;&gt;"BDI 1",$V145&lt;&gt;"BDI 2",$V145&lt;&gt;"BDI 3")),IF(ISNUMBER($V145),"JUSTIFICAR BDI","BDI"),
IF(OR(AND(import.recurso="OGU",TIPOORCAMENTO="Proposto",LEFT($O$8,5)&lt;&gt;"(N/D:",$AG145&lt;&gt;"",ORÇAMENTO.CustoUnitario&gt;$AG145),AND(TIPOORCAMENTO="LICITADO",ORÇAMENTO.PrecoUnitarioLicitado&gt;$AN145)),"ACIMA REF.",
IF(AND($C145="S",$P145&lt;&gt;"",$Q145&lt;&gt;"",$T145=0,$U145&gt;0),"QUANT.",
IF(AND(Import.TipoArredondamento="TransfereGOV",$L145="F",$C145="S",LEN($Q145)&gt;13),"Código &gt;13",
IF(AND(Import.TipoArredondamento="TransfereGOV",$L145="F",$C145&lt;&gt;"S",LEN($R145)&gt;100),"Descrição &gt;100",
IF(AND(Import.TipoArredondamento="TransfereGOV",$L145="F",$C145="S",LEN($R145)&gt;500),"Descrição &gt;500",
IF(AND(Import.TipoArredondamento="TransfereGOV",$L145="F",$C145="S",LEFT(TRIM(UPPER($P145)),6)&lt;&gt;"SINAPI",ISNA(VLOOKUP(TRIM(UPPER($S145)),ListaTgov.Unidades,1,FALSE))),"Unid. Não Disp",
" "))))))))))))))))</f>
        <v xml:space="preserve"> </v>
      </c>
      <c r="AD145" s="670">
        <f ca="1">IF(C145&lt;=CRONO.NivelExibicao,MAX($AD$15:OFFSET(AD145,-1,0))+IF($C145&lt;&gt;1,1,MAX(1,COUNTIF(QCI!$A$13:$A$24,OFFSET($E145,-1,0)))),"")</f>
        <v>20</v>
      </c>
      <c r="AE145" s="668" t="b" cm="1">
        <f t="array" aca="1" ref="AE145" ca="1">IF(AND($C145="S",ORÇAMENTO.CodBarra&lt;&gt;""),IF(ORÇAMENTO.Fonte="",ORÇAMENTO.CodBarra,CONCATENATE(ORÇAMENTO.Fonte," ",ORÇAMENTO.CodBarra)))</f>
        <v>0</v>
      </c>
      <c r="AF145" s="669" t="str" cm="1">
        <f t="array" aca="1" ref="AF145" ca="1">IF(ISERROR(ORÇAMENTO.BancoRef),"(abra o arquivo 'Referência "&amp;Excel_BuiltIn_Database&amp;".xlsm)",IF(OR($C145&lt;&gt;"S",ORÇAMENTO.CodBarra=""),"(Sem Código)",IF(ISERROR(MATCH($AE145,INDIRECT(ORÇAMENTO.BancoRef),0)),"(Código não identificado nas referências)",MATCH($AE145,INDIRECT(ORÇAMENTO.BancoRef),0))))</f>
        <v>(Sem Código)</v>
      </c>
      <c r="AG145" s="428" cm="1">
        <f t="array" aca="1" ref="AG145" ca="1">ROUND(IF(DESONERACAO="sim",REFERENCIA.Desonerado,REFERENCIA.NaoDesonerado),2)</f>
        <v>0</v>
      </c>
      <c r="AH145" s="429">
        <f t="shared" ca="1" si="47"/>
        <v>0.24</v>
      </c>
      <c r="AJ145" s="431"/>
      <c r="AL145" s="439"/>
      <c r="AM145" s="336">
        <f t="shared" ca="1" si="0"/>
        <v>12552.34</v>
      </c>
      <c r="AN145" s="470" cm="1">
        <f t="array" aca="1" ref="AN145" ca="1">ROUND(ORÇAMENTO.CustoUnitario*(1+$AH145),2)</f>
        <v>0</v>
      </c>
    </row>
    <row r="146" spans="1:40" s="670" customFormat="1" ht="38.25" x14ac:dyDescent="0.2">
      <c r="A146" s="670" t="str">
        <f t="shared" si="35"/>
        <v>S</v>
      </c>
      <c r="B146" s="670">
        <f t="shared" ca="1" si="36"/>
        <v>2</v>
      </c>
      <c r="C146" s="670" t="str">
        <f t="shared" ca="1" si="37"/>
        <v>S</v>
      </c>
      <c r="D146" s="670">
        <f t="shared" ca="1" si="38"/>
        <v>0</v>
      </c>
      <c r="E146" s="670">
        <f ca="1">IF($C146=1,OFFSET(E146,-1,0)+MAX(1,COUNTIF(QCI!$A$13:$A$24,OFFSET(ORÇAMENTO!E146,-1,0))),OFFSET(E146,-1,0))</f>
        <v>1</v>
      </c>
      <c r="F146" s="670">
        <f t="shared" ca="1" si="39"/>
        <v>19</v>
      </c>
      <c r="G146" s="670">
        <f t="shared" ca="1" si="40"/>
        <v>0</v>
      </c>
      <c r="H146" s="670">
        <f t="shared" ca="1" si="41"/>
        <v>0</v>
      </c>
      <c r="I146" s="670">
        <f t="shared" ca="1" si="42"/>
        <v>1</v>
      </c>
      <c r="J146" s="670">
        <f t="shared" ca="1" si="33"/>
        <v>0</v>
      </c>
      <c r="K146" s="670">
        <f ca="1">IF(OR($C146="S",$C146=0),0,MATCH(OFFSET($D146,0,$C146)+IF($C146&lt;&gt;1,1,COUNTIF(QCI!$A$13:$A$24,ORÇAMENTO!E146)),OFFSET($D146,1,$C146,ROW($C$191)-ROW($C146)),0))</f>
        <v>0</v>
      </c>
      <c r="L146" s="114" t="str">
        <f t="shared" ca="1" si="43"/>
        <v>F</v>
      </c>
      <c r="M146" s="115" t="s">
        <v>705</v>
      </c>
      <c r="N146" s="116" t="str">
        <f t="shared" ca="1" si="44"/>
        <v>Serviço</v>
      </c>
      <c r="O146" s="117" t="str">
        <f t="shared" ca="1" si="45"/>
        <v>1.19.1.</v>
      </c>
      <c r="P146" s="688" t="s">
        <v>750</v>
      </c>
      <c r="Q146" s="689" t="s">
        <v>1056</v>
      </c>
      <c r="R146" s="690" t="str" cm="1">
        <f t="array" aca="1" ref="R146" ca="1">IF($C146="S",REFERENCIA.Descricao,"(digite a descrição aqui)")</f>
        <v>CHAPISCO APLICADO EM ALVENARIAS E ESTRUTURAS DE CONCRETO INTERNAS, COM COLHER DE PEDREIRO. ARGAMASSA TRAÇO 1:3 COM PREPARO EM BETONEIRA 400L. AF_10/2022</v>
      </c>
      <c r="S146" s="691" t="str" cm="1">
        <f t="array" aca="1" ref="S146" ca="1">REFERENCIA.Unidade</f>
        <v>M2</v>
      </c>
      <c r="T146" s="122">
        <f ca="1">OFFSET(CÁLCULO!H$15,ROW($T146)-ROW(T$15),0)</f>
        <v>188.44</v>
      </c>
      <c r="U146" s="693">
        <f t="shared" ca="1" si="34"/>
        <v>5.23</v>
      </c>
      <c r="V146" s="694" t="s">
        <v>663</v>
      </c>
      <c r="W146" s="122" cm="1">
        <f t="array" aca="1" ref="W146" ca="1">IF($C146="S",ROUND(IF(TIPOORCAMENTO="Proposto",ORÇAMENTO.CustoUnitario*(1+$AH146),ORÇAMENTO.PrecoUnitarioLicitado),15-13*$AF$10),0)</f>
        <v>6.49</v>
      </c>
      <c r="X146" s="125" cm="1">
        <f t="array" aca="1" ref="X146" ca="1">IF($C146="S",IF(OR(Import.TipoArredondamento&lt;&gt;"TransfereGOV",ACOMPANHAMENTO="BM"),VTOTAL1,SUM(OFFSET(CÁLCULO!$AI$15,ROW($X146)-ROW($X$15),1):OFFSET(CÁLCULO!$BB$15,ROW($X146)-ROW($X$15),-1))),IF($C146=0,0,ROUND(SomaAgrup,15-13*$AF$11)))</f>
        <v>1222.98</v>
      </c>
      <c r="Y146" s="126" t="s">
        <v>751</v>
      </c>
      <c r="Z146" s="670" t="str">
        <f t="shared" ca="1" si="46"/>
        <v>RA</v>
      </c>
      <c r="AA146" s="127" cm="1">
        <f t="array" aca="1" ref="AA146" ca="1">IF($C146="S",IF($Z146="CP",$X146,IF($Z146="RA",(($X146)*QCI!$AA$3),0)),SomaAgrup)</f>
        <v>0</v>
      </c>
      <c r="AB146" s="128" cm="1">
        <f t="array" aca="1" ref="AB146" ca="1">IF($C146="S",IF($Z146="OU",ROUND($X146,2),0),SomaAgrup)</f>
        <v>0</v>
      </c>
      <c r="AC146" s="565" t="str" cm="1">
        <f t="array" aca="1" ref="AC146" ca="1">IF($N146=""," ",
IF(AND($C146&lt;&gt;"S",OR($R146="",$R146="(digite a descrição aqui)")),"DESCRIÇÃO",
IF(AND($C146="S",OR($Q146&lt;&gt;"",$T146&gt;0,$U146&gt;0),$P146=""),"FONTE",
IF(AND($C146="S",$P146&lt;&gt;"",OR($T146&gt;0,$U146&gt;0),$Q146=""),"CÓDIGO",
IF(AND($C146="S",$P146&lt;&gt;"",$Q146&lt;&gt;"",$R146="(Código não identificado nas referências)"),"CÓDIGO N/ID",
IF(AND($C146="S",OR($R146="",$R146="(digite a descrição aqui)"),OR($Q146&lt;&gt;"",$T146&gt;0,$U146&gt;0)),"DESCRIÇÃO",
IF(AND($C146="S",$P146&lt;&gt;"",$Q146&lt;&gt;"",$S146=""),"UNIDADE",
IF(AND($C146="S",$P146&lt;&gt;"",$Q146&lt;&gt;"",$U146=0),"SEM CUSTO",
IF(AND(TIPOORCAMENTO="Licitado",$AL146=0,$AN146&gt;0),"SEM PREÇO",
IF(AND($C146="S",$P146&lt;&gt;"",$Q146&lt;&gt;"",$U146&gt;0,AND($V146&lt;&gt;"BDI 1",$V146&lt;&gt;"BDI 2",$V146&lt;&gt;"BDI 3")),IF(ISNUMBER($V146),"JUSTIFICAR BDI","BDI"),
IF(OR(AND(import.recurso="OGU",TIPOORCAMENTO="Proposto",LEFT($O$8,5)&lt;&gt;"(N/D:",$AG146&lt;&gt;"",ORÇAMENTO.CustoUnitario&gt;$AG146),AND(TIPOORCAMENTO="LICITADO",ORÇAMENTO.PrecoUnitarioLicitado&gt;$AN146)),"ACIMA REF.",
IF(AND($C146="S",$P146&lt;&gt;"",$Q146&lt;&gt;"",$T146=0,$U146&gt;0),"QUANT.",
IF(AND(Import.TipoArredondamento="TransfereGOV",$L146="F",$C146="S",LEN($Q146)&gt;13),"Código &gt;13",
IF(AND(Import.TipoArredondamento="TransfereGOV",$L146="F",$C146&lt;&gt;"S",LEN($R146)&gt;100),"Descrição &gt;100",
IF(AND(Import.TipoArredondamento="TransfereGOV",$L146="F",$C146="S",LEN($R146)&gt;500),"Descrição &gt;500",
IF(AND(Import.TipoArredondamento="TransfereGOV",$L146="F",$C146="S",LEFT(TRIM(UPPER($P146)),6)&lt;&gt;"SINAPI",ISNA(VLOOKUP(TRIM(UPPER($S146)),ListaTgov.Unidades,1,FALSE))),"Unid. Não Disp",
" "))))))))))))))))</f>
        <v xml:space="preserve"> </v>
      </c>
      <c r="AD146" s="670" t="str">
        <f ca="1">IF(C146&lt;=CRONO.NivelExibicao,MAX($AD$15:OFFSET(AD146,-1,0))+IF($C146&lt;&gt;1,1,MAX(1,COUNTIF(QCI!$A$13:$A$24,OFFSET($E146,-1,0)))),"")</f>
        <v/>
      </c>
      <c r="AE146" s="668" t="str" cm="1">
        <f t="array" aca="1" ref="AE146" ca="1">IF(AND($C146="S",ORÇAMENTO.CodBarra&lt;&gt;""),IF(ORÇAMENTO.Fonte="",ORÇAMENTO.CodBarra,CONCATENATE(ORÇAMENTO.Fonte," ",ORÇAMENTO.CodBarra)))</f>
        <v>SINAPI 87879</v>
      </c>
      <c r="AF146" s="669" cm="1">
        <f t="array" aca="1" ref="AF146" ca="1">IF(ISERROR(ORÇAMENTO.BancoRef),"(abra o arquivo 'Referência "&amp;Excel_BuiltIn_Database&amp;".xlsm)",IF(OR($C146&lt;&gt;"S",ORÇAMENTO.CodBarra=""),"(Sem Código)",IF(ISERROR(MATCH($AE146,INDIRECT(ORÇAMENTO.BancoRef),0)),"(Código não identificado nas referências)",MATCH($AE146,INDIRECT(ORÇAMENTO.BancoRef),0))))</f>
        <v>7343</v>
      </c>
      <c r="AG146" s="428" cm="1">
        <f t="array" aca="1" ref="AG146" ca="1">ROUND(IF(DESONERACAO="sim",REFERENCIA.Desonerado,REFERENCIA.NaoDesonerado),2)</f>
        <v>5.23</v>
      </c>
      <c r="AH146" s="429">
        <f t="shared" ca="1" si="47"/>
        <v>0.24</v>
      </c>
      <c r="AJ146" s="431"/>
      <c r="AL146" s="439"/>
      <c r="AM146" s="336">
        <f t="shared" ca="1" si="0"/>
        <v>1222.98</v>
      </c>
      <c r="AN146" s="470" cm="1">
        <f t="array" aca="1" ref="AN146" ca="1">ROUND(ORÇAMENTO.CustoUnitario*(1+$AH146),2)</f>
        <v>6.49</v>
      </c>
    </row>
    <row r="147" spans="1:40" s="670" customFormat="1" ht="51" x14ac:dyDescent="0.2">
      <c r="A147" s="670" t="str">
        <f t="shared" si="35"/>
        <v>S</v>
      </c>
      <c r="B147" s="670">
        <f t="shared" ca="1" si="36"/>
        <v>2</v>
      </c>
      <c r="C147" s="670" t="str">
        <f t="shared" ca="1" si="37"/>
        <v>S</v>
      </c>
      <c r="D147" s="670">
        <f t="shared" ca="1" si="38"/>
        <v>0</v>
      </c>
      <c r="E147" s="670">
        <f ca="1">IF($C147=1,OFFSET(E147,-1,0)+MAX(1,COUNTIF(QCI!$A$13:$A$24,OFFSET(ORÇAMENTO!E147,-1,0))),OFFSET(E147,-1,0))</f>
        <v>1</v>
      </c>
      <c r="F147" s="670">
        <f t="shared" ca="1" si="39"/>
        <v>19</v>
      </c>
      <c r="G147" s="670">
        <f t="shared" ca="1" si="40"/>
        <v>0</v>
      </c>
      <c r="H147" s="670">
        <f t="shared" ca="1" si="41"/>
        <v>0</v>
      </c>
      <c r="I147" s="670">
        <f t="shared" ca="1" si="42"/>
        <v>2</v>
      </c>
      <c r="J147" s="670">
        <f t="shared" ca="1" si="33"/>
        <v>0</v>
      </c>
      <c r="K147" s="670">
        <f ca="1">IF(OR($C147="S",$C147=0),0,MATCH(OFFSET($D147,0,$C147)+IF($C147&lt;&gt;1,1,COUNTIF(QCI!$A$13:$A$24,ORÇAMENTO!E147)),OFFSET($D147,1,$C147,ROW($C$191)-ROW($C147)),0))</f>
        <v>0</v>
      </c>
      <c r="L147" s="114" t="str">
        <f t="shared" ca="1" si="43"/>
        <v>F</v>
      </c>
      <c r="M147" s="115" t="s">
        <v>705</v>
      </c>
      <c r="N147" s="116" t="str">
        <f t="shared" ca="1" si="44"/>
        <v>Serviço</v>
      </c>
      <c r="O147" s="117" t="str">
        <f t="shared" ca="1" si="45"/>
        <v>1.19.2.</v>
      </c>
      <c r="P147" s="688" t="s">
        <v>750</v>
      </c>
      <c r="Q147" s="689" t="s">
        <v>1057</v>
      </c>
      <c r="R147" s="690" t="str" cm="1">
        <f t="array" aca="1" ref="R147" ca="1">IF($C147="S",REFERENCIA.Descricao,"(digite a descrição aqui)")</f>
        <v>EMBOÇO, EM ARGAMASSA TRAÇO 1:2:8, PREPARO MANUAL, APLICADO MANUALMENTE EM PAREDES INTERNAS DE AMBIENTES COM ÁREA ENTRE 5M² E 10M², E = 10MM, COM TALISCAS. AF_03/2024</v>
      </c>
      <c r="S147" s="691" t="str" cm="1">
        <f t="array" aca="1" ref="S147" ca="1">REFERENCIA.Unidade</f>
        <v>M2</v>
      </c>
      <c r="T147" s="122">
        <f ca="1">OFFSET(CÁLCULO!H$15,ROW($T147)-ROW(T$15),0)</f>
        <v>188.44</v>
      </c>
      <c r="U147" s="693">
        <f t="shared" ca="1" si="34"/>
        <v>32.130000000000003</v>
      </c>
      <c r="V147" s="694" t="s">
        <v>663</v>
      </c>
      <c r="W147" s="122" cm="1">
        <f t="array" aca="1" ref="W147" ca="1">IF($C147="S",ROUND(IF(TIPOORCAMENTO="Proposto",ORÇAMENTO.CustoUnitario*(1+$AH147),ORÇAMENTO.PrecoUnitarioLicitado),15-13*$AF$10),0)</f>
        <v>39.840000000000003</v>
      </c>
      <c r="X147" s="125" cm="1">
        <f t="array" aca="1" ref="X147" ca="1">IF($C147="S",IF(OR(Import.TipoArredondamento&lt;&gt;"TransfereGOV",ACOMPANHAMENTO="BM"),VTOTAL1,SUM(OFFSET(CÁLCULO!$AI$15,ROW($X147)-ROW($X$15),1):OFFSET(CÁLCULO!$BB$15,ROW($X147)-ROW($X$15),-1))),IF($C147=0,0,ROUND(SomaAgrup,15-13*$AF$11)))</f>
        <v>7507.45</v>
      </c>
      <c r="Y147" s="126" t="s">
        <v>751</v>
      </c>
      <c r="Z147" s="670" t="str">
        <f t="shared" ca="1" si="46"/>
        <v>RA</v>
      </c>
      <c r="AA147" s="127" cm="1">
        <f t="array" aca="1" ref="AA147" ca="1">IF($C147="S",IF($Z147="CP",$X147,IF($Z147="RA",(($X147)*QCI!$AA$3),0)),SomaAgrup)</f>
        <v>0</v>
      </c>
      <c r="AB147" s="128" cm="1">
        <f t="array" aca="1" ref="AB147" ca="1">IF($C147="S",IF($Z147="OU",ROUND($X147,2),0),SomaAgrup)</f>
        <v>0</v>
      </c>
      <c r="AC147" s="565" t="str" cm="1">
        <f t="array" aca="1" ref="AC147" ca="1">IF($N147=""," ",
IF(AND($C147&lt;&gt;"S",OR($R147="",$R147="(digite a descrição aqui)")),"DESCRIÇÃO",
IF(AND($C147="S",OR($Q147&lt;&gt;"",$T147&gt;0,$U147&gt;0),$P147=""),"FONTE",
IF(AND($C147="S",$P147&lt;&gt;"",OR($T147&gt;0,$U147&gt;0),$Q147=""),"CÓDIGO",
IF(AND($C147="S",$P147&lt;&gt;"",$Q147&lt;&gt;"",$R147="(Código não identificado nas referências)"),"CÓDIGO N/ID",
IF(AND($C147="S",OR($R147="",$R147="(digite a descrição aqui)"),OR($Q147&lt;&gt;"",$T147&gt;0,$U147&gt;0)),"DESCRIÇÃO",
IF(AND($C147="S",$P147&lt;&gt;"",$Q147&lt;&gt;"",$S147=""),"UNIDADE",
IF(AND($C147="S",$P147&lt;&gt;"",$Q147&lt;&gt;"",$U147=0),"SEM CUSTO",
IF(AND(TIPOORCAMENTO="Licitado",$AL147=0,$AN147&gt;0),"SEM PREÇO",
IF(AND($C147="S",$P147&lt;&gt;"",$Q147&lt;&gt;"",$U147&gt;0,AND($V147&lt;&gt;"BDI 1",$V147&lt;&gt;"BDI 2",$V147&lt;&gt;"BDI 3")),IF(ISNUMBER($V147),"JUSTIFICAR BDI","BDI"),
IF(OR(AND(import.recurso="OGU",TIPOORCAMENTO="Proposto",LEFT($O$8,5)&lt;&gt;"(N/D:",$AG147&lt;&gt;"",ORÇAMENTO.CustoUnitario&gt;$AG147),AND(TIPOORCAMENTO="LICITADO",ORÇAMENTO.PrecoUnitarioLicitado&gt;$AN147)),"ACIMA REF.",
IF(AND($C147="S",$P147&lt;&gt;"",$Q147&lt;&gt;"",$T147=0,$U147&gt;0),"QUANT.",
IF(AND(Import.TipoArredondamento="TransfereGOV",$L147="F",$C147="S",LEN($Q147)&gt;13),"Código &gt;13",
IF(AND(Import.TipoArredondamento="TransfereGOV",$L147="F",$C147&lt;&gt;"S",LEN($R147)&gt;100),"Descrição &gt;100",
IF(AND(Import.TipoArredondamento="TransfereGOV",$L147="F",$C147="S",LEN($R147)&gt;500),"Descrição &gt;500",
IF(AND(Import.TipoArredondamento="TransfereGOV",$L147="F",$C147="S",LEFT(TRIM(UPPER($P147)),6)&lt;&gt;"SINAPI",ISNA(VLOOKUP(TRIM(UPPER($S147)),ListaTgov.Unidades,1,FALSE))),"Unid. Não Disp",
" "))))))))))))))))</f>
        <v xml:space="preserve"> </v>
      </c>
      <c r="AD147" s="670" t="str">
        <f ca="1">IF(C147&lt;=CRONO.NivelExibicao,MAX($AD$15:OFFSET(AD147,-1,0))+IF($C147&lt;&gt;1,1,MAX(1,COUNTIF(QCI!$A$13:$A$24,OFFSET($E147,-1,0)))),"")</f>
        <v/>
      </c>
      <c r="AE147" s="668" t="str" cm="1">
        <f t="array" aca="1" ref="AE147" ca="1">IF(AND($C147="S",ORÇAMENTO.CodBarra&lt;&gt;""),IF(ORÇAMENTO.Fonte="",ORÇAMENTO.CodBarra,CONCATENATE(ORÇAMENTO.Fonte," ",ORÇAMENTO.CodBarra)))</f>
        <v>SINAPI 87550</v>
      </c>
      <c r="AF147" s="669" cm="1">
        <f t="array" aca="1" ref="AF147" ca="1">IF(ISERROR(ORÇAMENTO.BancoRef),"(abra o arquivo 'Referência "&amp;Excel_BuiltIn_Database&amp;".xlsm)",IF(OR($C147&lt;&gt;"S",ORÇAMENTO.CodBarra=""),"(Sem Código)",IF(ISERROR(MATCH($AE147,INDIRECT(ORÇAMENTO.BancoRef),0)),"(Código não identificado nas referências)",MATCH($AE147,INDIRECT(ORÇAMENTO.BancoRef),0))))</f>
        <v>13695</v>
      </c>
      <c r="AG147" s="428" cm="1">
        <f t="array" aca="1" ref="AG147" ca="1">ROUND(IF(DESONERACAO="sim",REFERENCIA.Desonerado,REFERENCIA.NaoDesonerado),2)</f>
        <v>32.130000000000003</v>
      </c>
      <c r="AH147" s="429">
        <f t="shared" ca="1" si="47"/>
        <v>0.24</v>
      </c>
      <c r="AJ147" s="431"/>
      <c r="AL147" s="439"/>
      <c r="AM147" s="336">
        <f t="shared" ca="1" si="0"/>
        <v>7507.45</v>
      </c>
      <c r="AN147" s="470" cm="1">
        <f t="array" aca="1" ref="AN147" ca="1">ROUND(ORÇAMENTO.CustoUnitario*(1+$AH147),2)</f>
        <v>39.840000000000003</v>
      </c>
    </row>
    <row r="148" spans="1:40" s="670" customFormat="1" ht="38.25" x14ac:dyDescent="0.2">
      <c r="A148" s="670" t="str">
        <f t="shared" si="35"/>
        <v>S</v>
      </c>
      <c r="B148" s="670">
        <f t="shared" ca="1" si="36"/>
        <v>2</v>
      </c>
      <c r="C148" s="670" t="str">
        <f t="shared" ca="1" si="37"/>
        <v>S</v>
      </c>
      <c r="D148" s="670">
        <f t="shared" ca="1" si="38"/>
        <v>0</v>
      </c>
      <c r="E148" s="670">
        <f ca="1">IF($C148=1,OFFSET(E148,-1,0)+MAX(1,COUNTIF(QCI!$A$13:$A$24,OFFSET(ORÇAMENTO!E148,-1,0))),OFFSET(E148,-1,0))</f>
        <v>1</v>
      </c>
      <c r="F148" s="670">
        <f t="shared" ca="1" si="39"/>
        <v>19</v>
      </c>
      <c r="G148" s="670">
        <f t="shared" ca="1" si="40"/>
        <v>0</v>
      </c>
      <c r="H148" s="670">
        <f t="shared" ca="1" si="41"/>
        <v>0</v>
      </c>
      <c r="I148" s="670">
        <f t="shared" ca="1" si="42"/>
        <v>3</v>
      </c>
      <c r="J148" s="670">
        <f t="shared" ca="1" si="33"/>
        <v>0</v>
      </c>
      <c r="K148" s="670">
        <f ca="1">IF(OR($C148="S",$C148=0),0,MATCH(OFFSET($D148,0,$C148)+IF($C148&lt;&gt;1,1,COUNTIF(QCI!$A$13:$A$24,ORÇAMENTO!E148)),OFFSET($D148,1,$C148,ROW($C$191)-ROW($C148)),0))</f>
        <v>0</v>
      </c>
      <c r="L148" s="114" t="str">
        <f t="shared" ca="1" si="43"/>
        <v>F</v>
      </c>
      <c r="M148" s="115" t="s">
        <v>705</v>
      </c>
      <c r="N148" s="116" t="str">
        <f t="shared" ca="1" si="44"/>
        <v>Serviço</v>
      </c>
      <c r="O148" s="117" t="str">
        <f t="shared" ca="1" si="45"/>
        <v>1.19.3.</v>
      </c>
      <c r="P148" s="688" t="s">
        <v>750</v>
      </c>
      <c r="Q148" s="689" t="s">
        <v>1058</v>
      </c>
      <c r="R148" s="690" t="str" cm="1">
        <f t="array" aca="1" ref="R148" ca="1">IF($C148="S",REFERENCIA.Descricao,"(digite a descrição aqui)")</f>
        <v>REVESTIMENTO CERÂMICO PARA PISO COM PLACAS TIPO ESMALTADA DE DIMENSÕES 45X45 CM APLICADA EM AMBIENTES DE ÁREA MAIOR QUE 10 M2. AF_02/2023_PE</v>
      </c>
      <c r="S148" s="691" t="str" cm="1">
        <f t="array" aca="1" ref="S148" ca="1">REFERENCIA.Unidade</f>
        <v>M2</v>
      </c>
      <c r="T148" s="122">
        <f ca="1">OFFSET(CÁLCULO!H$15,ROW($T148)-ROW(T$15),0)</f>
        <v>46.45</v>
      </c>
      <c r="U148" s="693">
        <f t="shared" ca="1" si="34"/>
        <v>53.8</v>
      </c>
      <c r="V148" s="694" t="s">
        <v>663</v>
      </c>
      <c r="W148" s="122" cm="1">
        <f t="array" aca="1" ref="W148" ca="1">IF($C148="S",ROUND(IF(TIPOORCAMENTO="Proposto",ORÇAMENTO.CustoUnitario*(1+$AH148),ORÇAMENTO.PrecoUnitarioLicitado),15-13*$AF$10),0)</f>
        <v>66.709999999999994</v>
      </c>
      <c r="X148" s="125" cm="1">
        <f t="array" aca="1" ref="X148" ca="1">IF($C148="S",IF(OR(Import.TipoArredondamento&lt;&gt;"TransfereGOV",ACOMPANHAMENTO="BM"),VTOTAL1,SUM(OFFSET(CÁLCULO!$AI$15,ROW($X148)-ROW($X$15),1):OFFSET(CÁLCULO!$BB$15,ROW($X148)-ROW($X$15),-1))),IF($C148=0,0,ROUND(SomaAgrup,15-13*$AF$11)))</f>
        <v>3098.68</v>
      </c>
      <c r="Y148" s="126" t="s">
        <v>751</v>
      </c>
      <c r="Z148" s="670" t="str">
        <f t="shared" ca="1" si="46"/>
        <v>RA</v>
      </c>
      <c r="AA148" s="127" cm="1">
        <f t="array" aca="1" ref="AA148" ca="1">IF($C148="S",IF($Z148="CP",$X148,IF($Z148="RA",(($X148)*QCI!$AA$3),0)),SomaAgrup)</f>
        <v>0</v>
      </c>
      <c r="AB148" s="128" cm="1">
        <f t="array" aca="1" ref="AB148" ca="1">IF($C148="S",IF($Z148="OU",ROUND($X148,2),0),SomaAgrup)</f>
        <v>0</v>
      </c>
      <c r="AC148" s="565" t="str" cm="1">
        <f t="array" aca="1" ref="AC148" ca="1">IF($N148=""," ",
IF(AND($C148&lt;&gt;"S",OR($R148="",$R148="(digite a descrição aqui)")),"DESCRIÇÃO",
IF(AND($C148="S",OR($Q148&lt;&gt;"",$T148&gt;0,$U148&gt;0),$P148=""),"FONTE",
IF(AND($C148="S",$P148&lt;&gt;"",OR($T148&gt;0,$U148&gt;0),$Q148=""),"CÓDIGO",
IF(AND($C148="S",$P148&lt;&gt;"",$Q148&lt;&gt;"",$R148="(Código não identificado nas referências)"),"CÓDIGO N/ID",
IF(AND($C148="S",OR($R148="",$R148="(digite a descrição aqui)"),OR($Q148&lt;&gt;"",$T148&gt;0,$U148&gt;0)),"DESCRIÇÃO",
IF(AND($C148="S",$P148&lt;&gt;"",$Q148&lt;&gt;"",$S148=""),"UNIDADE",
IF(AND($C148="S",$P148&lt;&gt;"",$Q148&lt;&gt;"",$U148=0),"SEM CUSTO",
IF(AND(TIPOORCAMENTO="Licitado",$AL148=0,$AN148&gt;0),"SEM PREÇO",
IF(AND($C148="S",$P148&lt;&gt;"",$Q148&lt;&gt;"",$U148&gt;0,AND($V148&lt;&gt;"BDI 1",$V148&lt;&gt;"BDI 2",$V148&lt;&gt;"BDI 3")),IF(ISNUMBER($V148),"JUSTIFICAR BDI","BDI"),
IF(OR(AND(import.recurso="OGU",TIPOORCAMENTO="Proposto",LEFT($O$8,5)&lt;&gt;"(N/D:",$AG148&lt;&gt;"",ORÇAMENTO.CustoUnitario&gt;$AG148),AND(TIPOORCAMENTO="LICITADO",ORÇAMENTO.PrecoUnitarioLicitado&gt;$AN148)),"ACIMA REF.",
IF(AND($C148="S",$P148&lt;&gt;"",$Q148&lt;&gt;"",$T148=0,$U148&gt;0),"QUANT.",
IF(AND(Import.TipoArredondamento="TransfereGOV",$L148="F",$C148="S",LEN($Q148)&gt;13),"Código &gt;13",
IF(AND(Import.TipoArredondamento="TransfereGOV",$L148="F",$C148&lt;&gt;"S",LEN($R148)&gt;100),"Descrição &gt;100",
IF(AND(Import.TipoArredondamento="TransfereGOV",$L148="F",$C148="S",LEN($R148)&gt;500),"Descrição &gt;500",
IF(AND(Import.TipoArredondamento="TransfereGOV",$L148="F",$C148="S",LEFT(TRIM(UPPER($P148)),6)&lt;&gt;"SINAPI",ISNA(VLOOKUP(TRIM(UPPER($S148)),ListaTgov.Unidades,1,FALSE))),"Unid. Não Disp",
" "))))))))))))))))</f>
        <v xml:space="preserve"> </v>
      </c>
      <c r="AD148" s="670" t="str">
        <f ca="1">IF(C148&lt;=CRONO.NivelExibicao,MAX($AD$15:OFFSET(AD148,-1,0))+IF($C148&lt;&gt;1,1,MAX(1,COUNTIF(QCI!$A$13:$A$24,OFFSET($E148,-1,0)))),"")</f>
        <v/>
      </c>
      <c r="AE148" s="668" t="str" cm="1">
        <f t="array" aca="1" ref="AE148" ca="1">IF(AND($C148="S",ORÇAMENTO.CodBarra&lt;&gt;""),IF(ORÇAMENTO.Fonte="",ORÇAMENTO.CodBarra,CONCATENATE(ORÇAMENTO.Fonte," ",ORÇAMENTO.CodBarra)))</f>
        <v>SINAPI 87251</v>
      </c>
      <c r="AF148" s="669" cm="1">
        <f t="array" aca="1" ref="AF148" ca="1">IF(ISERROR(ORÇAMENTO.BancoRef),"(abra o arquivo 'Referência "&amp;Excel_BuiltIn_Database&amp;".xlsm)",IF(OR($C148&lt;&gt;"S",ORÇAMENTO.CodBarra=""),"(Sem Código)",IF(ISERROR(MATCH($AE148,INDIRECT(ORÇAMENTO.BancoRef),0)),"(Código não identificado nas referências)",MATCH($AE148,INDIRECT(ORÇAMENTO.BancoRef),0))))</f>
        <v>15287</v>
      </c>
      <c r="AG148" s="428" cm="1">
        <f t="array" aca="1" ref="AG148" ca="1">ROUND(IF(DESONERACAO="sim",REFERENCIA.Desonerado,REFERENCIA.NaoDesonerado),2)</f>
        <v>53.8</v>
      </c>
      <c r="AH148" s="429">
        <f t="shared" ca="1" si="47"/>
        <v>0.24</v>
      </c>
      <c r="AJ148" s="431"/>
      <c r="AL148" s="439"/>
      <c r="AM148" s="336">
        <f t="shared" ca="1" si="0"/>
        <v>3098.68</v>
      </c>
      <c r="AN148" s="470" cm="1">
        <f t="array" aca="1" ref="AN148" ca="1">ROUND(ORÇAMENTO.CustoUnitario*(1+$AH148),2)</f>
        <v>66.709999999999994</v>
      </c>
    </row>
    <row r="149" spans="1:40" s="670" customFormat="1" ht="25.5" x14ac:dyDescent="0.2">
      <c r="A149" s="670" t="str">
        <f t="shared" si="35"/>
        <v>S</v>
      </c>
      <c r="B149" s="670">
        <f t="shared" ca="1" si="36"/>
        <v>2</v>
      </c>
      <c r="C149" s="670" t="str">
        <f t="shared" ca="1" si="37"/>
        <v>S</v>
      </c>
      <c r="D149" s="670">
        <f t="shared" ca="1" si="38"/>
        <v>0</v>
      </c>
      <c r="E149" s="670">
        <f ca="1">IF($C149=1,OFFSET(E149,-1,0)+MAX(1,COUNTIF(QCI!$A$13:$A$24,OFFSET(ORÇAMENTO!E149,-1,0))),OFFSET(E149,-1,0))</f>
        <v>1</v>
      </c>
      <c r="F149" s="670">
        <f t="shared" ca="1" si="39"/>
        <v>19</v>
      </c>
      <c r="G149" s="670">
        <f t="shared" ca="1" si="40"/>
        <v>0</v>
      </c>
      <c r="H149" s="670">
        <f t="shared" ca="1" si="41"/>
        <v>0</v>
      </c>
      <c r="I149" s="670">
        <f t="shared" ca="1" si="42"/>
        <v>4</v>
      </c>
      <c r="J149" s="670">
        <f t="shared" ca="1" si="33"/>
        <v>0</v>
      </c>
      <c r="K149" s="670">
        <f ca="1">IF(OR($C149="S",$C149=0),0,MATCH(OFFSET($D149,0,$C149)+IF($C149&lt;&gt;1,1,COUNTIF(QCI!$A$13:$A$24,ORÇAMENTO!E149)),OFFSET($D149,1,$C149,ROW($C$191)-ROW($C149)),0))</f>
        <v>0</v>
      </c>
      <c r="L149" s="114" t="str">
        <f t="shared" ca="1" si="43"/>
        <v>F</v>
      </c>
      <c r="M149" s="115" t="s">
        <v>705</v>
      </c>
      <c r="N149" s="116" t="str">
        <f t="shared" ca="1" si="44"/>
        <v>Serviço</v>
      </c>
      <c r="O149" s="117" t="str">
        <f t="shared" ca="1" si="45"/>
        <v>1.19.4.</v>
      </c>
      <c r="P149" s="688" t="s">
        <v>750</v>
      </c>
      <c r="Q149" s="689" t="s">
        <v>1059</v>
      </c>
      <c r="R149" s="690" t="str" cm="1">
        <f t="array" aca="1" ref="R149" ca="1">IF($C149="S",REFERENCIA.Descricao,"(digite a descrição aqui)")</f>
        <v>RODAPÉ CERÂMICO DE 7CM DE ALTURA COM PLACAS TIPO ESMALTADA DE DIMENSÕES 35X35CM. AF_02/2023</v>
      </c>
      <c r="S149" s="691" t="str" cm="1">
        <f t="array" aca="1" ref="S149" ca="1">REFERENCIA.Unidade</f>
        <v>M</v>
      </c>
      <c r="T149" s="122">
        <f ca="1">OFFSET(CÁLCULO!H$15,ROW($T149)-ROW(T$15),0)</f>
        <v>27.7</v>
      </c>
      <c r="U149" s="693">
        <f t="shared" ca="1" si="34"/>
        <v>8.07</v>
      </c>
      <c r="V149" s="694" t="s">
        <v>663</v>
      </c>
      <c r="W149" s="122" cm="1">
        <f t="array" aca="1" ref="W149" ca="1">IF($C149="S",ROUND(IF(TIPOORCAMENTO="Proposto",ORÇAMENTO.CustoUnitario*(1+$AH149),ORÇAMENTO.PrecoUnitarioLicitado),15-13*$AF$10),0)</f>
        <v>10.01</v>
      </c>
      <c r="X149" s="125" cm="1">
        <f t="array" aca="1" ref="X149" ca="1">IF($C149="S",IF(OR(Import.TipoArredondamento&lt;&gt;"TransfereGOV",ACOMPANHAMENTO="BM"),VTOTAL1,SUM(OFFSET(CÁLCULO!$AI$15,ROW($X149)-ROW($X$15),1):OFFSET(CÁLCULO!$BB$15,ROW($X149)-ROW($X$15),-1))),IF($C149=0,0,ROUND(SomaAgrup,15-13*$AF$11)))</f>
        <v>277.27999999999997</v>
      </c>
      <c r="Y149" s="126" t="s">
        <v>751</v>
      </c>
      <c r="Z149" s="670" t="str">
        <f t="shared" ca="1" si="46"/>
        <v>RA</v>
      </c>
      <c r="AA149" s="127" cm="1">
        <f t="array" aca="1" ref="AA149" ca="1">IF($C149="S",IF($Z149="CP",$X149,IF($Z149="RA",(($X149)*QCI!$AA$3),0)),SomaAgrup)</f>
        <v>0</v>
      </c>
      <c r="AB149" s="128" cm="1">
        <f t="array" aca="1" ref="AB149" ca="1">IF($C149="S",IF($Z149="OU",ROUND($X149,2),0),SomaAgrup)</f>
        <v>0</v>
      </c>
      <c r="AC149" s="565" t="str" cm="1">
        <f t="array" aca="1" ref="AC149" ca="1">IF($N149=""," ",
IF(AND($C149&lt;&gt;"S",OR($R149="",$R149="(digite a descrição aqui)")),"DESCRIÇÃO",
IF(AND($C149="S",OR($Q149&lt;&gt;"",$T149&gt;0,$U149&gt;0),$P149=""),"FONTE",
IF(AND($C149="S",$P149&lt;&gt;"",OR($T149&gt;0,$U149&gt;0),$Q149=""),"CÓDIGO",
IF(AND($C149="S",$P149&lt;&gt;"",$Q149&lt;&gt;"",$R149="(Código não identificado nas referências)"),"CÓDIGO N/ID",
IF(AND($C149="S",OR($R149="",$R149="(digite a descrição aqui)"),OR($Q149&lt;&gt;"",$T149&gt;0,$U149&gt;0)),"DESCRIÇÃO",
IF(AND($C149="S",$P149&lt;&gt;"",$Q149&lt;&gt;"",$S149=""),"UNIDADE",
IF(AND($C149="S",$P149&lt;&gt;"",$Q149&lt;&gt;"",$U149=0),"SEM CUSTO",
IF(AND(TIPOORCAMENTO="Licitado",$AL149=0,$AN149&gt;0),"SEM PREÇO",
IF(AND($C149="S",$P149&lt;&gt;"",$Q149&lt;&gt;"",$U149&gt;0,AND($V149&lt;&gt;"BDI 1",$V149&lt;&gt;"BDI 2",$V149&lt;&gt;"BDI 3")),IF(ISNUMBER($V149),"JUSTIFICAR BDI","BDI"),
IF(OR(AND(import.recurso="OGU",TIPOORCAMENTO="Proposto",LEFT($O$8,5)&lt;&gt;"(N/D:",$AG149&lt;&gt;"",ORÇAMENTO.CustoUnitario&gt;$AG149),AND(TIPOORCAMENTO="LICITADO",ORÇAMENTO.PrecoUnitarioLicitado&gt;$AN149)),"ACIMA REF.",
IF(AND($C149="S",$P149&lt;&gt;"",$Q149&lt;&gt;"",$T149=0,$U149&gt;0),"QUANT.",
IF(AND(Import.TipoArredondamento="TransfereGOV",$L149="F",$C149="S",LEN($Q149)&gt;13),"Código &gt;13",
IF(AND(Import.TipoArredondamento="TransfereGOV",$L149="F",$C149&lt;&gt;"S",LEN($R149)&gt;100),"Descrição &gt;100",
IF(AND(Import.TipoArredondamento="TransfereGOV",$L149="F",$C149="S",LEN($R149)&gt;500),"Descrição &gt;500",
IF(AND(Import.TipoArredondamento="TransfereGOV",$L149="F",$C149="S",LEFT(TRIM(UPPER($P149)),6)&lt;&gt;"SINAPI",ISNA(VLOOKUP(TRIM(UPPER($S149)),ListaTgov.Unidades,1,FALSE))),"Unid. Não Disp",
" "))))))))))))))))</f>
        <v xml:space="preserve"> </v>
      </c>
      <c r="AD149" s="670" t="str">
        <f ca="1">IF(C149&lt;=CRONO.NivelExibicao,MAX($AD$15:OFFSET(AD149,-1,0))+IF($C149&lt;&gt;1,1,MAX(1,COUNTIF(QCI!$A$13:$A$24,OFFSET($E149,-1,0)))),"")</f>
        <v/>
      </c>
      <c r="AE149" s="668" t="str" cm="1">
        <f t="array" aca="1" ref="AE149" ca="1">IF(AND($C149="S",ORÇAMENTO.CodBarra&lt;&gt;""),IF(ORÇAMENTO.Fonte="",ORÇAMENTO.CodBarra,CONCATENATE(ORÇAMENTO.Fonte," ",ORÇAMENTO.CodBarra)))</f>
        <v>SINAPI 88648</v>
      </c>
      <c r="AF149" s="669" cm="1">
        <f t="array" aca="1" ref="AF149" ca="1">IF(ISERROR(ORÇAMENTO.BancoRef),"(abra o arquivo 'Referência "&amp;Excel_BuiltIn_Database&amp;".xlsm)",IF(OR($C149&lt;&gt;"S",ORÇAMENTO.CodBarra=""),"(Sem Código)",IF(ISERROR(MATCH($AE149,INDIRECT(ORÇAMENTO.BancoRef),0)),"(Código não identificado nas referências)",MATCH($AE149,INDIRECT(ORÇAMENTO.BancoRef),0))))</f>
        <v>15304</v>
      </c>
      <c r="AG149" s="428" cm="1">
        <f t="array" aca="1" ref="AG149" ca="1">ROUND(IF(DESONERACAO="sim",REFERENCIA.Desonerado,REFERENCIA.NaoDesonerado),2)</f>
        <v>8.07</v>
      </c>
      <c r="AH149" s="429">
        <f t="shared" ca="1" si="47"/>
        <v>0.24</v>
      </c>
      <c r="AJ149" s="431"/>
      <c r="AL149" s="439"/>
      <c r="AM149" s="336">
        <f t="shared" ca="1" si="0"/>
        <v>277.27999999999997</v>
      </c>
      <c r="AN149" s="470" cm="1">
        <f t="array" aca="1" ref="AN149" ca="1">ROUND(ORÇAMENTO.CustoUnitario*(1+$AH149),2)</f>
        <v>10.01</v>
      </c>
    </row>
    <row r="150" spans="1:40" s="670" customFormat="1" ht="25.5" x14ac:dyDescent="0.2">
      <c r="A150" s="670" t="str">
        <f t="shared" si="35"/>
        <v>S</v>
      </c>
      <c r="B150" s="670">
        <f t="shared" ca="1" si="36"/>
        <v>2</v>
      </c>
      <c r="C150" s="670" t="str">
        <f t="shared" ca="1" si="37"/>
        <v>S</v>
      </c>
      <c r="D150" s="670">
        <f t="shared" ca="1" si="38"/>
        <v>0</v>
      </c>
      <c r="E150" s="670">
        <f ca="1">IF($C150=1,OFFSET(E150,-1,0)+MAX(1,COUNTIF(QCI!$A$13:$A$24,OFFSET(ORÇAMENTO!E150,-1,0))),OFFSET(E150,-1,0))</f>
        <v>1</v>
      </c>
      <c r="F150" s="670">
        <f t="shared" ca="1" si="39"/>
        <v>19</v>
      </c>
      <c r="G150" s="670">
        <f t="shared" ca="1" si="40"/>
        <v>0</v>
      </c>
      <c r="H150" s="670">
        <f t="shared" ca="1" si="41"/>
        <v>0</v>
      </c>
      <c r="I150" s="670">
        <f t="shared" ca="1" si="42"/>
        <v>5</v>
      </c>
      <c r="J150" s="670">
        <f t="shared" ca="1" si="33"/>
        <v>0</v>
      </c>
      <c r="K150" s="670">
        <f ca="1">IF(OR($C150="S",$C150=0),0,MATCH(OFFSET($D150,0,$C150)+IF($C150&lt;&gt;1,1,COUNTIF(QCI!$A$13:$A$24,ORÇAMENTO!E150)),OFFSET($D150,1,$C150,ROW($C$191)-ROW($C150)),0))</f>
        <v>0</v>
      </c>
      <c r="L150" s="114" t="str">
        <f t="shared" ca="1" si="43"/>
        <v>F</v>
      </c>
      <c r="M150" s="115" t="s">
        <v>705</v>
      </c>
      <c r="N150" s="116" t="str">
        <f t="shared" ca="1" si="44"/>
        <v>Serviço</v>
      </c>
      <c r="O150" s="117" t="str">
        <f t="shared" ca="1" si="45"/>
        <v>1.19.5.</v>
      </c>
      <c r="P150" s="688" t="s">
        <v>750</v>
      </c>
      <c r="Q150" s="689" t="s">
        <v>1243</v>
      </c>
      <c r="R150" s="690" t="str" cm="1">
        <f t="array" aca="1" ref="R150" ca="1">IF($C150="S",REFERENCIA.Descricao,"(digite a descrição aqui)")</f>
        <v>FUNDO SELADOR ACRÍLICO, APLICAÇÃO MANUAL EM PAREDE, UMA DEMÃO. AF_04/2023</v>
      </c>
      <c r="S150" s="691" t="str" cm="1">
        <f t="array" aca="1" ref="S150" ca="1">REFERENCIA.Unidade</f>
        <v>M2</v>
      </c>
      <c r="T150" s="122">
        <f ca="1">OFFSET(CÁLCULO!H$15,ROW($T150)-ROW(T$15),0)</f>
        <v>13</v>
      </c>
      <c r="U150" s="693">
        <f t="shared" ca="1" si="34"/>
        <v>5.03</v>
      </c>
      <c r="V150" s="694" t="s">
        <v>663</v>
      </c>
      <c r="W150" s="122" cm="1">
        <f t="array" aca="1" ref="W150" ca="1">IF($C150="S",ROUND(IF(TIPOORCAMENTO="Proposto",ORÇAMENTO.CustoUnitario*(1+$AH150),ORÇAMENTO.PrecoUnitarioLicitado),15-13*$AF$10),0)</f>
        <v>6.24</v>
      </c>
      <c r="X150" s="125" cm="1">
        <f t="array" aca="1" ref="X150" ca="1">IF($C150="S",IF(OR(Import.TipoArredondamento&lt;&gt;"TransfereGOV",ACOMPANHAMENTO="BM"),VTOTAL1,SUM(OFFSET(CÁLCULO!$AI$15,ROW($X150)-ROW($X$15),1):OFFSET(CÁLCULO!$BB$15,ROW($X150)-ROW($X$15),-1))),IF($C150=0,0,ROUND(SomaAgrup,15-13*$AF$11)))</f>
        <v>81.12</v>
      </c>
      <c r="Y150" s="126" t="s">
        <v>751</v>
      </c>
      <c r="Z150" s="670" t="str">
        <f t="shared" ca="1" si="46"/>
        <v>RA</v>
      </c>
      <c r="AA150" s="127" cm="1">
        <f t="array" aca="1" ref="AA150" ca="1">IF($C150="S",IF($Z150="CP",$X150,IF($Z150="RA",(($X150)*QCI!$AA$3),0)),SomaAgrup)</f>
        <v>0</v>
      </c>
      <c r="AB150" s="128" cm="1">
        <f t="array" aca="1" ref="AB150" ca="1">IF($C150="S",IF($Z150="OU",ROUND($X150,2),0),SomaAgrup)</f>
        <v>0</v>
      </c>
      <c r="AC150" s="565" t="str" cm="1">
        <f t="array" aca="1" ref="AC150" ca="1">IF($N150=""," ",
IF(AND($C150&lt;&gt;"S",OR($R150="",$R150="(digite a descrição aqui)")),"DESCRIÇÃO",
IF(AND($C150="S",OR($Q150&lt;&gt;"",$T150&gt;0,$U150&gt;0),$P150=""),"FONTE",
IF(AND($C150="S",$P150&lt;&gt;"",OR($T150&gt;0,$U150&gt;0),$Q150=""),"CÓDIGO",
IF(AND($C150="S",$P150&lt;&gt;"",$Q150&lt;&gt;"",$R150="(Código não identificado nas referências)"),"CÓDIGO N/ID",
IF(AND($C150="S",OR($R150="",$R150="(digite a descrição aqui)"),OR($Q150&lt;&gt;"",$T150&gt;0,$U150&gt;0)),"DESCRIÇÃO",
IF(AND($C150="S",$P150&lt;&gt;"",$Q150&lt;&gt;"",$S150=""),"UNIDADE",
IF(AND($C150="S",$P150&lt;&gt;"",$Q150&lt;&gt;"",$U150=0),"SEM CUSTO",
IF(AND(TIPOORCAMENTO="Licitado",$AL150=0,$AN150&gt;0),"SEM PREÇO",
IF(AND($C150="S",$P150&lt;&gt;"",$Q150&lt;&gt;"",$U150&gt;0,AND($V150&lt;&gt;"BDI 1",$V150&lt;&gt;"BDI 2",$V150&lt;&gt;"BDI 3")),IF(ISNUMBER($V150),"JUSTIFICAR BDI","BDI"),
IF(OR(AND(import.recurso="OGU",TIPOORCAMENTO="Proposto",LEFT($O$8,5)&lt;&gt;"(N/D:",$AG150&lt;&gt;"",ORÇAMENTO.CustoUnitario&gt;$AG150),AND(TIPOORCAMENTO="LICITADO",ORÇAMENTO.PrecoUnitarioLicitado&gt;$AN150)),"ACIMA REF.",
IF(AND($C150="S",$P150&lt;&gt;"",$Q150&lt;&gt;"",$T150=0,$U150&gt;0),"QUANT.",
IF(AND(Import.TipoArredondamento="TransfereGOV",$L150="F",$C150="S",LEN($Q150)&gt;13),"Código &gt;13",
IF(AND(Import.TipoArredondamento="TransfereGOV",$L150="F",$C150&lt;&gt;"S",LEN($R150)&gt;100),"Descrição &gt;100",
IF(AND(Import.TipoArredondamento="TransfereGOV",$L150="F",$C150="S",LEN($R150)&gt;500),"Descrição &gt;500",
IF(AND(Import.TipoArredondamento="TransfereGOV",$L150="F",$C150="S",LEFT(TRIM(UPPER($P150)),6)&lt;&gt;"SINAPI",ISNA(VLOOKUP(TRIM(UPPER($S150)),ListaTgov.Unidades,1,FALSE))),"Unid. Não Disp",
" "))))))))))))))))</f>
        <v xml:space="preserve"> </v>
      </c>
      <c r="AD150" s="670" t="str">
        <f ca="1">IF(C150&lt;=CRONO.NivelExibicao,MAX($AD$15:OFFSET(AD150,-1,0))+IF($C150&lt;&gt;1,1,MAX(1,COUNTIF(QCI!$A$13:$A$24,OFFSET($E150,-1,0)))),"")</f>
        <v/>
      </c>
      <c r="AE150" s="668" t="str" cm="1">
        <f t="array" aca="1" ref="AE150" ca="1">IF(AND($C150="S",ORÇAMENTO.CodBarra&lt;&gt;""),IF(ORÇAMENTO.Fonte="",ORÇAMENTO.CodBarra,CONCATENATE(ORÇAMENTO.Fonte," ",ORÇAMENTO.CodBarra)))</f>
        <v>SINAPI 88485</v>
      </c>
      <c r="AF150" s="669" cm="1">
        <f t="array" aca="1" ref="AF150" ca="1">IF(ISERROR(ORÇAMENTO.BancoRef),"(abra o arquivo 'Referência "&amp;Excel_BuiltIn_Database&amp;".xlsm)",IF(OR($C150&lt;&gt;"S",ORÇAMENTO.CodBarra=""),"(Sem Código)",IF(ISERROR(MATCH($AE150,INDIRECT(ORÇAMENTO.BancoRef),0)),"(Código não identificado nas referências)",MATCH($AE150,INDIRECT(ORÇAMENTO.BancoRef),0))))</f>
        <v>14239</v>
      </c>
      <c r="AG150" s="428" cm="1">
        <f t="array" aca="1" ref="AG150" ca="1">ROUND(IF(DESONERACAO="sim",REFERENCIA.Desonerado,REFERENCIA.NaoDesonerado),2)</f>
        <v>5.03</v>
      </c>
      <c r="AH150" s="429">
        <f t="shared" ca="1" si="47"/>
        <v>0.24</v>
      </c>
      <c r="AJ150" s="431"/>
      <c r="AL150" s="439"/>
      <c r="AM150" s="336">
        <f t="shared" ca="1" si="0"/>
        <v>81.12</v>
      </c>
      <c r="AN150" s="470" cm="1">
        <f t="array" aca="1" ref="AN150" ca="1">ROUND(ORÇAMENTO.CustoUnitario*(1+$AH150),2)</f>
        <v>6.24</v>
      </c>
    </row>
    <row r="151" spans="1:40" s="670" customFormat="1" ht="25.5" x14ac:dyDescent="0.2">
      <c r="A151" s="670" t="str">
        <f t="shared" si="35"/>
        <v>S</v>
      </c>
      <c r="B151" s="670">
        <f t="shared" ca="1" si="36"/>
        <v>2</v>
      </c>
      <c r="C151" s="670" t="str">
        <f t="shared" ca="1" si="37"/>
        <v>S</v>
      </c>
      <c r="D151" s="670">
        <f t="shared" ca="1" si="38"/>
        <v>0</v>
      </c>
      <c r="E151" s="670">
        <f ca="1">IF($C151=1,OFFSET(E151,-1,0)+MAX(1,COUNTIF(QCI!$A$13:$A$24,OFFSET(ORÇAMENTO!E151,-1,0))),OFFSET(E151,-1,0))</f>
        <v>1</v>
      </c>
      <c r="F151" s="670">
        <f t="shared" ca="1" si="39"/>
        <v>19</v>
      </c>
      <c r="G151" s="670">
        <f t="shared" ca="1" si="40"/>
        <v>0</v>
      </c>
      <c r="H151" s="670">
        <f t="shared" ca="1" si="41"/>
        <v>0</v>
      </c>
      <c r="I151" s="670">
        <f t="shared" ca="1" si="42"/>
        <v>6</v>
      </c>
      <c r="J151" s="670">
        <f t="shared" ca="1" si="33"/>
        <v>0</v>
      </c>
      <c r="K151" s="670">
        <f ca="1">IF(OR($C151="S",$C151=0),0,MATCH(OFFSET($D151,0,$C151)+IF($C151&lt;&gt;1,1,COUNTIF(QCI!$A$13:$A$24,ORÇAMENTO!E151)),OFFSET($D151,1,$C151,ROW($C$191)-ROW($C151)),0))</f>
        <v>0</v>
      </c>
      <c r="L151" s="114" t="str">
        <f t="shared" ca="1" si="43"/>
        <v>F</v>
      </c>
      <c r="M151" s="115" t="s">
        <v>705</v>
      </c>
      <c r="N151" s="116" t="str">
        <f t="shared" ca="1" si="44"/>
        <v>Serviço</v>
      </c>
      <c r="O151" s="117" t="str">
        <f t="shared" ca="1" si="45"/>
        <v>1.19.6.</v>
      </c>
      <c r="P151" s="688" t="s">
        <v>750</v>
      </c>
      <c r="Q151" s="689" t="s">
        <v>1244</v>
      </c>
      <c r="R151" s="690" t="str" cm="1">
        <f t="array" aca="1" ref="R151" ca="1">IF($C151="S",REFERENCIA.Descricao,"(digite a descrição aqui)")</f>
        <v>PINTURA LÁTEX ACRÍLICA ECONÔMICA, APLICAÇÃO MANUAL EM PAREDES, DUAS DEMÃOS. AF_04/2023</v>
      </c>
      <c r="S151" s="691" t="str" cm="1">
        <f t="array" aca="1" ref="S151" ca="1">REFERENCIA.Unidade</f>
        <v>M2</v>
      </c>
      <c r="T151" s="122">
        <f ca="1">OFFSET(CÁLCULO!H$15,ROW($T151)-ROW(T$15),0)</f>
        <v>13</v>
      </c>
      <c r="U151" s="693">
        <f t="shared" ca="1" si="34"/>
        <v>10.95</v>
      </c>
      <c r="V151" s="694" t="s">
        <v>663</v>
      </c>
      <c r="W151" s="122" cm="1">
        <f t="array" aca="1" ref="W151" ca="1">IF($C151="S",ROUND(IF(TIPOORCAMENTO="Proposto",ORÇAMENTO.CustoUnitario*(1+$AH151),ORÇAMENTO.PrecoUnitarioLicitado),15-13*$AF$10),0)</f>
        <v>13.58</v>
      </c>
      <c r="X151" s="125" cm="1">
        <f t="array" aca="1" ref="X151" ca="1">IF($C151="S",IF(OR(Import.TipoArredondamento&lt;&gt;"TransfereGOV",ACOMPANHAMENTO="BM"),VTOTAL1,SUM(OFFSET(CÁLCULO!$AI$15,ROW($X151)-ROW($X$15),1):OFFSET(CÁLCULO!$BB$15,ROW($X151)-ROW($X$15),-1))),IF($C151=0,0,ROUND(SomaAgrup,15-13*$AF$11)))</f>
        <v>176.54</v>
      </c>
      <c r="Y151" s="126" t="s">
        <v>751</v>
      </c>
      <c r="Z151" s="670" t="str">
        <f t="shared" ca="1" si="46"/>
        <v>RA</v>
      </c>
      <c r="AA151" s="127" cm="1">
        <f t="array" aca="1" ref="AA151" ca="1">IF($C151="S",IF($Z151="CP",$X151,IF($Z151="RA",(($X151)*QCI!$AA$3),0)),SomaAgrup)</f>
        <v>0</v>
      </c>
      <c r="AB151" s="128" cm="1">
        <f t="array" aca="1" ref="AB151" ca="1">IF($C151="S",IF($Z151="OU",ROUND($X151,2),0),SomaAgrup)</f>
        <v>0</v>
      </c>
      <c r="AC151" s="565" t="str" cm="1">
        <f t="array" aca="1" ref="AC151" ca="1">IF($N151=""," ",
IF(AND($C151&lt;&gt;"S",OR($R151="",$R151="(digite a descrição aqui)")),"DESCRIÇÃO",
IF(AND($C151="S",OR($Q151&lt;&gt;"",$T151&gt;0,$U151&gt;0),$P151=""),"FONTE",
IF(AND($C151="S",$P151&lt;&gt;"",OR($T151&gt;0,$U151&gt;0),$Q151=""),"CÓDIGO",
IF(AND($C151="S",$P151&lt;&gt;"",$Q151&lt;&gt;"",$R151="(Código não identificado nas referências)"),"CÓDIGO N/ID",
IF(AND($C151="S",OR($R151="",$R151="(digite a descrição aqui)"),OR($Q151&lt;&gt;"",$T151&gt;0,$U151&gt;0)),"DESCRIÇÃO",
IF(AND($C151="S",$P151&lt;&gt;"",$Q151&lt;&gt;"",$S151=""),"UNIDADE",
IF(AND($C151="S",$P151&lt;&gt;"",$Q151&lt;&gt;"",$U151=0),"SEM CUSTO",
IF(AND(TIPOORCAMENTO="Licitado",$AL151=0,$AN151&gt;0),"SEM PREÇO",
IF(AND($C151="S",$P151&lt;&gt;"",$Q151&lt;&gt;"",$U151&gt;0,AND($V151&lt;&gt;"BDI 1",$V151&lt;&gt;"BDI 2",$V151&lt;&gt;"BDI 3")),IF(ISNUMBER($V151),"JUSTIFICAR BDI","BDI"),
IF(OR(AND(import.recurso="OGU",TIPOORCAMENTO="Proposto",LEFT($O$8,5)&lt;&gt;"(N/D:",$AG151&lt;&gt;"",ORÇAMENTO.CustoUnitario&gt;$AG151),AND(TIPOORCAMENTO="LICITADO",ORÇAMENTO.PrecoUnitarioLicitado&gt;$AN151)),"ACIMA REF.",
IF(AND($C151="S",$P151&lt;&gt;"",$Q151&lt;&gt;"",$T151=0,$U151&gt;0),"QUANT.",
IF(AND(Import.TipoArredondamento="TransfereGOV",$L151="F",$C151="S",LEN($Q151)&gt;13),"Código &gt;13",
IF(AND(Import.TipoArredondamento="TransfereGOV",$L151="F",$C151&lt;&gt;"S",LEN($R151)&gt;100),"Descrição &gt;100",
IF(AND(Import.TipoArredondamento="TransfereGOV",$L151="F",$C151="S",LEN($R151)&gt;500),"Descrição &gt;500",
IF(AND(Import.TipoArredondamento="TransfereGOV",$L151="F",$C151="S",LEFT(TRIM(UPPER($P151)),6)&lt;&gt;"SINAPI",ISNA(VLOOKUP(TRIM(UPPER($S151)),ListaTgov.Unidades,1,FALSE))),"Unid. Não Disp",
" "))))))))))))))))</f>
        <v xml:space="preserve"> </v>
      </c>
      <c r="AD151" s="670" t="str">
        <f ca="1">IF(C151&lt;=CRONO.NivelExibicao,MAX($AD$15:OFFSET(AD151,-1,0))+IF($C151&lt;&gt;1,1,MAX(1,COUNTIF(QCI!$A$13:$A$24,OFFSET($E151,-1,0)))),"")</f>
        <v/>
      </c>
      <c r="AE151" s="668" t="str" cm="1">
        <f t="array" aca="1" ref="AE151" ca="1">IF(AND($C151="S",ORÇAMENTO.CodBarra&lt;&gt;""),IF(ORÇAMENTO.Fonte="",ORÇAMENTO.CodBarra,CONCATENATE(ORÇAMENTO.Fonte," ",ORÇAMENTO.CodBarra)))</f>
        <v>SINAPI 104641</v>
      </c>
      <c r="AF151" s="669" cm="1">
        <f t="array" aca="1" ref="AF151" ca="1">IF(ISERROR(ORÇAMENTO.BancoRef),"(abra o arquivo 'Referência "&amp;Excel_BuiltIn_Database&amp;".xlsm)",IF(OR($C151&lt;&gt;"S",ORÇAMENTO.CodBarra=""),"(Sem Código)",IF(ISERROR(MATCH($AE151,INDIRECT(ORÇAMENTO.BancoRef),0)),"(Código não identificado nas referências)",MATCH($AE151,INDIRECT(ORÇAMENTO.BancoRef),0))))</f>
        <v>14243</v>
      </c>
      <c r="AG151" s="428" cm="1">
        <f t="array" aca="1" ref="AG151" ca="1">ROUND(IF(DESONERACAO="sim",REFERENCIA.Desonerado,REFERENCIA.NaoDesonerado),2)</f>
        <v>10.95</v>
      </c>
      <c r="AH151" s="429">
        <f t="shared" ca="1" si="47"/>
        <v>0.24</v>
      </c>
      <c r="AJ151" s="431"/>
      <c r="AL151" s="439"/>
      <c r="AM151" s="336">
        <f t="shared" ca="1" si="0"/>
        <v>176.54</v>
      </c>
      <c r="AN151" s="470" cm="1">
        <f t="array" aca="1" ref="AN151" ca="1">ROUND(ORÇAMENTO.CustoUnitario*(1+$AH151),2)</f>
        <v>13.58</v>
      </c>
    </row>
    <row r="152" spans="1:40" s="670" customFormat="1" ht="25.5" x14ac:dyDescent="0.2">
      <c r="A152" s="670" t="str">
        <f t="shared" si="35"/>
        <v>S</v>
      </c>
      <c r="B152" s="670">
        <f t="shared" ca="1" si="36"/>
        <v>2</v>
      </c>
      <c r="C152" s="670" t="str">
        <f t="shared" ca="1" si="37"/>
        <v>S</v>
      </c>
      <c r="D152" s="670">
        <f t="shared" ca="1" si="38"/>
        <v>0</v>
      </c>
      <c r="E152" s="670">
        <f ca="1">IF($C152=1,OFFSET(E152,-1,0)+MAX(1,COUNTIF(QCI!$A$13:$A$24,OFFSET(ORÇAMENTO!E152,-1,0))),OFFSET(E152,-1,0))</f>
        <v>1</v>
      </c>
      <c r="F152" s="670">
        <f t="shared" ca="1" si="39"/>
        <v>19</v>
      </c>
      <c r="G152" s="670">
        <f t="shared" ca="1" si="40"/>
        <v>0</v>
      </c>
      <c r="H152" s="670">
        <f t="shared" ca="1" si="41"/>
        <v>0</v>
      </c>
      <c r="I152" s="670">
        <f t="shared" ca="1" si="42"/>
        <v>7</v>
      </c>
      <c r="J152" s="670">
        <f t="shared" ca="1" si="33"/>
        <v>0</v>
      </c>
      <c r="K152" s="670">
        <f ca="1">IF(OR($C152="S",$C152=0),0,MATCH(OFFSET($D152,0,$C152)+IF($C152&lt;&gt;1,1,COUNTIF(QCI!$A$13:$A$24,ORÇAMENTO!E152)),OFFSET($D152,1,$C152,ROW($C$191)-ROW($C152)),0))</f>
        <v>0</v>
      </c>
      <c r="L152" s="114" t="str">
        <f t="shared" ca="1" si="43"/>
        <v>F</v>
      </c>
      <c r="M152" s="115" t="s">
        <v>705</v>
      </c>
      <c r="N152" s="116" t="str">
        <f t="shared" ca="1" si="44"/>
        <v>Serviço</v>
      </c>
      <c r="O152" s="117" t="str">
        <f t="shared" ca="1" si="45"/>
        <v>1.19.7.</v>
      </c>
      <c r="P152" s="688" t="s">
        <v>750</v>
      </c>
      <c r="Q152" s="689" t="s">
        <v>1245</v>
      </c>
      <c r="R152" s="690" t="str" cm="1">
        <f t="array" aca="1" ref="R152" ca="1">IF($C152="S",REFERENCIA.Descricao,"(digite a descrição aqui)")</f>
        <v>PINTURA LÁTEX ACRÍLICA STANDARD, APLICAÇÃO MANUAL EM PAREDES, DUAS DEMÃOS. AF_04/2023</v>
      </c>
      <c r="S152" s="691" t="str" cm="1">
        <f t="array" aca="1" ref="S152" ca="1">REFERENCIA.Unidade</f>
        <v>M2</v>
      </c>
      <c r="T152" s="122">
        <f ca="1">OFFSET(CÁLCULO!H$15,ROW($T152)-ROW(T$15),0)</f>
        <v>11</v>
      </c>
      <c r="U152" s="693">
        <f t="shared" ca="1" si="34"/>
        <v>12.44</v>
      </c>
      <c r="V152" s="694" t="s">
        <v>663</v>
      </c>
      <c r="W152" s="122" cm="1">
        <f t="array" aca="1" ref="W152" ca="1">IF($C152="S",ROUND(IF(TIPOORCAMENTO="Proposto",ORÇAMENTO.CustoUnitario*(1+$AH152),ORÇAMENTO.PrecoUnitarioLicitado),15-13*$AF$10),0)</f>
        <v>15.43</v>
      </c>
      <c r="X152" s="125" cm="1">
        <f t="array" aca="1" ref="X152" ca="1">IF($C152="S",IF(OR(Import.TipoArredondamento&lt;&gt;"TransfereGOV",ACOMPANHAMENTO="BM"),VTOTAL1,SUM(OFFSET(CÁLCULO!$AI$15,ROW($X152)-ROW($X$15),1):OFFSET(CÁLCULO!$BB$15,ROW($X152)-ROW($X$15),-1))),IF($C152=0,0,ROUND(SomaAgrup,15-13*$AF$11)))</f>
        <v>169.73</v>
      </c>
      <c r="Y152" s="126" t="s">
        <v>751</v>
      </c>
      <c r="Z152" s="670" t="str">
        <f t="shared" ca="1" si="46"/>
        <v>RA</v>
      </c>
      <c r="AA152" s="127" cm="1">
        <f t="array" aca="1" ref="AA152" ca="1">IF($C152="S",IF($Z152="CP",$X152,IF($Z152="RA",(($X152)*QCI!$AA$3),0)),SomaAgrup)</f>
        <v>0</v>
      </c>
      <c r="AB152" s="128" cm="1">
        <f t="array" aca="1" ref="AB152" ca="1">IF($C152="S",IF($Z152="OU",ROUND($X152,2),0),SomaAgrup)</f>
        <v>0</v>
      </c>
      <c r="AC152" s="565" t="str" cm="1">
        <f t="array" aca="1" ref="AC152" ca="1">IF($N152=""," ",
IF(AND($C152&lt;&gt;"S",OR($R152="",$R152="(digite a descrição aqui)")),"DESCRIÇÃO",
IF(AND($C152="S",OR($Q152&lt;&gt;"",$T152&gt;0,$U152&gt;0),$P152=""),"FONTE",
IF(AND($C152="S",$P152&lt;&gt;"",OR($T152&gt;0,$U152&gt;0),$Q152=""),"CÓDIGO",
IF(AND($C152="S",$P152&lt;&gt;"",$Q152&lt;&gt;"",$R152="(Código não identificado nas referências)"),"CÓDIGO N/ID",
IF(AND($C152="S",OR($R152="",$R152="(digite a descrição aqui)"),OR($Q152&lt;&gt;"",$T152&gt;0,$U152&gt;0)),"DESCRIÇÃO",
IF(AND($C152="S",$P152&lt;&gt;"",$Q152&lt;&gt;"",$S152=""),"UNIDADE",
IF(AND($C152="S",$P152&lt;&gt;"",$Q152&lt;&gt;"",$U152=0),"SEM CUSTO",
IF(AND(TIPOORCAMENTO="Licitado",$AL152=0,$AN152&gt;0),"SEM PREÇO",
IF(AND($C152="S",$P152&lt;&gt;"",$Q152&lt;&gt;"",$U152&gt;0,AND($V152&lt;&gt;"BDI 1",$V152&lt;&gt;"BDI 2",$V152&lt;&gt;"BDI 3")),IF(ISNUMBER($V152),"JUSTIFICAR BDI","BDI"),
IF(OR(AND(import.recurso="OGU",TIPOORCAMENTO="Proposto",LEFT($O$8,5)&lt;&gt;"(N/D:",$AG152&lt;&gt;"",ORÇAMENTO.CustoUnitario&gt;$AG152),AND(TIPOORCAMENTO="LICITADO",ORÇAMENTO.PrecoUnitarioLicitado&gt;$AN152)),"ACIMA REF.",
IF(AND($C152="S",$P152&lt;&gt;"",$Q152&lt;&gt;"",$T152=0,$U152&gt;0),"QUANT.",
IF(AND(Import.TipoArredondamento="TransfereGOV",$L152="F",$C152="S",LEN($Q152)&gt;13),"Código &gt;13",
IF(AND(Import.TipoArredondamento="TransfereGOV",$L152="F",$C152&lt;&gt;"S",LEN($R152)&gt;100),"Descrição &gt;100",
IF(AND(Import.TipoArredondamento="TransfereGOV",$L152="F",$C152="S",LEN($R152)&gt;500),"Descrição &gt;500",
IF(AND(Import.TipoArredondamento="TransfereGOV",$L152="F",$C152="S",LEFT(TRIM(UPPER($P152)),6)&lt;&gt;"SINAPI",ISNA(VLOOKUP(TRIM(UPPER($S152)),ListaTgov.Unidades,1,FALSE))),"Unid. Não Disp",
" "))))))))))))))))</f>
        <v xml:space="preserve"> </v>
      </c>
      <c r="AD152" s="670" t="str">
        <f ca="1">IF(C152&lt;=CRONO.NivelExibicao,MAX($AD$15:OFFSET(AD152,-1,0))+IF($C152&lt;&gt;1,1,MAX(1,COUNTIF(QCI!$A$13:$A$24,OFFSET($E152,-1,0)))),"")</f>
        <v/>
      </c>
      <c r="AE152" s="668" t="str" cm="1">
        <f t="array" aca="1" ref="AE152" ca="1">IF(AND($C152="S",ORÇAMENTO.CodBarra&lt;&gt;""),IF(ORÇAMENTO.Fonte="",ORÇAMENTO.CodBarra,CONCATENATE(ORÇAMENTO.Fonte," ",ORÇAMENTO.CodBarra)))</f>
        <v>SINAPI 104642</v>
      </c>
      <c r="AF152" s="669" cm="1">
        <f t="array" aca="1" ref="AF152" ca="1">IF(ISERROR(ORÇAMENTO.BancoRef),"(abra o arquivo 'Referência "&amp;Excel_BuiltIn_Database&amp;".xlsm)",IF(OR($C152&lt;&gt;"S",ORÇAMENTO.CodBarra=""),"(Sem Código)",IF(ISERROR(MATCH($AE152,INDIRECT(ORÇAMENTO.BancoRef),0)),"(Código não identificado nas referências)",MATCH($AE152,INDIRECT(ORÇAMENTO.BancoRef),0))))</f>
        <v>14249</v>
      </c>
      <c r="AG152" s="428" cm="1">
        <f t="array" aca="1" ref="AG152" ca="1">ROUND(IF(DESONERACAO="sim",REFERENCIA.Desonerado,REFERENCIA.NaoDesonerado),2)</f>
        <v>12.44</v>
      </c>
      <c r="AH152" s="429">
        <f t="shared" ca="1" si="47"/>
        <v>0.24</v>
      </c>
      <c r="AJ152" s="431"/>
      <c r="AL152" s="439"/>
      <c r="AM152" s="336">
        <f t="shared" ca="1" si="0"/>
        <v>169.73</v>
      </c>
      <c r="AN152" s="470" cm="1">
        <f t="array" aca="1" ref="AN152" ca="1">ROUND(ORÇAMENTO.CustoUnitario*(1+$AH152),2)</f>
        <v>15.43</v>
      </c>
    </row>
    <row r="153" spans="1:40" s="670" customFormat="1" ht="25.5" x14ac:dyDescent="0.2">
      <c r="A153" s="670" t="str">
        <f t="shared" si="35"/>
        <v>S</v>
      </c>
      <c r="B153" s="670">
        <f t="shared" ca="1" si="36"/>
        <v>2</v>
      </c>
      <c r="C153" s="670" t="str">
        <f t="shared" ca="1" si="37"/>
        <v>S</v>
      </c>
      <c r="D153" s="670">
        <f t="shared" ca="1" si="38"/>
        <v>0</v>
      </c>
      <c r="E153" s="670">
        <f ca="1">IF($C153=1,OFFSET(E153,-1,0)+MAX(1,COUNTIF(QCI!$A$13:$A$24,OFFSET(ORÇAMENTO!E153,-1,0))),OFFSET(E153,-1,0))</f>
        <v>1</v>
      </c>
      <c r="F153" s="670">
        <f t="shared" ca="1" si="39"/>
        <v>19</v>
      </c>
      <c r="G153" s="670">
        <f t="shared" ca="1" si="40"/>
        <v>0</v>
      </c>
      <c r="H153" s="670">
        <f t="shared" ca="1" si="41"/>
        <v>0</v>
      </c>
      <c r="I153" s="670">
        <f t="shared" ca="1" si="42"/>
        <v>8</v>
      </c>
      <c r="J153" s="670">
        <f t="shared" ca="1" si="33"/>
        <v>0</v>
      </c>
      <c r="K153" s="670">
        <f ca="1">IF(OR($C153="S",$C153=0),0,MATCH(OFFSET($D153,0,$C153)+IF($C153&lt;&gt;1,1,COUNTIF(QCI!$A$13:$A$24,ORÇAMENTO!E153)),OFFSET($D153,1,$C153,ROW($C$191)-ROW($C153)),0))</f>
        <v>0</v>
      </c>
      <c r="L153" s="114" t="str">
        <f t="shared" ca="1" si="43"/>
        <v>F</v>
      </c>
      <c r="M153" s="115" t="s">
        <v>705</v>
      </c>
      <c r="N153" s="116" t="str">
        <f t="shared" ca="1" si="44"/>
        <v>Serviço</v>
      </c>
      <c r="O153" s="117" t="str">
        <f t="shared" ca="1" si="45"/>
        <v>1.19.8.</v>
      </c>
      <c r="P153" s="688" t="s">
        <v>750</v>
      </c>
      <c r="Q153" s="689" t="s">
        <v>1246</v>
      </c>
      <c r="R153" s="690" t="str" cm="1">
        <f t="array" aca="1" ref="R153" ca="1">IF($C153="S",REFERENCIA.Descricao,"(digite a descrição aqui)")</f>
        <v>PINTURA LÁTEX ACRÍLICA PREMIUM, APLICAÇÃO MANUAL EM PAREDES, DUAS DEMÃOS. AF_04/2023</v>
      </c>
      <c r="S153" s="691" t="str" cm="1">
        <f t="array" aca="1" ref="S153" ca="1">REFERENCIA.Unidade</f>
        <v>M2</v>
      </c>
      <c r="T153" s="122">
        <f ca="1">OFFSET(CÁLCULO!H$15,ROW($T153)-ROW(T$15),0)</f>
        <v>1</v>
      </c>
      <c r="U153" s="693">
        <f t="shared" ca="1" si="34"/>
        <v>14.97</v>
      </c>
      <c r="V153" s="694" t="s">
        <v>663</v>
      </c>
      <c r="W153" s="122" cm="1">
        <f t="array" aca="1" ref="W153" ca="1">IF($C153="S",ROUND(IF(TIPOORCAMENTO="Proposto",ORÇAMENTO.CustoUnitario*(1+$AH153),ORÇAMENTO.PrecoUnitarioLicitado),15-13*$AF$10),0)</f>
        <v>18.559999999999999</v>
      </c>
      <c r="X153" s="125" cm="1">
        <f t="array" aca="1" ref="X153" ca="1">IF($C153="S",IF(OR(Import.TipoArredondamento&lt;&gt;"TransfereGOV",ACOMPANHAMENTO="BM"),VTOTAL1,SUM(OFFSET(CÁLCULO!$AI$15,ROW($X153)-ROW($X$15),1):OFFSET(CÁLCULO!$BB$15,ROW($X153)-ROW($X$15),-1))),IF($C153=0,0,ROUND(SomaAgrup,15-13*$AF$11)))</f>
        <v>18.559999999999999</v>
      </c>
      <c r="Y153" s="126" t="s">
        <v>751</v>
      </c>
      <c r="Z153" s="670" t="str">
        <f t="shared" ca="1" si="46"/>
        <v>RA</v>
      </c>
      <c r="AA153" s="127" cm="1">
        <f t="array" aca="1" ref="AA153" ca="1">IF($C153="S",IF($Z153="CP",$X153,IF($Z153="RA",(($X153)*QCI!$AA$3),0)),SomaAgrup)</f>
        <v>0</v>
      </c>
      <c r="AB153" s="128" cm="1">
        <f t="array" aca="1" ref="AB153" ca="1">IF($C153="S",IF($Z153="OU",ROUND($X153,2),0),SomaAgrup)</f>
        <v>0</v>
      </c>
      <c r="AC153" s="565" t="str" cm="1">
        <f t="array" aca="1" ref="AC153" ca="1">IF($N153=""," ",
IF(AND($C153&lt;&gt;"S",OR($R153="",$R153="(digite a descrição aqui)")),"DESCRIÇÃO",
IF(AND($C153="S",OR($Q153&lt;&gt;"",$T153&gt;0,$U153&gt;0),$P153=""),"FONTE",
IF(AND($C153="S",$P153&lt;&gt;"",OR($T153&gt;0,$U153&gt;0),$Q153=""),"CÓDIGO",
IF(AND($C153="S",$P153&lt;&gt;"",$Q153&lt;&gt;"",$R153="(Código não identificado nas referências)"),"CÓDIGO N/ID",
IF(AND($C153="S",OR($R153="",$R153="(digite a descrição aqui)"),OR($Q153&lt;&gt;"",$T153&gt;0,$U153&gt;0)),"DESCRIÇÃO",
IF(AND($C153="S",$P153&lt;&gt;"",$Q153&lt;&gt;"",$S153=""),"UNIDADE",
IF(AND($C153="S",$P153&lt;&gt;"",$Q153&lt;&gt;"",$U153=0),"SEM CUSTO",
IF(AND(TIPOORCAMENTO="Licitado",$AL153=0,$AN153&gt;0),"SEM PREÇO",
IF(AND($C153="S",$P153&lt;&gt;"",$Q153&lt;&gt;"",$U153&gt;0,AND($V153&lt;&gt;"BDI 1",$V153&lt;&gt;"BDI 2",$V153&lt;&gt;"BDI 3")),IF(ISNUMBER($V153),"JUSTIFICAR BDI","BDI"),
IF(OR(AND(import.recurso="OGU",TIPOORCAMENTO="Proposto",LEFT($O$8,5)&lt;&gt;"(N/D:",$AG153&lt;&gt;"",ORÇAMENTO.CustoUnitario&gt;$AG153),AND(TIPOORCAMENTO="LICITADO",ORÇAMENTO.PrecoUnitarioLicitado&gt;$AN153)),"ACIMA REF.",
IF(AND($C153="S",$P153&lt;&gt;"",$Q153&lt;&gt;"",$T153=0,$U153&gt;0),"QUANT.",
IF(AND(Import.TipoArredondamento="TransfereGOV",$L153="F",$C153="S",LEN($Q153)&gt;13),"Código &gt;13",
IF(AND(Import.TipoArredondamento="TransfereGOV",$L153="F",$C153&lt;&gt;"S",LEN($R153)&gt;100),"Descrição &gt;100",
IF(AND(Import.TipoArredondamento="TransfereGOV",$L153="F",$C153="S",LEN($R153)&gt;500),"Descrição &gt;500",
IF(AND(Import.TipoArredondamento="TransfereGOV",$L153="F",$C153="S",LEFT(TRIM(UPPER($P153)),6)&lt;&gt;"SINAPI",ISNA(VLOOKUP(TRIM(UPPER($S153)),ListaTgov.Unidades,1,FALSE))),"Unid. Não Disp",
" "))))))))))))))))</f>
        <v xml:space="preserve"> </v>
      </c>
      <c r="AD153" s="670" t="str">
        <f ca="1">IF(C153&lt;=CRONO.NivelExibicao,MAX($AD$15:OFFSET(AD153,-1,0))+IF($C153&lt;&gt;1,1,MAX(1,COUNTIF(QCI!$A$13:$A$24,OFFSET($E153,-1,0)))),"")</f>
        <v/>
      </c>
      <c r="AE153" s="668" t="str" cm="1">
        <f t="array" aca="1" ref="AE153" ca="1">IF(AND($C153="S",ORÇAMENTO.CodBarra&lt;&gt;""),IF(ORÇAMENTO.Fonte="",ORÇAMENTO.CodBarra,CONCATENATE(ORÇAMENTO.Fonte," ",ORÇAMENTO.CodBarra)))</f>
        <v>SINAPI 88489</v>
      </c>
      <c r="AF153" s="669" cm="1">
        <f t="array" aca="1" ref="AF153" ca="1">IF(ISERROR(ORÇAMENTO.BancoRef),"(abra o arquivo 'Referência "&amp;Excel_BuiltIn_Database&amp;".xlsm)",IF(OR($C153&lt;&gt;"S",ORÇAMENTO.CodBarra=""),"(Sem Código)",IF(ISERROR(MATCH($AE153,INDIRECT(ORÇAMENTO.BancoRef),0)),"(Código não identificado nas referências)",MATCH($AE153,INDIRECT(ORÇAMENTO.BancoRef),0))))</f>
        <v>14247</v>
      </c>
      <c r="AG153" s="428" cm="1">
        <f t="array" aca="1" ref="AG153" ca="1">ROUND(IF(DESONERACAO="sim",REFERENCIA.Desonerado,REFERENCIA.NaoDesonerado),2)</f>
        <v>14.97</v>
      </c>
      <c r="AH153" s="429">
        <f t="shared" ca="1" si="47"/>
        <v>0.24</v>
      </c>
      <c r="AJ153" s="431"/>
      <c r="AL153" s="439"/>
      <c r="AM153" s="336">
        <f t="shared" ca="1" si="0"/>
        <v>18.559999999999999</v>
      </c>
      <c r="AN153" s="470" cm="1">
        <f t="array" aca="1" ref="AN153" ca="1">ROUND(ORÇAMENTO.CustoUnitario*(1+$AH153),2)</f>
        <v>18.559999999999999</v>
      </c>
    </row>
    <row r="154" spans="1:40" s="670" customFormat="1" x14ac:dyDescent="0.2">
      <c r="A154" s="670">
        <f t="shared" si="35"/>
        <v>2</v>
      </c>
      <c r="B154" s="670">
        <f t="shared" ca="1" si="36"/>
        <v>2</v>
      </c>
      <c r="C154" s="670">
        <f t="shared" ca="1" si="37"/>
        <v>2</v>
      </c>
      <c r="D154" s="670">
        <f t="shared" ca="1" si="38"/>
        <v>2</v>
      </c>
      <c r="E154" s="670">
        <f ca="1">IF($C154=1,OFFSET(E154,-1,0)+MAX(1,COUNTIF(QCI!$A$13:$A$24,OFFSET(ORÇAMENTO!E154,-1,0))),OFFSET(E154,-1,0))</f>
        <v>1</v>
      </c>
      <c r="F154" s="670">
        <f t="shared" ca="1" si="39"/>
        <v>20</v>
      </c>
      <c r="G154" s="670">
        <f t="shared" ca="1" si="40"/>
        <v>0</v>
      </c>
      <c r="H154" s="670">
        <f t="shared" ca="1" si="41"/>
        <v>0</v>
      </c>
      <c r="I154" s="670">
        <f t="shared" ca="1" si="42"/>
        <v>0</v>
      </c>
      <c r="J154" s="670">
        <f t="shared" ca="1" si="33"/>
        <v>37</v>
      </c>
      <c r="K154" s="670">
        <f ca="1">IF(OR($C154="S",$C154=0),0,MATCH(OFFSET($D154,0,$C154)+IF($C154&lt;&gt;1,1,COUNTIF(QCI!$A$13:$A$24,ORÇAMENTO!E154)),OFFSET($D154,1,$C154,ROW($C$191)-ROW($C154)),0))</f>
        <v>2</v>
      </c>
      <c r="L154" s="114" t="str">
        <f t="shared" ca="1" si="43"/>
        <v>F</v>
      </c>
      <c r="M154" s="115" t="s">
        <v>702</v>
      </c>
      <c r="N154" s="116" t="str">
        <f t="shared" ca="1" si="44"/>
        <v>Nível 2</v>
      </c>
      <c r="O154" s="117" t="str">
        <f t="shared" ca="1" si="45"/>
        <v>1.20.</v>
      </c>
      <c r="P154" s="688" t="s">
        <v>250</v>
      </c>
      <c r="Q154" s="689" t="s">
        <v>250</v>
      </c>
      <c r="R154" s="690" t="s">
        <v>1310</v>
      </c>
      <c r="S154" s="691" t="s">
        <v>688</v>
      </c>
      <c r="T154" s="122">
        <f ca="1">OFFSET(CÁLCULO!H$15,ROW($T154)-ROW(T$15),0)</f>
        <v>0</v>
      </c>
      <c r="U154" s="693">
        <f t="shared" ca="1" si="34"/>
        <v>0</v>
      </c>
      <c r="V154" s="694" t="s">
        <v>663</v>
      </c>
      <c r="W154" s="122" cm="1">
        <f t="array" aca="1" ref="W154" ca="1">IF($C154="S",ROUND(IF(TIPOORCAMENTO="Proposto",ORÇAMENTO.CustoUnitario*(1+$AH154),ORÇAMENTO.PrecoUnitarioLicitado),15-13*$AF$10),0)</f>
        <v>0</v>
      </c>
      <c r="X154" s="125" cm="1">
        <f t="array" aca="1" ref="X154" ca="1">IF($C154="S",IF(OR(Import.TipoArredondamento&lt;&gt;"TransfereGOV",ACOMPANHAMENTO="BM"),VTOTAL1,SUM(OFFSET(CÁLCULO!$AI$15,ROW($X154)-ROW($X$15),1):OFFSET(CÁLCULO!$BB$15,ROW($X154)-ROW($X$15),-1))),IF($C154=0,0,ROUND(SomaAgrup,15-13*$AF$11)))</f>
        <v>5078.09</v>
      </c>
      <c r="Y154" s="126" t="s">
        <v>751</v>
      </c>
      <c r="Z154" s="670" t="str">
        <f t="shared" ca="1" si="46"/>
        <v/>
      </c>
      <c r="AA154" s="127" cm="1">
        <f t="array" aca="1" ref="AA154" ca="1">IF($C154="S",IF($Z154="CP",$X154,IF($Z154="RA",(($X154)*QCI!$AA$3),0)),SomaAgrup)</f>
        <v>0</v>
      </c>
      <c r="AB154" s="128" cm="1">
        <f t="array" aca="1" ref="AB154" ca="1">IF($C154="S",IF($Z154="OU",ROUND($X154,2),0),SomaAgrup)</f>
        <v>0</v>
      </c>
      <c r="AC154" s="565" t="str" cm="1">
        <f t="array" aca="1" ref="AC154" ca="1">IF($N154=""," ",
IF(AND($C154&lt;&gt;"S",OR($R154="",$R154="(digite a descrição aqui)")),"DESCRIÇÃO",
IF(AND($C154="S",OR($Q154&lt;&gt;"",$T154&gt;0,$U154&gt;0),$P154=""),"FONTE",
IF(AND($C154="S",$P154&lt;&gt;"",OR($T154&gt;0,$U154&gt;0),$Q154=""),"CÓDIGO",
IF(AND($C154="S",$P154&lt;&gt;"",$Q154&lt;&gt;"",$R154="(Código não identificado nas referências)"),"CÓDIGO N/ID",
IF(AND($C154="S",OR($R154="",$R154="(digite a descrição aqui)"),OR($Q154&lt;&gt;"",$T154&gt;0,$U154&gt;0)),"DESCRIÇÃO",
IF(AND($C154="S",$P154&lt;&gt;"",$Q154&lt;&gt;"",$S154=""),"UNIDADE",
IF(AND($C154="S",$P154&lt;&gt;"",$Q154&lt;&gt;"",$U154=0),"SEM CUSTO",
IF(AND(TIPOORCAMENTO="Licitado",$AL154=0,$AN154&gt;0),"SEM PREÇO",
IF(AND($C154="S",$P154&lt;&gt;"",$Q154&lt;&gt;"",$U154&gt;0,AND($V154&lt;&gt;"BDI 1",$V154&lt;&gt;"BDI 2",$V154&lt;&gt;"BDI 3")),IF(ISNUMBER($V154),"JUSTIFICAR BDI","BDI"),
IF(OR(AND(import.recurso="OGU",TIPOORCAMENTO="Proposto",LEFT($O$8,5)&lt;&gt;"(N/D:",$AG154&lt;&gt;"",ORÇAMENTO.CustoUnitario&gt;$AG154),AND(TIPOORCAMENTO="LICITADO",ORÇAMENTO.PrecoUnitarioLicitado&gt;$AN154)),"ACIMA REF.",
IF(AND($C154="S",$P154&lt;&gt;"",$Q154&lt;&gt;"",$T154=0,$U154&gt;0),"QUANT.",
IF(AND(Import.TipoArredondamento="TransfereGOV",$L154="F",$C154="S",LEN($Q154)&gt;13),"Código &gt;13",
IF(AND(Import.TipoArredondamento="TransfereGOV",$L154="F",$C154&lt;&gt;"S",LEN($R154)&gt;100),"Descrição &gt;100",
IF(AND(Import.TipoArredondamento="TransfereGOV",$L154="F",$C154="S",LEN($R154)&gt;500),"Descrição &gt;500",
IF(AND(Import.TipoArredondamento="TransfereGOV",$L154="F",$C154="S",LEFT(TRIM(UPPER($P154)),6)&lt;&gt;"SINAPI",ISNA(VLOOKUP(TRIM(UPPER($S154)),ListaTgov.Unidades,1,FALSE))),"Unid. Não Disp",
" "))))))))))))))))</f>
        <v xml:space="preserve"> </v>
      </c>
      <c r="AD154" s="670">
        <f ca="1">IF(C154&lt;=CRONO.NivelExibicao,MAX($AD$15:OFFSET(AD154,-1,0))+IF($C154&lt;&gt;1,1,MAX(1,COUNTIF(QCI!$A$13:$A$24,OFFSET($E154,-1,0)))),"")</f>
        <v>21</v>
      </c>
      <c r="AE154" s="668" t="b" cm="1">
        <f t="array" aca="1" ref="AE154" ca="1">IF(AND($C154="S",ORÇAMENTO.CodBarra&lt;&gt;""),IF(ORÇAMENTO.Fonte="",ORÇAMENTO.CodBarra,CONCATENATE(ORÇAMENTO.Fonte," ",ORÇAMENTO.CodBarra)))</f>
        <v>0</v>
      </c>
      <c r="AF154" s="669" t="str" cm="1">
        <f t="array" aca="1" ref="AF154" ca="1">IF(ISERROR(ORÇAMENTO.BancoRef),"(abra o arquivo 'Referência "&amp;Excel_BuiltIn_Database&amp;".xlsm)",IF(OR($C154&lt;&gt;"S",ORÇAMENTO.CodBarra=""),"(Sem Código)",IF(ISERROR(MATCH($AE154,INDIRECT(ORÇAMENTO.BancoRef),0)),"(Código não identificado nas referências)",MATCH($AE154,INDIRECT(ORÇAMENTO.BancoRef),0))))</f>
        <v>(Sem Código)</v>
      </c>
      <c r="AG154" s="428" cm="1">
        <f t="array" aca="1" ref="AG154" ca="1">ROUND(IF(DESONERACAO="sim",REFERENCIA.Desonerado,REFERENCIA.NaoDesonerado),2)</f>
        <v>0</v>
      </c>
      <c r="AH154" s="429">
        <f t="shared" ca="1" si="47"/>
        <v>0.24</v>
      </c>
      <c r="AJ154" s="431"/>
      <c r="AL154" s="439"/>
      <c r="AM154" s="336">
        <f t="shared" ca="1" si="0"/>
        <v>5078.09</v>
      </c>
      <c r="AN154" s="470" cm="1">
        <f t="array" aca="1" ref="AN154" ca="1">ROUND(ORÇAMENTO.CustoUnitario*(1+$AH154),2)</f>
        <v>0</v>
      </c>
    </row>
    <row r="155" spans="1:40" s="670" customFormat="1" ht="39.6" customHeight="1" x14ac:dyDescent="0.2">
      <c r="A155" s="670" t="str">
        <f t="shared" si="35"/>
        <v>S</v>
      </c>
      <c r="B155" s="670">
        <f t="shared" ca="1" si="36"/>
        <v>2</v>
      </c>
      <c r="C155" s="670" t="str">
        <f t="shared" ca="1" si="37"/>
        <v>S</v>
      </c>
      <c r="D155" s="670">
        <f t="shared" ca="1" si="38"/>
        <v>0</v>
      </c>
      <c r="E155" s="670">
        <f ca="1">IF($C155=1,OFFSET(E155,-1,0)+MAX(1,COUNTIF(QCI!$A$13:$A$24,OFFSET(ORÇAMENTO!E155,-1,0))),OFFSET(E155,-1,0))</f>
        <v>1</v>
      </c>
      <c r="F155" s="670">
        <f t="shared" ca="1" si="39"/>
        <v>20</v>
      </c>
      <c r="G155" s="670">
        <f t="shared" ca="1" si="40"/>
        <v>0</v>
      </c>
      <c r="H155" s="670">
        <f t="shared" ca="1" si="41"/>
        <v>0</v>
      </c>
      <c r="I155" s="670">
        <f t="shared" ca="1" si="42"/>
        <v>1</v>
      </c>
      <c r="J155" s="670">
        <f t="shared" ca="1" si="33"/>
        <v>0</v>
      </c>
      <c r="K155" s="670">
        <f ca="1">IF(OR($C155="S",$C155=0),0,MATCH(OFFSET($D155,0,$C155)+IF($C155&lt;&gt;1,1,COUNTIF(QCI!$A$13:$A$24,ORÇAMENTO!E155)),OFFSET($D155,1,$C155,ROW($C$191)-ROW($C155)),0))</f>
        <v>0</v>
      </c>
      <c r="L155" s="114" t="str">
        <f t="shared" ca="1" si="43"/>
        <v>F</v>
      </c>
      <c r="M155" s="115" t="s">
        <v>705</v>
      </c>
      <c r="N155" s="116" t="str">
        <f t="shared" ca="1" si="44"/>
        <v>Serviço</v>
      </c>
      <c r="O155" s="117" t="str">
        <f t="shared" ca="1" si="45"/>
        <v>1.20.1.</v>
      </c>
      <c r="P155" s="688" t="s">
        <v>956</v>
      </c>
      <c r="Q155" s="689" t="s">
        <v>1254</v>
      </c>
      <c r="R155" s="690" t="str" cm="1">
        <f t="array" aca="1" ref="R155" ca="1">IF($C155="S",REFERENCIA.Descricao,"(digite a descrição aqui)")</f>
        <v>BLOQUETE/PISO DE CONCRETO - MODELO PISOGRAMA/CONCREGRAMA 2 FUROS, DIMENSOES APROX. DE *35 X 15* CM E ESPESSURA DE 7 CM (+/- 1 CM), COR NATURAL</v>
      </c>
      <c r="S155" s="691" cm="1">
        <f t="array" aca="1" ref="S155" ca="1">REFERENCIA.Unidade</f>
        <v>0</v>
      </c>
      <c r="T155" s="122">
        <f ca="1">OFFSET(CÁLCULO!H$15,ROW($T155)-ROW(T$15),0)</f>
        <v>42.24</v>
      </c>
      <c r="U155" s="693">
        <f t="shared" ca="1" si="34"/>
        <v>96.95</v>
      </c>
      <c r="V155" s="694" t="s">
        <v>663</v>
      </c>
      <c r="W155" s="122" cm="1">
        <f t="array" aca="1" ref="W155" ca="1">IF($C155="S",ROUND(IF(TIPOORCAMENTO="Proposto",ORÇAMENTO.CustoUnitario*(1+$AH155),ORÇAMENTO.PrecoUnitarioLicitado),15-13*$AF$10),0)</f>
        <v>120.22</v>
      </c>
      <c r="X155" s="125" cm="1">
        <f t="array" aca="1" ref="X155" ca="1">IF($C155="S",IF(OR(Import.TipoArredondamento&lt;&gt;"TransfereGOV",ACOMPANHAMENTO="BM"),VTOTAL1,SUM(OFFSET(CÁLCULO!$AI$15,ROW($X155)-ROW($X$15),1):OFFSET(CÁLCULO!$BB$15,ROW($X155)-ROW($X$15),-1))),IF($C155=0,0,ROUND(SomaAgrup,15-13*$AF$11)))</f>
        <v>5078.09</v>
      </c>
      <c r="Y155" s="126" t="s">
        <v>751</v>
      </c>
      <c r="Z155" s="670" t="str">
        <f t="shared" ca="1" si="46"/>
        <v>RA</v>
      </c>
      <c r="AA155" s="127" cm="1">
        <f t="array" aca="1" ref="AA155" ca="1">IF($C155="S",IF($Z155="CP",$X155,IF($Z155="RA",(($X155)*QCI!$AA$3),0)),SomaAgrup)</f>
        <v>0</v>
      </c>
      <c r="AB155" s="128" cm="1">
        <f t="array" aca="1" ref="AB155" ca="1">IF($C155="S",IF($Z155="OU",ROUND($X155,2),0),SomaAgrup)</f>
        <v>0</v>
      </c>
      <c r="AC155" s="565" t="str" cm="1">
        <f t="array" aca="1" ref="AC155" ca="1">IF($N155=""," ",
IF(AND($C155&lt;&gt;"S",OR($R155="",$R155="(digite a descrição aqui)")),"DESCRIÇÃO",
IF(AND($C155="S",OR($Q155&lt;&gt;"",$T155&gt;0,$U155&gt;0),$P155=""),"FONTE",
IF(AND($C155="S",$P155&lt;&gt;"",OR($T155&gt;0,$U155&gt;0),$Q155=""),"CÓDIGO",
IF(AND($C155="S",$P155&lt;&gt;"",$Q155&lt;&gt;"",$R155="(Código não identificado nas referências)"),"CÓDIGO N/ID",
IF(AND($C155="S",OR($R155="",$R155="(digite a descrição aqui)"),OR($Q155&lt;&gt;"",$T155&gt;0,$U155&gt;0)),"DESCRIÇÃO",
IF(AND($C155="S",$P155&lt;&gt;"",$Q155&lt;&gt;"",$S155=""),"UNIDADE",
IF(AND($C155="S",$P155&lt;&gt;"",$Q155&lt;&gt;"",$U155=0),"SEM CUSTO",
IF(AND(TIPOORCAMENTO="Licitado",$AL155=0,$AN155&gt;0),"SEM PREÇO",
IF(AND($C155="S",$P155&lt;&gt;"",$Q155&lt;&gt;"",$U155&gt;0,AND($V155&lt;&gt;"BDI 1",$V155&lt;&gt;"BDI 2",$V155&lt;&gt;"BDI 3")),IF(ISNUMBER($V155),"JUSTIFICAR BDI","BDI"),
IF(OR(AND(import.recurso="OGU",TIPOORCAMENTO="Proposto",LEFT($O$8,5)&lt;&gt;"(N/D:",$AG155&lt;&gt;"",ORÇAMENTO.CustoUnitario&gt;$AG155),AND(TIPOORCAMENTO="LICITADO",ORÇAMENTO.PrecoUnitarioLicitado&gt;$AN155)),"ACIMA REF.",
IF(AND($C155="S",$P155&lt;&gt;"",$Q155&lt;&gt;"",$T155=0,$U155&gt;0),"QUANT.",
IF(AND(Import.TipoArredondamento="TransfereGOV",$L155="F",$C155="S",LEN($Q155)&gt;13),"Código &gt;13",
IF(AND(Import.TipoArredondamento="TransfereGOV",$L155="F",$C155&lt;&gt;"S",LEN($R155)&gt;100),"Descrição &gt;100",
IF(AND(Import.TipoArredondamento="TransfereGOV",$L155="F",$C155="S",LEN($R155)&gt;500),"Descrição &gt;500",
IF(AND(Import.TipoArredondamento="TransfereGOV",$L155="F",$C155="S",LEFT(TRIM(UPPER($P155)),6)&lt;&gt;"SINAPI",ISNA(VLOOKUP(TRIM(UPPER($S155)),ListaTgov.Unidades,1,FALSE))),"Unid. Não Disp",
" "))))))))))))))))</f>
        <v>Unid. Não Disp</v>
      </c>
      <c r="AD155" s="670" t="str">
        <f ca="1">IF(C155&lt;=CRONO.NivelExibicao,MAX($AD$15:OFFSET(AD155,-1,0))+IF($C155&lt;&gt;1,1,MAX(1,COUNTIF(QCI!$A$13:$A$24,OFFSET($E155,-1,0)))),"")</f>
        <v/>
      </c>
      <c r="AE155" s="668" t="str" cm="1">
        <f t="array" aca="1" ref="AE155" ca="1">IF(AND($C155="S",ORÇAMENTO.CodBarra&lt;&gt;""),IF(ORÇAMENTO.Fonte="",ORÇAMENTO.CodBarra,CONCATENATE(ORÇAMENTO.Fonte," ",ORÇAMENTO.CodBarra)))</f>
        <v>Composição 004</v>
      </c>
      <c r="AF155" s="669" cm="1">
        <f t="array" aca="1" ref="AF155" ca="1">IF(ISERROR(ORÇAMENTO.BancoRef),"(abra o arquivo 'Referência "&amp;Excel_BuiltIn_Database&amp;".xlsm)",IF(OR($C155&lt;&gt;"S",ORÇAMENTO.CodBarra=""),"(Sem Código)",IF(ISERROR(MATCH($AE155,INDIRECT(ORÇAMENTO.BancoRef),0)),"(Código não identificado nas referências)",MATCH($AE155,INDIRECT(ORÇAMENTO.BancoRef),0))))</f>
        <v>5</v>
      </c>
      <c r="AG155" s="428" cm="1">
        <f t="array" aca="1" ref="AG155" ca="1">ROUND(IF(DESONERACAO="sim",REFERENCIA.Desonerado,REFERENCIA.NaoDesonerado),2)</f>
        <v>96.95</v>
      </c>
      <c r="AH155" s="429">
        <f t="shared" ca="1" si="47"/>
        <v>0.24</v>
      </c>
      <c r="AJ155" s="431"/>
      <c r="AL155" s="439"/>
      <c r="AM155" s="336">
        <f t="shared" ca="1" si="0"/>
        <v>5078.09</v>
      </c>
      <c r="AN155" s="470" cm="1">
        <f t="array" aca="1" ref="AN155" ca="1">ROUND(ORÇAMENTO.CustoUnitario*(1+$AH155),2)</f>
        <v>120.22</v>
      </c>
    </row>
    <row r="156" spans="1:40" s="670" customFormat="1" ht="25.5" x14ac:dyDescent="0.2">
      <c r="A156" s="670">
        <f t="shared" si="35"/>
        <v>2</v>
      </c>
      <c r="B156" s="670">
        <f t="shared" ca="1" si="36"/>
        <v>2</v>
      </c>
      <c r="C156" s="670">
        <f t="shared" ca="1" si="37"/>
        <v>2</v>
      </c>
      <c r="D156" s="670">
        <f t="shared" ca="1" si="38"/>
        <v>10</v>
      </c>
      <c r="E156" s="670">
        <f ca="1">IF($C156=1,OFFSET(E156,-1,0)+MAX(1,COUNTIF(QCI!$A$13:$A$24,OFFSET(ORÇAMENTO!E156,-1,0))),OFFSET(E156,-1,0))</f>
        <v>1</v>
      </c>
      <c r="F156" s="670">
        <f t="shared" ca="1" si="39"/>
        <v>21</v>
      </c>
      <c r="G156" s="670">
        <f t="shared" ca="1" si="40"/>
        <v>0</v>
      </c>
      <c r="H156" s="670">
        <f t="shared" ca="1" si="41"/>
        <v>0</v>
      </c>
      <c r="I156" s="670">
        <f t="shared" ca="1" si="42"/>
        <v>0</v>
      </c>
      <c r="J156" s="670">
        <f t="shared" ca="1" si="33"/>
        <v>35</v>
      </c>
      <c r="K156" s="670">
        <f ca="1">IF(OR($C156="S",$C156=0),0,MATCH(OFFSET($D156,0,$C156)+IF($C156&lt;&gt;1,1,COUNTIF(QCI!$A$13:$A$24,ORÇAMENTO!E156)),OFFSET($D156,1,$C156,ROW($C$191)-ROW($C156)),0))</f>
        <v>10</v>
      </c>
      <c r="L156" s="114" t="str">
        <f t="shared" ca="1" si="43"/>
        <v>F</v>
      </c>
      <c r="M156" s="115" t="s">
        <v>702</v>
      </c>
      <c r="N156" s="116" t="str">
        <f t="shared" ca="1" si="44"/>
        <v>Nível 2</v>
      </c>
      <c r="O156" s="117" t="str">
        <f t="shared" ca="1" si="45"/>
        <v>1.21.</v>
      </c>
      <c r="P156" s="688" t="s">
        <v>250</v>
      </c>
      <c r="Q156" s="689" t="s">
        <v>250</v>
      </c>
      <c r="R156" s="690" t="s">
        <v>1313</v>
      </c>
      <c r="S156" s="691" t="s">
        <v>688</v>
      </c>
      <c r="T156" s="122">
        <f ca="1">OFFSET(CÁLCULO!H$15,ROW($T156)-ROW(T$15),0)</f>
        <v>0</v>
      </c>
      <c r="U156" s="693">
        <f t="shared" ca="1" si="34"/>
        <v>0</v>
      </c>
      <c r="V156" s="694" t="s">
        <v>663</v>
      </c>
      <c r="W156" s="122" cm="1">
        <f t="array" aca="1" ref="W156" ca="1">IF($C156="S",ROUND(IF(TIPOORCAMENTO="Proposto",ORÇAMENTO.CustoUnitario*(1+$AH156),ORÇAMENTO.PrecoUnitarioLicitado),15-13*$AF$10),0)</f>
        <v>0</v>
      </c>
      <c r="X156" s="125" cm="1">
        <f t="array" aca="1" ref="X156" ca="1">IF($C156="S",IF(OR(Import.TipoArredondamento&lt;&gt;"TransfereGOV",ACOMPANHAMENTO="BM"),VTOTAL1,SUM(OFFSET(CÁLCULO!$AI$15,ROW($X156)-ROW($X$15),1):OFFSET(CÁLCULO!$BB$15,ROW($X156)-ROW($X$15),-1))),IF($C156=0,0,ROUND(SomaAgrup,15-13*$AF$11)))</f>
        <v>40811.35</v>
      </c>
      <c r="Y156" s="126" t="s">
        <v>751</v>
      </c>
      <c r="Z156" s="670" t="str">
        <f t="shared" ca="1" si="46"/>
        <v/>
      </c>
      <c r="AA156" s="127" cm="1">
        <f t="array" aca="1" ref="AA156" ca="1">IF($C156="S",IF($Z156="CP",$X156,IF($Z156="RA",(($X156)*QCI!$AA$3),0)),SomaAgrup)</f>
        <v>0</v>
      </c>
      <c r="AB156" s="128" cm="1">
        <f t="array" aca="1" ref="AB156" ca="1">IF($C156="S",IF($Z156="OU",ROUND($X156,2),0),SomaAgrup)</f>
        <v>0</v>
      </c>
      <c r="AC156" s="565" t="str" cm="1">
        <f t="array" aca="1" ref="AC156" ca="1">IF($N156=""," ",
IF(AND($C156&lt;&gt;"S",OR($R156="",$R156="(digite a descrição aqui)")),"DESCRIÇÃO",
IF(AND($C156="S",OR($Q156&lt;&gt;"",$T156&gt;0,$U156&gt;0),$P156=""),"FONTE",
IF(AND($C156="S",$P156&lt;&gt;"",OR($T156&gt;0,$U156&gt;0),$Q156=""),"CÓDIGO",
IF(AND($C156="S",$P156&lt;&gt;"",$Q156&lt;&gt;"",$R156="(Código não identificado nas referências)"),"CÓDIGO N/ID",
IF(AND($C156="S",OR($R156="",$R156="(digite a descrição aqui)"),OR($Q156&lt;&gt;"",$T156&gt;0,$U156&gt;0)),"DESCRIÇÃO",
IF(AND($C156="S",$P156&lt;&gt;"",$Q156&lt;&gt;"",$S156=""),"UNIDADE",
IF(AND($C156="S",$P156&lt;&gt;"",$Q156&lt;&gt;"",$U156=0),"SEM CUSTO",
IF(AND(TIPOORCAMENTO="Licitado",$AL156=0,$AN156&gt;0),"SEM PREÇO",
IF(AND($C156="S",$P156&lt;&gt;"",$Q156&lt;&gt;"",$U156&gt;0,AND($V156&lt;&gt;"BDI 1",$V156&lt;&gt;"BDI 2",$V156&lt;&gt;"BDI 3")),IF(ISNUMBER($V156),"JUSTIFICAR BDI","BDI"),
IF(OR(AND(import.recurso="OGU",TIPOORCAMENTO="Proposto",LEFT($O$8,5)&lt;&gt;"(N/D:",$AG156&lt;&gt;"",ORÇAMENTO.CustoUnitario&gt;$AG156),AND(TIPOORCAMENTO="LICITADO",ORÇAMENTO.PrecoUnitarioLicitado&gt;$AN156)),"ACIMA REF.",
IF(AND($C156="S",$P156&lt;&gt;"",$Q156&lt;&gt;"",$T156=0,$U156&gt;0),"QUANT.",
IF(AND(Import.TipoArredondamento="TransfereGOV",$L156="F",$C156="S",LEN($Q156)&gt;13),"Código &gt;13",
IF(AND(Import.TipoArredondamento="TransfereGOV",$L156="F",$C156&lt;&gt;"S",LEN($R156)&gt;100),"Descrição &gt;100",
IF(AND(Import.TipoArredondamento="TransfereGOV",$L156="F",$C156="S",LEN($R156)&gt;500),"Descrição &gt;500",
IF(AND(Import.TipoArredondamento="TransfereGOV",$L156="F",$C156="S",LEFT(TRIM(UPPER($P156)),6)&lt;&gt;"SINAPI",ISNA(VLOOKUP(TRIM(UPPER($S156)),ListaTgov.Unidades,1,FALSE))),"Unid. Não Disp",
" "))))))))))))))))</f>
        <v xml:space="preserve"> </v>
      </c>
      <c r="AD156" s="670">
        <f ca="1">IF(C156&lt;=CRONO.NivelExibicao,MAX($AD$15:OFFSET(AD156,-1,0))+IF($C156&lt;&gt;1,1,MAX(1,COUNTIF(QCI!$A$13:$A$24,OFFSET($E156,-1,0)))),"")</f>
        <v>22</v>
      </c>
      <c r="AE156" s="668" t="b" cm="1">
        <f t="array" aca="1" ref="AE156" ca="1">IF(AND($C156="S",ORÇAMENTO.CodBarra&lt;&gt;""),IF(ORÇAMENTO.Fonte="",ORÇAMENTO.CodBarra,CONCATENATE(ORÇAMENTO.Fonte," ",ORÇAMENTO.CodBarra)))</f>
        <v>0</v>
      </c>
      <c r="AF156" s="669" t="str" cm="1">
        <f t="array" aca="1" ref="AF156" ca="1">IF(ISERROR(ORÇAMENTO.BancoRef),"(abra o arquivo 'Referência "&amp;Excel_BuiltIn_Database&amp;".xlsm)",IF(OR($C156&lt;&gt;"S",ORÇAMENTO.CodBarra=""),"(Sem Código)",IF(ISERROR(MATCH($AE156,INDIRECT(ORÇAMENTO.BancoRef),0)),"(Código não identificado nas referências)",MATCH($AE156,INDIRECT(ORÇAMENTO.BancoRef),0))))</f>
        <v>(Sem Código)</v>
      </c>
      <c r="AG156" s="428" cm="1">
        <f t="array" aca="1" ref="AG156" ca="1">ROUND(IF(DESONERACAO="sim",REFERENCIA.Desonerado,REFERENCIA.NaoDesonerado),2)</f>
        <v>0</v>
      </c>
      <c r="AH156" s="429">
        <f t="shared" ca="1" si="47"/>
        <v>0.24</v>
      </c>
      <c r="AJ156" s="431"/>
      <c r="AL156" s="439"/>
      <c r="AM156" s="336">
        <f t="shared" ca="1" si="0"/>
        <v>40811.35</v>
      </c>
      <c r="AN156" s="470" cm="1">
        <f t="array" aca="1" ref="AN156" ca="1">ROUND(ORÇAMENTO.CustoUnitario*(1+$AH156),2)</f>
        <v>0</v>
      </c>
    </row>
    <row r="157" spans="1:40" s="670" customFormat="1" x14ac:dyDescent="0.2">
      <c r="A157" s="670" t="str">
        <f t="shared" si="35"/>
        <v>S</v>
      </c>
      <c r="B157" s="670">
        <f t="shared" ca="1" si="36"/>
        <v>2</v>
      </c>
      <c r="C157" s="670" t="str">
        <f t="shared" ca="1" si="37"/>
        <v>S</v>
      </c>
      <c r="D157" s="670">
        <f t="shared" ca="1" si="38"/>
        <v>0</v>
      </c>
      <c r="E157" s="670">
        <f ca="1">IF($C157=1,OFFSET(E157,-1,0)+MAX(1,COUNTIF(QCI!$A$13:$A$24,OFFSET(ORÇAMENTO!E157,-1,0))),OFFSET(E157,-1,0))</f>
        <v>1</v>
      </c>
      <c r="F157" s="670">
        <f t="shared" ca="1" si="39"/>
        <v>21</v>
      </c>
      <c r="G157" s="670">
        <f t="shared" ca="1" si="40"/>
        <v>0</v>
      </c>
      <c r="H157" s="670">
        <f t="shared" ca="1" si="41"/>
        <v>0</v>
      </c>
      <c r="I157" s="670">
        <f t="shared" ca="1" si="42"/>
        <v>1</v>
      </c>
      <c r="J157" s="670">
        <f t="shared" ca="1" si="33"/>
        <v>0</v>
      </c>
      <c r="K157" s="670">
        <f ca="1">IF(OR($C157="S",$C157=0),0,MATCH(OFFSET($D157,0,$C157)+IF($C157&lt;&gt;1,1,COUNTIF(QCI!$A$13:$A$24,ORÇAMENTO!E157)),OFFSET($D157,1,$C157,ROW($C$191)-ROW($C157)),0))</f>
        <v>0</v>
      </c>
      <c r="L157" s="114" t="str">
        <f t="shared" ca="1" si="43"/>
        <v>F</v>
      </c>
      <c r="M157" s="115" t="s">
        <v>705</v>
      </c>
      <c r="N157" s="116" t="str">
        <f t="shared" ca="1" si="44"/>
        <v>Serviço</v>
      </c>
      <c r="O157" s="117" t="str">
        <f t="shared" ca="1" si="45"/>
        <v>1.21.1.</v>
      </c>
      <c r="P157" s="688" t="s">
        <v>957</v>
      </c>
      <c r="Q157" s="689" t="s">
        <v>1106</v>
      </c>
      <c r="R157" s="690" t="str" cm="1">
        <f t="array" aca="1" ref="R157" ca="1">IF($C157="S",REFERENCIA.Descricao,"(digite a descrição aqui)")</f>
        <v>tubo em ferro fundido, c/ flanges PN 10, diam. =  200mm, L=1,00m</v>
      </c>
      <c r="S157" s="691" t="str" cm="1">
        <f t="array" aca="1" ref="S157" ca="1">REFERENCIA.Unidade</f>
        <v>UNIDADE</v>
      </c>
      <c r="T157" s="122">
        <f ca="1">OFFSET(CÁLCULO!H$15,ROW($T157)-ROW(T$15),0)</f>
        <v>2</v>
      </c>
      <c r="U157" s="693">
        <f t="shared" ca="1" si="34"/>
        <v>3414.29</v>
      </c>
      <c r="V157" s="694" t="s">
        <v>697</v>
      </c>
      <c r="W157" s="122" cm="1">
        <f t="array" aca="1" ref="W157" ca="1">IF($C157="S",ROUND(IF(TIPOORCAMENTO="Proposto",ORÇAMENTO.CustoUnitario*(1+$AH157),ORÇAMENTO.PrecoUnitarioLicitado),15-13*$AF$10),0)</f>
        <v>3987.89</v>
      </c>
      <c r="X157" s="125" cm="1">
        <f t="array" aca="1" ref="X157" ca="1">IF($C157="S",IF(OR(Import.TipoArredondamento&lt;&gt;"TransfereGOV",ACOMPANHAMENTO="BM"),VTOTAL1,SUM(OFFSET(CÁLCULO!$AI$15,ROW($X157)-ROW($X$15),1):OFFSET(CÁLCULO!$BB$15,ROW($X157)-ROW($X$15),-1))),IF($C157=0,0,ROUND(SomaAgrup,15-13*$AF$11)))</f>
        <v>7975.78</v>
      </c>
      <c r="Y157" s="126" t="s">
        <v>751</v>
      </c>
      <c r="Z157" s="670" t="str">
        <f t="shared" ca="1" si="46"/>
        <v>RA</v>
      </c>
      <c r="AA157" s="127" cm="1">
        <f t="array" aca="1" ref="AA157" ca="1">IF($C157="S",IF($Z157="CP",$X157,IF($Z157="RA",(($X157)*QCI!$AA$3),0)),SomaAgrup)</f>
        <v>0</v>
      </c>
      <c r="AB157" s="128" cm="1">
        <f t="array" aca="1" ref="AB157" ca="1">IF($C157="S",IF($Z157="OU",ROUND($X157,2),0),SomaAgrup)</f>
        <v>0</v>
      </c>
      <c r="AC157" s="565" t="str" cm="1">
        <f t="array" aca="1" ref="AC157" ca="1">IF($N157=""," ",
IF(AND($C157&lt;&gt;"S",OR($R157="",$R157="(digite a descrição aqui)")),"DESCRIÇÃO",
IF(AND($C157="S",OR($Q157&lt;&gt;"",$T157&gt;0,$U157&gt;0),$P157=""),"FONTE",
IF(AND($C157="S",$P157&lt;&gt;"",OR($T157&gt;0,$U157&gt;0),$Q157=""),"CÓDIGO",
IF(AND($C157="S",$P157&lt;&gt;"",$Q157&lt;&gt;"",$R157="(Código não identificado nas referências)"),"CÓDIGO N/ID",
IF(AND($C157="S",OR($R157="",$R157="(digite a descrição aqui)"),OR($Q157&lt;&gt;"",$T157&gt;0,$U157&gt;0)),"DESCRIÇÃO",
IF(AND($C157="S",$P157&lt;&gt;"",$Q157&lt;&gt;"",$S157=""),"UNIDADE",
IF(AND($C157="S",$P157&lt;&gt;"",$Q157&lt;&gt;"",$U157=0),"SEM CUSTO",
IF(AND(TIPOORCAMENTO="Licitado",$AL157=0,$AN157&gt;0),"SEM PREÇO",
IF(AND($C157="S",$P157&lt;&gt;"",$Q157&lt;&gt;"",$U157&gt;0,AND($V157&lt;&gt;"BDI 1",$V157&lt;&gt;"BDI 2",$V157&lt;&gt;"BDI 3")),IF(ISNUMBER($V157),"JUSTIFICAR BDI","BDI"),
IF(OR(AND(import.recurso="OGU",TIPOORCAMENTO="Proposto",LEFT($O$8,5)&lt;&gt;"(N/D:",$AG157&lt;&gt;"",ORÇAMENTO.CustoUnitario&gt;$AG157),AND(TIPOORCAMENTO="LICITADO",ORÇAMENTO.PrecoUnitarioLicitado&gt;$AN157)),"ACIMA REF.",
IF(AND($C157="S",$P157&lt;&gt;"",$Q157&lt;&gt;"",$T157=0,$U157&gt;0),"QUANT.",
IF(AND(Import.TipoArredondamento="TransfereGOV",$L157="F",$C157="S",LEN($Q157)&gt;13),"Código &gt;13",
IF(AND(Import.TipoArredondamento="TransfereGOV",$L157="F",$C157&lt;&gt;"S",LEN($R157)&gt;100),"Descrição &gt;100",
IF(AND(Import.TipoArredondamento="TransfereGOV",$L157="F",$C157="S",LEN($R157)&gt;500),"Descrição &gt;500",
IF(AND(Import.TipoArredondamento="TransfereGOV",$L157="F",$C157="S",LEFT(TRIM(UPPER($P157)),6)&lt;&gt;"SINAPI",ISNA(VLOOKUP(TRIM(UPPER($S157)),ListaTgov.Unidades,1,FALSE))),"Unid. Não Disp",
" "))))))))))))))))</f>
        <v>Unid. Não Disp</v>
      </c>
      <c r="AD157" s="670" t="str">
        <f ca="1">IF(C157&lt;=CRONO.NivelExibicao,MAX($AD$15:OFFSET(AD157,-1,0))+IF($C157&lt;&gt;1,1,MAX(1,COUNTIF(QCI!$A$13:$A$24,OFFSET($E157,-1,0)))),"")</f>
        <v/>
      </c>
      <c r="AE157" s="668" t="str" cm="1">
        <f t="array" aca="1" ref="AE157" ca="1">IF(AND($C157="S",ORÇAMENTO.CodBarra&lt;&gt;""),IF(ORÇAMENTO.Fonte="",ORÇAMENTO.CodBarra,CONCATENATE(ORÇAMENTO.Fonte," ",ORÇAMENTO.CodBarra)))</f>
        <v>Cotação 20</v>
      </c>
      <c r="AF157" s="669" cm="1">
        <f t="array" aca="1" ref="AF157" ca="1">IF(ISERROR(ORÇAMENTO.BancoRef),"(abra o arquivo 'Referência "&amp;Excel_BuiltIn_Database&amp;".xlsm)",IF(OR($C157&lt;&gt;"S",ORÇAMENTO.CodBarra=""),"(Sem Código)",IF(ISERROR(MATCH($AE157,INDIRECT(ORÇAMENTO.BancoRef),0)),"(Código não identificado nas referências)",MATCH($AE157,INDIRECT(ORÇAMENTO.BancoRef),0))))</f>
        <v>29</v>
      </c>
      <c r="AG157" s="428" cm="1">
        <f t="array" aca="1" ref="AG157" ca="1">ROUND(IF(DESONERACAO="sim",REFERENCIA.Desonerado,REFERENCIA.NaoDesonerado),2)</f>
        <v>3414.29</v>
      </c>
      <c r="AH157" s="429">
        <f t="shared" ca="1" si="47"/>
        <v>0.16800000000000001</v>
      </c>
      <c r="AJ157" s="431"/>
      <c r="AL157" s="439"/>
      <c r="AM157" s="336">
        <f t="shared" ca="1" si="0"/>
        <v>7975.78</v>
      </c>
      <c r="AN157" s="470" cm="1">
        <f t="array" aca="1" ref="AN157" ca="1">ROUND(ORÇAMENTO.CustoUnitario*(1+$AH157),2)</f>
        <v>3987.89</v>
      </c>
    </row>
    <row r="158" spans="1:40" s="670" customFormat="1" x14ac:dyDescent="0.2">
      <c r="A158" s="670" t="str">
        <f t="shared" si="35"/>
        <v>S</v>
      </c>
      <c r="B158" s="670">
        <f t="shared" ca="1" si="36"/>
        <v>2</v>
      </c>
      <c r="C158" s="670" t="str">
        <f t="shared" ca="1" si="37"/>
        <v>S</v>
      </c>
      <c r="D158" s="670">
        <f t="shared" ca="1" si="38"/>
        <v>0</v>
      </c>
      <c r="E158" s="670">
        <f ca="1">IF($C158=1,OFFSET(E158,-1,0)+MAX(1,COUNTIF(QCI!$A$13:$A$24,OFFSET(ORÇAMENTO!E158,-1,0))),OFFSET(E158,-1,0))</f>
        <v>1</v>
      </c>
      <c r="F158" s="670">
        <f t="shared" ca="1" si="39"/>
        <v>21</v>
      </c>
      <c r="G158" s="670">
        <f t="shared" ca="1" si="40"/>
        <v>0</v>
      </c>
      <c r="H158" s="670">
        <f t="shared" ca="1" si="41"/>
        <v>0</v>
      </c>
      <c r="I158" s="670">
        <f t="shared" ca="1" si="42"/>
        <v>2</v>
      </c>
      <c r="J158" s="670">
        <f t="shared" ca="1" si="33"/>
        <v>0</v>
      </c>
      <c r="K158" s="670">
        <f ca="1">IF(OR($C158="S",$C158=0),0,MATCH(OFFSET($D158,0,$C158)+IF($C158&lt;&gt;1,1,COUNTIF(QCI!$A$13:$A$24,ORÇAMENTO!E158)),OFFSET($D158,1,$C158,ROW($C$191)-ROW($C158)),0))</f>
        <v>0</v>
      </c>
      <c r="L158" s="114" t="str">
        <f t="shared" ca="1" si="43"/>
        <v>F</v>
      </c>
      <c r="M158" s="115" t="s">
        <v>705</v>
      </c>
      <c r="N158" s="116" t="str">
        <f t="shared" ca="1" si="44"/>
        <v>Serviço</v>
      </c>
      <c r="O158" s="117" t="str">
        <f t="shared" ca="1" si="45"/>
        <v>1.21.2.</v>
      </c>
      <c r="P158" s="688" t="s">
        <v>957</v>
      </c>
      <c r="Q158" s="689" t="s">
        <v>1107</v>
      </c>
      <c r="R158" s="690" t="str" cm="1">
        <f t="array" aca="1" ref="R158" ca="1">IF($C158="S",REFERENCIA.Descricao,"(digite a descrição aqui)")</f>
        <v>curva 90º, em ferro fundido, com flanges pn 10, diam. =  200mm</v>
      </c>
      <c r="S158" s="691" t="str" cm="1">
        <f t="array" aca="1" ref="S158" ca="1">REFERENCIA.Unidade</f>
        <v>UNIDADE</v>
      </c>
      <c r="T158" s="122">
        <f ca="1">OFFSET(CÁLCULO!H$15,ROW($T158)-ROW(T$15),0)</f>
        <v>3</v>
      </c>
      <c r="U158" s="693">
        <f t="shared" ca="1" si="34"/>
        <v>1134.43</v>
      </c>
      <c r="V158" s="694" t="s">
        <v>697</v>
      </c>
      <c r="W158" s="122" cm="1">
        <f t="array" aca="1" ref="W158" ca="1">IF($C158="S",ROUND(IF(TIPOORCAMENTO="Proposto",ORÇAMENTO.CustoUnitario*(1+$AH158),ORÇAMENTO.PrecoUnitarioLicitado),15-13*$AF$10),0)</f>
        <v>1325.01</v>
      </c>
      <c r="X158" s="125" cm="1">
        <f t="array" aca="1" ref="X158" ca="1">IF($C158="S",IF(OR(Import.TipoArredondamento&lt;&gt;"TransfereGOV",ACOMPANHAMENTO="BM"),VTOTAL1,SUM(OFFSET(CÁLCULO!$AI$15,ROW($X158)-ROW($X$15),1):OFFSET(CÁLCULO!$BB$15,ROW($X158)-ROW($X$15),-1))),IF($C158=0,0,ROUND(SomaAgrup,15-13*$AF$11)))</f>
        <v>3975.03</v>
      </c>
      <c r="Y158" s="126" t="s">
        <v>751</v>
      </c>
      <c r="Z158" s="670" t="str">
        <f t="shared" ca="1" si="46"/>
        <v>RA</v>
      </c>
      <c r="AA158" s="127" cm="1">
        <f t="array" aca="1" ref="AA158" ca="1">IF($C158="S",IF($Z158="CP",$X158,IF($Z158="RA",(($X158)*QCI!$AA$3),0)),SomaAgrup)</f>
        <v>0</v>
      </c>
      <c r="AB158" s="128" cm="1">
        <f t="array" aca="1" ref="AB158" ca="1">IF($C158="S",IF($Z158="OU",ROUND($X158,2),0),SomaAgrup)</f>
        <v>0</v>
      </c>
      <c r="AC158" s="565" t="str" cm="1">
        <f t="array" aca="1" ref="AC158" ca="1">IF($N158=""," ",
IF(AND($C158&lt;&gt;"S",OR($R158="",$R158="(digite a descrição aqui)")),"DESCRIÇÃO",
IF(AND($C158="S",OR($Q158&lt;&gt;"",$T158&gt;0,$U158&gt;0),$P158=""),"FONTE",
IF(AND($C158="S",$P158&lt;&gt;"",OR($T158&gt;0,$U158&gt;0),$Q158=""),"CÓDIGO",
IF(AND($C158="S",$P158&lt;&gt;"",$Q158&lt;&gt;"",$R158="(Código não identificado nas referências)"),"CÓDIGO N/ID",
IF(AND($C158="S",OR($R158="",$R158="(digite a descrição aqui)"),OR($Q158&lt;&gt;"",$T158&gt;0,$U158&gt;0)),"DESCRIÇÃO",
IF(AND($C158="S",$P158&lt;&gt;"",$Q158&lt;&gt;"",$S158=""),"UNIDADE",
IF(AND($C158="S",$P158&lt;&gt;"",$Q158&lt;&gt;"",$U158=0),"SEM CUSTO",
IF(AND(TIPOORCAMENTO="Licitado",$AL158=0,$AN158&gt;0),"SEM PREÇO",
IF(AND($C158="S",$P158&lt;&gt;"",$Q158&lt;&gt;"",$U158&gt;0,AND($V158&lt;&gt;"BDI 1",$V158&lt;&gt;"BDI 2",$V158&lt;&gt;"BDI 3")),IF(ISNUMBER($V158),"JUSTIFICAR BDI","BDI"),
IF(OR(AND(import.recurso="OGU",TIPOORCAMENTO="Proposto",LEFT($O$8,5)&lt;&gt;"(N/D:",$AG158&lt;&gt;"",ORÇAMENTO.CustoUnitario&gt;$AG158),AND(TIPOORCAMENTO="LICITADO",ORÇAMENTO.PrecoUnitarioLicitado&gt;$AN158)),"ACIMA REF.",
IF(AND($C158="S",$P158&lt;&gt;"",$Q158&lt;&gt;"",$T158=0,$U158&gt;0),"QUANT.",
IF(AND(Import.TipoArredondamento="TransfereGOV",$L158="F",$C158="S",LEN($Q158)&gt;13),"Código &gt;13",
IF(AND(Import.TipoArredondamento="TransfereGOV",$L158="F",$C158&lt;&gt;"S",LEN($R158)&gt;100),"Descrição &gt;100",
IF(AND(Import.TipoArredondamento="TransfereGOV",$L158="F",$C158="S",LEN($R158)&gt;500),"Descrição &gt;500",
IF(AND(Import.TipoArredondamento="TransfereGOV",$L158="F",$C158="S",LEFT(TRIM(UPPER($P158)),6)&lt;&gt;"SINAPI",ISNA(VLOOKUP(TRIM(UPPER($S158)),ListaTgov.Unidades,1,FALSE))),"Unid. Não Disp",
" "))))))))))))))))</f>
        <v>Unid. Não Disp</v>
      </c>
      <c r="AD158" s="670" t="str">
        <f ca="1">IF(C158&lt;=CRONO.NivelExibicao,MAX($AD$15:OFFSET(AD158,-1,0))+IF($C158&lt;&gt;1,1,MAX(1,COUNTIF(QCI!$A$13:$A$24,OFFSET($E158,-1,0)))),"")</f>
        <v/>
      </c>
      <c r="AE158" s="668" t="str" cm="1">
        <f t="array" aca="1" ref="AE158" ca="1">IF(AND($C158="S",ORÇAMENTO.CodBarra&lt;&gt;""),IF(ORÇAMENTO.Fonte="",ORÇAMENTO.CodBarra,CONCATENATE(ORÇAMENTO.Fonte," ",ORÇAMENTO.CodBarra)))</f>
        <v>Cotação 21</v>
      </c>
      <c r="AF158" s="669" cm="1">
        <f t="array" aca="1" ref="AF158" ca="1">IF(ISERROR(ORÇAMENTO.BancoRef),"(abra o arquivo 'Referência "&amp;Excel_BuiltIn_Database&amp;".xlsm)",IF(OR($C158&lt;&gt;"S",ORÇAMENTO.CodBarra=""),"(Sem Código)",IF(ISERROR(MATCH($AE158,INDIRECT(ORÇAMENTO.BancoRef),0)),"(Código não identificado nas referências)",MATCH($AE158,INDIRECT(ORÇAMENTO.BancoRef),0))))</f>
        <v>30</v>
      </c>
      <c r="AG158" s="428" cm="1">
        <f t="array" aca="1" ref="AG158" ca="1">ROUND(IF(DESONERACAO="sim",REFERENCIA.Desonerado,REFERENCIA.NaoDesonerado),2)</f>
        <v>1134.43</v>
      </c>
      <c r="AH158" s="429">
        <f t="shared" ca="1" si="47"/>
        <v>0.16800000000000001</v>
      </c>
      <c r="AJ158" s="431"/>
      <c r="AL158" s="439"/>
      <c r="AM158" s="336">
        <f t="shared" ca="1" si="0"/>
        <v>3975.03</v>
      </c>
      <c r="AN158" s="470" cm="1">
        <f t="array" aca="1" ref="AN158" ca="1">ROUND(ORÇAMENTO.CustoUnitario*(1+$AH158),2)</f>
        <v>1325.01</v>
      </c>
    </row>
    <row r="159" spans="1:40" s="670" customFormat="1" x14ac:dyDescent="0.2">
      <c r="A159" s="670" t="str">
        <f t="shared" si="35"/>
        <v>S</v>
      </c>
      <c r="B159" s="670">
        <f t="shared" ca="1" si="36"/>
        <v>2</v>
      </c>
      <c r="C159" s="670" t="str">
        <f t="shared" ca="1" si="37"/>
        <v>S</v>
      </c>
      <c r="D159" s="670">
        <f t="shared" ca="1" si="38"/>
        <v>0</v>
      </c>
      <c r="E159" s="670">
        <f ca="1">IF($C159=1,OFFSET(E159,-1,0)+MAX(1,COUNTIF(QCI!$A$13:$A$24,OFFSET(ORÇAMENTO!E159,-1,0))),OFFSET(E159,-1,0))</f>
        <v>1</v>
      </c>
      <c r="F159" s="670">
        <f t="shared" ca="1" si="39"/>
        <v>21</v>
      </c>
      <c r="G159" s="670">
        <f t="shared" ca="1" si="40"/>
        <v>0</v>
      </c>
      <c r="H159" s="670">
        <f t="shared" ca="1" si="41"/>
        <v>0</v>
      </c>
      <c r="I159" s="670">
        <f t="shared" ca="1" si="42"/>
        <v>3</v>
      </c>
      <c r="J159" s="670">
        <f t="shared" ca="1" si="33"/>
        <v>0</v>
      </c>
      <c r="K159" s="670">
        <f ca="1">IF(OR($C159="S",$C159=0),0,MATCH(OFFSET($D159,0,$C159)+IF($C159&lt;&gt;1,1,COUNTIF(QCI!$A$13:$A$24,ORÇAMENTO!E159)),OFFSET($D159,1,$C159,ROW($C$191)-ROW($C159)),0))</f>
        <v>0</v>
      </c>
      <c r="L159" s="114" t="str">
        <f t="shared" ca="1" si="43"/>
        <v>F</v>
      </c>
      <c r="M159" s="115" t="s">
        <v>705</v>
      </c>
      <c r="N159" s="116" t="str">
        <f t="shared" ca="1" si="44"/>
        <v>Serviço</v>
      </c>
      <c r="O159" s="117" t="str">
        <f t="shared" ca="1" si="45"/>
        <v>1.21.3.</v>
      </c>
      <c r="P159" s="688" t="s">
        <v>957</v>
      </c>
      <c r="Q159" s="689" t="s">
        <v>1108</v>
      </c>
      <c r="R159" s="690" t="str" cm="1">
        <f t="array" aca="1" ref="R159" ca="1">IF($C159="S",REFERENCIA.Descricao,"(digite a descrição aqui)")</f>
        <v xml:space="preserve">JUNÇÃO 45° EM FERRO FUNDIDO, PREDIAL SMU, DN= 200 X 100 MM </v>
      </c>
      <c r="S159" s="691" t="str" cm="1">
        <f t="array" aca="1" ref="S159" ca="1">REFERENCIA.Unidade</f>
        <v>UNIDADE</v>
      </c>
      <c r="T159" s="122">
        <f ca="1">OFFSET(CÁLCULO!H$15,ROW($T159)-ROW(T$15),0)</f>
        <v>2</v>
      </c>
      <c r="U159" s="693">
        <f t="shared" ca="1" si="34"/>
        <v>1415.42</v>
      </c>
      <c r="V159" s="694" t="s">
        <v>697</v>
      </c>
      <c r="W159" s="122" cm="1">
        <f t="array" aca="1" ref="W159" ca="1">IF($C159="S",ROUND(IF(TIPOORCAMENTO="Proposto",ORÇAMENTO.CustoUnitario*(1+$AH159),ORÇAMENTO.PrecoUnitarioLicitado),15-13*$AF$10),0)</f>
        <v>1653.21</v>
      </c>
      <c r="X159" s="125" cm="1">
        <f t="array" aca="1" ref="X159" ca="1">IF($C159="S",IF(OR(Import.TipoArredondamento&lt;&gt;"TransfereGOV",ACOMPANHAMENTO="BM"),VTOTAL1,SUM(OFFSET(CÁLCULO!$AI$15,ROW($X159)-ROW($X$15),1):OFFSET(CÁLCULO!$BB$15,ROW($X159)-ROW($X$15),-1))),IF($C159=0,0,ROUND(SomaAgrup,15-13*$AF$11)))</f>
        <v>3306.42</v>
      </c>
      <c r="Y159" s="126" t="s">
        <v>751</v>
      </c>
      <c r="Z159" s="670" t="str">
        <f t="shared" ca="1" si="46"/>
        <v>RA</v>
      </c>
      <c r="AA159" s="127" cm="1">
        <f t="array" aca="1" ref="AA159" ca="1">IF($C159="S",IF($Z159="CP",$X159,IF($Z159="RA",(($X159)*QCI!$AA$3),0)),SomaAgrup)</f>
        <v>0</v>
      </c>
      <c r="AB159" s="128" cm="1">
        <f t="array" aca="1" ref="AB159" ca="1">IF($C159="S",IF($Z159="OU",ROUND($X159,2),0),SomaAgrup)</f>
        <v>0</v>
      </c>
      <c r="AC159" s="565" t="str" cm="1">
        <f t="array" aca="1" ref="AC159" ca="1">IF($N159=""," ",
IF(AND($C159&lt;&gt;"S",OR($R159="",$R159="(digite a descrição aqui)")),"DESCRIÇÃO",
IF(AND($C159="S",OR($Q159&lt;&gt;"",$T159&gt;0,$U159&gt;0),$P159=""),"FONTE",
IF(AND($C159="S",$P159&lt;&gt;"",OR($T159&gt;0,$U159&gt;0),$Q159=""),"CÓDIGO",
IF(AND($C159="S",$P159&lt;&gt;"",$Q159&lt;&gt;"",$R159="(Código não identificado nas referências)"),"CÓDIGO N/ID",
IF(AND($C159="S",OR($R159="",$R159="(digite a descrição aqui)"),OR($Q159&lt;&gt;"",$T159&gt;0,$U159&gt;0)),"DESCRIÇÃO",
IF(AND($C159="S",$P159&lt;&gt;"",$Q159&lt;&gt;"",$S159=""),"UNIDADE",
IF(AND($C159="S",$P159&lt;&gt;"",$Q159&lt;&gt;"",$U159=0),"SEM CUSTO",
IF(AND(TIPOORCAMENTO="Licitado",$AL159=0,$AN159&gt;0),"SEM PREÇO",
IF(AND($C159="S",$P159&lt;&gt;"",$Q159&lt;&gt;"",$U159&gt;0,AND($V159&lt;&gt;"BDI 1",$V159&lt;&gt;"BDI 2",$V159&lt;&gt;"BDI 3")),IF(ISNUMBER($V159),"JUSTIFICAR BDI","BDI"),
IF(OR(AND(import.recurso="OGU",TIPOORCAMENTO="Proposto",LEFT($O$8,5)&lt;&gt;"(N/D:",$AG159&lt;&gt;"",ORÇAMENTO.CustoUnitario&gt;$AG159),AND(TIPOORCAMENTO="LICITADO",ORÇAMENTO.PrecoUnitarioLicitado&gt;$AN159)),"ACIMA REF.",
IF(AND($C159="S",$P159&lt;&gt;"",$Q159&lt;&gt;"",$T159=0,$U159&gt;0),"QUANT.",
IF(AND(Import.TipoArredondamento="TransfereGOV",$L159="F",$C159="S",LEN($Q159)&gt;13),"Código &gt;13",
IF(AND(Import.TipoArredondamento="TransfereGOV",$L159="F",$C159&lt;&gt;"S",LEN($R159)&gt;100),"Descrição &gt;100",
IF(AND(Import.TipoArredondamento="TransfereGOV",$L159="F",$C159="S",LEN($R159)&gt;500),"Descrição &gt;500",
IF(AND(Import.TipoArredondamento="TransfereGOV",$L159="F",$C159="S",LEFT(TRIM(UPPER($P159)),6)&lt;&gt;"SINAPI",ISNA(VLOOKUP(TRIM(UPPER($S159)),ListaTgov.Unidades,1,FALSE))),"Unid. Não Disp",
" "))))))))))))))))</f>
        <v>Unid. Não Disp</v>
      </c>
      <c r="AD159" s="670" t="str">
        <f ca="1">IF(C159&lt;=CRONO.NivelExibicao,MAX($AD$15:OFFSET(AD159,-1,0))+IF($C159&lt;&gt;1,1,MAX(1,COUNTIF(QCI!$A$13:$A$24,OFFSET($E159,-1,0)))),"")</f>
        <v/>
      </c>
      <c r="AE159" s="668" t="str" cm="1">
        <f t="array" aca="1" ref="AE159" ca="1">IF(AND($C159="S",ORÇAMENTO.CodBarra&lt;&gt;""),IF(ORÇAMENTO.Fonte="",ORÇAMENTO.CodBarra,CONCATENATE(ORÇAMENTO.Fonte," ",ORÇAMENTO.CodBarra)))</f>
        <v>Cotação 22</v>
      </c>
      <c r="AF159" s="669" cm="1">
        <f t="array" aca="1" ref="AF159" ca="1">IF(ISERROR(ORÇAMENTO.BancoRef),"(abra o arquivo 'Referência "&amp;Excel_BuiltIn_Database&amp;".xlsm)",IF(OR($C159&lt;&gt;"S",ORÇAMENTO.CodBarra=""),"(Sem Código)",IF(ISERROR(MATCH($AE159,INDIRECT(ORÇAMENTO.BancoRef),0)),"(Código não identificado nas referências)",MATCH($AE159,INDIRECT(ORÇAMENTO.BancoRef),0))))</f>
        <v>31</v>
      </c>
      <c r="AG159" s="428" cm="1">
        <f t="array" aca="1" ref="AG159" ca="1">ROUND(IF(DESONERACAO="sim",REFERENCIA.Desonerado,REFERENCIA.NaoDesonerado),2)</f>
        <v>1415.42</v>
      </c>
      <c r="AH159" s="429">
        <f t="shared" ca="1" si="47"/>
        <v>0.16800000000000001</v>
      </c>
      <c r="AJ159" s="431"/>
      <c r="AL159" s="439"/>
      <c r="AM159" s="336">
        <f t="shared" ca="1" si="0"/>
        <v>3306.42</v>
      </c>
      <c r="AN159" s="470" cm="1">
        <f t="array" aca="1" ref="AN159" ca="1">ROUND(ORÇAMENTO.CustoUnitario*(1+$AH159),2)</f>
        <v>1653.21</v>
      </c>
    </row>
    <row r="160" spans="1:40" s="670" customFormat="1" x14ac:dyDescent="0.2">
      <c r="A160" s="670" t="str">
        <f t="shared" si="35"/>
        <v>S</v>
      </c>
      <c r="B160" s="670">
        <f t="shared" ca="1" si="36"/>
        <v>2</v>
      </c>
      <c r="C160" s="670" t="str">
        <f t="shared" ca="1" si="37"/>
        <v>S</v>
      </c>
      <c r="D160" s="670">
        <f t="shared" ca="1" si="38"/>
        <v>0</v>
      </c>
      <c r="E160" s="670">
        <f ca="1">IF($C160=1,OFFSET(E160,-1,0)+MAX(1,COUNTIF(QCI!$A$13:$A$24,OFFSET(ORÇAMENTO!E160,-1,0))),OFFSET(E160,-1,0))</f>
        <v>1</v>
      </c>
      <c r="F160" s="670">
        <f t="shared" ca="1" si="39"/>
        <v>21</v>
      </c>
      <c r="G160" s="670">
        <f t="shared" ca="1" si="40"/>
        <v>0</v>
      </c>
      <c r="H160" s="670">
        <f t="shared" ca="1" si="41"/>
        <v>0</v>
      </c>
      <c r="I160" s="670">
        <f t="shared" ca="1" si="42"/>
        <v>4</v>
      </c>
      <c r="J160" s="670">
        <f t="shared" ca="1" si="33"/>
        <v>0</v>
      </c>
      <c r="K160" s="670">
        <f ca="1">IF(OR($C160="S",$C160=0),0,MATCH(OFFSET($D160,0,$C160)+IF($C160&lt;&gt;1,1,COUNTIF(QCI!$A$13:$A$24,ORÇAMENTO!E160)),OFFSET($D160,1,$C160,ROW($C$191)-ROW($C160)),0))</f>
        <v>0</v>
      </c>
      <c r="L160" s="114" t="str">
        <f t="shared" ca="1" si="43"/>
        <v>F</v>
      </c>
      <c r="M160" s="115" t="s">
        <v>705</v>
      </c>
      <c r="N160" s="116" t="str">
        <f t="shared" ca="1" si="44"/>
        <v>Serviço</v>
      </c>
      <c r="O160" s="117" t="str">
        <f t="shared" ca="1" si="45"/>
        <v>1.21.4.</v>
      </c>
      <c r="P160" s="688" t="s">
        <v>957</v>
      </c>
      <c r="Q160" s="689" t="s">
        <v>1109</v>
      </c>
      <c r="R160" s="690" t="str" cm="1">
        <f t="array" aca="1" ref="R160" ca="1">IF($C160="S",REFERENCIA.Descricao,"(digite a descrição aqui)")</f>
        <v>FLANGE AVULSO EM FERRO FUNDIDO, CLASSE PN-10, DN= 200MM</v>
      </c>
      <c r="S160" s="691" t="str" cm="1">
        <f t="array" aca="1" ref="S160" ca="1">REFERENCIA.Unidade</f>
        <v>UNIDADE</v>
      </c>
      <c r="T160" s="122">
        <f ca="1">OFFSET(CÁLCULO!H$15,ROW($T160)-ROW(T$15),0)</f>
        <v>8</v>
      </c>
      <c r="U160" s="693">
        <f t="shared" ca="1" si="34"/>
        <v>438.85</v>
      </c>
      <c r="V160" s="694" t="s">
        <v>663</v>
      </c>
      <c r="W160" s="122" cm="1">
        <f t="array" aca="1" ref="W160" ca="1">IF($C160="S",ROUND(IF(TIPOORCAMENTO="Proposto",ORÇAMENTO.CustoUnitario*(1+$AH160),ORÇAMENTO.PrecoUnitarioLicitado),15-13*$AF$10),0)</f>
        <v>544.16999999999996</v>
      </c>
      <c r="X160" s="125" cm="1">
        <f t="array" aca="1" ref="X160" ca="1">IF($C160="S",IF(OR(Import.TipoArredondamento&lt;&gt;"TransfereGOV",ACOMPANHAMENTO="BM"),VTOTAL1,SUM(OFFSET(CÁLCULO!$AI$15,ROW($X160)-ROW($X$15),1):OFFSET(CÁLCULO!$BB$15,ROW($X160)-ROW($X$15),-1))),IF($C160=0,0,ROUND(SomaAgrup,15-13*$AF$11)))</f>
        <v>4353.3599999999997</v>
      </c>
      <c r="Y160" s="126" t="s">
        <v>751</v>
      </c>
      <c r="Z160" s="670" t="str">
        <f t="shared" ca="1" si="46"/>
        <v>RA</v>
      </c>
      <c r="AA160" s="127" cm="1">
        <f t="array" aca="1" ref="AA160" ca="1">IF($C160="S",IF($Z160="CP",$X160,IF($Z160="RA",(($X160)*QCI!$AA$3),0)),SomaAgrup)</f>
        <v>0</v>
      </c>
      <c r="AB160" s="128" cm="1">
        <f t="array" aca="1" ref="AB160" ca="1">IF($C160="S",IF($Z160="OU",ROUND($X160,2),0),SomaAgrup)</f>
        <v>0</v>
      </c>
      <c r="AC160" s="565" t="str" cm="1">
        <f t="array" aca="1" ref="AC160" ca="1">IF($N160=""," ",
IF(AND($C160&lt;&gt;"S",OR($R160="",$R160="(digite a descrição aqui)")),"DESCRIÇÃO",
IF(AND($C160="S",OR($Q160&lt;&gt;"",$T160&gt;0,$U160&gt;0),$P160=""),"FONTE",
IF(AND($C160="S",$P160&lt;&gt;"",OR($T160&gt;0,$U160&gt;0),$Q160=""),"CÓDIGO",
IF(AND($C160="S",$P160&lt;&gt;"",$Q160&lt;&gt;"",$R160="(Código não identificado nas referências)"),"CÓDIGO N/ID",
IF(AND($C160="S",OR($R160="",$R160="(digite a descrição aqui)"),OR($Q160&lt;&gt;"",$T160&gt;0,$U160&gt;0)),"DESCRIÇÃO",
IF(AND($C160="S",$P160&lt;&gt;"",$Q160&lt;&gt;"",$S160=""),"UNIDADE",
IF(AND($C160="S",$P160&lt;&gt;"",$Q160&lt;&gt;"",$U160=0),"SEM CUSTO",
IF(AND(TIPOORCAMENTO="Licitado",$AL160=0,$AN160&gt;0),"SEM PREÇO",
IF(AND($C160="S",$P160&lt;&gt;"",$Q160&lt;&gt;"",$U160&gt;0,AND($V160&lt;&gt;"BDI 1",$V160&lt;&gt;"BDI 2",$V160&lt;&gt;"BDI 3")),IF(ISNUMBER($V160),"JUSTIFICAR BDI","BDI"),
IF(OR(AND(import.recurso="OGU",TIPOORCAMENTO="Proposto",LEFT($O$8,5)&lt;&gt;"(N/D:",$AG160&lt;&gt;"",ORÇAMENTO.CustoUnitario&gt;$AG160),AND(TIPOORCAMENTO="LICITADO",ORÇAMENTO.PrecoUnitarioLicitado&gt;$AN160)),"ACIMA REF.",
IF(AND($C160="S",$P160&lt;&gt;"",$Q160&lt;&gt;"",$T160=0,$U160&gt;0),"QUANT.",
IF(AND(Import.TipoArredondamento="TransfereGOV",$L160="F",$C160="S",LEN($Q160)&gt;13),"Código &gt;13",
IF(AND(Import.TipoArredondamento="TransfereGOV",$L160="F",$C160&lt;&gt;"S",LEN($R160)&gt;100),"Descrição &gt;100",
IF(AND(Import.TipoArredondamento="TransfereGOV",$L160="F",$C160="S",LEN($R160)&gt;500),"Descrição &gt;500",
IF(AND(Import.TipoArredondamento="TransfereGOV",$L160="F",$C160="S",LEFT(TRIM(UPPER($P160)),6)&lt;&gt;"SINAPI",ISNA(VLOOKUP(TRIM(UPPER($S160)),ListaTgov.Unidades,1,FALSE))),"Unid. Não Disp",
" "))))))))))))))))</f>
        <v>Unid. Não Disp</v>
      </c>
      <c r="AD160" s="670" t="str">
        <f ca="1">IF(C160&lt;=CRONO.NivelExibicao,MAX($AD$15:OFFSET(AD160,-1,0))+IF($C160&lt;&gt;1,1,MAX(1,COUNTIF(QCI!$A$13:$A$24,OFFSET($E160,-1,0)))),"")</f>
        <v/>
      </c>
      <c r="AE160" s="668" t="str" cm="1">
        <f t="array" aca="1" ref="AE160" ca="1">IF(AND($C160="S",ORÇAMENTO.CodBarra&lt;&gt;""),IF(ORÇAMENTO.Fonte="",ORÇAMENTO.CodBarra,CONCATENATE(ORÇAMENTO.Fonte," ",ORÇAMENTO.CodBarra)))</f>
        <v>Cotação 23</v>
      </c>
      <c r="AF160" s="669" cm="1">
        <f t="array" aca="1" ref="AF160" ca="1">IF(ISERROR(ORÇAMENTO.BancoRef),"(abra o arquivo 'Referência "&amp;Excel_BuiltIn_Database&amp;".xlsm)",IF(OR($C160&lt;&gt;"S",ORÇAMENTO.CodBarra=""),"(Sem Código)",IF(ISERROR(MATCH($AE160,INDIRECT(ORÇAMENTO.BancoRef),0)),"(Código não identificado nas referências)",MATCH($AE160,INDIRECT(ORÇAMENTO.BancoRef),0))))</f>
        <v>32</v>
      </c>
      <c r="AG160" s="428" cm="1">
        <f t="array" aca="1" ref="AG160" ca="1">ROUND(IF(DESONERACAO="sim",REFERENCIA.Desonerado,REFERENCIA.NaoDesonerado),2)</f>
        <v>438.85</v>
      </c>
      <c r="AH160" s="429">
        <f t="shared" ca="1" si="47"/>
        <v>0.24</v>
      </c>
      <c r="AJ160" s="431"/>
      <c r="AL160" s="439"/>
      <c r="AM160" s="336">
        <f t="shared" ca="1" si="0"/>
        <v>4353.3599999999997</v>
      </c>
      <c r="AN160" s="470" cm="1">
        <f t="array" aca="1" ref="AN160" ca="1">ROUND(ORÇAMENTO.CustoUnitario*(1+$AH160),2)</f>
        <v>544.16999999999996</v>
      </c>
    </row>
    <row r="161" spans="1:40" s="670" customFormat="1" x14ac:dyDescent="0.2">
      <c r="A161" s="670" t="str">
        <f t="shared" si="35"/>
        <v>S</v>
      </c>
      <c r="B161" s="670">
        <f t="shared" ca="1" si="36"/>
        <v>2</v>
      </c>
      <c r="C161" s="670" t="str">
        <f t="shared" ca="1" si="37"/>
        <v>S</v>
      </c>
      <c r="D161" s="670">
        <f t="shared" ca="1" si="38"/>
        <v>0</v>
      </c>
      <c r="E161" s="670">
        <f ca="1">IF($C161=1,OFFSET(E161,-1,0)+MAX(1,COUNTIF(QCI!$A$13:$A$24,OFFSET(ORÇAMENTO!E161,-1,0))),OFFSET(E161,-1,0))</f>
        <v>1</v>
      </c>
      <c r="F161" s="670">
        <f t="shared" ca="1" si="39"/>
        <v>21</v>
      </c>
      <c r="G161" s="670">
        <f t="shared" ca="1" si="40"/>
        <v>0</v>
      </c>
      <c r="H161" s="670">
        <f t="shared" ca="1" si="41"/>
        <v>0</v>
      </c>
      <c r="I161" s="670">
        <f t="shared" ca="1" si="42"/>
        <v>5</v>
      </c>
      <c r="J161" s="670">
        <f t="shared" ca="1" si="33"/>
        <v>0</v>
      </c>
      <c r="K161" s="670">
        <f ca="1">IF(OR($C161="S",$C161=0),0,MATCH(OFFSET($D161,0,$C161)+IF($C161&lt;&gt;1,1,COUNTIF(QCI!$A$13:$A$24,ORÇAMENTO!E161)),OFFSET($D161,1,$C161,ROW($C$191)-ROW($C161)),0))</f>
        <v>0</v>
      </c>
      <c r="L161" s="114" t="str">
        <f t="shared" ca="1" si="43"/>
        <v>F</v>
      </c>
      <c r="M161" s="115" t="s">
        <v>705</v>
      </c>
      <c r="N161" s="116" t="str">
        <f t="shared" ca="1" si="44"/>
        <v>Serviço</v>
      </c>
      <c r="O161" s="117" t="str">
        <f t="shared" ca="1" si="45"/>
        <v>1.21.5.</v>
      </c>
      <c r="P161" s="688" t="s">
        <v>957</v>
      </c>
      <c r="Q161" s="689" t="s">
        <v>1110</v>
      </c>
      <c r="R161" s="690" t="str" cm="1">
        <f t="array" aca="1" ref="R161" ca="1">IF($C161="S",REFERENCIA.Descricao,"(digite a descrição aqui)")</f>
        <v>flange cego, em ferro fundido, pn 10, diam. =  200mm</v>
      </c>
      <c r="S161" s="691" t="str" cm="1">
        <f t="array" aca="1" ref="S161" ca="1">REFERENCIA.Unidade</f>
        <v>UNIDADE</v>
      </c>
      <c r="T161" s="122">
        <f ca="1">OFFSET(CÁLCULO!H$15,ROW($T161)-ROW(T$15),0)</f>
        <v>2</v>
      </c>
      <c r="U161" s="693">
        <f t="shared" ca="1" si="34"/>
        <v>467.38</v>
      </c>
      <c r="V161" s="694" t="s">
        <v>697</v>
      </c>
      <c r="W161" s="122" cm="1">
        <f t="array" aca="1" ref="W161" ca="1">IF($C161="S",ROUND(IF(TIPOORCAMENTO="Proposto",ORÇAMENTO.CustoUnitario*(1+$AH161),ORÇAMENTO.PrecoUnitarioLicitado),15-13*$AF$10),0)</f>
        <v>545.9</v>
      </c>
      <c r="X161" s="125" cm="1">
        <f t="array" aca="1" ref="X161" ca="1">IF($C161="S",IF(OR(Import.TipoArredondamento&lt;&gt;"TransfereGOV",ACOMPANHAMENTO="BM"),VTOTAL1,SUM(OFFSET(CÁLCULO!$AI$15,ROW($X161)-ROW($X$15),1):OFFSET(CÁLCULO!$BB$15,ROW($X161)-ROW($X$15),-1))),IF($C161=0,0,ROUND(SomaAgrup,15-13*$AF$11)))</f>
        <v>1091.8</v>
      </c>
      <c r="Y161" s="126" t="s">
        <v>751</v>
      </c>
      <c r="Z161" s="670" t="str">
        <f t="shared" ca="1" si="46"/>
        <v>RA</v>
      </c>
      <c r="AA161" s="127" cm="1">
        <f t="array" aca="1" ref="AA161" ca="1">IF($C161="S",IF($Z161="CP",$X161,IF($Z161="RA",(($X161)*QCI!$AA$3),0)),SomaAgrup)</f>
        <v>0</v>
      </c>
      <c r="AB161" s="128" cm="1">
        <f t="array" aca="1" ref="AB161" ca="1">IF($C161="S",IF($Z161="OU",ROUND($X161,2),0),SomaAgrup)</f>
        <v>0</v>
      </c>
      <c r="AC161" s="565" t="str" cm="1">
        <f t="array" aca="1" ref="AC161" ca="1">IF($N161=""," ",
IF(AND($C161&lt;&gt;"S",OR($R161="",$R161="(digite a descrição aqui)")),"DESCRIÇÃO",
IF(AND($C161="S",OR($Q161&lt;&gt;"",$T161&gt;0,$U161&gt;0),$P161=""),"FONTE",
IF(AND($C161="S",$P161&lt;&gt;"",OR($T161&gt;0,$U161&gt;0),$Q161=""),"CÓDIGO",
IF(AND($C161="S",$P161&lt;&gt;"",$Q161&lt;&gt;"",$R161="(Código não identificado nas referências)"),"CÓDIGO N/ID",
IF(AND($C161="S",OR($R161="",$R161="(digite a descrição aqui)"),OR($Q161&lt;&gt;"",$T161&gt;0,$U161&gt;0)),"DESCRIÇÃO",
IF(AND($C161="S",$P161&lt;&gt;"",$Q161&lt;&gt;"",$S161=""),"UNIDADE",
IF(AND($C161="S",$P161&lt;&gt;"",$Q161&lt;&gt;"",$U161=0),"SEM CUSTO",
IF(AND(TIPOORCAMENTO="Licitado",$AL161=0,$AN161&gt;0),"SEM PREÇO",
IF(AND($C161="S",$P161&lt;&gt;"",$Q161&lt;&gt;"",$U161&gt;0,AND($V161&lt;&gt;"BDI 1",$V161&lt;&gt;"BDI 2",$V161&lt;&gt;"BDI 3")),IF(ISNUMBER($V161),"JUSTIFICAR BDI","BDI"),
IF(OR(AND(import.recurso="OGU",TIPOORCAMENTO="Proposto",LEFT($O$8,5)&lt;&gt;"(N/D:",$AG161&lt;&gt;"",ORÇAMENTO.CustoUnitario&gt;$AG161),AND(TIPOORCAMENTO="LICITADO",ORÇAMENTO.PrecoUnitarioLicitado&gt;$AN161)),"ACIMA REF.",
IF(AND($C161="S",$P161&lt;&gt;"",$Q161&lt;&gt;"",$T161=0,$U161&gt;0),"QUANT.",
IF(AND(Import.TipoArredondamento="TransfereGOV",$L161="F",$C161="S",LEN($Q161)&gt;13),"Código &gt;13",
IF(AND(Import.TipoArredondamento="TransfereGOV",$L161="F",$C161&lt;&gt;"S",LEN($R161)&gt;100),"Descrição &gt;100",
IF(AND(Import.TipoArredondamento="TransfereGOV",$L161="F",$C161="S",LEN($R161)&gt;500),"Descrição &gt;500",
IF(AND(Import.TipoArredondamento="TransfereGOV",$L161="F",$C161="S",LEFT(TRIM(UPPER($P161)),6)&lt;&gt;"SINAPI",ISNA(VLOOKUP(TRIM(UPPER($S161)),ListaTgov.Unidades,1,FALSE))),"Unid. Não Disp",
" "))))))))))))))))</f>
        <v>Unid. Não Disp</v>
      </c>
      <c r="AD161" s="670" t="str">
        <f ca="1">IF(C161&lt;=CRONO.NivelExibicao,MAX($AD$15:OFFSET(AD161,-1,0))+IF($C161&lt;&gt;1,1,MAX(1,COUNTIF(QCI!$A$13:$A$24,OFFSET($E161,-1,0)))),"")</f>
        <v/>
      </c>
      <c r="AE161" s="668" t="str" cm="1">
        <f t="array" aca="1" ref="AE161" ca="1">IF(AND($C161="S",ORÇAMENTO.CodBarra&lt;&gt;""),IF(ORÇAMENTO.Fonte="",ORÇAMENTO.CodBarra,CONCATENATE(ORÇAMENTO.Fonte," ",ORÇAMENTO.CodBarra)))</f>
        <v>Cotação 24</v>
      </c>
      <c r="AF161" s="669" cm="1">
        <f t="array" aca="1" ref="AF161" ca="1">IF(ISERROR(ORÇAMENTO.BancoRef),"(abra o arquivo 'Referência "&amp;Excel_BuiltIn_Database&amp;".xlsm)",IF(OR($C161&lt;&gt;"S",ORÇAMENTO.CodBarra=""),"(Sem Código)",IF(ISERROR(MATCH($AE161,INDIRECT(ORÇAMENTO.BancoRef),0)),"(Código não identificado nas referências)",MATCH($AE161,INDIRECT(ORÇAMENTO.BancoRef),0))))</f>
        <v>33</v>
      </c>
      <c r="AG161" s="428" cm="1">
        <f t="array" aca="1" ref="AG161" ca="1">ROUND(IF(DESONERACAO="sim",REFERENCIA.Desonerado,REFERENCIA.NaoDesonerado),2)</f>
        <v>467.38</v>
      </c>
      <c r="AH161" s="429">
        <f t="shared" ca="1" si="47"/>
        <v>0.16800000000000001</v>
      </c>
      <c r="AJ161" s="431"/>
      <c r="AL161" s="439"/>
      <c r="AM161" s="336">
        <f t="shared" ca="1" si="0"/>
        <v>1091.8</v>
      </c>
      <c r="AN161" s="470" cm="1">
        <f t="array" aca="1" ref="AN161" ca="1">ROUND(ORÇAMENTO.CustoUnitario*(1+$AH161),2)</f>
        <v>545.9</v>
      </c>
    </row>
    <row r="162" spans="1:40" s="670" customFormat="1" x14ac:dyDescent="0.2">
      <c r="A162" s="670" t="str">
        <f t="shared" si="35"/>
        <v>S</v>
      </c>
      <c r="B162" s="670">
        <f t="shared" ca="1" si="36"/>
        <v>2</v>
      </c>
      <c r="C162" s="670" t="str">
        <f t="shared" ca="1" si="37"/>
        <v>S</v>
      </c>
      <c r="D162" s="670">
        <f t="shared" ca="1" si="38"/>
        <v>0</v>
      </c>
      <c r="E162" s="670">
        <f ca="1">IF($C162=1,OFFSET(E162,-1,0)+MAX(1,COUNTIF(QCI!$A$13:$A$24,OFFSET(ORÇAMENTO!E162,-1,0))),OFFSET(E162,-1,0))</f>
        <v>1</v>
      </c>
      <c r="F162" s="670">
        <f t="shared" ca="1" si="39"/>
        <v>21</v>
      </c>
      <c r="G162" s="670">
        <f t="shared" ca="1" si="40"/>
        <v>0</v>
      </c>
      <c r="H162" s="670">
        <f t="shared" ca="1" si="41"/>
        <v>0</v>
      </c>
      <c r="I162" s="670">
        <f t="shared" ca="1" si="42"/>
        <v>6</v>
      </c>
      <c r="J162" s="670">
        <f t="shared" ca="1" si="33"/>
        <v>0</v>
      </c>
      <c r="K162" s="670">
        <f ca="1">IF(OR($C162="S",$C162=0),0,MATCH(OFFSET($D162,0,$C162)+IF($C162&lt;&gt;1,1,COUNTIF(QCI!$A$13:$A$24,ORÇAMENTO!E162)),OFFSET($D162,1,$C162,ROW($C$191)-ROW($C162)),0))</f>
        <v>0</v>
      </c>
      <c r="L162" s="114" t="str">
        <f t="shared" ca="1" si="43"/>
        <v>F</v>
      </c>
      <c r="M162" s="115" t="s">
        <v>705</v>
      </c>
      <c r="N162" s="116" t="str">
        <f t="shared" ca="1" si="44"/>
        <v>Serviço</v>
      </c>
      <c r="O162" s="117" t="str">
        <f t="shared" ca="1" si="45"/>
        <v>1.21.6.</v>
      </c>
      <c r="P162" s="688" t="s">
        <v>957</v>
      </c>
      <c r="Q162" s="689" t="s">
        <v>1111</v>
      </c>
      <c r="R162" s="690" t="str" cm="1">
        <f t="array" aca="1" ref="R162" ca="1">IF($C162="S",REFERENCIA.Descricao,"(digite a descrição aqui)")</f>
        <v>VÁLVULA DE RETENÇÃO HORIZONTAL PORTINHOLA UNICA</v>
      </c>
      <c r="S162" s="691" t="str" cm="1">
        <f t="array" aca="1" ref="S162" ca="1">REFERENCIA.Unidade</f>
        <v>UNIDADE</v>
      </c>
      <c r="T162" s="122">
        <f ca="1">OFFSET(CÁLCULO!H$15,ROW($T162)-ROW(T$15),0)</f>
        <v>2</v>
      </c>
      <c r="U162" s="693">
        <f t="shared" ca="1" si="34"/>
        <v>2081.4699999999998</v>
      </c>
      <c r="V162" s="694" t="s">
        <v>697</v>
      </c>
      <c r="W162" s="122" cm="1">
        <f t="array" aca="1" ref="W162" ca="1">IF($C162="S",ROUND(IF(TIPOORCAMENTO="Proposto",ORÇAMENTO.CustoUnitario*(1+$AH162),ORÇAMENTO.PrecoUnitarioLicitado),15-13*$AF$10),0)</f>
        <v>2431.16</v>
      </c>
      <c r="X162" s="125" cm="1">
        <f t="array" aca="1" ref="X162" ca="1">IF($C162="S",IF(OR(Import.TipoArredondamento&lt;&gt;"TransfereGOV",ACOMPANHAMENTO="BM"),VTOTAL1,SUM(OFFSET(CÁLCULO!$AI$15,ROW($X162)-ROW($X$15),1):OFFSET(CÁLCULO!$BB$15,ROW($X162)-ROW($X$15),-1))),IF($C162=0,0,ROUND(SomaAgrup,15-13*$AF$11)))</f>
        <v>4862.32</v>
      </c>
      <c r="Y162" s="126" t="s">
        <v>751</v>
      </c>
      <c r="Z162" s="670" t="str">
        <f t="shared" ca="1" si="46"/>
        <v>RA</v>
      </c>
      <c r="AA162" s="127" cm="1">
        <f t="array" aca="1" ref="AA162" ca="1">IF($C162="S",IF($Z162="CP",$X162,IF($Z162="RA",(($X162)*QCI!$AA$3),0)),SomaAgrup)</f>
        <v>0</v>
      </c>
      <c r="AB162" s="128" cm="1">
        <f t="array" aca="1" ref="AB162" ca="1">IF($C162="S",IF($Z162="OU",ROUND($X162,2),0),SomaAgrup)</f>
        <v>0</v>
      </c>
      <c r="AC162" s="565" t="str" cm="1">
        <f t="array" aca="1" ref="AC162" ca="1">IF($N162=""," ",
IF(AND($C162&lt;&gt;"S",OR($R162="",$R162="(digite a descrição aqui)")),"DESCRIÇÃO",
IF(AND($C162="S",OR($Q162&lt;&gt;"",$T162&gt;0,$U162&gt;0),$P162=""),"FONTE",
IF(AND($C162="S",$P162&lt;&gt;"",OR($T162&gt;0,$U162&gt;0),$Q162=""),"CÓDIGO",
IF(AND($C162="S",$P162&lt;&gt;"",$Q162&lt;&gt;"",$R162="(Código não identificado nas referências)"),"CÓDIGO N/ID",
IF(AND($C162="S",OR($R162="",$R162="(digite a descrição aqui)"),OR($Q162&lt;&gt;"",$T162&gt;0,$U162&gt;0)),"DESCRIÇÃO",
IF(AND($C162="S",$P162&lt;&gt;"",$Q162&lt;&gt;"",$S162=""),"UNIDADE",
IF(AND($C162="S",$P162&lt;&gt;"",$Q162&lt;&gt;"",$U162=0),"SEM CUSTO",
IF(AND(TIPOORCAMENTO="Licitado",$AL162=0,$AN162&gt;0),"SEM PREÇO",
IF(AND($C162="S",$P162&lt;&gt;"",$Q162&lt;&gt;"",$U162&gt;0,AND($V162&lt;&gt;"BDI 1",$V162&lt;&gt;"BDI 2",$V162&lt;&gt;"BDI 3")),IF(ISNUMBER($V162),"JUSTIFICAR BDI","BDI"),
IF(OR(AND(import.recurso="OGU",TIPOORCAMENTO="Proposto",LEFT($O$8,5)&lt;&gt;"(N/D:",$AG162&lt;&gt;"",ORÇAMENTO.CustoUnitario&gt;$AG162),AND(TIPOORCAMENTO="LICITADO",ORÇAMENTO.PrecoUnitarioLicitado&gt;$AN162)),"ACIMA REF.",
IF(AND($C162="S",$P162&lt;&gt;"",$Q162&lt;&gt;"",$T162=0,$U162&gt;0),"QUANT.",
IF(AND(Import.TipoArredondamento="TransfereGOV",$L162="F",$C162="S",LEN($Q162)&gt;13),"Código &gt;13",
IF(AND(Import.TipoArredondamento="TransfereGOV",$L162="F",$C162&lt;&gt;"S",LEN($R162)&gt;100),"Descrição &gt;100",
IF(AND(Import.TipoArredondamento="TransfereGOV",$L162="F",$C162="S",LEN($R162)&gt;500),"Descrição &gt;500",
IF(AND(Import.TipoArredondamento="TransfereGOV",$L162="F",$C162="S",LEFT(TRIM(UPPER($P162)),6)&lt;&gt;"SINAPI",ISNA(VLOOKUP(TRIM(UPPER($S162)),ListaTgov.Unidades,1,FALSE))),"Unid. Não Disp",
" "))))))))))))))))</f>
        <v>Unid. Não Disp</v>
      </c>
      <c r="AD162" s="670" t="str">
        <f ca="1">IF(C162&lt;=CRONO.NivelExibicao,MAX($AD$15:OFFSET(AD162,-1,0))+IF($C162&lt;&gt;1,1,MAX(1,COUNTIF(QCI!$A$13:$A$24,OFFSET($E162,-1,0)))),"")</f>
        <v/>
      </c>
      <c r="AE162" s="668" t="str" cm="1">
        <f t="array" aca="1" ref="AE162" ca="1">IF(AND($C162="S",ORÇAMENTO.CodBarra&lt;&gt;""),IF(ORÇAMENTO.Fonte="",ORÇAMENTO.CodBarra,CONCATENATE(ORÇAMENTO.Fonte," ",ORÇAMENTO.CodBarra)))</f>
        <v>Cotação 39</v>
      </c>
      <c r="AF162" s="669" cm="1">
        <f t="array" aca="1" ref="AF162" ca="1">IF(ISERROR(ORÇAMENTO.BancoRef),"(abra o arquivo 'Referência "&amp;Excel_BuiltIn_Database&amp;".xlsm)",IF(OR($C162&lt;&gt;"S",ORÇAMENTO.CodBarra=""),"(Sem Código)",IF(ISERROR(MATCH($AE162,INDIRECT(ORÇAMENTO.BancoRef),0)),"(Código não identificado nas referências)",MATCH($AE162,INDIRECT(ORÇAMENTO.BancoRef),0))))</f>
        <v>48</v>
      </c>
      <c r="AG162" s="428" cm="1">
        <f t="array" aca="1" ref="AG162" ca="1">ROUND(IF(DESONERACAO="sim",REFERENCIA.Desonerado,REFERENCIA.NaoDesonerado),2)</f>
        <v>2081.4699999999998</v>
      </c>
      <c r="AH162" s="429">
        <f t="shared" ca="1" si="47"/>
        <v>0.16800000000000001</v>
      </c>
      <c r="AJ162" s="431"/>
      <c r="AL162" s="439"/>
      <c r="AM162" s="336">
        <f t="shared" ca="1" si="0"/>
        <v>4862.32</v>
      </c>
      <c r="AN162" s="470" cm="1">
        <f t="array" aca="1" ref="AN162" ca="1">ROUND(ORÇAMENTO.CustoUnitario*(1+$AH162),2)</f>
        <v>2431.16</v>
      </c>
    </row>
    <row r="163" spans="1:40" s="670" customFormat="1" x14ac:dyDescent="0.2">
      <c r="A163" s="670" t="str">
        <f t="shared" si="35"/>
        <v>S</v>
      </c>
      <c r="B163" s="670">
        <f t="shared" ca="1" si="36"/>
        <v>2</v>
      </c>
      <c r="C163" s="670" t="str">
        <f t="shared" ca="1" si="37"/>
        <v>S</v>
      </c>
      <c r="D163" s="670">
        <f t="shared" ca="1" si="38"/>
        <v>0</v>
      </c>
      <c r="E163" s="670">
        <f ca="1">IF($C163=1,OFFSET(E163,-1,0)+MAX(1,COUNTIF(QCI!$A$13:$A$24,OFFSET(ORÇAMENTO!E163,-1,0))),OFFSET(E163,-1,0))</f>
        <v>1</v>
      </c>
      <c r="F163" s="670">
        <f t="shared" ca="1" si="39"/>
        <v>21</v>
      </c>
      <c r="G163" s="670">
        <f t="shared" ca="1" si="40"/>
        <v>0</v>
      </c>
      <c r="H163" s="670">
        <f t="shared" ca="1" si="41"/>
        <v>0</v>
      </c>
      <c r="I163" s="670">
        <f t="shared" ca="1" si="42"/>
        <v>7</v>
      </c>
      <c r="J163" s="670">
        <f t="shared" ca="1" si="33"/>
        <v>0</v>
      </c>
      <c r="K163" s="670">
        <f ca="1">IF(OR($C163="S",$C163=0),0,MATCH(OFFSET($D163,0,$C163)+IF($C163&lt;&gt;1,1,COUNTIF(QCI!$A$13:$A$24,ORÇAMENTO!E163)),OFFSET($D163,1,$C163,ROW($C$191)-ROW($C163)),0))</f>
        <v>0</v>
      </c>
      <c r="L163" s="114" t="str">
        <f t="shared" ca="1" si="43"/>
        <v>F</v>
      </c>
      <c r="M163" s="115" t="s">
        <v>705</v>
      </c>
      <c r="N163" s="116" t="str">
        <f t="shared" ca="1" si="44"/>
        <v>Serviço</v>
      </c>
      <c r="O163" s="117" t="str">
        <f t="shared" ca="1" si="45"/>
        <v>1.21.7.</v>
      </c>
      <c r="P163" s="688" t="s">
        <v>957</v>
      </c>
      <c r="Q163" s="689" t="s">
        <v>1094</v>
      </c>
      <c r="R163" s="690" t="str" cm="1">
        <f t="array" aca="1" ref="R163" ca="1">IF($C163="S",REFERENCIA.Descricao,"(digite a descrição aqui)")</f>
        <v>REGISTRO DE GAVETA FF: 200MM - fornecimento e assentamento</v>
      </c>
      <c r="S163" s="691" t="str" cm="1">
        <f t="array" aca="1" ref="S163" ca="1">REFERENCIA.Unidade</f>
        <v>UNIDADE</v>
      </c>
      <c r="T163" s="122">
        <f ca="1">OFFSET(CÁLCULO!H$15,ROW($T163)-ROW(T$15),0)</f>
        <v>3</v>
      </c>
      <c r="U163" s="693">
        <f t="shared" ca="1" si="34"/>
        <v>3706.92</v>
      </c>
      <c r="V163" s="694" t="s">
        <v>697</v>
      </c>
      <c r="W163" s="122" cm="1">
        <f t="array" aca="1" ref="W163" ca="1">IF($C163="S",ROUND(IF(TIPOORCAMENTO="Proposto",ORÇAMENTO.CustoUnitario*(1+$AH163),ORÇAMENTO.PrecoUnitarioLicitado),15-13*$AF$10),0)</f>
        <v>4329.68</v>
      </c>
      <c r="X163" s="125" cm="1">
        <f t="array" aca="1" ref="X163" ca="1">IF($C163="S",IF(OR(Import.TipoArredondamento&lt;&gt;"TransfereGOV",ACOMPANHAMENTO="BM"),VTOTAL1,SUM(OFFSET(CÁLCULO!$AI$15,ROW($X163)-ROW($X$15),1):OFFSET(CÁLCULO!$BB$15,ROW($X163)-ROW($X$15),-1))),IF($C163=0,0,ROUND(SomaAgrup,15-13*$AF$11)))</f>
        <v>12989.04</v>
      </c>
      <c r="Y163" s="126" t="s">
        <v>751</v>
      </c>
      <c r="Z163" s="670" t="str">
        <f t="shared" ca="1" si="46"/>
        <v>RA</v>
      </c>
      <c r="AA163" s="127" cm="1">
        <f t="array" aca="1" ref="AA163" ca="1">IF($C163="S",IF($Z163="CP",$X163,IF($Z163="RA",(($X163)*QCI!$AA$3),0)),SomaAgrup)</f>
        <v>0</v>
      </c>
      <c r="AB163" s="128" cm="1">
        <f t="array" aca="1" ref="AB163" ca="1">IF($C163="S",IF($Z163="OU",ROUND($X163,2),0),SomaAgrup)</f>
        <v>0</v>
      </c>
      <c r="AC163" s="565" t="str" cm="1">
        <f t="array" aca="1" ref="AC163" ca="1">IF($N163=""," ",
IF(AND($C163&lt;&gt;"S",OR($R163="",$R163="(digite a descrição aqui)")),"DESCRIÇÃO",
IF(AND($C163="S",OR($Q163&lt;&gt;"",$T163&gt;0,$U163&gt;0),$P163=""),"FONTE",
IF(AND($C163="S",$P163&lt;&gt;"",OR($T163&gt;0,$U163&gt;0),$Q163=""),"CÓDIGO",
IF(AND($C163="S",$P163&lt;&gt;"",$Q163&lt;&gt;"",$R163="(Código não identificado nas referências)"),"CÓDIGO N/ID",
IF(AND($C163="S",OR($R163="",$R163="(digite a descrição aqui)"),OR($Q163&lt;&gt;"",$T163&gt;0,$U163&gt;0)),"DESCRIÇÃO",
IF(AND($C163="S",$P163&lt;&gt;"",$Q163&lt;&gt;"",$S163=""),"UNIDADE",
IF(AND($C163="S",$P163&lt;&gt;"",$Q163&lt;&gt;"",$U163=0),"SEM CUSTO",
IF(AND(TIPOORCAMENTO="Licitado",$AL163=0,$AN163&gt;0),"SEM PREÇO",
IF(AND($C163="S",$P163&lt;&gt;"",$Q163&lt;&gt;"",$U163&gt;0,AND($V163&lt;&gt;"BDI 1",$V163&lt;&gt;"BDI 2",$V163&lt;&gt;"BDI 3")),IF(ISNUMBER($V163),"JUSTIFICAR BDI","BDI"),
IF(OR(AND(import.recurso="OGU",TIPOORCAMENTO="Proposto",LEFT($O$8,5)&lt;&gt;"(N/D:",$AG163&lt;&gt;"",ORÇAMENTO.CustoUnitario&gt;$AG163),AND(TIPOORCAMENTO="LICITADO",ORÇAMENTO.PrecoUnitarioLicitado&gt;$AN163)),"ACIMA REF.",
IF(AND($C163="S",$P163&lt;&gt;"",$Q163&lt;&gt;"",$T163=0,$U163&gt;0),"QUANT.",
IF(AND(Import.TipoArredondamento="TransfereGOV",$L163="F",$C163="S",LEN($Q163)&gt;13),"Código &gt;13",
IF(AND(Import.TipoArredondamento="TransfereGOV",$L163="F",$C163&lt;&gt;"S",LEN($R163)&gt;100),"Descrição &gt;100",
IF(AND(Import.TipoArredondamento="TransfereGOV",$L163="F",$C163="S",LEN($R163)&gt;500),"Descrição &gt;500",
IF(AND(Import.TipoArredondamento="TransfereGOV",$L163="F",$C163="S",LEFT(TRIM(UPPER($P163)),6)&lt;&gt;"SINAPI",ISNA(VLOOKUP(TRIM(UPPER($S163)),ListaTgov.Unidades,1,FALSE))),"Unid. Não Disp",
" "))))))))))))))))</f>
        <v>Unid. Não Disp</v>
      </c>
      <c r="AD163" s="670" t="str">
        <f ca="1">IF(C163&lt;=CRONO.NivelExibicao,MAX($AD$15:OFFSET(AD163,-1,0))+IF($C163&lt;&gt;1,1,MAX(1,COUNTIF(QCI!$A$13:$A$24,OFFSET($E163,-1,0)))),"")</f>
        <v/>
      </c>
      <c r="AE163" s="668" t="str" cm="1">
        <f t="array" aca="1" ref="AE163" ca="1">IF(AND($C163="S",ORÇAMENTO.CodBarra&lt;&gt;""),IF(ORÇAMENTO.Fonte="",ORÇAMENTO.CodBarra,CONCATENATE(ORÇAMENTO.Fonte," ",ORÇAMENTO.CodBarra)))</f>
        <v>Cotação 34</v>
      </c>
      <c r="AF163" s="669" cm="1">
        <f t="array" aca="1" ref="AF163" ca="1">IF(ISERROR(ORÇAMENTO.BancoRef),"(abra o arquivo 'Referência "&amp;Excel_BuiltIn_Database&amp;".xlsm)",IF(OR($C163&lt;&gt;"S",ORÇAMENTO.CodBarra=""),"(Sem Código)",IF(ISERROR(MATCH($AE163,INDIRECT(ORÇAMENTO.BancoRef),0)),"(Código não identificado nas referências)",MATCH($AE163,INDIRECT(ORÇAMENTO.BancoRef),0))))</f>
        <v>43</v>
      </c>
      <c r="AG163" s="428" cm="1">
        <f t="array" aca="1" ref="AG163" ca="1">ROUND(IF(DESONERACAO="sim",REFERENCIA.Desonerado,REFERENCIA.NaoDesonerado),2)</f>
        <v>3706.92</v>
      </c>
      <c r="AH163" s="429">
        <f t="shared" ca="1" si="47"/>
        <v>0.16800000000000001</v>
      </c>
      <c r="AJ163" s="431"/>
      <c r="AL163" s="439"/>
      <c r="AM163" s="336">
        <f t="shared" ca="1" si="0"/>
        <v>12989.04</v>
      </c>
      <c r="AN163" s="470" cm="1">
        <f t="array" aca="1" ref="AN163" ca="1">ROUND(ORÇAMENTO.CustoUnitario*(1+$AH163),2)</f>
        <v>4329.68</v>
      </c>
    </row>
    <row r="164" spans="1:40" s="670" customFormat="1" ht="26.45" customHeight="1" x14ac:dyDescent="0.2">
      <c r="A164" s="670" t="str">
        <f t="shared" si="35"/>
        <v>S</v>
      </c>
      <c r="B164" s="670">
        <f t="shared" ca="1" si="36"/>
        <v>2</v>
      </c>
      <c r="C164" s="670" t="str">
        <f t="shared" ca="1" si="37"/>
        <v>S</v>
      </c>
      <c r="D164" s="670">
        <f t="shared" ca="1" si="38"/>
        <v>0</v>
      </c>
      <c r="E164" s="670">
        <f ca="1">IF($C164=1,OFFSET(E164,-1,0)+MAX(1,COUNTIF(QCI!$A$13:$A$24,OFFSET(ORÇAMENTO!E164,-1,0))),OFFSET(E164,-1,0))</f>
        <v>1</v>
      </c>
      <c r="F164" s="670">
        <f t="shared" ca="1" si="39"/>
        <v>21</v>
      </c>
      <c r="G164" s="670">
        <f t="shared" ca="1" si="40"/>
        <v>0</v>
      </c>
      <c r="H164" s="670">
        <f t="shared" ca="1" si="41"/>
        <v>0</v>
      </c>
      <c r="I164" s="670">
        <f t="shared" ca="1" si="42"/>
        <v>8</v>
      </c>
      <c r="J164" s="670">
        <f t="shared" ca="1" si="33"/>
        <v>0</v>
      </c>
      <c r="K164" s="670">
        <f ca="1">IF(OR($C164="S",$C164=0),0,MATCH(OFFSET($D164,0,$C164)+IF($C164&lt;&gt;1,1,COUNTIF(QCI!$A$13:$A$24,ORÇAMENTO!E164)),OFFSET($D164,1,$C164,ROW($C$191)-ROW($C164)),0))</f>
        <v>0</v>
      </c>
      <c r="L164" s="114" t="str">
        <f t="shared" ca="1" si="43"/>
        <v>F</v>
      </c>
      <c r="M164" s="115" t="s">
        <v>705</v>
      </c>
      <c r="N164" s="116" t="str">
        <f t="shared" ca="1" si="44"/>
        <v>Serviço</v>
      </c>
      <c r="O164" s="117" t="str">
        <f t="shared" ca="1" si="45"/>
        <v>1.21.8.</v>
      </c>
      <c r="P164" s="688" t="s">
        <v>954</v>
      </c>
      <c r="Q164" s="689" t="s">
        <v>1260</v>
      </c>
      <c r="R164" s="690" t="str" cm="1">
        <f t="array" aca="1" ref="R164" ca="1">IF($C164="S",REFERENCIA.Descricao,"(digite a descrição aqui)")</f>
        <v>PARAFUSO ZINCADO, SEXTAVADO, COM ROSCA INTEIRA, DIAMETRO 5/8", COMPRIMENTO 3", COM PORCA E ARRUELA DE PRESSAO MEDIA</v>
      </c>
      <c r="S164" s="691" t="str" cm="1">
        <f t="array" aca="1" ref="S164" ca="1">REFERENCIA.Unidade</f>
        <v>UN</v>
      </c>
      <c r="T164" s="122">
        <f ca="1">OFFSET(CÁLCULO!H$15,ROW($T164)-ROW(T$15),0)</f>
        <v>240</v>
      </c>
      <c r="U164" s="693">
        <f t="shared" ca="1" si="34"/>
        <v>6.18</v>
      </c>
      <c r="V164" s="694" t="s">
        <v>697</v>
      </c>
      <c r="W164" s="122" cm="1">
        <f t="array" aca="1" ref="W164" ca="1">IF($C164="S",ROUND(IF(TIPOORCAMENTO="Proposto",ORÇAMENTO.CustoUnitario*(1+$AH164),ORÇAMENTO.PrecoUnitarioLicitado),15-13*$AF$10),0)</f>
        <v>7.22</v>
      </c>
      <c r="X164" s="125" cm="1">
        <f t="array" aca="1" ref="X164" ca="1">IF($C164="S",IF(OR(Import.TipoArredondamento&lt;&gt;"TransfereGOV",ACOMPANHAMENTO="BM"),VTOTAL1,SUM(OFFSET(CÁLCULO!$AI$15,ROW($X164)-ROW($X$15),1):OFFSET(CÁLCULO!$BB$15,ROW($X164)-ROW($X$15),-1))),IF($C164=0,0,ROUND(SomaAgrup,15-13*$AF$11)))</f>
        <v>1732.8</v>
      </c>
      <c r="Y164" s="126" t="s">
        <v>751</v>
      </c>
      <c r="Z164" s="670" t="str">
        <f t="shared" ca="1" si="46"/>
        <v>RA</v>
      </c>
      <c r="AA164" s="127" cm="1">
        <f t="array" aca="1" ref="AA164" ca="1">IF($C164="S",IF($Z164="CP",$X164,IF($Z164="RA",(($X164)*QCI!$AA$3),0)),SomaAgrup)</f>
        <v>0</v>
      </c>
      <c r="AB164" s="128" cm="1">
        <f t="array" aca="1" ref="AB164" ca="1">IF($C164="S",IF($Z164="OU",ROUND($X164,2),0),SomaAgrup)</f>
        <v>0</v>
      </c>
      <c r="AC164" s="565" t="str" cm="1">
        <f t="array" aca="1" ref="AC164" ca="1">IF($N164=""," ",
IF(AND($C164&lt;&gt;"S",OR($R164="",$R164="(digite a descrição aqui)")),"DESCRIÇÃO",
IF(AND($C164="S",OR($Q164&lt;&gt;"",$T164&gt;0,$U164&gt;0),$P164=""),"FONTE",
IF(AND($C164="S",$P164&lt;&gt;"",OR($T164&gt;0,$U164&gt;0),$Q164=""),"CÓDIGO",
IF(AND($C164="S",$P164&lt;&gt;"",$Q164&lt;&gt;"",$R164="(Código não identificado nas referências)"),"CÓDIGO N/ID",
IF(AND($C164="S",OR($R164="",$R164="(digite a descrição aqui)"),OR($Q164&lt;&gt;"",$T164&gt;0,$U164&gt;0)),"DESCRIÇÃO",
IF(AND($C164="S",$P164&lt;&gt;"",$Q164&lt;&gt;"",$S164=""),"UNIDADE",
IF(AND($C164="S",$P164&lt;&gt;"",$Q164&lt;&gt;"",$U164=0),"SEM CUSTO",
IF(AND(TIPOORCAMENTO="Licitado",$AL164=0,$AN164&gt;0),"SEM PREÇO",
IF(AND($C164="S",$P164&lt;&gt;"",$Q164&lt;&gt;"",$U164&gt;0,AND($V164&lt;&gt;"BDI 1",$V164&lt;&gt;"BDI 2",$V164&lt;&gt;"BDI 3")),IF(ISNUMBER($V164),"JUSTIFICAR BDI","BDI"),
IF(OR(AND(import.recurso="OGU",TIPOORCAMENTO="Proposto",LEFT($O$8,5)&lt;&gt;"(N/D:",$AG164&lt;&gt;"",ORÇAMENTO.CustoUnitario&gt;$AG164),AND(TIPOORCAMENTO="LICITADO",ORÇAMENTO.PrecoUnitarioLicitado&gt;$AN164)),"ACIMA REF.",
IF(AND($C164="S",$P164&lt;&gt;"",$Q164&lt;&gt;"",$T164=0,$U164&gt;0),"QUANT.",
IF(AND(Import.TipoArredondamento="TransfereGOV",$L164="F",$C164="S",LEN($Q164)&gt;13),"Código &gt;13",
IF(AND(Import.TipoArredondamento="TransfereGOV",$L164="F",$C164&lt;&gt;"S",LEN($R164)&gt;100),"Descrição &gt;100",
IF(AND(Import.TipoArredondamento="TransfereGOV",$L164="F",$C164="S",LEN($R164)&gt;500),"Descrição &gt;500",
IF(AND(Import.TipoArredondamento="TransfereGOV",$L164="F",$C164="S",LEFT(TRIM(UPPER($P164)),6)&lt;&gt;"SINAPI",ISNA(VLOOKUP(TRIM(UPPER($S164)),ListaTgov.Unidades,1,FALSE))),"Unid. Não Disp",
" "))))))))))))))))</f>
        <v xml:space="preserve"> </v>
      </c>
      <c r="AD164" s="670" t="str">
        <f ca="1">IF(C164&lt;=CRONO.NivelExibicao,MAX($AD$15:OFFSET(AD164,-1,0))+IF($C164&lt;&gt;1,1,MAX(1,COUNTIF(QCI!$A$13:$A$24,OFFSET($E164,-1,0)))),"")</f>
        <v/>
      </c>
      <c r="AE164" s="668" t="str" cm="1">
        <f t="array" aca="1" ref="AE164" ca="1">IF(AND($C164="S",ORÇAMENTO.CodBarra&lt;&gt;""),IF(ORÇAMENTO.Fonte="",ORÇAMENTO.CodBarra,CONCATENATE(ORÇAMENTO.Fonte," ",ORÇAMENTO.CodBarra)))</f>
        <v>SINAPI-I 4336</v>
      </c>
      <c r="AF164" s="669" cm="1">
        <f t="array" aca="1" ref="AF164" ca="1">IF(ISERROR(ORÇAMENTO.BancoRef),"(abra o arquivo 'Referência "&amp;Excel_BuiltIn_Database&amp;".xlsm)",IF(OR($C164&lt;&gt;"S",ORÇAMENTO.CodBarra=""),"(Sem Código)",IF(ISERROR(MATCH($AE164,INDIRECT(ORÇAMENTO.BancoRef),0)),"(Código não identificado nas referências)",MATCH($AE164,INDIRECT(ORÇAMENTO.BancoRef),0))))</f>
        <v>3259</v>
      </c>
      <c r="AG164" s="428" cm="1">
        <f t="array" aca="1" ref="AG164" ca="1">ROUND(IF(DESONERACAO="sim",REFERENCIA.Desonerado,REFERENCIA.NaoDesonerado),2)</f>
        <v>6.18</v>
      </c>
      <c r="AH164" s="429">
        <f t="shared" ca="1" si="47"/>
        <v>0.16800000000000001</v>
      </c>
      <c r="AJ164" s="431"/>
      <c r="AL164" s="439"/>
      <c r="AM164" s="336">
        <f t="shared" ca="1" si="0"/>
        <v>1732.8</v>
      </c>
      <c r="AN164" s="470" cm="1">
        <f t="array" aca="1" ref="AN164" ca="1">ROUND(ORÇAMENTO.CustoUnitario*(1+$AH164),2)</f>
        <v>7.22</v>
      </c>
    </row>
    <row r="165" spans="1:40" s="680" customFormat="1" ht="25.5" x14ac:dyDescent="0.2">
      <c r="A165" s="680" t="str">
        <f>CHOOSE(1+LOG(1+2*(ORÇAMENTO.Nivel="Meta")+4*(ORÇAMENTO.Nivel="Nível 2")+8*(ORÇAMENTO.Nivel="Nível 3")+16*(ORÇAMENTO.Nivel="Nível 4")+32*(ORÇAMENTO.Nivel="Serviço"),2),0,1,2,3,4,"S")</f>
        <v>S</v>
      </c>
      <c r="B165" s="680">
        <f ca="1">IF(OR(C165="s",C165=0),OFFSET(B165,-1,0),C165)</f>
        <v>2</v>
      </c>
      <c r="C165" s="680" t="str">
        <f ca="1">IF(OFFSET(C165,-1,0)="L",1,IF(OFFSET(C165,-1,0)=1,2,IF(OR(A165="s",A165=0),"S",IF(AND(OFFSET(C165,-1,0)=2,A165=4),3,IF(AND(OR(OFFSET(C165,-1,0)="s",OFFSET(C165,-1,0)=0),A165&lt;&gt;"s",A165&gt;OFFSET(B165,-1,0)),OFFSET(B165,-1,0),A165)))))</f>
        <v>S</v>
      </c>
      <c r="D165" s="680">
        <f ca="1">IF(OR(C165="S",C165=0),0,IF(ISERROR(K165),J165,SMALL(J165:K165,1)))</f>
        <v>0</v>
      </c>
      <c r="E165" s="680">
        <f ca="1">IF($C165=1,OFFSET(E165,-1,0)+MAX(1,COUNTIF(QCI!$A$13:$A$24,OFFSET(ORÇAMENTO!E165,-1,0))),OFFSET(E165,-1,0))</f>
        <v>1</v>
      </c>
      <c r="F165" s="680">
        <f ca="1">IF($C165=1,0,IF($C165=2,OFFSET(F165,-1,0)+1,OFFSET(F165,-1,0)))</f>
        <v>21</v>
      </c>
      <c r="G165" s="680">
        <f ca="1">IF(AND($C165&lt;=2,$C165&lt;&gt;0),0,IF($C165=3,OFFSET(G165,-1,0)+1,OFFSET(G165,-1,0)))</f>
        <v>0</v>
      </c>
      <c r="H165" s="680">
        <f ca="1">IF(AND($C165&lt;=3,$C165&lt;&gt;0),0,IF($C165=4,OFFSET(H165,-1,0)+1,OFFSET(H165,-1,0)))</f>
        <v>0</v>
      </c>
      <c r="I165" s="680">
        <f ca="1">IF(AND($C165&lt;=4,$C165&lt;&gt;0),0,IF(AND($C165="S",$X165&gt;0),OFFSET(I165,-1,0)+1,OFFSET(I165,-1,0)))</f>
        <v>9</v>
      </c>
      <c r="J165" s="680">
        <f t="shared" ca="1" si="33"/>
        <v>0</v>
      </c>
      <c r="K165" s="680">
        <f ca="1">IF(OR($C165="S",$C165=0),0,MATCH(OFFSET($D165,0,$C165)+IF($C165&lt;&gt;1,1,COUNTIF(QCI!$A$13:$A$24,ORÇAMENTO!E165)),OFFSET($D165,1,$C165,ROW($C$191)-ROW($C165)),0))</f>
        <v>0</v>
      </c>
      <c r="L165" s="684" t="str">
        <f ca="1">IF(OR($X165&gt;0,$C165=1,$C165=2,$C165=3,$C165=4),"F","")</f>
        <v>F</v>
      </c>
      <c r="M165" s="685" t="s">
        <v>705</v>
      </c>
      <c r="N165" s="686" t="str">
        <f ca="1">CHOOSE(1+LOG(1+2*(C165=1)+4*(C165=2)+8*(C165=3)+16*(C165=4)+32*(C165="S"),2),"","Meta","Nível 2","Nível 3","Nível 4","Serviço")</f>
        <v>Serviço</v>
      </c>
      <c r="O165" s="687" t="str">
        <f ca="1">IF(OR($C165=0,$L165=""),"-",CONCATENATE(E165&amp;".",IF(AND($A$5&gt;=2,$C165&gt;=2),F165&amp;".",""),IF(AND($A$5&gt;=3,$C165&gt;=3),G165&amp;".",""),IF(AND($A$5&gt;=4,$C165&gt;=4),H165&amp;".",""),IF($C165="S",I165&amp;".","")))</f>
        <v>1.21.9.</v>
      </c>
      <c r="P165" s="688" t="s">
        <v>956</v>
      </c>
      <c r="Q165" s="689" t="s">
        <v>1241</v>
      </c>
      <c r="R165" s="690" t="str" cm="1">
        <f t="array" aca="1" ref="R165" ca="1">IF($C165="S",REFERENCIA.Descricao,"(digite a descrição aqui)")</f>
        <v>MONTAGEM DE CONEXÕES DE FERRO FUNDIDO, COM FLANGES, DIAM.= 200 MM. INC_05/2020</v>
      </c>
      <c r="S165" s="691" cm="1">
        <f t="array" aca="1" ref="S165" ca="1">REFERENCIA.Unidade</f>
        <v>0</v>
      </c>
      <c r="T165" s="692">
        <f ca="1">OFFSET(CÁLCULO!H$15,ROW($T165)-ROW(T$15),0)</f>
        <v>20</v>
      </c>
      <c r="U165" s="693">
        <f t="shared" ca="1" si="34"/>
        <v>21.16</v>
      </c>
      <c r="V165" s="694" t="s">
        <v>663</v>
      </c>
      <c r="W165" s="692" cm="1">
        <f t="array" aca="1" ref="W165" ca="1">IF($C165="S",ROUND(IF(TIPOORCAMENTO="Proposto",ORÇAMENTO.CustoUnitario*(1+$AH165),ORÇAMENTO.PrecoUnitarioLicitado),15-13*$AF$10),0)</f>
        <v>26.24</v>
      </c>
      <c r="X165" s="695" cm="1">
        <f t="array" aca="1" ref="X165" ca="1">IF($C165="S",IF(OR(Import.TipoArredondamento&lt;&gt;"TransfereGOV",ACOMPANHAMENTO="BM"),VTOTAL1,SUM(OFFSET(CÁLCULO!$AI$15,ROW($X165)-ROW($X$15),1):OFFSET(CÁLCULO!$BB$15,ROW($X165)-ROW($X$15),-1))),IF($C165=0,0,ROUND(SomaAgrup,15-13*$AF$11)))</f>
        <v>524.79999999999995</v>
      </c>
      <c r="Y165" s="696" t="s">
        <v>751</v>
      </c>
      <c r="Z165" s="680" t="str">
        <f ca="1">IF(AND($C165="S",$X165&gt;0),IF(ISBLANK($Y165),"RA",LEFT($Y165,2)),"")</f>
        <v>RA</v>
      </c>
      <c r="AA165" s="697" cm="1">
        <f t="array" aca="1" ref="AA165" ca="1">IF($C165="S",IF($Z165="CP",$X165,IF($Z165="RA",(($X165)*QCI!$AA$3),0)),SomaAgrup)</f>
        <v>0</v>
      </c>
      <c r="AB165" s="698" cm="1">
        <f t="array" aca="1" ref="AB165" ca="1">IF($C165="S",IF($Z165="OU",ROUND($X165,2),0),SomaAgrup)</f>
        <v>0</v>
      </c>
      <c r="AC165" s="723" t="str" cm="1">
        <f t="array" aca="1" ref="AC165" ca="1">IF($N165=""," ",
IF(AND($C165&lt;&gt;"S",OR($R165="",$R165="(digite a descrição aqui)")),"DESCRIÇÃO",
IF(AND($C165="S",OR($Q165&lt;&gt;"",$T165&gt;0,$U165&gt;0),$P165=""),"FONTE",
IF(AND($C165="S",$P165&lt;&gt;"",OR($T165&gt;0,$U165&gt;0),$Q165=""),"CÓDIGO",
IF(AND($C165="S",$P165&lt;&gt;"",$Q165&lt;&gt;"",$R165="(Código não identificado nas referências)"),"CÓDIGO N/ID",
IF(AND($C165="S",OR($R165="",$R165="(digite a descrição aqui)"),OR($Q165&lt;&gt;"",$T165&gt;0,$U165&gt;0)),"DESCRIÇÃO",
IF(AND($C165="S",$P165&lt;&gt;"",$Q165&lt;&gt;"",$S165=""),"UNIDADE",
IF(AND($C165="S",$P165&lt;&gt;"",$Q165&lt;&gt;"",$U165=0),"SEM CUSTO",
IF(AND(TIPOORCAMENTO="Licitado",$AL165=0,$AN165&gt;0),"SEM PREÇO",
IF(AND($C165="S",$P165&lt;&gt;"",$Q165&lt;&gt;"",$U165&gt;0,AND($V165&lt;&gt;"BDI 1",$V165&lt;&gt;"BDI 2",$V165&lt;&gt;"BDI 3")),IF(ISNUMBER($V165),"JUSTIFICAR BDI","BDI"),
IF(OR(AND(import.recurso="OGU",TIPOORCAMENTO="Proposto",LEFT($O$8,5)&lt;&gt;"(N/D:",$AG165&lt;&gt;"",ORÇAMENTO.CustoUnitario&gt;$AG165),AND(TIPOORCAMENTO="LICITADO",ORÇAMENTO.PrecoUnitarioLicitado&gt;$AN165)),"ACIMA REF.",
IF(AND($C165="S",$P165&lt;&gt;"",$Q165&lt;&gt;"",$T165=0,$U165&gt;0),"QUANT.",
IF(AND(Import.TipoArredondamento="TransfereGOV",$L165="F",$C165="S",LEN($Q165)&gt;13),"Código &gt;13",
IF(AND(Import.TipoArredondamento="TransfereGOV",$L165="F",$C165&lt;&gt;"S",LEN($R165)&gt;100),"Descrição &gt;100",
IF(AND(Import.TipoArredondamento="TransfereGOV",$L165="F",$C165="S",LEN($R165)&gt;500),"Descrição &gt;500",
IF(AND(Import.TipoArredondamento="TransfereGOV",$L165="F",$C165="S",LEFT(TRIM(UPPER($P165)),6)&lt;&gt;"SINAPI",ISNA(VLOOKUP(TRIM(UPPER($S165)),ListaTgov.Unidades,1,FALSE))),"Unid. Não Disp",
" "))))))))))))))))</f>
        <v>Unid. Não Disp</v>
      </c>
      <c r="AD165" s="680" t="str">
        <f ca="1">IF(C165&lt;=CRONO.NivelExibicao,MAX($AD$15:OFFSET(AD165,-1,0))+IF($C165&lt;&gt;1,1,MAX(1,COUNTIF(QCI!$A$13:$A$24,OFFSET($E165,-1,0)))),"")</f>
        <v/>
      </c>
      <c r="AE165" s="681" t="str" cm="1">
        <f t="array" aca="1" ref="AE165" ca="1">IF(AND($C165="S",ORÇAMENTO.CodBarra&lt;&gt;""),IF(ORÇAMENTO.Fonte="",ORÇAMENTO.CodBarra,CONCATENATE(ORÇAMENTO.Fonte," ",ORÇAMENTO.CodBarra)))</f>
        <v>Composição 001</v>
      </c>
      <c r="AF165" s="682" cm="1">
        <f t="array" aca="1" ref="AF165" ca="1">IF(ISERROR(ORÇAMENTO.BancoRef),"(abra o arquivo 'Referência "&amp;Excel_BuiltIn_Database&amp;".xlsm)",IF(OR($C165&lt;&gt;"S",ORÇAMENTO.CodBarra=""),"(Sem Código)",IF(ISERROR(MATCH($AE165,INDIRECT(ORÇAMENTO.BancoRef),0)),"(Código não identificado nas referências)",MATCH($AE165,INDIRECT(ORÇAMENTO.BancoRef),0))))</f>
        <v>3</v>
      </c>
      <c r="AG165" s="714" cm="1">
        <f t="array" aca="1" ref="AG165" ca="1">ROUND(IF(DESONERACAO="sim",REFERENCIA.Desonerado,REFERENCIA.NaoDesonerado),2)</f>
        <v>21.16</v>
      </c>
      <c r="AH165" s="715">
        <f ca="1">ROUND(IF(ISNUMBER(ORÇAMENTO.OpcaoBDI),ORÇAMENTO.OpcaoBDI,IF(LEFT(ORÇAMENTO.OpcaoBDI,3)="BDI",HLOOKUP(ORÇAMENTO.OpcaoBDI,$F$4:$H$5,2,FALSE),0)),15-11*$AF$9)</f>
        <v>0.24</v>
      </c>
      <c r="AJ165" s="716"/>
      <c r="AL165" s="718"/>
      <c r="AM165" s="710">
        <f t="shared" ca="1" si="0"/>
        <v>524.79999999999995</v>
      </c>
      <c r="AN165" s="721" cm="1">
        <f t="array" aca="1" ref="AN165" ca="1">ROUND(ORÇAMENTO.CustoUnitario*(1+$AH165),2)</f>
        <v>26.24</v>
      </c>
    </row>
    <row r="166" spans="1:40" s="670" customFormat="1" ht="25.5" x14ac:dyDescent="0.2">
      <c r="A166" s="670">
        <f t="shared" si="35"/>
        <v>2</v>
      </c>
      <c r="B166" s="670">
        <f t="shared" ca="1" si="36"/>
        <v>2</v>
      </c>
      <c r="C166" s="670">
        <f t="shared" ca="1" si="37"/>
        <v>2</v>
      </c>
      <c r="D166" s="670">
        <f t="shared" ca="1" si="38"/>
        <v>4</v>
      </c>
      <c r="E166" s="670">
        <f ca="1">IF($C166=1,OFFSET(E166,-1,0)+MAX(1,COUNTIF(QCI!$A$13:$A$24,OFFSET(ORÇAMENTO!E166,-1,0))),OFFSET(E166,-1,0))</f>
        <v>1</v>
      </c>
      <c r="F166" s="670">
        <f t="shared" ca="1" si="39"/>
        <v>22</v>
      </c>
      <c r="G166" s="670">
        <f t="shared" ca="1" si="40"/>
        <v>0</v>
      </c>
      <c r="H166" s="670">
        <f t="shared" ca="1" si="41"/>
        <v>0</v>
      </c>
      <c r="I166" s="670">
        <f t="shared" ca="1" si="42"/>
        <v>0</v>
      </c>
      <c r="J166" s="670">
        <f t="shared" ca="1" si="33"/>
        <v>25</v>
      </c>
      <c r="K166" s="670">
        <f ca="1">IF(OR($C166="S",$C166=0),0,MATCH(OFFSET($D166,0,$C166)+IF($C166&lt;&gt;1,1,COUNTIF(QCI!$A$13:$A$24,ORÇAMENTO!E166)),OFFSET($D166,1,$C166,ROW($C$191)-ROW($C166)),0))</f>
        <v>4</v>
      </c>
      <c r="L166" s="114" t="str">
        <f t="shared" ca="1" si="43"/>
        <v>F</v>
      </c>
      <c r="M166" s="115" t="s">
        <v>702</v>
      </c>
      <c r="N166" s="116" t="str">
        <f t="shared" ca="1" si="44"/>
        <v>Nível 2</v>
      </c>
      <c r="O166" s="117" t="str">
        <f t="shared" ca="1" si="45"/>
        <v>1.22.</v>
      </c>
      <c r="P166" s="688" t="s">
        <v>250</v>
      </c>
      <c r="Q166" s="689" t="s">
        <v>250</v>
      </c>
      <c r="R166" s="690" t="s">
        <v>1311</v>
      </c>
      <c r="S166" s="691" t="s">
        <v>688</v>
      </c>
      <c r="T166" s="122">
        <f ca="1">OFFSET(CÁLCULO!H$15,ROW($T166)-ROW(T$15),0)</f>
        <v>0</v>
      </c>
      <c r="U166" s="693">
        <f t="shared" ca="1" si="34"/>
        <v>0</v>
      </c>
      <c r="V166" s="694" t="s">
        <v>663</v>
      </c>
      <c r="W166" s="122" cm="1">
        <f t="array" aca="1" ref="W166" ca="1">IF($C166="S",ROUND(IF(TIPOORCAMENTO="Proposto",ORÇAMENTO.CustoUnitario*(1+$AH166),ORÇAMENTO.PrecoUnitarioLicitado),15-13*$AF$10),0)</f>
        <v>0</v>
      </c>
      <c r="X166" s="125" cm="1">
        <f t="array" aca="1" ref="X166" ca="1">IF($C166="S",IF(OR(Import.TipoArredondamento&lt;&gt;"TransfereGOV",ACOMPANHAMENTO="BM"),VTOTAL1,SUM(OFFSET(CÁLCULO!$AI$15,ROW($X166)-ROW($X$15),1):OFFSET(CÁLCULO!$BB$15,ROW($X166)-ROW($X$15),-1))),IF($C166=0,0,ROUND(SomaAgrup,15-13*$AF$11)))</f>
        <v>191714.02</v>
      </c>
      <c r="Y166" s="126" t="s">
        <v>751</v>
      </c>
      <c r="Z166" s="670" t="str">
        <f t="shared" ca="1" si="46"/>
        <v/>
      </c>
      <c r="AA166" s="127" cm="1">
        <f t="array" aca="1" ref="AA166" ca="1">IF($C166="S",IF($Z166="CP",$X166,IF($Z166="RA",(($X166)*QCI!$AA$3),0)),SomaAgrup)</f>
        <v>0</v>
      </c>
      <c r="AB166" s="128" cm="1">
        <f t="array" aca="1" ref="AB166" ca="1">IF($C166="S",IF($Z166="OU",ROUND($X166,2),0),SomaAgrup)</f>
        <v>0</v>
      </c>
      <c r="AC166" s="565" t="str" cm="1">
        <f t="array" aca="1" ref="AC166" ca="1">IF($N166=""," ",
IF(AND($C166&lt;&gt;"S",OR($R166="",$R166="(digite a descrição aqui)")),"DESCRIÇÃO",
IF(AND($C166="S",OR($Q166&lt;&gt;"",$T166&gt;0,$U166&gt;0),$P166=""),"FONTE",
IF(AND($C166="S",$P166&lt;&gt;"",OR($T166&gt;0,$U166&gt;0),$Q166=""),"CÓDIGO",
IF(AND($C166="S",$P166&lt;&gt;"",$Q166&lt;&gt;"",$R166="(Código não identificado nas referências)"),"CÓDIGO N/ID",
IF(AND($C166="S",OR($R166="",$R166="(digite a descrição aqui)"),OR($Q166&lt;&gt;"",$T166&gt;0,$U166&gt;0)),"DESCRIÇÃO",
IF(AND($C166="S",$P166&lt;&gt;"",$Q166&lt;&gt;"",$S166=""),"UNIDADE",
IF(AND($C166="S",$P166&lt;&gt;"",$Q166&lt;&gt;"",$U166=0),"SEM CUSTO",
IF(AND(TIPOORCAMENTO="Licitado",$AL166=0,$AN166&gt;0),"SEM PREÇO",
IF(AND($C166="S",$P166&lt;&gt;"",$Q166&lt;&gt;"",$U166&gt;0,AND($V166&lt;&gt;"BDI 1",$V166&lt;&gt;"BDI 2",$V166&lt;&gt;"BDI 3")),IF(ISNUMBER($V166),"JUSTIFICAR BDI","BDI"),
IF(OR(AND(import.recurso="OGU",TIPOORCAMENTO="Proposto",LEFT($O$8,5)&lt;&gt;"(N/D:",$AG166&lt;&gt;"",ORÇAMENTO.CustoUnitario&gt;$AG166),AND(TIPOORCAMENTO="LICITADO",ORÇAMENTO.PrecoUnitarioLicitado&gt;$AN166)),"ACIMA REF.",
IF(AND($C166="S",$P166&lt;&gt;"",$Q166&lt;&gt;"",$T166=0,$U166&gt;0),"QUANT.",
IF(AND(Import.TipoArredondamento="TransfereGOV",$L166="F",$C166="S",LEN($Q166)&gt;13),"Código &gt;13",
IF(AND(Import.TipoArredondamento="TransfereGOV",$L166="F",$C166&lt;&gt;"S",LEN($R166)&gt;100),"Descrição &gt;100",
IF(AND(Import.TipoArredondamento="TransfereGOV",$L166="F",$C166="S",LEN($R166)&gt;500),"Descrição &gt;500",
IF(AND(Import.TipoArredondamento="TransfereGOV",$L166="F",$C166="S",LEFT(TRIM(UPPER($P166)),6)&lt;&gt;"SINAPI",ISNA(VLOOKUP(TRIM(UPPER($S166)),ListaTgov.Unidades,1,FALSE))),"Unid. Não Disp",
" "))))))))))))))))</f>
        <v xml:space="preserve"> </v>
      </c>
      <c r="AD166" s="670">
        <f ca="1">IF(C166&lt;=CRONO.NivelExibicao,MAX($AD$15:OFFSET(AD166,-1,0))+IF($C166&lt;&gt;1,1,MAX(1,COUNTIF(QCI!$A$13:$A$24,OFFSET($E166,-1,0)))),"")</f>
        <v>23</v>
      </c>
      <c r="AE166" s="668" t="b" cm="1">
        <f t="array" aca="1" ref="AE166" ca="1">IF(AND($C166="S",ORÇAMENTO.CodBarra&lt;&gt;""),IF(ORÇAMENTO.Fonte="",ORÇAMENTO.CodBarra,CONCATENATE(ORÇAMENTO.Fonte," ",ORÇAMENTO.CodBarra)))</f>
        <v>0</v>
      </c>
      <c r="AF166" s="669" t="str" cm="1">
        <f t="array" aca="1" ref="AF166" ca="1">IF(ISERROR(ORÇAMENTO.BancoRef),"(abra o arquivo 'Referência "&amp;Excel_BuiltIn_Database&amp;".xlsm)",IF(OR($C166&lt;&gt;"S",ORÇAMENTO.CodBarra=""),"(Sem Código)",IF(ISERROR(MATCH($AE166,INDIRECT(ORÇAMENTO.BancoRef),0)),"(Código não identificado nas referências)",MATCH($AE166,INDIRECT(ORÇAMENTO.BancoRef),0))))</f>
        <v>(Sem Código)</v>
      </c>
      <c r="AG166" s="428" cm="1">
        <f t="array" aca="1" ref="AG166" ca="1">ROUND(IF(DESONERACAO="sim",REFERENCIA.Desonerado,REFERENCIA.NaoDesonerado),2)</f>
        <v>0</v>
      </c>
      <c r="AH166" s="429">
        <f t="shared" ca="1" si="47"/>
        <v>0.24</v>
      </c>
      <c r="AJ166" s="431"/>
      <c r="AL166" s="439"/>
      <c r="AM166" s="336">
        <f t="shared" ca="1" si="0"/>
        <v>191714.02</v>
      </c>
      <c r="AN166" s="470" cm="1">
        <f t="array" aca="1" ref="AN166" ca="1">ROUND(ORÇAMENTO.CustoUnitario*(1+$AH166),2)</f>
        <v>0</v>
      </c>
    </row>
    <row r="167" spans="1:40" s="670" customFormat="1" ht="25.5" x14ac:dyDescent="0.2">
      <c r="A167" s="670" t="str">
        <f t="shared" si="35"/>
        <v>S</v>
      </c>
      <c r="B167" s="670">
        <f t="shared" ca="1" si="36"/>
        <v>2</v>
      </c>
      <c r="C167" s="670" t="str">
        <f t="shared" ca="1" si="37"/>
        <v>S</v>
      </c>
      <c r="D167" s="670">
        <f t="shared" ca="1" si="38"/>
        <v>0</v>
      </c>
      <c r="E167" s="670">
        <f ca="1">IF($C167=1,OFFSET(E167,-1,0)+MAX(1,COUNTIF(QCI!$A$13:$A$24,OFFSET(ORÇAMENTO!E167,-1,0))),OFFSET(E167,-1,0))</f>
        <v>1</v>
      </c>
      <c r="F167" s="670">
        <f t="shared" ca="1" si="39"/>
        <v>22</v>
      </c>
      <c r="G167" s="670">
        <f t="shared" ca="1" si="40"/>
        <v>0</v>
      </c>
      <c r="H167" s="670">
        <f t="shared" ca="1" si="41"/>
        <v>0</v>
      </c>
      <c r="I167" s="670">
        <f t="shared" ca="1" si="42"/>
        <v>1</v>
      </c>
      <c r="J167" s="670">
        <f t="shared" ref="J167:J190" ca="1" si="48">IF(OR($C167="S",$C167=0),0,MATCH(0,OFFSET($D167,1,$C167,ROW($C$191)-ROW($C167)),0))</f>
        <v>0</v>
      </c>
      <c r="K167" s="670">
        <f ca="1">IF(OR($C167="S",$C167=0),0,MATCH(OFFSET($D167,0,$C167)+IF($C167&lt;&gt;1,1,COUNTIF(QCI!$A$13:$A$24,ORÇAMENTO!E167)),OFFSET($D167,1,$C167,ROW($C$191)-ROW($C167)),0))</f>
        <v>0</v>
      </c>
      <c r="L167" s="114" t="str">
        <f t="shared" ca="1" si="43"/>
        <v>F</v>
      </c>
      <c r="M167" s="115" t="s">
        <v>705</v>
      </c>
      <c r="N167" s="116" t="str">
        <f t="shared" ca="1" si="44"/>
        <v>Serviço</v>
      </c>
      <c r="O167" s="117" t="str">
        <f t="shared" ca="1" si="45"/>
        <v>1.22.1.</v>
      </c>
      <c r="P167" s="688" t="s">
        <v>957</v>
      </c>
      <c r="Q167" s="689" t="s">
        <v>1112</v>
      </c>
      <c r="R167" s="690" t="str" cm="1">
        <f t="array" aca="1" ref="R167" ca="1">IF($C167="S",REFERENCIA.Descricao,"(digite a descrição aqui)")</f>
        <v>QUADRO DE COMANDO COMPESSADOR PARA ACIONAMENT E PROTEÇÃO INDIVIDUALIZADO DE DOIS CONJUNTOS</v>
      </c>
      <c r="S167" s="691" t="str" cm="1">
        <f t="array" aca="1" ref="S167" ca="1">REFERENCIA.Unidade</f>
        <v>UNIDADE</v>
      </c>
      <c r="T167" s="122">
        <f ca="1">OFFSET(CÁLCULO!H$15,ROW($T167)-ROW(T$15),0)</f>
        <v>2</v>
      </c>
      <c r="U167" s="693">
        <f t="shared" ca="1" si="34"/>
        <v>55879.08</v>
      </c>
      <c r="V167" s="694" t="s">
        <v>697</v>
      </c>
      <c r="W167" s="122" cm="1">
        <f t="array" aca="1" ref="W167" ca="1">IF($C167="S",ROUND(IF(TIPOORCAMENTO="Proposto",ORÇAMENTO.CustoUnitario*(1+$AH167),ORÇAMENTO.PrecoUnitarioLicitado),15-13*$AF$10),0)</f>
        <v>65266.77</v>
      </c>
      <c r="X167" s="125" cm="1">
        <f t="array" aca="1" ref="X167" ca="1">IF($C167="S",IF(OR(Import.TipoArredondamento&lt;&gt;"TransfereGOV",ACOMPANHAMENTO="BM"),VTOTAL1,SUM(OFFSET(CÁLCULO!$AI$15,ROW($X167)-ROW($X$15),1):OFFSET(CÁLCULO!$BB$15,ROW($X167)-ROW($X$15),-1))),IF($C167=0,0,ROUND(SomaAgrup,15-13*$AF$11)))</f>
        <v>130533.54</v>
      </c>
      <c r="Y167" s="126" t="s">
        <v>751</v>
      </c>
      <c r="Z167" s="670" t="str">
        <f t="shared" ca="1" si="46"/>
        <v>RA</v>
      </c>
      <c r="AA167" s="127" cm="1">
        <f t="array" aca="1" ref="AA167" ca="1">IF($C167="S",IF($Z167="CP",$X167,IF($Z167="RA",(($X167)*QCI!$AA$3),0)),SomaAgrup)</f>
        <v>0</v>
      </c>
      <c r="AB167" s="128" cm="1">
        <f t="array" aca="1" ref="AB167" ca="1">IF($C167="S",IF($Z167="OU",ROUND($X167,2),0),SomaAgrup)</f>
        <v>0</v>
      </c>
      <c r="AC167" s="565" t="str" cm="1">
        <f t="array" aca="1" ref="AC167" ca="1">IF($N167=""," ",
IF(AND($C167&lt;&gt;"S",OR($R167="",$R167="(digite a descrição aqui)")),"DESCRIÇÃO",
IF(AND($C167="S",OR($Q167&lt;&gt;"",$T167&gt;0,$U167&gt;0),$P167=""),"FONTE",
IF(AND($C167="S",$P167&lt;&gt;"",OR($T167&gt;0,$U167&gt;0),$Q167=""),"CÓDIGO",
IF(AND($C167="S",$P167&lt;&gt;"",$Q167&lt;&gt;"",$R167="(Código não identificado nas referências)"),"CÓDIGO N/ID",
IF(AND($C167="S",OR($R167="",$R167="(digite a descrição aqui)"),OR($Q167&lt;&gt;"",$T167&gt;0,$U167&gt;0)),"DESCRIÇÃO",
IF(AND($C167="S",$P167&lt;&gt;"",$Q167&lt;&gt;"",$S167=""),"UNIDADE",
IF(AND($C167="S",$P167&lt;&gt;"",$Q167&lt;&gt;"",$U167=0),"SEM CUSTO",
IF(AND(TIPOORCAMENTO="Licitado",$AL167=0,$AN167&gt;0),"SEM PREÇO",
IF(AND($C167="S",$P167&lt;&gt;"",$Q167&lt;&gt;"",$U167&gt;0,AND($V167&lt;&gt;"BDI 1",$V167&lt;&gt;"BDI 2",$V167&lt;&gt;"BDI 3")),IF(ISNUMBER($V167),"JUSTIFICAR BDI","BDI"),
IF(OR(AND(import.recurso="OGU",TIPOORCAMENTO="Proposto",LEFT($O$8,5)&lt;&gt;"(N/D:",$AG167&lt;&gt;"",ORÇAMENTO.CustoUnitario&gt;$AG167),AND(TIPOORCAMENTO="LICITADO",ORÇAMENTO.PrecoUnitarioLicitado&gt;$AN167)),"ACIMA REF.",
IF(AND($C167="S",$P167&lt;&gt;"",$Q167&lt;&gt;"",$T167=0,$U167&gt;0),"QUANT.",
IF(AND(Import.TipoArredondamento="TransfereGOV",$L167="F",$C167="S",LEN($Q167)&gt;13),"Código &gt;13",
IF(AND(Import.TipoArredondamento="TransfereGOV",$L167="F",$C167&lt;&gt;"S",LEN($R167)&gt;100),"Descrição &gt;100",
IF(AND(Import.TipoArredondamento="TransfereGOV",$L167="F",$C167="S",LEN($R167)&gt;500),"Descrição &gt;500",
IF(AND(Import.TipoArredondamento="TransfereGOV",$L167="F",$C167="S",LEFT(TRIM(UPPER($P167)),6)&lt;&gt;"SINAPI",ISNA(VLOOKUP(TRIM(UPPER($S167)),ListaTgov.Unidades,1,FALSE))),"Unid. Não Disp",
" "))))))))))))))))</f>
        <v>Unid. Não Disp</v>
      </c>
      <c r="AD167" s="670" t="str">
        <f ca="1">IF(C167&lt;=CRONO.NivelExibicao,MAX($AD$15:OFFSET(AD167,-1,0))+IF($C167&lt;&gt;1,1,MAX(1,COUNTIF(QCI!$A$13:$A$24,OFFSET($E167,-1,0)))),"")</f>
        <v/>
      </c>
      <c r="AE167" s="668" t="str" cm="1">
        <f t="array" aca="1" ref="AE167" ca="1">IF(AND($C167="S",ORÇAMENTO.CodBarra&lt;&gt;""),IF(ORÇAMENTO.Fonte="",ORÇAMENTO.CodBarra,CONCATENATE(ORÇAMENTO.Fonte," ",ORÇAMENTO.CodBarra)))</f>
        <v>Cotação 40</v>
      </c>
      <c r="AF167" s="669" cm="1">
        <f t="array" aca="1" ref="AF167" ca="1">IF(ISERROR(ORÇAMENTO.BancoRef),"(abra o arquivo 'Referência "&amp;Excel_BuiltIn_Database&amp;".xlsm)",IF(OR($C167&lt;&gt;"S",ORÇAMENTO.CodBarra=""),"(Sem Código)",IF(ISERROR(MATCH($AE167,INDIRECT(ORÇAMENTO.BancoRef),0)),"(Código não identificado nas referências)",MATCH($AE167,INDIRECT(ORÇAMENTO.BancoRef),0))))</f>
        <v>49</v>
      </c>
      <c r="AG167" s="428" cm="1">
        <f t="array" aca="1" ref="AG167" ca="1">ROUND(IF(DESONERACAO="sim",REFERENCIA.Desonerado,REFERENCIA.NaoDesonerado),2)</f>
        <v>55879.08</v>
      </c>
      <c r="AH167" s="429">
        <f t="shared" ca="1" si="47"/>
        <v>0.16800000000000001</v>
      </c>
      <c r="AJ167" s="431"/>
      <c r="AL167" s="439"/>
      <c r="AM167" s="336">
        <f t="shared" ca="1" si="0"/>
        <v>130533.54</v>
      </c>
      <c r="AN167" s="470" cm="1">
        <f t="array" aca="1" ref="AN167" ca="1">ROUND(ORÇAMENTO.CustoUnitario*(1+$AH167),2)</f>
        <v>65266.77</v>
      </c>
    </row>
    <row r="168" spans="1:40" s="670" customFormat="1" ht="25.5" x14ac:dyDescent="0.2">
      <c r="A168" s="670" t="str">
        <f t="shared" si="35"/>
        <v>S</v>
      </c>
      <c r="B168" s="670">
        <f t="shared" ca="1" si="36"/>
        <v>2</v>
      </c>
      <c r="C168" s="670" t="str">
        <f t="shared" ca="1" si="37"/>
        <v>S</v>
      </c>
      <c r="D168" s="670">
        <f t="shared" ca="1" si="38"/>
        <v>0</v>
      </c>
      <c r="E168" s="670">
        <f ca="1">IF($C168=1,OFFSET(E168,-1,0)+MAX(1,COUNTIF(QCI!$A$13:$A$24,OFFSET(ORÇAMENTO!E168,-1,0))),OFFSET(E168,-1,0))</f>
        <v>1</v>
      </c>
      <c r="F168" s="670">
        <f t="shared" ca="1" si="39"/>
        <v>22</v>
      </c>
      <c r="G168" s="670">
        <f t="shared" ca="1" si="40"/>
        <v>0</v>
      </c>
      <c r="H168" s="670">
        <f t="shared" ca="1" si="41"/>
        <v>0</v>
      </c>
      <c r="I168" s="670">
        <f t="shared" ca="1" si="42"/>
        <v>2</v>
      </c>
      <c r="J168" s="670">
        <f t="shared" ca="1" si="48"/>
        <v>0</v>
      </c>
      <c r="K168" s="670">
        <f ca="1">IF(OR($C168="S",$C168=0),0,MATCH(OFFSET($D168,0,$C168)+IF($C168&lt;&gt;1,1,COUNTIF(QCI!$A$13:$A$24,ORÇAMENTO!E168)),OFFSET($D168,1,$C168,ROW($C$191)-ROW($C168)),0))</f>
        <v>0</v>
      </c>
      <c r="L168" s="114" t="str">
        <f t="shared" ca="1" si="43"/>
        <v>F</v>
      </c>
      <c r="M168" s="115" t="s">
        <v>705</v>
      </c>
      <c r="N168" s="116" t="str">
        <f t="shared" ca="1" si="44"/>
        <v>Serviço</v>
      </c>
      <c r="O168" s="117" t="str">
        <f t="shared" ca="1" si="45"/>
        <v>1.22.2.</v>
      </c>
      <c r="P168" s="688" t="s">
        <v>957</v>
      </c>
      <c r="Q168" s="689" t="s">
        <v>1113</v>
      </c>
      <c r="R168" s="690" t="str" cm="1">
        <f t="array" aca="1" ref="R168" ca="1">IF($C168="S",REFERENCIA.Descricao,"(digite a descrição aqui)")</f>
        <v>CONJUNTO MOTOR-BOMBA (CENTRÍFUGA) 40 CV, MONOESTÁGIO TRIFÁSICO, HMAN= 45 A 75 MCA E Q= 120 A 75 M³/H</v>
      </c>
      <c r="S168" s="691" t="str" cm="1">
        <f t="array" aca="1" ref="S168" ca="1">REFERENCIA.Unidade</f>
        <v>UNIDADE</v>
      </c>
      <c r="T168" s="122">
        <f ca="1">OFFSET(CÁLCULO!H$15,ROW($T168)-ROW(T$15),0)</f>
        <v>2</v>
      </c>
      <c r="U168" s="693">
        <f t="shared" ca="1" si="34"/>
        <v>25396.61</v>
      </c>
      <c r="V168" s="694" t="s">
        <v>697</v>
      </c>
      <c r="W168" s="122" cm="1">
        <f t="array" aca="1" ref="W168" ca="1">IF($C168="S",ROUND(IF(TIPOORCAMENTO="Proposto",ORÇAMENTO.CustoUnitario*(1+$AH168),ORÇAMENTO.PrecoUnitarioLicitado),15-13*$AF$10),0)</f>
        <v>29663.24</v>
      </c>
      <c r="X168" s="125" cm="1">
        <f t="array" aca="1" ref="X168" ca="1">IF($C168="S",IF(OR(Import.TipoArredondamento&lt;&gt;"TransfereGOV",ACOMPANHAMENTO="BM"),VTOTAL1,SUM(OFFSET(CÁLCULO!$AI$15,ROW($X168)-ROW($X$15),1):OFFSET(CÁLCULO!$BB$15,ROW($X168)-ROW($X$15),-1))),IF($C168=0,0,ROUND(SomaAgrup,15-13*$AF$11)))</f>
        <v>59326.48</v>
      </c>
      <c r="Y168" s="126" t="s">
        <v>751</v>
      </c>
      <c r="Z168" s="670" t="str">
        <f t="shared" ca="1" si="46"/>
        <v>RA</v>
      </c>
      <c r="AA168" s="127" cm="1">
        <f t="array" aca="1" ref="AA168" ca="1">IF($C168="S",IF($Z168="CP",$X168,IF($Z168="RA",(($X168)*QCI!$AA$3),0)),SomaAgrup)</f>
        <v>0</v>
      </c>
      <c r="AB168" s="128" cm="1">
        <f t="array" aca="1" ref="AB168" ca="1">IF($C168="S",IF($Z168="OU",ROUND($X168,2),0),SomaAgrup)</f>
        <v>0</v>
      </c>
      <c r="AC168" s="565" t="str" cm="1">
        <f t="array" aca="1" ref="AC168" ca="1">IF($N168=""," ",
IF(AND($C168&lt;&gt;"S",OR($R168="",$R168="(digite a descrição aqui)")),"DESCRIÇÃO",
IF(AND($C168="S",OR($Q168&lt;&gt;"",$T168&gt;0,$U168&gt;0),$P168=""),"FONTE",
IF(AND($C168="S",$P168&lt;&gt;"",OR($T168&gt;0,$U168&gt;0),$Q168=""),"CÓDIGO",
IF(AND($C168="S",$P168&lt;&gt;"",$Q168&lt;&gt;"",$R168="(Código não identificado nas referências)"),"CÓDIGO N/ID",
IF(AND($C168="S",OR($R168="",$R168="(digite a descrição aqui)"),OR($Q168&lt;&gt;"",$T168&gt;0,$U168&gt;0)),"DESCRIÇÃO",
IF(AND($C168="S",$P168&lt;&gt;"",$Q168&lt;&gt;"",$S168=""),"UNIDADE",
IF(AND($C168="S",$P168&lt;&gt;"",$Q168&lt;&gt;"",$U168=0),"SEM CUSTO",
IF(AND(TIPOORCAMENTO="Licitado",$AL168=0,$AN168&gt;0),"SEM PREÇO",
IF(AND($C168="S",$P168&lt;&gt;"",$Q168&lt;&gt;"",$U168&gt;0,AND($V168&lt;&gt;"BDI 1",$V168&lt;&gt;"BDI 2",$V168&lt;&gt;"BDI 3")),IF(ISNUMBER($V168),"JUSTIFICAR BDI","BDI"),
IF(OR(AND(import.recurso="OGU",TIPOORCAMENTO="Proposto",LEFT($O$8,5)&lt;&gt;"(N/D:",$AG168&lt;&gt;"",ORÇAMENTO.CustoUnitario&gt;$AG168),AND(TIPOORCAMENTO="LICITADO",ORÇAMENTO.PrecoUnitarioLicitado&gt;$AN168)),"ACIMA REF.",
IF(AND($C168="S",$P168&lt;&gt;"",$Q168&lt;&gt;"",$T168=0,$U168&gt;0),"QUANT.",
IF(AND(Import.TipoArredondamento="TransfereGOV",$L168="F",$C168="S",LEN($Q168)&gt;13),"Código &gt;13",
IF(AND(Import.TipoArredondamento="TransfereGOV",$L168="F",$C168&lt;&gt;"S",LEN($R168)&gt;100),"Descrição &gt;100",
IF(AND(Import.TipoArredondamento="TransfereGOV",$L168="F",$C168="S",LEN($R168)&gt;500),"Descrição &gt;500",
IF(AND(Import.TipoArredondamento="TransfereGOV",$L168="F",$C168="S",LEFT(TRIM(UPPER($P168)),6)&lt;&gt;"SINAPI",ISNA(VLOOKUP(TRIM(UPPER($S168)),ListaTgov.Unidades,1,FALSE))),"Unid. Não Disp",
" "))))))))))))))))</f>
        <v>Unid. Não Disp</v>
      </c>
      <c r="AD168" s="670" t="str">
        <f ca="1">IF(C168&lt;=CRONO.NivelExibicao,MAX($AD$15:OFFSET(AD168,-1,0))+IF($C168&lt;&gt;1,1,MAX(1,COUNTIF(QCI!$A$13:$A$24,OFFSET($E168,-1,0)))),"")</f>
        <v/>
      </c>
      <c r="AE168" s="668" t="str" cm="1">
        <f t="array" aca="1" ref="AE168" ca="1">IF(AND($C168="S",ORÇAMENTO.CodBarra&lt;&gt;""),IF(ORÇAMENTO.Fonte="",ORÇAMENTO.CodBarra,CONCATENATE(ORÇAMENTO.Fonte," ",ORÇAMENTO.CodBarra)))</f>
        <v>Cotação 26</v>
      </c>
      <c r="AF168" s="669" cm="1">
        <f t="array" aca="1" ref="AF168" ca="1">IF(ISERROR(ORÇAMENTO.BancoRef),"(abra o arquivo 'Referência "&amp;Excel_BuiltIn_Database&amp;".xlsm)",IF(OR($C168&lt;&gt;"S",ORÇAMENTO.CodBarra=""),"(Sem Código)",IF(ISERROR(MATCH($AE168,INDIRECT(ORÇAMENTO.BancoRef),0)),"(Código não identificado nas referências)",MATCH($AE168,INDIRECT(ORÇAMENTO.BancoRef),0))))</f>
        <v>35</v>
      </c>
      <c r="AG168" s="428" cm="1">
        <f t="array" aca="1" ref="AG168" ca="1">ROUND(IF(DESONERACAO="sim",REFERENCIA.Desonerado,REFERENCIA.NaoDesonerado),2)</f>
        <v>25396.61</v>
      </c>
      <c r="AH168" s="429">
        <f t="shared" ca="1" si="47"/>
        <v>0.16800000000000001</v>
      </c>
      <c r="AJ168" s="431"/>
      <c r="AL168" s="439"/>
      <c r="AM168" s="336">
        <f t="shared" ca="1" si="0"/>
        <v>59326.48</v>
      </c>
      <c r="AN168" s="470" cm="1">
        <f t="array" aca="1" ref="AN168" ca="1">ROUND(ORÇAMENTO.CustoUnitario*(1+$AH168),2)</f>
        <v>29663.24</v>
      </c>
    </row>
    <row r="169" spans="1:40" s="673" customFormat="1" ht="38.25" x14ac:dyDescent="0.2">
      <c r="A169" s="673" t="str">
        <f>CHOOSE(1+LOG(1+2*(ORÇAMENTO.Nivel="Meta")+4*(ORÇAMENTO.Nivel="Nível 2")+8*(ORÇAMENTO.Nivel="Nível 3")+16*(ORÇAMENTO.Nivel="Nível 4")+32*(ORÇAMENTO.Nivel="Serviço"),2),0,1,2,3,4,"S")</f>
        <v>S</v>
      </c>
      <c r="B169" s="673">
        <f ca="1">IF(OR(C169="s",C169=0),OFFSET(B169,-1,0),C169)</f>
        <v>2</v>
      </c>
      <c r="C169" s="673" t="str">
        <f ca="1">IF(OFFSET(C169,-1,0)="L",1,IF(OFFSET(C169,-1,0)=1,2,IF(OR(A169="s",A169=0),"S",IF(AND(OFFSET(C169,-1,0)=2,A169=4),3,IF(AND(OR(OFFSET(C169,-1,0)="s",OFFSET(C169,-1,0)=0),A169&lt;&gt;"s",A169&gt;OFFSET(B169,-1,0)),OFFSET(B169,-1,0),A169)))))</f>
        <v>S</v>
      </c>
      <c r="D169" s="673">
        <f ca="1">IF(OR(C169="S",C169=0),0,IF(ISERROR(K169),J169,SMALL(J169:K169,1)))</f>
        <v>0</v>
      </c>
      <c r="E169" s="673">
        <f ca="1">IF($C169=1,OFFSET(E169,-1,0)+MAX(1,COUNTIF(QCI!$A$13:$A$24,OFFSET(ORÇAMENTO!E169,-1,0))),OFFSET(E169,-1,0))</f>
        <v>1</v>
      </c>
      <c r="F169" s="673">
        <f ca="1">IF($C169=1,0,IF($C169=2,OFFSET(F169,-1,0)+1,OFFSET(F169,-1,0)))</f>
        <v>22</v>
      </c>
      <c r="G169" s="673">
        <f ca="1">IF(AND($C169&lt;=2,$C169&lt;&gt;0),0,IF($C169=3,OFFSET(G169,-1,0)+1,OFFSET(G169,-1,0)))</f>
        <v>0</v>
      </c>
      <c r="H169" s="673">
        <f ca="1">IF(AND($C169&lt;=3,$C169&lt;&gt;0),0,IF($C169=4,OFFSET(H169,-1,0)+1,OFFSET(H169,-1,0)))</f>
        <v>0</v>
      </c>
      <c r="I169" s="673">
        <f ca="1">IF(AND($C169&lt;=4,$C169&lt;&gt;0),0,IF(AND($C169="S",$X169&gt;0),OFFSET(I169,-1,0)+1,OFFSET(I169,-1,0)))</f>
        <v>3</v>
      </c>
      <c r="J169" s="673">
        <f t="shared" ca="1" si="48"/>
        <v>0</v>
      </c>
      <c r="K169" s="673">
        <f ca="1">IF(OR($C169="S",$C169=0),0,MATCH(OFFSET($D169,0,$C169)+IF($C169&lt;&gt;1,1,COUNTIF(QCI!$A$13:$A$24,ORÇAMENTO!E169)),OFFSET($D169,1,$C169,ROW($C$191)-ROW($C169)),0))</f>
        <v>0</v>
      </c>
      <c r="L169" s="114" t="str">
        <f ca="1">IF(OR($X169&gt;0,$C169=1,$C169=2,$C169=3,$C169=4),"F","")</f>
        <v>F</v>
      </c>
      <c r="M169" s="115" t="s">
        <v>705</v>
      </c>
      <c r="N169" s="116" t="str">
        <f ca="1">CHOOSE(1+LOG(1+2*(C169=1)+4*(C169=2)+8*(C169=3)+16*(C169=4)+32*(C169="S"),2),"","Meta","Nível 2","Nível 3","Nível 4","Serviço")</f>
        <v>Serviço</v>
      </c>
      <c r="O169" s="117" t="str">
        <f ca="1">IF(OR($C169=0,$L169=""),"-",CONCATENATE(E169&amp;".",IF(AND($A$5&gt;=2,$C169&gt;=2),F169&amp;".",""),IF(AND($A$5&gt;=3,$C169&gt;=3),G169&amp;".",""),IF(AND($A$5&gt;=4,$C169&gt;=4),H169&amp;".",""),IF($C169="S",I169&amp;".","")))</f>
        <v>1.22.3.</v>
      </c>
      <c r="P169" s="688" t="s">
        <v>957</v>
      </c>
      <c r="Q169" s="689" t="s">
        <v>1115</v>
      </c>
      <c r="R169" s="690" t="str" cm="1">
        <f t="array" aca="1" ref="R169" ca="1">IF($C169="S",REFERENCIA.Descricao,"(digite a descrição aqui)")</f>
        <v xml:space="preserve">                                                                                                               Instalação quadro de partida e comando para grupo gerador fixo existente com potencia de 145Kva. instalacao(desonerado)</v>
      </c>
      <c r="S169" s="691" t="str" cm="1">
        <f t="array" aca="1" ref="S169" ca="1">REFERENCIA.Unidade</f>
        <v>UNIDADE</v>
      </c>
      <c r="T169" s="122">
        <f ca="1">OFFSET(CÁLCULO!H$15,ROW($T169)-ROW(T$15),0)</f>
        <v>4</v>
      </c>
      <c r="U169" s="693">
        <f t="shared" ca="1" si="34"/>
        <v>373.79</v>
      </c>
      <c r="V169" s="694" t="s">
        <v>663</v>
      </c>
      <c r="W169" s="122" cm="1">
        <f t="array" aca="1" ref="W169" ca="1">IF($C169="S",ROUND(IF(TIPOORCAMENTO="Proposto",ORÇAMENTO.CustoUnitario*(1+$AH169),ORÇAMENTO.PrecoUnitarioLicitado),15-13*$AF$10),0)</f>
        <v>463.5</v>
      </c>
      <c r="X169" s="125" cm="1">
        <f t="array" aca="1" ref="X169" ca="1">IF($C169="S",IF(OR(Import.TipoArredondamento&lt;&gt;"TransfereGOV",ACOMPANHAMENTO="BM"),VTOTAL1,SUM(OFFSET(CÁLCULO!$AI$15,ROW($X169)-ROW($X$15),1):OFFSET(CÁLCULO!$BB$15,ROW($X169)-ROW($X$15),-1))),IF($C169=0,0,ROUND(SomaAgrup,15-13*$AF$11)))</f>
        <v>1854</v>
      </c>
      <c r="Y169" s="126" t="s">
        <v>751</v>
      </c>
      <c r="Z169" s="673" t="str">
        <f ca="1">IF(AND($C169="S",$X169&gt;0),IF(ISBLANK($Y169),"RA",LEFT($Y169,2)),"")</f>
        <v>RA</v>
      </c>
      <c r="AA169" s="127" cm="1">
        <f t="array" aca="1" ref="AA169" ca="1">IF($C169="S",IF($Z169="CP",$X169,IF($Z169="RA",(($X169)*QCI!$AA$3),0)),SomaAgrup)</f>
        <v>0</v>
      </c>
      <c r="AB169" s="128" cm="1">
        <f t="array" aca="1" ref="AB169" ca="1">IF($C169="S",IF($Z169="OU",ROUND($X169,2),0),SomaAgrup)</f>
        <v>0</v>
      </c>
      <c r="AC169" s="565" t="str" cm="1">
        <f t="array" aca="1" ref="AC169" ca="1">IF($N169=""," ",
IF(AND($C169&lt;&gt;"S",OR($R169="",$R169="(digite a descrição aqui)")),"DESCRIÇÃO",
IF(AND($C169="S",OR($Q169&lt;&gt;"",$T169&gt;0,$U169&gt;0),$P169=""),"FONTE",
IF(AND($C169="S",$P169&lt;&gt;"",OR($T169&gt;0,$U169&gt;0),$Q169=""),"CÓDIGO",
IF(AND($C169="S",$P169&lt;&gt;"",$Q169&lt;&gt;"",$R169="(Código não identificado nas referências)"),"CÓDIGO N/ID",
IF(AND($C169="S",OR($R169="",$R169="(digite a descrição aqui)"),OR($Q169&lt;&gt;"",$T169&gt;0,$U169&gt;0)),"DESCRIÇÃO",
IF(AND($C169="S",$P169&lt;&gt;"",$Q169&lt;&gt;"",$S169=""),"UNIDADE",
IF(AND($C169="S",$P169&lt;&gt;"",$Q169&lt;&gt;"",$U169=0),"SEM CUSTO",
IF(AND(TIPOORCAMENTO="Licitado",$AL169=0,$AN169&gt;0),"SEM PREÇO",
IF(AND($C169="S",$P169&lt;&gt;"",$Q169&lt;&gt;"",$U169&gt;0,AND($V169&lt;&gt;"BDI 1",$V169&lt;&gt;"BDI 2",$V169&lt;&gt;"BDI 3")),IF(ISNUMBER($V169),"JUSTIFICAR BDI","BDI"),
IF(OR(AND(import.recurso="OGU",TIPOORCAMENTO="Proposto",LEFT($O$8,5)&lt;&gt;"(N/D:",$AG169&lt;&gt;"",ORÇAMENTO.CustoUnitario&gt;$AG169),AND(TIPOORCAMENTO="LICITADO",ORÇAMENTO.PrecoUnitarioLicitado&gt;$AN169)),"ACIMA REF.",
IF(AND($C169="S",$P169&lt;&gt;"",$Q169&lt;&gt;"",$T169=0,$U169&gt;0),"QUANT.",
IF(AND(Import.TipoArredondamento="TransfereGOV",$L169="F",$C169="S",LEN($Q169)&gt;13),"Código &gt;13",
IF(AND(Import.TipoArredondamento="TransfereGOV",$L169="F",$C169&lt;&gt;"S",LEN($R169)&gt;100),"Descrição &gt;100",
IF(AND(Import.TipoArredondamento="TransfereGOV",$L169="F",$C169="S",LEN($R169)&gt;500),"Descrição &gt;500",
IF(AND(Import.TipoArredondamento="TransfereGOV",$L169="F",$C169="S",LEFT(TRIM(UPPER($P169)),6)&lt;&gt;"SINAPI",ISNA(VLOOKUP(TRIM(UPPER($S169)),ListaTgov.Unidades,1,FALSE))),"Unid. Não Disp",
" "))))))))))))))))</f>
        <v>Unid. Não Disp</v>
      </c>
      <c r="AD169" s="673" t="str">
        <f ca="1">IF(C169&lt;=CRONO.NivelExibicao,MAX($AD$15:OFFSET(AD169,-1,0))+IF($C169&lt;&gt;1,1,MAX(1,COUNTIF(QCI!$A$13:$A$24,OFFSET($E169,-1,0)))),"")</f>
        <v/>
      </c>
      <c r="AE169" s="671" t="str" cm="1">
        <f t="array" aca="1" ref="AE169" ca="1">IF(AND($C169="S",ORÇAMENTO.CodBarra&lt;&gt;""),IF(ORÇAMENTO.Fonte="",ORÇAMENTO.CodBarra,CONCATENATE(ORÇAMENTO.Fonte," ",ORÇAMENTO.CodBarra)))</f>
        <v>Cotação 42</v>
      </c>
      <c r="AF169" s="672" cm="1">
        <f t="array" aca="1" ref="AF169" ca="1">IF(ISERROR(ORÇAMENTO.BancoRef),"(abra o arquivo 'Referência "&amp;Excel_BuiltIn_Database&amp;".xlsm)",IF(OR($C169&lt;&gt;"S",ORÇAMENTO.CodBarra=""),"(Sem Código)",IF(ISERROR(MATCH($AE169,INDIRECT(ORÇAMENTO.BancoRef),0)),"(Código não identificado nas referências)",MATCH($AE169,INDIRECT(ORÇAMENTO.BancoRef),0))))</f>
        <v>51</v>
      </c>
      <c r="AG169" s="428" cm="1">
        <f t="array" aca="1" ref="AG169" ca="1">ROUND(IF(DESONERACAO="sim",REFERENCIA.Desonerado,REFERENCIA.NaoDesonerado),2)</f>
        <v>373.79</v>
      </c>
      <c r="AH169" s="429">
        <f ca="1">ROUND(IF(ISNUMBER(ORÇAMENTO.OpcaoBDI),ORÇAMENTO.OpcaoBDI,IF(LEFT(ORÇAMENTO.OpcaoBDI,3)="BDI",HLOOKUP(ORÇAMENTO.OpcaoBDI,$F$4:$H$5,2,FALSE),0)),15-11*$AF$9)</f>
        <v>0.24</v>
      </c>
      <c r="AJ169" s="431"/>
      <c r="AL169" s="439"/>
      <c r="AM169" s="336">
        <f t="shared" ca="1" si="0"/>
        <v>1854</v>
      </c>
      <c r="AN169" s="470" cm="1">
        <f t="array" aca="1" ref="AN169" ca="1">ROUND(ORÇAMENTO.CustoUnitario*(1+$AH169),2)</f>
        <v>463.5</v>
      </c>
    </row>
    <row r="170" spans="1:40" s="670" customFormat="1" ht="25.5" x14ac:dyDescent="0.2">
      <c r="A170" s="670">
        <f t="shared" si="35"/>
        <v>2</v>
      </c>
      <c r="B170" s="670">
        <f t="shared" ca="1" si="36"/>
        <v>2</v>
      </c>
      <c r="C170" s="670">
        <f t="shared" ca="1" si="37"/>
        <v>2</v>
      </c>
      <c r="D170" s="670">
        <f t="shared" ca="1" si="38"/>
        <v>16</v>
      </c>
      <c r="E170" s="670">
        <f ca="1">IF($C170=1,OFFSET(E170,-1,0)+MAX(1,COUNTIF(QCI!$A$13:$A$24,OFFSET(ORÇAMENTO!E170,-1,0))),OFFSET(E170,-1,0))</f>
        <v>1</v>
      </c>
      <c r="F170" s="670">
        <f t="shared" ca="1" si="39"/>
        <v>23</v>
      </c>
      <c r="G170" s="670">
        <f t="shared" ca="1" si="40"/>
        <v>0</v>
      </c>
      <c r="H170" s="670">
        <f t="shared" ca="1" si="41"/>
        <v>0</v>
      </c>
      <c r="I170" s="670">
        <f t="shared" ca="1" si="42"/>
        <v>0</v>
      </c>
      <c r="J170" s="670">
        <f t="shared" ca="1" si="48"/>
        <v>21</v>
      </c>
      <c r="K170" s="670">
        <f ca="1">IF(OR($C170="S",$C170=0),0,MATCH(OFFSET($D170,0,$C170)+IF($C170&lt;&gt;1,1,COUNTIF(QCI!$A$13:$A$24,ORÇAMENTO!E170)),OFFSET($D170,1,$C170,ROW($C$191)-ROW($C170)),0))</f>
        <v>16</v>
      </c>
      <c r="L170" s="114" t="str">
        <f t="shared" ca="1" si="43"/>
        <v>F</v>
      </c>
      <c r="M170" s="115" t="s">
        <v>702</v>
      </c>
      <c r="N170" s="116" t="str">
        <f t="shared" ca="1" si="44"/>
        <v>Nível 2</v>
      </c>
      <c r="O170" s="117" t="str">
        <f t="shared" ca="1" si="45"/>
        <v>1.23.</v>
      </c>
      <c r="P170" s="688" t="s">
        <v>250</v>
      </c>
      <c r="Q170" s="689" t="s">
        <v>250</v>
      </c>
      <c r="R170" s="690" t="s">
        <v>1070</v>
      </c>
      <c r="S170" s="691" t="s">
        <v>688</v>
      </c>
      <c r="T170" s="122">
        <f ca="1">OFFSET(CÁLCULO!H$15,ROW($T170)-ROW(T$15),0)</f>
        <v>0</v>
      </c>
      <c r="U170" s="693">
        <f t="shared" ca="1" si="34"/>
        <v>0</v>
      </c>
      <c r="V170" s="694" t="s">
        <v>663</v>
      </c>
      <c r="W170" s="122" cm="1">
        <f t="array" aca="1" ref="W170" ca="1">IF($C170="S",ROUND(IF(TIPOORCAMENTO="Proposto",ORÇAMENTO.CustoUnitario*(1+$AH170),ORÇAMENTO.PrecoUnitarioLicitado),15-13*$AF$10),0)</f>
        <v>0</v>
      </c>
      <c r="X170" s="125" cm="1">
        <f t="array" aca="1" ref="X170" ca="1">IF($C170="S",IF(OR(Import.TipoArredondamento&lt;&gt;"TransfereGOV",ACOMPANHAMENTO="BM"),VTOTAL1,SUM(OFFSET(CÁLCULO!$AI$15,ROW($X170)-ROW($X$15),1):OFFSET(CÁLCULO!$BB$15,ROW($X170)-ROW($X$15),-1))),IF($C170=0,0,ROUND(SomaAgrup,15-13*$AF$11)))</f>
        <v>731511.22</v>
      </c>
      <c r="Y170" s="126" t="s">
        <v>751</v>
      </c>
      <c r="Z170" s="670" t="str">
        <f t="shared" ca="1" si="46"/>
        <v/>
      </c>
      <c r="AA170" s="127" cm="1">
        <f t="array" aca="1" ref="AA170" ca="1">IF($C170="S",IF($Z170="CP",$X170,IF($Z170="RA",(($X170)*QCI!$AA$3),0)),SomaAgrup)</f>
        <v>0</v>
      </c>
      <c r="AB170" s="128" cm="1">
        <f t="array" aca="1" ref="AB170" ca="1">IF($C170="S",IF($Z170="OU",ROUND($X170,2),0),SomaAgrup)</f>
        <v>0</v>
      </c>
      <c r="AC170" s="565" t="str" cm="1">
        <f t="array" aca="1" ref="AC170" ca="1">IF($N170=""," ",
IF(AND($C170&lt;&gt;"S",OR($R170="",$R170="(digite a descrição aqui)")),"DESCRIÇÃO",
IF(AND($C170="S",OR($Q170&lt;&gt;"",$T170&gt;0,$U170&gt;0),$P170=""),"FONTE",
IF(AND($C170="S",$P170&lt;&gt;"",OR($T170&gt;0,$U170&gt;0),$Q170=""),"CÓDIGO",
IF(AND($C170="S",$P170&lt;&gt;"",$Q170&lt;&gt;"",$R170="(Código não identificado nas referências)"),"CÓDIGO N/ID",
IF(AND($C170="S",OR($R170="",$R170="(digite a descrição aqui)"),OR($Q170&lt;&gt;"",$T170&gt;0,$U170&gt;0)),"DESCRIÇÃO",
IF(AND($C170="S",$P170&lt;&gt;"",$Q170&lt;&gt;"",$S170=""),"UNIDADE",
IF(AND($C170="S",$P170&lt;&gt;"",$Q170&lt;&gt;"",$U170=0),"SEM CUSTO",
IF(AND(TIPOORCAMENTO="Licitado",$AL170=0,$AN170&gt;0),"SEM PREÇO",
IF(AND($C170="S",$P170&lt;&gt;"",$Q170&lt;&gt;"",$U170&gt;0,AND($V170&lt;&gt;"BDI 1",$V170&lt;&gt;"BDI 2",$V170&lt;&gt;"BDI 3")),IF(ISNUMBER($V170),"JUSTIFICAR BDI","BDI"),
IF(OR(AND(import.recurso="OGU",TIPOORCAMENTO="Proposto",LEFT($O$8,5)&lt;&gt;"(N/D:",$AG170&lt;&gt;"",ORÇAMENTO.CustoUnitario&gt;$AG170),AND(TIPOORCAMENTO="LICITADO",ORÇAMENTO.PrecoUnitarioLicitado&gt;$AN170)),"ACIMA REF.",
IF(AND($C170="S",$P170&lt;&gt;"",$Q170&lt;&gt;"",$T170=0,$U170&gt;0),"QUANT.",
IF(AND(Import.TipoArredondamento="TransfereGOV",$L170="F",$C170="S",LEN($Q170)&gt;13),"Código &gt;13",
IF(AND(Import.TipoArredondamento="TransfereGOV",$L170="F",$C170&lt;&gt;"S",LEN($R170)&gt;100),"Descrição &gt;100",
IF(AND(Import.TipoArredondamento="TransfereGOV",$L170="F",$C170="S",LEN($R170)&gt;500),"Descrição &gt;500",
IF(AND(Import.TipoArredondamento="TransfereGOV",$L170="F",$C170="S",LEFT(TRIM(UPPER($P170)),6)&lt;&gt;"SINAPI",ISNA(VLOOKUP(TRIM(UPPER($S170)),ListaTgov.Unidades,1,FALSE))),"Unid. Não Disp",
" "))))))))))))))))</f>
        <v xml:space="preserve"> </v>
      </c>
      <c r="AD170" s="670">
        <f ca="1">IF(C170&lt;=CRONO.NivelExibicao,MAX($AD$15:OFFSET(AD170,-1,0))+IF($C170&lt;&gt;1,1,MAX(1,COUNTIF(QCI!$A$13:$A$24,OFFSET($E170,-1,0)))),"")</f>
        <v>24</v>
      </c>
      <c r="AE170" s="668" t="b" cm="1">
        <f t="array" aca="1" ref="AE170" ca="1">IF(AND($C170="S",ORÇAMENTO.CodBarra&lt;&gt;""),IF(ORÇAMENTO.Fonte="",ORÇAMENTO.CodBarra,CONCATENATE(ORÇAMENTO.Fonte," ",ORÇAMENTO.CodBarra)))</f>
        <v>0</v>
      </c>
      <c r="AF170" s="669" t="str" cm="1">
        <f t="array" aca="1" ref="AF170" ca="1">IF(ISERROR(ORÇAMENTO.BancoRef),"(abra o arquivo 'Referência "&amp;Excel_BuiltIn_Database&amp;".xlsm)",IF(OR($C170&lt;&gt;"S",ORÇAMENTO.CodBarra=""),"(Sem Código)",IF(ISERROR(MATCH($AE170,INDIRECT(ORÇAMENTO.BancoRef),0)),"(Código não identificado nas referências)",MATCH($AE170,INDIRECT(ORÇAMENTO.BancoRef),0))))</f>
        <v>(Sem Código)</v>
      </c>
      <c r="AG170" s="428" cm="1">
        <f t="array" aca="1" ref="AG170" ca="1">ROUND(IF(DESONERACAO="sim",REFERENCIA.Desonerado,REFERENCIA.NaoDesonerado),2)</f>
        <v>0</v>
      </c>
      <c r="AH170" s="429">
        <f t="shared" ca="1" si="47"/>
        <v>0.24</v>
      </c>
      <c r="AJ170" s="431"/>
      <c r="AL170" s="439"/>
      <c r="AM170" s="336">
        <f t="shared" ca="1" si="0"/>
        <v>731511.22</v>
      </c>
      <c r="AN170" s="470" cm="1">
        <f t="array" aca="1" ref="AN170" ca="1">ROUND(ORÇAMENTO.CustoUnitario*(1+$AH170),2)</f>
        <v>0</v>
      </c>
    </row>
    <row r="171" spans="1:40" s="670" customFormat="1" ht="25.5" x14ac:dyDescent="0.2">
      <c r="A171" s="670" t="str">
        <f t="shared" si="35"/>
        <v>S</v>
      </c>
      <c r="B171" s="670">
        <f t="shared" ca="1" si="36"/>
        <v>2</v>
      </c>
      <c r="C171" s="670" t="str">
        <f t="shared" ca="1" si="37"/>
        <v>S</v>
      </c>
      <c r="D171" s="670">
        <f t="shared" ca="1" si="38"/>
        <v>0</v>
      </c>
      <c r="E171" s="670">
        <f ca="1">IF($C171=1,OFFSET(E171,-1,0)+MAX(1,COUNTIF(QCI!$A$13:$A$24,OFFSET(ORÇAMENTO!E171,-1,0))),OFFSET(E171,-1,0))</f>
        <v>1</v>
      </c>
      <c r="F171" s="670">
        <f t="shared" ca="1" si="39"/>
        <v>23</v>
      </c>
      <c r="G171" s="670">
        <f t="shared" ca="1" si="40"/>
        <v>0</v>
      </c>
      <c r="H171" s="670">
        <f t="shared" ca="1" si="41"/>
        <v>0</v>
      </c>
      <c r="I171" s="670">
        <f t="shared" ca="1" si="42"/>
        <v>1</v>
      </c>
      <c r="J171" s="670">
        <f t="shared" ca="1" si="48"/>
        <v>0</v>
      </c>
      <c r="K171" s="670">
        <f ca="1">IF(OR($C171="S",$C171=0),0,MATCH(OFFSET($D171,0,$C171)+IF($C171&lt;&gt;1,1,COUNTIF(QCI!$A$13:$A$24,ORÇAMENTO!E171)),OFFSET($D171,1,$C171,ROW($C$191)-ROW($C171)),0))</f>
        <v>0</v>
      </c>
      <c r="L171" s="114" t="str">
        <f t="shared" ca="1" si="43"/>
        <v>F</v>
      </c>
      <c r="M171" s="115" t="s">
        <v>705</v>
      </c>
      <c r="N171" s="116" t="str">
        <f t="shared" ca="1" si="44"/>
        <v>Serviço</v>
      </c>
      <c r="O171" s="117" t="str">
        <f t="shared" ca="1" si="45"/>
        <v>1.23.1.</v>
      </c>
      <c r="P171" s="688" t="s">
        <v>954</v>
      </c>
      <c r="Q171" s="689" t="s">
        <v>1060</v>
      </c>
      <c r="R171" s="690" t="str" cm="1">
        <f t="array" aca="1" ref="R171" ca="1">IF($C171="S",REFERENCIA.Descricao,"(digite a descrição aqui)")</f>
        <v>TUBO PVC PBA JEI, CLASSE 20, DN 50 MM, PARA REDE DE AGUA (NBR 5647)</v>
      </c>
      <c r="S171" s="691" t="str" cm="1">
        <f t="array" aca="1" ref="S171" ca="1">REFERENCIA.Unidade</f>
        <v>M</v>
      </c>
      <c r="T171" s="122">
        <f ca="1">OFFSET(CÁLCULO!H$15,ROW($T171)-ROW(T$15),0)</f>
        <v>6000</v>
      </c>
      <c r="U171" s="693">
        <v>30.04</v>
      </c>
      <c r="V171" s="694" t="s">
        <v>697</v>
      </c>
      <c r="W171" s="122" cm="1">
        <f t="array" aca="1" ref="W171" ca="1">IF($C171="S",ROUND(IF(TIPOORCAMENTO="Proposto",ORÇAMENTO.CustoUnitario*(1+$AH171),ORÇAMENTO.PrecoUnitarioLicitado),15-13*$AF$10),0)</f>
        <v>35.090000000000003</v>
      </c>
      <c r="X171" s="125" cm="1">
        <f t="array" aca="1" ref="X171" ca="1">IF($C171="S",IF(OR(Import.TipoArredondamento&lt;&gt;"TransfereGOV",ACOMPANHAMENTO="BM"),VTOTAL1,SUM(OFFSET(CÁLCULO!$AI$15,ROW($X171)-ROW($X$15),1):OFFSET(CÁLCULO!$BB$15,ROW($X171)-ROW($X$15),-1))),IF($C171=0,0,ROUND(SomaAgrup,15-13*$AF$11)))</f>
        <v>210540</v>
      </c>
      <c r="Y171" s="126" t="s">
        <v>751</v>
      </c>
      <c r="Z171" s="670" t="str">
        <f t="shared" ca="1" si="46"/>
        <v>RA</v>
      </c>
      <c r="AA171" s="127" cm="1">
        <f t="array" aca="1" ref="AA171" ca="1">IF($C171="S",IF($Z171="CP",$X171,IF($Z171="RA",(($X171)*QCI!$AA$3),0)),SomaAgrup)</f>
        <v>0</v>
      </c>
      <c r="AB171" s="128" cm="1">
        <f t="array" aca="1" ref="AB171" ca="1">IF($C171="S",IF($Z171="OU",ROUND($X171,2),0),SomaAgrup)</f>
        <v>0</v>
      </c>
      <c r="AC171" s="565" t="str" cm="1">
        <f t="array" aca="1" ref="AC171" ca="1">IF($N171=""," ",
IF(AND($C171&lt;&gt;"S",OR($R171="",$R171="(digite a descrição aqui)")),"DESCRIÇÃO",
IF(AND($C171="S",OR($Q171&lt;&gt;"",$T171&gt;0,$U171&gt;0),$P171=""),"FONTE",
IF(AND($C171="S",$P171&lt;&gt;"",OR($T171&gt;0,$U171&gt;0),$Q171=""),"CÓDIGO",
IF(AND($C171="S",$P171&lt;&gt;"",$Q171&lt;&gt;"",$R171="(Código não identificado nas referências)"),"CÓDIGO N/ID",
IF(AND($C171="S",OR($R171="",$R171="(digite a descrição aqui)"),OR($Q171&lt;&gt;"",$T171&gt;0,$U171&gt;0)),"DESCRIÇÃO",
IF(AND($C171="S",$P171&lt;&gt;"",$Q171&lt;&gt;"",$S171=""),"UNIDADE",
IF(AND($C171="S",$P171&lt;&gt;"",$Q171&lt;&gt;"",$U171=0),"SEM CUSTO",
IF(AND(TIPOORCAMENTO="Licitado",$AL171=0,$AN171&gt;0),"SEM PREÇO",
IF(AND($C171="S",$P171&lt;&gt;"",$Q171&lt;&gt;"",$U171&gt;0,AND($V171&lt;&gt;"BDI 1",$V171&lt;&gt;"BDI 2",$V171&lt;&gt;"BDI 3")),IF(ISNUMBER($V171),"JUSTIFICAR BDI","BDI"),
IF(OR(AND(import.recurso="OGU",TIPOORCAMENTO="Proposto",LEFT($O$8,5)&lt;&gt;"(N/D:",$AG171&lt;&gt;"",ORÇAMENTO.CustoUnitario&gt;$AG171),AND(TIPOORCAMENTO="LICITADO",ORÇAMENTO.PrecoUnitarioLicitado&gt;$AN171)),"ACIMA REF.",
IF(AND($C171="S",$P171&lt;&gt;"",$Q171&lt;&gt;"",$T171=0,$U171&gt;0),"QUANT.",
IF(AND(Import.TipoArredondamento="TransfereGOV",$L171="F",$C171="S",LEN($Q171)&gt;13),"Código &gt;13",
IF(AND(Import.TipoArredondamento="TransfereGOV",$L171="F",$C171&lt;&gt;"S",LEN($R171)&gt;100),"Descrição &gt;100",
IF(AND(Import.TipoArredondamento="TransfereGOV",$L171="F",$C171="S",LEN($R171)&gt;500),"Descrição &gt;500",
IF(AND(Import.TipoArredondamento="TransfereGOV",$L171="F",$C171="S",LEFT(TRIM(UPPER($P171)),6)&lt;&gt;"SINAPI",ISNA(VLOOKUP(TRIM(UPPER($S171)),ListaTgov.Unidades,1,FALSE))),"Unid. Não Disp",
" "))))))))))))))))</f>
        <v xml:space="preserve"> </v>
      </c>
      <c r="AD171" s="670" t="str">
        <f ca="1">IF(C171&lt;=CRONO.NivelExibicao,MAX($AD$15:OFFSET(AD171,-1,0))+IF($C171&lt;&gt;1,1,MAX(1,COUNTIF(QCI!$A$13:$A$24,OFFSET($E171,-1,0)))),"")</f>
        <v/>
      </c>
      <c r="AE171" s="668" t="str" cm="1">
        <f t="array" aca="1" ref="AE171" ca="1">IF(AND($C171="S",ORÇAMENTO.CodBarra&lt;&gt;""),IF(ORÇAMENTO.Fonte="",ORÇAMENTO.CodBarra,CONCATENATE(ORÇAMENTO.Fonte," ",ORÇAMENTO.CodBarra)))</f>
        <v>SINAPI-I 36378</v>
      </c>
      <c r="AF171" s="669" cm="1">
        <f t="array" aca="1" ref="AF171" ca="1">IF(ISERROR(ORÇAMENTO.BancoRef),"(abra o arquivo 'Referência "&amp;Excel_BuiltIn_Database&amp;".xlsm)",IF(OR($C171&lt;&gt;"S",ORÇAMENTO.CodBarra=""),"(Sem Código)",IF(ISERROR(MATCH($AE171,INDIRECT(ORÇAMENTO.BancoRef),0)),"(Código não identificado nas referências)",MATCH($AE171,INDIRECT(ORÇAMENTO.BancoRef),0))))</f>
        <v>4704</v>
      </c>
      <c r="AG171" s="428" cm="1">
        <f t="array" aca="1" ref="AG171" ca="1">ROUND(IF(DESONERACAO="sim",REFERENCIA.Desonerado,REFERENCIA.NaoDesonerado),2)</f>
        <v>30.04</v>
      </c>
      <c r="AH171" s="429">
        <f t="shared" ca="1" si="47"/>
        <v>0.16800000000000001</v>
      </c>
      <c r="AJ171" s="431"/>
      <c r="AL171" s="439"/>
      <c r="AM171" s="336">
        <f t="shared" ca="1" si="0"/>
        <v>210540</v>
      </c>
      <c r="AN171" s="470" cm="1">
        <f t="array" aca="1" ref="AN171" ca="1">ROUND(ORÇAMENTO.CustoUnitario*(1+$AH171),2)</f>
        <v>35.090000000000003</v>
      </c>
    </row>
    <row r="172" spans="1:40" s="670" customFormat="1" ht="38.25" x14ac:dyDescent="0.2">
      <c r="A172" s="670" t="str">
        <f t="shared" si="35"/>
        <v>S</v>
      </c>
      <c r="B172" s="670">
        <f t="shared" ca="1" si="36"/>
        <v>2</v>
      </c>
      <c r="C172" s="670" t="str">
        <f t="shared" ca="1" si="37"/>
        <v>S</v>
      </c>
      <c r="D172" s="670">
        <f t="shared" ca="1" si="38"/>
        <v>0</v>
      </c>
      <c r="E172" s="670">
        <f ca="1">IF($C172=1,OFFSET(E172,-1,0)+MAX(1,COUNTIF(QCI!$A$13:$A$24,OFFSET(ORÇAMENTO!E172,-1,0))),OFFSET(E172,-1,0))</f>
        <v>1</v>
      </c>
      <c r="F172" s="670">
        <f t="shared" ca="1" si="39"/>
        <v>23</v>
      </c>
      <c r="G172" s="670">
        <f t="shared" ca="1" si="40"/>
        <v>0</v>
      </c>
      <c r="H172" s="670">
        <f t="shared" ca="1" si="41"/>
        <v>0</v>
      </c>
      <c r="I172" s="670">
        <f t="shared" ca="1" si="42"/>
        <v>2</v>
      </c>
      <c r="J172" s="670">
        <f t="shared" ca="1" si="48"/>
        <v>0</v>
      </c>
      <c r="K172" s="670">
        <f ca="1">IF(OR($C172="S",$C172=0),0,MATCH(OFFSET($D172,0,$C172)+IF($C172&lt;&gt;1,1,COUNTIF(QCI!$A$13:$A$24,ORÇAMENTO!E172)),OFFSET($D172,1,$C172,ROW($C$191)-ROW($C172)),0))</f>
        <v>0</v>
      </c>
      <c r="L172" s="114" t="str">
        <f t="shared" ca="1" si="43"/>
        <v>F</v>
      </c>
      <c r="M172" s="115" t="s">
        <v>705</v>
      </c>
      <c r="N172" s="116" t="str">
        <f t="shared" ca="1" si="44"/>
        <v>Serviço</v>
      </c>
      <c r="O172" s="117" t="str">
        <f t="shared" ca="1" si="45"/>
        <v>1.23.2.</v>
      </c>
      <c r="P172" s="688" t="s">
        <v>750</v>
      </c>
      <c r="Q172" s="689" t="s">
        <v>1061</v>
      </c>
      <c r="R172" s="690" t="str" cm="1">
        <f t="array" aca="1" ref="R172" ca="1">IF($C172="S",REFERENCIA.Descricao,"(digite a descrição aqui)")</f>
        <v>ASSENTAMENTO DE TUBO DE PVC PBA PARA REDE DE ÁGUA, DN 50 MM, JUNTA ELÁSTICA INTEGRADA, INSTALADO EM LOCAL COM NÍVEL ALTO DE INTERFERÊNCIAS (NÃO INCLUI FORNECIMENTO). AF_05/2024</v>
      </c>
      <c r="S172" s="691" t="str" cm="1">
        <f t="array" aca="1" ref="S172" ca="1">REFERENCIA.Unidade</f>
        <v>M</v>
      </c>
      <c r="T172" s="122">
        <f ca="1">OFFSET(CÁLCULO!H$15,ROW($T172)-ROW(T$15),0)</f>
        <v>6000</v>
      </c>
      <c r="U172" s="693">
        <v>3.38</v>
      </c>
      <c r="V172" s="694" t="s">
        <v>663</v>
      </c>
      <c r="W172" s="122" cm="1">
        <f t="array" aca="1" ref="W172" ca="1">IF($C172="S",ROUND(IF(TIPOORCAMENTO="Proposto",ORÇAMENTO.CustoUnitario*(1+$AH172),ORÇAMENTO.PrecoUnitarioLicitado),15-13*$AF$10),0)</f>
        <v>4.1900000000000004</v>
      </c>
      <c r="X172" s="125" cm="1">
        <f t="array" aca="1" ref="X172" ca="1">IF($C172="S",IF(OR(Import.TipoArredondamento&lt;&gt;"TransfereGOV",ACOMPANHAMENTO="BM"),VTOTAL1,SUM(OFFSET(CÁLCULO!$AI$15,ROW($X172)-ROW($X$15),1):OFFSET(CÁLCULO!$BB$15,ROW($X172)-ROW($X$15),-1))),IF($C172=0,0,ROUND(SomaAgrup,15-13*$AF$11)))</f>
        <v>25140</v>
      </c>
      <c r="Y172" s="126" t="s">
        <v>751</v>
      </c>
      <c r="Z172" s="670" t="str">
        <f t="shared" ca="1" si="46"/>
        <v>RA</v>
      </c>
      <c r="AA172" s="127" cm="1">
        <f t="array" aca="1" ref="AA172" ca="1">IF($C172="S",IF($Z172="CP",$X172,IF($Z172="RA",(($X172)*QCI!$AA$3),0)),SomaAgrup)</f>
        <v>0</v>
      </c>
      <c r="AB172" s="128" cm="1">
        <f t="array" aca="1" ref="AB172" ca="1">IF($C172="S",IF($Z172="OU",ROUND($X172,2),0),SomaAgrup)</f>
        <v>0</v>
      </c>
      <c r="AC172" s="565" t="str" cm="1">
        <f t="array" aca="1" ref="AC172" ca="1">IF($N172=""," ",
IF(AND($C172&lt;&gt;"S",OR($R172="",$R172="(digite a descrição aqui)")),"DESCRIÇÃO",
IF(AND($C172="S",OR($Q172&lt;&gt;"",$T172&gt;0,$U172&gt;0),$P172=""),"FONTE",
IF(AND($C172="S",$P172&lt;&gt;"",OR($T172&gt;0,$U172&gt;0),$Q172=""),"CÓDIGO",
IF(AND($C172="S",$P172&lt;&gt;"",$Q172&lt;&gt;"",$R172="(Código não identificado nas referências)"),"CÓDIGO N/ID",
IF(AND($C172="S",OR($R172="",$R172="(digite a descrição aqui)"),OR($Q172&lt;&gt;"",$T172&gt;0,$U172&gt;0)),"DESCRIÇÃO",
IF(AND($C172="S",$P172&lt;&gt;"",$Q172&lt;&gt;"",$S172=""),"UNIDADE",
IF(AND($C172="S",$P172&lt;&gt;"",$Q172&lt;&gt;"",$U172=0),"SEM CUSTO",
IF(AND(TIPOORCAMENTO="Licitado",$AL172=0,$AN172&gt;0),"SEM PREÇO",
IF(AND($C172="S",$P172&lt;&gt;"",$Q172&lt;&gt;"",$U172&gt;0,AND($V172&lt;&gt;"BDI 1",$V172&lt;&gt;"BDI 2",$V172&lt;&gt;"BDI 3")),IF(ISNUMBER($V172),"JUSTIFICAR BDI","BDI"),
IF(OR(AND(import.recurso="OGU",TIPOORCAMENTO="Proposto",LEFT($O$8,5)&lt;&gt;"(N/D:",$AG172&lt;&gt;"",ORÇAMENTO.CustoUnitario&gt;$AG172),AND(TIPOORCAMENTO="LICITADO",ORÇAMENTO.PrecoUnitarioLicitado&gt;$AN172)),"ACIMA REF.",
IF(AND($C172="S",$P172&lt;&gt;"",$Q172&lt;&gt;"",$T172=0,$U172&gt;0),"QUANT.",
IF(AND(Import.TipoArredondamento="TransfereGOV",$L172="F",$C172="S",LEN($Q172)&gt;13),"Código &gt;13",
IF(AND(Import.TipoArredondamento="TransfereGOV",$L172="F",$C172&lt;&gt;"S",LEN($R172)&gt;100),"Descrição &gt;100",
IF(AND(Import.TipoArredondamento="TransfereGOV",$L172="F",$C172="S",LEN($R172)&gt;500),"Descrição &gt;500",
IF(AND(Import.TipoArredondamento="TransfereGOV",$L172="F",$C172="S",LEFT(TRIM(UPPER($P172)),6)&lt;&gt;"SINAPI",ISNA(VLOOKUP(TRIM(UPPER($S172)),ListaTgov.Unidades,1,FALSE))),"Unid. Não Disp",
" "))))))))))))))))</f>
        <v xml:space="preserve"> </v>
      </c>
      <c r="AD172" s="670" t="str">
        <f ca="1">IF(C172&lt;=CRONO.NivelExibicao,MAX($AD$15:OFFSET(AD172,-1,0))+IF($C172&lt;&gt;1,1,MAX(1,COUNTIF(QCI!$A$13:$A$24,OFFSET($E172,-1,0)))),"")</f>
        <v/>
      </c>
      <c r="AE172" s="668" t="str" cm="1">
        <f t="array" aca="1" ref="AE172" ca="1">IF(AND($C172="S",ORÇAMENTO.CodBarra&lt;&gt;""),IF(ORÇAMENTO.Fonte="",ORÇAMENTO.CodBarra,CONCATENATE(ORÇAMENTO.Fonte," ",ORÇAMENTO.CodBarra)))</f>
        <v>SINAPI 97121</v>
      </c>
      <c r="AF172" s="669" cm="1">
        <f t="array" aca="1" ref="AF172" ca="1">IF(ISERROR(ORÇAMENTO.BancoRef),"(abra o arquivo 'Referência "&amp;Excel_BuiltIn_Database&amp;".xlsm)",IF(OR($C172&lt;&gt;"S",ORÇAMENTO.CodBarra=""),"(Sem Código)",IF(ISERROR(MATCH($AE172,INDIRECT(ORÇAMENTO.BancoRef),0)),"(Código não identificado nas referências)",MATCH($AE172,INDIRECT(ORÇAMENTO.BancoRef),0))))</f>
        <v>6639</v>
      </c>
      <c r="AG172" s="428" cm="1">
        <f t="array" aca="1" ref="AG172" ca="1">ROUND(IF(DESONERACAO="sim",REFERENCIA.Desonerado,REFERENCIA.NaoDesonerado),2)</f>
        <v>3.38</v>
      </c>
      <c r="AH172" s="429">
        <f t="shared" ca="1" si="47"/>
        <v>0.24</v>
      </c>
      <c r="AJ172" s="431"/>
      <c r="AL172" s="439"/>
      <c r="AM172" s="336">
        <f t="shared" ca="1" si="0"/>
        <v>25140</v>
      </c>
      <c r="AN172" s="470" cm="1">
        <f t="array" aca="1" ref="AN172" ca="1">ROUND(ORÇAMENTO.CustoUnitario*(1+$AH172),2)</f>
        <v>4.1900000000000004</v>
      </c>
    </row>
    <row r="173" spans="1:40" s="670" customFormat="1" ht="38.25" x14ac:dyDescent="0.2">
      <c r="A173" s="670" t="str">
        <f t="shared" si="35"/>
        <v>S</v>
      </c>
      <c r="B173" s="670">
        <f t="shared" ca="1" si="36"/>
        <v>2</v>
      </c>
      <c r="C173" s="670" t="str">
        <f t="shared" ca="1" si="37"/>
        <v>S</v>
      </c>
      <c r="D173" s="670">
        <f t="shared" ca="1" si="38"/>
        <v>0</v>
      </c>
      <c r="E173" s="670">
        <f ca="1">IF($C173=1,OFFSET(E173,-1,0)+MAX(1,COUNTIF(QCI!$A$13:$A$24,OFFSET(ORÇAMENTO!E173,-1,0))),OFFSET(E173,-1,0))</f>
        <v>1</v>
      </c>
      <c r="F173" s="670">
        <f t="shared" ca="1" si="39"/>
        <v>23</v>
      </c>
      <c r="G173" s="670">
        <f t="shared" ca="1" si="40"/>
        <v>0</v>
      </c>
      <c r="H173" s="670">
        <f t="shared" ca="1" si="41"/>
        <v>0</v>
      </c>
      <c r="I173" s="670">
        <f t="shared" ca="1" si="42"/>
        <v>3</v>
      </c>
      <c r="J173" s="670">
        <f t="shared" ca="1" si="48"/>
        <v>0</v>
      </c>
      <c r="K173" s="670">
        <f ca="1">IF(OR($C173="S",$C173=0),0,MATCH(OFFSET($D173,0,$C173)+IF($C173&lt;&gt;1,1,COUNTIF(QCI!$A$13:$A$24,ORÇAMENTO!E173)),OFFSET($D173,1,$C173,ROW($C$191)-ROW($C173)),0))</f>
        <v>0</v>
      </c>
      <c r="L173" s="114" t="str">
        <f t="shared" ca="1" si="43"/>
        <v>F</v>
      </c>
      <c r="M173" s="115" t="s">
        <v>705</v>
      </c>
      <c r="N173" s="116" t="str">
        <f t="shared" ca="1" si="44"/>
        <v>Serviço</v>
      </c>
      <c r="O173" s="117" t="str">
        <f t="shared" ca="1" si="45"/>
        <v>1.23.3.</v>
      </c>
      <c r="P173" s="688" t="s">
        <v>750</v>
      </c>
      <c r="Q173" s="689" t="s">
        <v>1071</v>
      </c>
      <c r="R173" s="690" t="str" cm="1">
        <f t="array" aca="1" ref="R173" ca="1">IF($C173="S",REFERENCIA.Descricao,"(digite a descrição aqui)")</f>
        <v>JOELHO 90 GRAUS, PVC, SOLDÁVEL, DN 50MM, INSTALADO EM RAMAL DE DISTRIBUIÇÃO DE ÁGUA - FORNECIMENTO E INSTALAÇÃO. AF_06/2022</v>
      </c>
      <c r="S173" s="691" t="str" cm="1">
        <f t="array" aca="1" ref="S173" ca="1">REFERENCIA.Unidade</f>
        <v>UN</v>
      </c>
      <c r="T173" s="122">
        <f ca="1">OFFSET(CÁLCULO!H$15,ROW($T173)-ROW(T$15),0)</f>
        <v>4</v>
      </c>
      <c r="U173" s="693">
        <v>22.19</v>
      </c>
      <c r="V173" s="694" t="s">
        <v>663</v>
      </c>
      <c r="W173" s="122" cm="1">
        <f t="array" aca="1" ref="W173" ca="1">IF($C173="S",ROUND(IF(TIPOORCAMENTO="Proposto",ORÇAMENTO.CustoUnitario*(1+$AH173),ORÇAMENTO.PrecoUnitarioLicitado),15-13*$AF$10),0)</f>
        <v>27.52</v>
      </c>
      <c r="X173" s="125" cm="1">
        <f t="array" aca="1" ref="X173" ca="1">IF($C173="S",IF(OR(Import.TipoArredondamento&lt;&gt;"TransfereGOV",ACOMPANHAMENTO="BM"),VTOTAL1,SUM(OFFSET(CÁLCULO!$AI$15,ROW($X173)-ROW($X$15),1):OFFSET(CÁLCULO!$BB$15,ROW($X173)-ROW($X$15),-1))),IF($C173=0,0,ROUND(SomaAgrup,15-13*$AF$11)))</f>
        <v>110.08</v>
      </c>
      <c r="Y173" s="126" t="s">
        <v>751</v>
      </c>
      <c r="Z173" s="670" t="str">
        <f t="shared" ca="1" si="46"/>
        <v>RA</v>
      </c>
      <c r="AA173" s="127" cm="1">
        <f t="array" aca="1" ref="AA173" ca="1">IF($C173="S",IF($Z173="CP",$X173,IF($Z173="RA",(($X173)*QCI!$AA$3),0)),SomaAgrup)</f>
        <v>0</v>
      </c>
      <c r="AB173" s="128" cm="1">
        <f t="array" aca="1" ref="AB173" ca="1">IF($C173="S",IF($Z173="OU",ROUND($X173,2),0),SomaAgrup)</f>
        <v>0</v>
      </c>
      <c r="AC173" s="565" t="str" cm="1">
        <f t="array" aca="1" ref="AC173" ca="1">IF($N173=""," ",
IF(AND($C173&lt;&gt;"S",OR($R173="",$R173="(digite a descrição aqui)")),"DESCRIÇÃO",
IF(AND($C173="S",OR($Q173&lt;&gt;"",$T173&gt;0,$U173&gt;0),$P173=""),"FONTE",
IF(AND($C173="S",$P173&lt;&gt;"",OR($T173&gt;0,$U173&gt;0),$Q173=""),"CÓDIGO",
IF(AND($C173="S",$P173&lt;&gt;"",$Q173&lt;&gt;"",$R173="(Código não identificado nas referências)"),"CÓDIGO N/ID",
IF(AND($C173="S",OR($R173="",$R173="(digite a descrição aqui)"),OR($Q173&lt;&gt;"",$T173&gt;0,$U173&gt;0)),"DESCRIÇÃO",
IF(AND($C173="S",$P173&lt;&gt;"",$Q173&lt;&gt;"",$S173=""),"UNIDADE",
IF(AND($C173="S",$P173&lt;&gt;"",$Q173&lt;&gt;"",$U173=0),"SEM CUSTO",
IF(AND(TIPOORCAMENTO="Licitado",$AL173=0,$AN173&gt;0),"SEM PREÇO",
IF(AND($C173="S",$P173&lt;&gt;"",$Q173&lt;&gt;"",$U173&gt;0,AND($V173&lt;&gt;"BDI 1",$V173&lt;&gt;"BDI 2",$V173&lt;&gt;"BDI 3")),IF(ISNUMBER($V173),"JUSTIFICAR BDI","BDI"),
IF(OR(AND(import.recurso="OGU",TIPOORCAMENTO="Proposto",LEFT($O$8,5)&lt;&gt;"(N/D:",$AG173&lt;&gt;"",ORÇAMENTO.CustoUnitario&gt;$AG173),AND(TIPOORCAMENTO="LICITADO",ORÇAMENTO.PrecoUnitarioLicitado&gt;$AN173)),"ACIMA REF.",
IF(AND($C173="S",$P173&lt;&gt;"",$Q173&lt;&gt;"",$T173=0,$U173&gt;0),"QUANT.",
IF(AND(Import.TipoArredondamento="TransfereGOV",$L173="F",$C173="S",LEN($Q173)&gt;13),"Código &gt;13",
IF(AND(Import.TipoArredondamento="TransfereGOV",$L173="F",$C173&lt;&gt;"S",LEN($R173)&gt;100),"Descrição &gt;100",
IF(AND(Import.TipoArredondamento="TransfereGOV",$L173="F",$C173="S",LEN($R173)&gt;500),"Descrição &gt;500",
IF(AND(Import.TipoArredondamento="TransfereGOV",$L173="F",$C173="S",LEFT(TRIM(UPPER($P173)),6)&lt;&gt;"SINAPI",ISNA(VLOOKUP(TRIM(UPPER($S173)),ListaTgov.Unidades,1,FALSE))),"Unid. Não Disp",
" "))))))))))))))))</f>
        <v xml:space="preserve"> </v>
      </c>
      <c r="AD173" s="670" t="str">
        <f ca="1">IF(C173&lt;=CRONO.NivelExibicao,MAX($AD$15:OFFSET(AD173,-1,0))+IF($C173&lt;&gt;1,1,MAX(1,COUNTIF(QCI!$A$13:$A$24,OFFSET($E173,-1,0)))),"")</f>
        <v/>
      </c>
      <c r="AE173" s="668" t="str" cm="1">
        <f t="array" aca="1" ref="AE173" ca="1">IF(AND($C173="S",ORÇAMENTO.CodBarra&lt;&gt;""),IF(ORÇAMENTO.Fonte="",ORÇAMENTO.CodBarra,CONCATENATE(ORÇAMENTO.Fonte," ",ORÇAMENTO.CodBarra)))</f>
        <v>SINAPI 103984</v>
      </c>
      <c r="AF173" s="669" cm="1">
        <f t="array" aca="1" ref="AF173" ca="1">IF(ISERROR(ORÇAMENTO.BancoRef),"(abra o arquivo 'Referência "&amp;Excel_BuiltIn_Database&amp;".xlsm)",IF(OR($C173&lt;&gt;"S",ORÇAMENTO.CodBarra=""),"(Sem Código)",IF(ISERROR(MATCH($AE173,INDIRECT(ORÇAMENTO.BancoRef),0)),"(Código não identificado nas referências)",MATCH($AE173,INDIRECT(ORÇAMENTO.BancoRef),0))))</f>
        <v>11834</v>
      </c>
      <c r="AG173" s="428" cm="1">
        <f t="array" aca="1" ref="AG173" ca="1">ROUND(IF(DESONERACAO="sim",REFERENCIA.Desonerado,REFERENCIA.NaoDesonerado),2)</f>
        <v>22.19</v>
      </c>
      <c r="AH173" s="429">
        <f t="shared" ca="1" si="47"/>
        <v>0.24</v>
      </c>
      <c r="AJ173" s="431"/>
      <c r="AL173" s="439"/>
      <c r="AM173" s="336">
        <f t="shared" ca="1" si="0"/>
        <v>110.08</v>
      </c>
      <c r="AN173" s="470" cm="1">
        <f t="array" aca="1" ref="AN173" ca="1">ROUND(ORÇAMENTO.CustoUnitario*(1+$AH173),2)</f>
        <v>27.52</v>
      </c>
    </row>
    <row r="174" spans="1:40" s="670" customFormat="1" ht="38.25" x14ac:dyDescent="0.2">
      <c r="A174" s="670" t="str">
        <f t="shared" si="35"/>
        <v>S</v>
      </c>
      <c r="B174" s="670">
        <f t="shared" ca="1" si="36"/>
        <v>2</v>
      </c>
      <c r="C174" s="670" t="str">
        <f t="shared" ca="1" si="37"/>
        <v>S</v>
      </c>
      <c r="D174" s="670">
        <f t="shared" ca="1" si="38"/>
        <v>0</v>
      </c>
      <c r="E174" s="670">
        <f ca="1">IF($C174=1,OFFSET(E174,-1,0)+MAX(1,COUNTIF(QCI!$A$13:$A$24,OFFSET(ORÇAMENTO!E174,-1,0))),OFFSET(E174,-1,0))</f>
        <v>1</v>
      </c>
      <c r="F174" s="670">
        <f t="shared" ca="1" si="39"/>
        <v>23</v>
      </c>
      <c r="G174" s="670">
        <f t="shared" ca="1" si="40"/>
        <v>0</v>
      </c>
      <c r="H174" s="670">
        <f t="shared" ca="1" si="41"/>
        <v>0</v>
      </c>
      <c r="I174" s="670">
        <f t="shared" ca="1" si="42"/>
        <v>4</v>
      </c>
      <c r="J174" s="670">
        <f t="shared" ca="1" si="48"/>
        <v>0</v>
      </c>
      <c r="K174" s="670">
        <f ca="1">IF(OR($C174="S",$C174=0),0,MATCH(OFFSET($D174,0,$C174)+IF($C174&lt;&gt;1,1,COUNTIF(QCI!$A$13:$A$24,ORÇAMENTO!E174)),OFFSET($D174,1,$C174,ROW($C$191)-ROW($C174)),0))</f>
        <v>0</v>
      </c>
      <c r="L174" s="114" t="str">
        <f t="shared" ca="1" si="43"/>
        <v>F</v>
      </c>
      <c r="M174" s="115" t="s">
        <v>705</v>
      </c>
      <c r="N174" s="116" t="str">
        <f t="shared" ca="1" si="44"/>
        <v>Serviço</v>
      </c>
      <c r="O174" s="117" t="str">
        <f t="shared" ca="1" si="45"/>
        <v>1.23.4.</v>
      </c>
      <c r="P174" s="688" t="s">
        <v>750</v>
      </c>
      <c r="Q174" s="689" t="s">
        <v>1072</v>
      </c>
      <c r="R174" s="690" t="str" cm="1">
        <f t="array" aca="1" ref="R174" ca="1">IF($C174="S",REFERENCIA.Descricao,"(digite a descrição aqui)")</f>
        <v>JUNÇÃO SIMPLES, PVC, SERIE R, ÁGUA PLUVIAL, DN 50 MM, JUNTA ELÁSTICA, FORNECIDO E INSTALADO EM RAMAL DE ENCAMINHAMENTO. AF_06/2022</v>
      </c>
      <c r="S174" s="691" t="str" cm="1">
        <f t="array" aca="1" ref="S174" ca="1">REFERENCIA.Unidade</f>
        <v>UN</v>
      </c>
      <c r="T174" s="122">
        <f ca="1">OFFSET(CÁLCULO!H$15,ROW($T174)-ROW(T$15),0)</f>
        <v>4</v>
      </c>
      <c r="U174" s="693">
        <v>36.56</v>
      </c>
      <c r="V174" s="694" t="s">
        <v>663</v>
      </c>
      <c r="W174" s="122" cm="1">
        <f t="array" aca="1" ref="W174" ca="1">IF($C174="S",ROUND(IF(TIPOORCAMENTO="Proposto",ORÇAMENTO.CustoUnitario*(1+$AH174),ORÇAMENTO.PrecoUnitarioLicitado),15-13*$AF$10),0)</f>
        <v>45.33</v>
      </c>
      <c r="X174" s="125" cm="1">
        <f t="array" aca="1" ref="X174" ca="1">IF($C174="S",IF(OR(Import.TipoArredondamento&lt;&gt;"TransfereGOV",ACOMPANHAMENTO="BM"),VTOTAL1,SUM(OFFSET(CÁLCULO!$AI$15,ROW($X174)-ROW($X$15),1):OFFSET(CÁLCULO!$BB$15,ROW($X174)-ROW($X$15),-1))),IF($C174=0,0,ROUND(SomaAgrup,15-13*$AF$11)))</f>
        <v>181.32</v>
      </c>
      <c r="Y174" s="126" t="s">
        <v>751</v>
      </c>
      <c r="Z174" s="670" t="str">
        <f t="shared" ca="1" si="46"/>
        <v>RA</v>
      </c>
      <c r="AA174" s="127" cm="1">
        <f t="array" aca="1" ref="AA174" ca="1">IF($C174="S",IF($Z174="CP",$X174,IF($Z174="RA",(($X174)*QCI!$AA$3),0)),SomaAgrup)</f>
        <v>0</v>
      </c>
      <c r="AB174" s="128" cm="1">
        <f t="array" aca="1" ref="AB174" ca="1">IF($C174="S",IF($Z174="OU",ROUND($X174,2),0),SomaAgrup)</f>
        <v>0</v>
      </c>
      <c r="AC174" s="565" t="str" cm="1">
        <f t="array" aca="1" ref="AC174" ca="1">IF($N174=""," ",
IF(AND($C174&lt;&gt;"S",OR($R174="",$R174="(digite a descrição aqui)")),"DESCRIÇÃO",
IF(AND($C174="S",OR($Q174&lt;&gt;"",$T174&gt;0,$U174&gt;0),$P174=""),"FONTE",
IF(AND($C174="S",$P174&lt;&gt;"",OR($T174&gt;0,$U174&gt;0),$Q174=""),"CÓDIGO",
IF(AND($C174="S",$P174&lt;&gt;"",$Q174&lt;&gt;"",$R174="(Código não identificado nas referências)"),"CÓDIGO N/ID",
IF(AND($C174="S",OR($R174="",$R174="(digite a descrição aqui)"),OR($Q174&lt;&gt;"",$T174&gt;0,$U174&gt;0)),"DESCRIÇÃO",
IF(AND($C174="S",$P174&lt;&gt;"",$Q174&lt;&gt;"",$S174=""),"UNIDADE",
IF(AND($C174="S",$P174&lt;&gt;"",$Q174&lt;&gt;"",$U174=0),"SEM CUSTO",
IF(AND(TIPOORCAMENTO="Licitado",$AL174=0,$AN174&gt;0),"SEM PREÇO",
IF(AND($C174="S",$P174&lt;&gt;"",$Q174&lt;&gt;"",$U174&gt;0,AND($V174&lt;&gt;"BDI 1",$V174&lt;&gt;"BDI 2",$V174&lt;&gt;"BDI 3")),IF(ISNUMBER($V174),"JUSTIFICAR BDI","BDI"),
IF(OR(AND(import.recurso="OGU",TIPOORCAMENTO="Proposto",LEFT($O$8,5)&lt;&gt;"(N/D:",$AG174&lt;&gt;"",ORÇAMENTO.CustoUnitario&gt;$AG174),AND(TIPOORCAMENTO="LICITADO",ORÇAMENTO.PrecoUnitarioLicitado&gt;$AN174)),"ACIMA REF.",
IF(AND($C174="S",$P174&lt;&gt;"",$Q174&lt;&gt;"",$T174=0,$U174&gt;0),"QUANT.",
IF(AND(Import.TipoArredondamento="TransfereGOV",$L174="F",$C174="S",LEN($Q174)&gt;13),"Código &gt;13",
IF(AND(Import.TipoArredondamento="TransfereGOV",$L174="F",$C174&lt;&gt;"S",LEN($R174)&gt;100),"Descrição &gt;100",
IF(AND(Import.TipoArredondamento="TransfereGOV",$L174="F",$C174="S",LEN($R174)&gt;500),"Descrição &gt;500",
IF(AND(Import.TipoArredondamento="TransfereGOV",$L174="F",$C174="S",LEFT(TRIM(UPPER($P174)),6)&lt;&gt;"SINAPI",ISNA(VLOOKUP(TRIM(UPPER($S174)),ListaTgov.Unidades,1,FALSE))),"Unid. Não Disp",
" "))))))))))))))))</f>
        <v xml:space="preserve"> </v>
      </c>
      <c r="AD174" s="670" t="str">
        <f ca="1">IF(C174&lt;=CRONO.NivelExibicao,MAX($AD$15:OFFSET(AD174,-1,0))+IF($C174&lt;&gt;1,1,MAX(1,COUNTIF(QCI!$A$13:$A$24,OFFSET($E174,-1,0)))),"")</f>
        <v/>
      </c>
      <c r="AE174" s="668" t="str" cm="1">
        <f t="array" aca="1" ref="AE174" ca="1">IF(AND($C174="S",ORÇAMENTO.CodBarra&lt;&gt;""),IF(ORÇAMENTO.Fonte="",ORÇAMENTO.CodBarra,CONCATENATE(ORÇAMENTO.Fonte," ",ORÇAMENTO.CodBarra)))</f>
        <v>SINAPI 89563</v>
      </c>
      <c r="AF174" s="669" cm="1">
        <f t="array" aca="1" ref="AF174" ca="1">IF(ISERROR(ORÇAMENTO.BancoRef),"(abra o arquivo 'Referência "&amp;Excel_BuiltIn_Database&amp;".xlsm)",IF(OR($C174&lt;&gt;"S",ORÇAMENTO.CodBarra=""),"(Sem Código)",IF(ISERROR(MATCH($AE174,INDIRECT(ORÇAMENTO.BancoRef),0)),"(Código não identificado nas referências)",MATCH($AE174,INDIRECT(ORÇAMENTO.BancoRef),0))))</f>
        <v>12139</v>
      </c>
      <c r="AG174" s="428" cm="1">
        <f t="array" aca="1" ref="AG174" ca="1">ROUND(IF(DESONERACAO="sim",REFERENCIA.Desonerado,REFERENCIA.NaoDesonerado),2)</f>
        <v>36.56</v>
      </c>
      <c r="AH174" s="429">
        <f t="shared" ca="1" si="47"/>
        <v>0.24</v>
      </c>
      <c r="AJ174" s="431"/>
      <c r="AL174" s="439"/>
      <c r="AM174" s="336">
        <f t="shared" ca="1" si="0"/>
        <v>181.32</v>
      </c>
      <c r="AN174" s="470" cm="1">
        <f t="array" aca="1" ref="AN174" ca="1">ROUND(ORÇAMENTO.CustoUnitario*(1+$AH174),2)</f>
        <v>45.33</v>
      </c>
    </row>
    <row r="175" spans="1:40" s="670" customFormat="1" x14ac:dyDescent="0.2">
      <c r="A175" s="670" t="str">
        <f t="shared" si="35"/>
        <v>S</v>
      </c>
      <c r="B175" s="670">
        <f t="shared" ca="1" si="36"/>
        <v>2</v>
      </c>
      <c r="C175" s="670" t="str">
        <f t="shared" ca="1" si="37"/>
        <v>S</v>
      </c>
      <c r="D175" s="670">
        <f t="shared" ca="1" si="38"/>
        <v>0</v>
      </c>
      <c r="E175" s="670">
        <f ca="1">IF($C175=1,OFFSET(E175,-1,0)+MAX(1,COUNTIF(QCI!$A$13:$A$24,OFFSET(ORÇAMENTO!E175,-1,0))),OFFSET(E175,-1,0))</f>
        <v>1</v>
      </c>
      <c r="F175" s="670">
        <f t="shared" ca="1" si="39"/>
        <v>23</v>
      </c>
      <c r="G175" s="670">
        <f t="shared" ca="1" si="40"/>
        <v>0</v>
      </c>
      <c r="H175" s="670">
        <f t="shared" ca="1" si="41"/>
        <v>0</v>
      </c>
      <c r="I175" s="670">
        <f t="shared" ca="1" si="42"/>
        <v>5</v>
      </c>
      <c r="J175" s="670">
        <f t="shared" ca="1" si="48"/>
        <v>0</v>
      </c>
      <c r="K175" s="670">
        <f ca="1">IF(OR($C175="S",$C175=0),0,MATCH(OFFSET($D175,0,$C175)+IF($C175&lt;&gt;1,1,COUNTIF(QCI!$A$13:$A$24,ORÇAMENTO!E175)),OFFSET($D175,1,$C175,ROW($C$191)-ROW($C175)),0))</f>
        <v>0</v>
      </c>
      <c r="L175" s="114" t="str">
        <f t="shared" ca="1" si="43"/>
        <v>F</v>
      </c>
      <c r="M175" s="115" t="s">
        <v>705</v>
      </c>
      <c r="N175" s="116" t="str">
        <f t="shared" ca="1" si="44"/>
        <v>Serviço</v>
      </c>
      <c r="O175" s="117" t="str">
        <f t="shared" ca="1" si="45"/>
        <v>1.23.5.</v>
      </c>
      <c r="P175" s="688" t="s">
        <v>957</v>
      </c>
      <c r="Q175" s="689" t="s">
        <v>1119</v>
      </c>
      <c r="R175" s="690" t="str" cm="1">
        <f t="array" aca="1" ref="R175" ca="1">IF($C175="S",REFERENCIA.Descricao,"(digite a descrição aqui)")</f>
        <v xml:space="preserve">CRUZETA PVC RIGIDO SOLDAVEL 50mm- </v>
      </c>
      <c r="S175" s="691" t="str" cm="1">
        <f t="array" aca="1" ref="S175" ca="1">REFERENCIA.Unidade</f>
        <v>UNIDADE</v>
      </c>
      <c r="T175" s="122">
        <f ca="1">OFFSET(CÁLCULO!H$15,ROW($T175)-ROW(T$15),0)</f>
        <v>5</v>
      </c>
      <c r="U175" s="693">
        <v>71.400000000000006</v>
      </c>
      <c r="V175" s="694" t="s">
        <v>663</v>
      </c>
      <c r="W175" s="122" cm="1">
        <f t="array" aca="1" ref="W175" ca="1">IF($C175="S",ROUND(IF(TIPOORCAMENTO="Proposto",ORÇAMENTO.CustoUnitario*(1+$AH175),ORÇAMENTO.PrecoUnitarioLicitado),15-13*$AF$10),0)</f>
        <v>88.54</v>
      </c>
      <c r="X175" s="125" cm="1">
        <f t="array" aca="1" ref="X175" ca="1">IF($C175="S",IF(OR(Import.TipoArredondamento&lt;&gt;"TransfereGOV",ACOMPANHAMENTO="BM"),VTOTAL1,SUM(OFFSET(CÁLCULO!$AI$15,ROW($X175)-ROW($X$15),1):OFFSET(CÁLCULO!$BB$15,ROW($X175)-ROW($X$15),-1))),IF($C175=0,0,ROUND(SomaAgrup,15-13*$AF$11)))</f>
        <v>442.7</v>
      </c>
      <c r="Y175" s="126" t="s">
        <v>751</v>
      </c>
      <c r="Z175" s="670" t="str">
        <f t="shared" ca="1" si="46"/>
        <v>RA</v>
      </c>
      <c r="AA175" s="127" cm="1">
        <f t="array" aca="1" ref="AA175" ca="1">IF($C175="S",IF($Z175="CP",$X175,IF($Z175="RA",(($X175)*QCI!$AA$3),0)),SomaAgrup)</f>
        <v>0</v>
      </c>
      <c r="AB175" s="128" cm="1">
        <f t="array" aca="1" ref="AB175" ca="1">IF($C175="S",IF($Z175="OU",ROUND($X175,2),0),SomaAgrup)</f>
        <v>0</v>
      </c>
      <c r="AC175" s="565" t="str" cm="1">
        <f t="array" aca="1" ref="AC175" ca="1">IF($N175=""," ",
IF(AND($C175&lt;&gt;"S",OR($R175="",$R175="(digite a descrição aqui)")),"DESCRIÇÃO",
IF(AND($C175="S",OR($Q175&lt;&gt;"",$T175&gt;0,$U175&gt;0),$P175=""),"FONTE",
IF(AND($C175="S",$P175&lt;&gt;"",OR($T175&gt;0,$U175&gt;0),$Q175=""),"CÓDIGO",
IF(AND($C175="S",$P175&lt;&gt;"",$Q175&lt;&gt;"",$R175="(Código não identificado nas referências)"),"CÓDIGO N/ID",
IF(AND($C175="S",OR($R175="",$R175="(digite a descrição aqui)"),OR($Q175&lt;&gt;"",$T175&gt;0,$U175&gt;0)),"DESCRIÇÃO",
IF(AND($C175="S",$P175&lt;&gt;"",$Q175&lt;&gt;"",$S175=""),"UNIDADE",
IF(AND($C175="S",$P175&lt;&gt;"",$Q175&lt;&gt;"",$U175=0),"SEM CUSTO",
IF(AND(TIPOORCAMENTO="Licitado",$AL175=0,$AN175&gt;0),"SEM PREÇO",
IF(AND($C175="S",$P175&lt;&gt;"",$Q175&lt;&gt;"",$U175&gt;0,AND($V175&lt;&gt;"BDI 1",$V175&lt;&gt;"BDI 2",$V175&lt;&gt;"BDI 3")),IF(ISNUMBER($V175),"JUSTIFICAR BDI","BDI"),
IF(OR(AND(import.recurso="OGU",TIPOORCAMENTO="Proposto",LEFT($O$8,5)&lt;&gt;"(N/D:",$AG175&lt;&gt;"",ORÇAMENTO.CustoUnitario&gt;$AG175),AND(TIPOORCAMENTO="LICITADO",ORÇAMENTO.PrecoUnitarioLicitado&gt;$AN175)),"ACIMA REF.",
IF(AND($C175="S",$P175&lt;&gt;"",$Q175&lt;&gt;"",$T175=0,$U175&gt;0),"QUANT.",
IF(AND(Import.TipoArredondamento="TransfereGOV",$L175="F",$C175="S",LEN($Q175)&gt;13),"Código &gt;13",
IF(AND(Import.TipoArredondamento="TransfereGOV",$L175="F",$C175&lt;&gt;"S",LEN($R175)&gt;100),"Descrição &gt;100",
IF(AND(Import.TipoArredondamento="TransfereGOV",$L175="F",$C175="S",LEN($R175)&gt;500),"Descrição &gt;500",
IF(AND(Import.TipoArredondamento="TransfereGOV",$L175="F",$C175="S",LEFT(TRIM(UPPER($P175)),6)&lt;&gt;"SINAPI",ISNA(VLOOKUP(TRIM(UPPER($S175)),ListaTgov.Unidades,1,FALSE))),"Unid. Não Disp",
" "))))))))))))))))</f>
        <v>Unid. Não Disp</v>
      </c>
      <c r="AD175" s="670" t="str">
        <f ca="1">IF(C175&lt;=CRONO.NivelExibicao,MAX($AD$15:OFFSET(AD175,-1,0))+IF($C175&lt;&gt;1,1,MAX(1,COUNTIF(QCI!$A$13:$A$24,OFFSET($E175,-1,0)))),"")</f>
        <v/>
      </c>
      <c r="AE175" s="668" t="str" cm="1">
        <f t="array" aca="1" ref="AE175" ca="1">IF(AND($C175="S",ORÇAMENTO.CodBarra&lt;&gt;""),IF(ORÇAMENTO.Fonte="",ORÇAMENTO.CodBarra,CONCATENATE(ORÇAMENTO.Fonte," ",ORÇAMENTO.CodBarra)))</f>
        <v>Cotação 27</v>
      </c>
      <c r="AF175" s="669" cm="1">
        <f t="array" aca="1" ref="AF175" ca="1">IF(ISERROR(ORÇAMENTO.BancoRef),"(abra o arquivo 'Referência "&amp;Excel_BuiltIn_Database&amp;".xlsm)",IF(OR($C175&lt;&gt;"S",ORÇAMENTO.CodBarra=""),"(Sem Código)",IF(ISERROR(MATCH($AE175,INDIRECT(ORÇAMENTO.BancoRef),0)),"(Código não identificado nas referências)",MATCH($AE175,INDIRECT(ORÇAMENTO.BancoRef),0))))</f>
        <v>36</v>
      </c>
      <c r="AG175" s="428" cm="1">
        <f t="array" aca="1" ref="AG175" ca="1">ROUND(IF(DESONERACAO="sim",REFERENCIA.Desonerado,REFERENCIA.NaoDesonerado),2)</f>
        <v>71.400000000000006</v>
      </c>
      <c r="AH175" s="429">
        <f t="shared" ca="1" si="47"/>
        <v>0.24</v>
      </c>
      <c r="AJ175" s="431"/>
      <c r="AL175" s="439"/>
      <c r="AM175" s="336">
        <f t="shared" ca="1" si="0"/>
        <v>442.7</v>
      </c>
      <c r="AN175" s="470" cm="1">
        <f t="array" aca="1" ref="AN175" ca="1">ROUND(ORÇAMENTO.CustoUnitario*(1+$AH175),2)</f>
        <v>88.54</v>
      </c>
    </row>
    <row r="176" spans="1:40" s="670" customFormat="1" ht="38.25" x14ac:dyDescent="0.2">
      <c r="A176" s="670" t="str">
        <f t="shared" si="35"/>
        <v>S</v>
      </c>
      <c r="B176" s="670">
        <f t="shared" ca="1" si="36"/>
        <v>2</v>
      </c>
      <c r="C176" s="670" t="str">
        <f t="shared" ca="1" si="37"/>
        <v>S</v>
      </c>
      <c r="D176" s="670">
        <f t="shared" ca="1" si="38"/>
        <v>0</v>
      </c>
      <c r="E176" s="670">
        <f ca="1">IF($C176=1,OFFSET(E176,-1,0)+MAX(1,COUNTIF(QCI!$A$13:$A$24,OFFSET(ORÇAMENTO!E176,-1,0))),OFFSET(E176,-1,0))</f>
        <v>1</v>
      </c>
      <c r="F176" s="670">
        <f t="shared" ca="1" si="39"/>
        <v>23</v>
      </c>
      <c r="G176" s="670">
        <f t="shared" ca="1" si="40"/>
        <v>0</v>
      </c>
      <c r="H176" s="670">
        <f t="shared" ca="1" si="41"/>
        <v>0</v>
      </c>
      <c r="I176" s="670">
        <f t="shared" ca="1" si="42"/>
        <v>6</v>
      </c>
      <c r="J176" s="670">
        <f t="shared" ca="1" si="48"/>
        <v>0</v>
      </c>
      <c r="K176" s="670">
        <f ca="1">IF(OR($C176="S",$C176=0),0,MATCH(OFFSET($D176,0,$C176)+IF($C176&lt;&gt;1,1,COUNTIF(QCI!$A$13:$A$24,ORÇAMENTO!E176)),OFFSET($D176,1,$C176,ROW($C$191)-ROW($C176)),0))</f>
        <v>0</v>
      </c>
      <c r="L176" s="114" t="str">
        <f t="shared" ca="1" si="43"/>
        <v>F</v>
      </c>
      <c r="M176" s="115" t="s">
        <v>705</v>
      </c>
      <c r="N176" s="116" t="str">
        <f t="shared" ca="1" si="44"/>
        <v>Serviço</v>
      </c>
      <c r="O176" s="117" t="str">
        <f t="shared" ca="1" si="45"/>
        <v>1.23.6.</v>
      </c>
      <c r="P176" s="688" t="s">
        <v>954</v>
      </c>
      <c r="Q176" s="689" t="s">
        <v>1258</v>
      </c>
      <c r="R176" s="690" t="str" cm="1">
        <f t="array" aca="1" ref="R176" ca="1">IF($C176="S",REFERENCIA.Descricao,"(digite a descrição aqui)")</f>
        <v>PASTA LUBRIFICANTE PARA TUBOS E CONEXOES COM JUNTA ELASTICA, EMBALAGEM DE *400* GR (USO EM PVC, ACO, POLIETILENO E OUTROS)</v>
      </c>
      <c r="S176" s="691" t="str" cm="1">
        <f t="array" aca="1" ref="S176" ca="1">REFERENCIA.Unidade</f>
        <v>UN</v>
      </c>
      <c r="T176" s="122">
        <f ca="1">OFFSET(CÁLCULO!H$15,ROW($T176)-ROW(T$15),0)</f>
        <v>110</v>
      </c>
      <c r="U176" s="693">
        <v>30.93</v>
      </c>
      <c r="V176" s="694" t="s">
        <v>697</v>
      </c>
      <c r="W176" s="122" cm="1">
        <f t="array" aca="1" ref="W176" ca="1">IF($C176="S",ROUND(IF(TIPOORCAMENTO="Proposto",ORÇAMENTO.CustoUnitario*(1+$AH176),ORÇAMENTO.PrecoUnitarioLicitado),15-13*$AF$10),0)</f>
        <v>36.130000000000003</v>
      </c>
      <c r="X176" s="125" cm="1">
        <f t="array" aca="1" ref="X176" ca="1">IF($C176="S",IF(OR(Import.TipoArredondamento&lt;&gt;"TransfereGOV",ACOMPANHAMENTO="BM"),VTOTAL1,SUM(OFFSET(CÁLCULO!$AI$15,ROW($X176)-ROW($X$15),1):OFFSET(CÁLCULO!$BB$15,ROW($X176)-ROW($X$15),-1))),IF($C176=0,0,ROUND(SomaAgrup,15-13*$AF$11)))</f>
        <v>3974.3</v>
      </c>
      <c r="Y176" s="126" t="s">
        <v>751</v>
      </c>
      <c r="Z176" s="670" t="str">
        <f t="shared" ca="1" si="46"/>
        <v>RA</v>
      </c>
      <c r="AA176" s="127" cm="1">
        <f t="array" aca="1" ref="AA176" ca="1">IF($C176="S",IF($Z176="CP",$X176,IF($Z176="RA",(($X176)*QCI!$AA$3),0)),SomaAgrup)</f>
        <v>0</v>
      </c>
      <c r="AB176" s="128" cm="1">
        <f t="array" aca="1" ref="AB176" ca="1">IF($C176="S",IF($Z176="OU",ROUND($X176,2),0),SomaAgrup)</f>
        <v>0</v>
      </c>
      <c r="AC176" s="565" t="str" cm="1">
        <f t="array" aca="1" ref="AC176" ca="1">IF($N176=""," ",
IF(AND($C176&lt;&gt;"S",OR($R176="",$R176="(digite a descrição aqui)")),"DESCRIÇÃO",
IF(AND($C176="S",OR($Q176&lt;&gt;"",$T176&gt;0,$U176&gt;0),$P176=""),"FONTE",
IF(AND($C176="S",$P176&lt;&gt;"",OR($T176&gt;0,$U176&gt;0),$Q176=""),"CÓDIGO",
IF(AND($C176="S",$P176&lt;&gt;"",$Q176&lt;&gt;"",$R176="(Código não identificado nas referências)"),"CÓDIGO N/ID",
IF(AND($C176="S",OR($R176="",$R176="(digite a descrição aqui)"),OR($Q176&lt;&gt;"",$T176&gt;0,$U176&gt;0)),"DESCRIÇÃO",
IF(AND($C176="S",$P176&lt;&gt;"",$Q176&lt;&gt;"",$S176=""),"UNIDADE",
IF(AND($C176="S",$P176&lt;&gt;"",$Q176&lt;&gt;"",$U176=0),"SEM CUSTO",
IF(AND(TIPOORCAMENTO="Licitado",$AL176=0,$AN176&gt;0),"SEM PREÇO",
IF(AND($C176="S",$P176&lt;&gt;"",$Q176&lt;&gt;"",$U176&gt;0,AND($V176&lt;&gt;"BDI 1",$V176&lt;&gt;"BDI 2",$V176&lt;&gt;"BDI 3")),IF(ISNUMBER($V176),"JUSTIFICAR BDI","BDI"),
IF(OR(AND(import.recurso="OGU",TIPOORCAMENTO="Proposto",LEFT($O$8,5)&lt;&gt;"(N/D:",$AG176&lt;&gt;"",ORÇAMENTO.CustoUnitario&gt;$AG176),AND(TIPOORCAMENTO="LICITADO",ORÇAMENTO.PrecoUnitarioLicitado&gt;$AN176)),"ACIMA REF.",
IF(AND($C176="S",$P176&lt;&gt;"",$Q176&lt;&gt;"",$T176=0,$U176&gt;0),"QUANT.",
IF(AND(Import.TipoArredondamento="TransfereGOV",$L176="F",$C176="S",LEN($Q176)&gt;13),"Código &gt;13",
IF(AND(Import.TipoArredondamento="TransfereGOV",$L176="F",$C176&lt;&gt;"S",LEN($R176)&gt;100),"Descrição &gt;100",
IF(AND(Import.TipoArredondamento="TransfereGOV",$L176="F",$C176="S",LEN($R176)&gt;500),"Descrição &gt;500",
IF(AND(Import.TipoArredondamento="TransfereGOV",$L176="F",$C176="S",LEFT(TRIM(UPPER($P176)),6)&lt;&gt;"SINAPI",ISNA(VLOOKUP(TRIM(UPPER($S176)),ListaTgov.Unidades,1,FALSE))),"Unid. Não Disp",
" "))))))))))))))))</f>
        <v xml:space="preserve"> </v>
      </c>
      <c r="AD176" s="670" t="str">
        <f ca="1">IF(C176&lt;=CRONO.NivelExibicao,MAX($AD$15:OFFSET(AD176,-1,0))+IF($C176&lt;&gt;1,1,MAX(1,COUNTIF(QCI!$A$13:$A$24,OFFSET($E176,-1,0)))),"")</f>
        <v/>
      </c>
      <c r="AE176" s="668" t="str" cm="1">
        <f t="array" aca="1" ref="AE176" ca="1">IF(AND($C176="S",ORÇAMENTO.CodBarra&lt;&gt;""),IF(ORÇAMENTO.Fonte="",ORÇAMENTO.CodBarra,CONCATENATE(ORÇAMENTO.Fonte," ",ORÇAMENTO.CodBarra)))</f>
        <v>SINAPI-I 20078</v>
      </c>
      <c r="AF176" s="669" cm="1">
        <f t="array" aca="1" ref="AF176" ca="1">IF(ISERROR(ORÇAMENTO.BancoRef),"(abra o arquivo 'Referência "&amp;Excel_BuiltIn_Database&amp;".xlsm)",IF(OR($C176&lt;&gt;"S",ORÇAMENTO.CodBarra=""),"(Sem Código)",IF(ISERROR(MATCH($AE176,INDIRECT(ORÇAMENTO.BancoRef),0)),"(Código não identificado nas referências)",MATCH($AE176,INDIRECT(ORÇAMENTO.BancoRef),0))))</f>
        <v>3269</v>
      </c>
      <c r="AG176" s="428" cm="1">
        <f t="array" aca="1" ref="AG176" ca="1">ROUND(IF(DESONERACAO="sim",REFERENCIA.Desonerado,REFERENCIA.NaoDesonerado),2)</f>
        <v>30.93</v>
      </c>
      <c r="AH176" s="429">
        <f t="shared" ca="1" si="47"/>
        <v>0.16800000000000001</v>
      </c>
      <c r="AJ176" s="431"/>
      <c r="AL176" s="439"/>
      <c r="AM176" s="336">
        <f t="shared" ca="1" si="0"/>
        <v>3974.3</v>
      </c>
      <c r="AN176" s="470" cm="1">
        <f t="array" aca="1" ref="AN176" ca="1">ROUND(ORÇAMENTO.CustoUnitario*(1+$AH176),2)</f>
        <v>36.130000000000003</v>
      </c>
    </row>
    <row r="177" spans="1:40" s="670" customFormat="1" ht="38.25" x14ac:dyDescent="0.2">
      <c r="A177" s="670" t="str">
        <f t="shared" si="35"/>
        <v>S</v>
      </c>
      <c r="B177" s="670">
        <f t="shared" ca="1" si="36"/>
        <v>2</v>
      </c>
      <c r="C177" s="670" t="str">
        <f t="shared" ca="1" si="37"/>
        <v>S</v>
      </c>
      <c r="D177" s="670">
        <f t="shared" ca="1" si="38"/>
        <v>0</v>
      </c>
      <c r="E177" s="670">
        <f ca="1">IF($C177=1,OFFSET(E177,-1,0)+MAX(1,COUNTIF(QCI!$A$13:$A$24,OFFSET(ORÇAMENTO!E177,-1,0))),OFFSET(E177,-1,0))</f>
        <v>1</v>
      </c>
      <c r="F177" s="670">
        <f t="shared" ca="1" si="39"/>
        <v>23</v>
      </c>
      <c r="G177" s="670">
        <f t="shared" ca="1" si="40"/>
        <v>0</v>
      </c>
      <c r="H177" s="670">
        <f t="shared" ca="1" si="41"/>
        <v>0</v>
      </c>
      <c r="I177" s="670">
        <f t="shared" ca="1" si="42"/>
        <v>7</v>
      </c>
      <c r="J177" s="670">
        <f t="shared" ca="1" si="48"/>
        <v>0</v>
      </c>
      <c r="K177" s="670">
        <f ca="1">IF(OR($C177="S",$C177=0),0,MATCH(OFFSET($D177,0,$C177)+IF($C177&lt;&gt;1,1,COUNTIF(QCI!$A$13:$A$24,ORÇAMENTO!E177)),OFFSET($D177,1,$C177,ROW($C$191)-ROW($C177)),0))</f>
        <v>0</v>
      </c>
      <c r="L177" s="114" t="str">
        <f t="shared" ca="1" si="43"/>
        <v>F</v>
      </c>
      <c r="M177" s="115" t="s">
        <v>705</v>
      </c>
      <c r="N177" s="116" t="str">
        <f t="shared" ca="1" si="44"/>
        <v>Serviço</v>
      </c>
      <c r="O177" s="117" t="str">
        <f t="shared" ca="1" si="45"/>
        <v>1.23.7.</v>
      </c>
      <c r="P177" s="688" t="s">
        <v>750</v>
      </c>
      <c r="Q177" s="689" t="s">
        <v>1253</v>
      </c>
      <c r="R177" s="690" t="str" cm="1">
        <f t="array" aca="1" ref="R177" ca="1">IF($C177="S",REFERENCIA.Descricao,"(digite a descrição aqui)")</f>
        <v>REGISTRO DE GAVETA BRUTO, LATÃO, ROSCÁVEL, 1 1/2", COM ACABAMENTO E CANOPLA CROMADOS - FORNECIMENTO E INSTALAÇÃO. AF_08/2021</v>
      </c>
      <c r="S177" s="691" t="str" cm="1">
        <f t="array" aca="1" ref="S177" ca="1">REFERENCIA.Unidade</f>
        <v>UN</v>
      </c>
      <c r="T177" s="122">
        <f ca="1">OFFSET(CÁLCULO!H$15,ROW($T177)-ROW(T$15),0)</f>
        <v>8</v>
      </c>
      <c r="U177" s="693">
        <v>269.11</v>
      </c>
      <c r="V177" s="694" t="s">
        <v>663</v>
      </c>
      <c r="W177" s="122" cm="1">
        <f t="array" aca="1" ref="W177" ca="1">IF($C177="S",ROUND(IF(TIPOORCAMENTO="Proposto",ORÇAMENTO.CustoUnitario*(1+$AH177),ORÇAMENTO.PrecoUnitarioLicitado),15-13*$AF$10),0)</f>
        <v>333.7</v>
      </c>
      <c r="X177" s="125" cm="1">
        <f t="array" aca="1" ref="X177" ca="1">IF($C177="S",IF(OR(Import.TipoArredondamento&lt;&gt;"TransfereGOV",ACOMPANHAMENTO="BM"),VTOTAL1,SUM(OFFSET(CÁLCULO!$AI$15,ROW($X177)-ROW($X$15),1):OFFSET(CÁLCULO!$BB$15,ROW($X177)-ROW($X$15),-1))),IF($C177=0,0,ROUND(SomaAgrup,15-13*$AF$11)))</f>
        <v>2669.6</v>
      </c>
      <c r="Y177" s="126" t="s">
        <v>751</v>
      </c>
      <c r="Z177" s="670" t="str">
        <f t="shared" ca="1" si="46"/>
        <v>RA</v>
      </c>
      <c r="AA177" s="127" cm="1">
        <f t="array" aca="1" ref="AA177" ca="1">IF($C177="S",IF($Z177="CP",$X177,IF($Z177="RA",(($X177)*QCI!$AA$3),0)),SomaAgrup)</f>
        <v>0</v>
      </c>
      <c r="AB177" s="128" cm="1">
        <f t="array" aca="1" ref="AB177" ca="1">IF($C177="S",IF($Z177="OU",ROUND($X177,2),0),SomaAgrup)</f>
        <v>0</v>
      </c>
      <c r="AC177" s="565" t="str" cm="1">
        <f t="array" aca="1" ref="AC177" ca="1">IF($N177=""," ",
IF(AND($C177&lt;&gt;"S",OR($R177="",$R177="(digite a descrição aqui)")),"DESCRIÇÃO",
IF(AND($C177="S",OR($Q177&lt;&gt;"",$T177&gt;0,$U177&gt;0),$P177=""),"FONTE",
IF(AND($C177="S",$P177&lt;&gt;"",OR($T177&gt;0,$U177&gt;0),$Q177=""),"CÓDIGO",
IF(AND($C177="S",$P177&lt;&gt;"",$Q177&lt;&gt;"",$R177="(Código não identificado nas referências)"),"CÓDIGO N/ID",
IF(AND($C177="S",OR($R177="",$R177="(digite a descrição aqui)"),OR($Q177&lt;&gt;"",$T177&gt;0,$U177&gt;0)),"DESCRIÇÃO",
IF(AND($C177="S",$P177&lt;&gt;"",$Q177&lt;&gt;"",$S177=""),"UNIDADE",
IF(AND($C177="S",$P177&lt;&gt;"",$Q177&lt;&gt;"",$U177=0),"SEM CUSTO",
IF(AND(TIPOORCAMENTO="Licitado",$AL177=0,$AN177&gt;0),"SEM PREÇO",
IF(AND($C177="S",$P177&lt;&gt;"",$Q177&lt;&gt;"",$U177&gt;0,AND($V177&lt;&gt;"BDI 1",$V177&lt;&gt;"BDI 2",$V177&lt;&gt;"BDI 3")),IF(ISNUMBER($V177),"JUSTIFICAR BDI","BDI"),
IF(OR(AND(import.recurso="OGU",TIPOORCAMENTO="Proposto",LEFT($O$8,5)&lt;&gt;"(N/D:",$AG177&lt;&gt;"",ORÇAMENTO.CustoUnitario&gt;$AG177),AND(TIPOORCAMENTO="LICITADO",ORÇAMENTO.PrecoUnitarioLicitado&gt;$AN177)),"ACIMA REF.",
IF(AND($C177="S",$P177&lt;&gt;"",$Q177&lt;&gt;"",$T177=0,$U177&gt;0),"QUANT.",
IF(AND(Import.TipoArredondamento="TransfereGOV",$L177="F",$C177="S",LEN($Q177)&gt;13),"Código &gt;13",
IF(AND(Import.TipoArredondamento="TransfereGOV",$L177="F",$C177&lt;&gt;"S",LEN($R177)&gt;100),"Descrição &gt;100",
IF(AND(Import.TipoArredondamento="TransfereGOV",$L177="F",$C177="S",LEN($R177)&gt;500),"Descrição &gt;500",
IF(AND(Import.TipoArredondamento="TransfereGOV",$L177="F",$C177="S",LEFT(TRIM(UPPER($P177)),6)&lt;&gt;"SINAPI",ISNA(VLOOKUP(TRIM(UPPER($S177)),ListaTgov.Unidades,1,FALSE))),"Unid. Não Disp",
" "))))))))))))))))</f>
        <v xml:space="preserve"> </v>
      </c>
      <c r="AD177" s="670" t="str">
        <f ca="1">IF(C177&lt;=CRONO.NivelExibicao,MAX($AD$15:OFFSET(AD177,-1,0))+IF($C177&lt;&gt;1,1,MAX(1,COUNTIF(QCI!$A$13:$A$24,OFFSET($E177,-1,0)))),"")</f>
        <v/>
      </c>
      <c r="AE177" s="668" t="str" cm="1">
        <f t="array" aca="1" ref="AE177" ca="1">IF(AND($C177="S",ORÇAMENTO.CodBarra&lt;&gt;""),IF(ORÇAMENTO.Fonte="",ORÇAMENTO.CodBarra,CONCATENATE(ORÇAMENTO.Fonte," ",ORÇAMENTO.CodBarra)))</f>
        <v>SINAPI 94794</v>
      </c>
      <c r="AF177" s="669" cm="1">
        <f t="array" aca="1" ref="AF177" ca="1">IF(ISERROR(ORÇAMENTO.BancoRef),"(abra o arquivo 'Referência "&amp;Excel_BuiltIn_Database&amp;".xlsm)",IF(OR($C177&lt;&gt;"S",ORÇAMENTO.CodBarra=""),"(Sem Código)",IF(ISERROR(MATCH($AE177,INDIRECT(ORÇAMENTO.BancoRef),0)),"(Código não identificado nas referências)",MATCH($AE177,INDIRECT(ORÇAMENTO.BancoRef),0))))</f>
        <v>16154</v>
      </c>
      <c r="AG177" s="428" cm="1">
        <f t="array" aca="1" ref="AG177" ca="1">ROUND(IF(DESONERACAO="sim",REFERENCIA.Desonerado,REFERENCIA.NaoDesonerado),2)</f>
        <v>269.11</v>
      </c>
      <c r="AH177" s="429">
        <f t="shared" ca="1" si="47"/>
        <v>0.24</v>
      </c>
      <c r="AJ177" s="431"/>
      <c r="AL177" s="439"/>
      <c r="AM177" s="336">
        <f t="shared" ca="1" si="0"/>
        <v>2669.6</v>
      </c>
      <c r="AN177" s="470" cm="1">
        <f t="array" aca="1" ref="AN177" ca="1">ROUND(ORÇAMENTO.CustoUnitario*(1+$AH177),2)</f>
        <v>333.7</v>
      </c>
    </row>
    <row r="178" spans="1:40" s="670" customFormat="1" ht="25.5" x14ac:dyDescent="0.2">
      <c r="A178" s="670" t="str">
        <f t="shared" si="35"/>
        <v>S</v>
      </c>
      <c r="B178" s="670">
        <f t="shared" ca="1" si="36"/>
        <v>2</v>
      </c>
      <c r="C178" s="670" t="str">
        <f t="shared" ca="1" si="37"/>
        <v>S</v>
      </c>
      <c r="D178" s="670">
        <f t="shared" ca="1" si="38"/>
        <v>0</v>
      </c>
      <c r="E178" s="670">
        <f ca="1">IF($C178=1,OFFSET(E178,-1,0)+MAX(1,COUNTIF(QCI!$A$13:$A$24,OFFSET(ORÇAMENTO!E178,-1,0))),OFFSET(E178,-1,0))</f>
        <v>1</v>
      </c>
      <c r="F178" s="670">
        <f t="shared" ca="1" si="39"/>
        <v>23</v>
      </c>
      <c r="G178" s="670">
        <f t="shared" ca="1" si="40"/>
        <v>0</v>
      </c>
      <c r="H178" s="670">
        <f t="shared" ca="1" si="41"/>
        <v>0</v>
      </c>
      <c r="I178" s="670">
        <f t="shared" ca="1" si="42"/>
        <v>8</v>
      </c>
      <c r="J178" s="670">
        <f t="shared" ca="1" si="48"/>
        <v>0</v>
      </c>
      <c r="K178" s="670">
        <f ca="1">IF(OR($C178="S",$C178=0),0,MATCH(OFFSET($D178,0,$C178)+IF($C178&lt;&gt;1,1,COUNTIF(QCI!$A$13:$A$24,ORÇAMENTO!E178)),OFFSET($D178,1,$C178,ROW($C$191)-ROW($C178)),0))</f>
        <v>0</v>
      </c>
      <c r="L178" s="114" t="str">
        <f t="shared" ca="1" si="43"/>
        <v>F</v>
      </c>
      <c r="M178" s="115" t="s">
        <v>705</v>
      </c>
      <c r="N178" s="116" t="str">
        <f t="shared" ca="1" si="44"/>
        <v>Serviço</v>
      </c>
      <c r="O178" s="117" t="str">
        <f t="shared" ca="1" si="45"/>
        <v>1.23.8.</v>
      </c>
      <c r="P178" s="688" t="s">
        <v>957</v>
      </c>
      <c r="Q178" s="689" t="s">
        <v>1120</v>
      </c>
      <c r="R178" s="690" t="str" cm="1">
        <f t="array" aca="1" ref="R178" ca="1">IF($C178="S",REFERENCIA.Descricao,"(digite a descrição aqui)")</f>
        <v>TE DE PVC-PBA,COM TRES BOLSAS DE JUNTA ELASTICA, DIAMETRO NO MINAL DE 50MM. FORNECIMENTO</v>
      </c>
      <c r="S178" s="691" t="str" cm="1">
        <f t="array" aca="1" ref="S178" ca="1">REFERENCIA.Unidade</f>
        <v>UNIDADE</v>
      </c>
      <c r="T178" s="122">
        <f ca="1">OFFSET(CÁLCULO!H$15,ROW($T178)-ROW(T$15),0)</f>
        <v>18</v>
      </c>
      <c r="U178" s="693">
        <v>25.29</v>
      </c>
      <c r="V178" s="694" t="s">
        <v>663</v>
      </c>
      <c r="W178" s="122" cm="1">
        <f t="array" aca="1" ref="W178" ca="1">IF($C178="S",ROUND(IF(TIPOORCAMENTO="Proposto",ORÇAMENTO.CustoUnitario*(1+$AH178),ORÇAMENTO.PrecoUnitarioLicitado),15-13*$AF$10),0)</f>
        <v>31.36</v>
      </c>
      <c r="X178" s="125" cm="1">
        <f t="array" aca="1" ref="X178" ca="1">IF($C178="S",IF(OR(Import.TipoArredondamento&lt;&gt;"TransfereGOV",ACOMPANHAMENTO="BM"),VTOTAL1,SUM(OFFSET(CÁLCULO!$AI$15,ROW($X178)-ROW($X$15),1):OFFSET(CÁLCULO!$BB$15,ROW($X178)-ROW($X$15),-1))),IF($C178=0,0,ROUND(SomaAgrup,15-13*$AF$11)))</f>
        <v>564.48</v>
      </c>
      <c r="Y178" s="126" t="s">
        <v>751</v>
      </c>
      <c r="Z178" s="670" t="str">
        <f t="shared" ca="1" si="46"/>
        <v>RA</v>
      </c>
      <c r="AA178" s="127" cm="1">
        <f t="array" aca="1" ref="AA178" ca="1">IF($C178="S",IF($Z178="CP",$X178,IF($Z178="RA",(($X178)*QCI!$AA$3),0)),SomaAgrup)</f>
        <v>0</v>
      </c>
      <c r="AB178" s="128" cm="1">
        <f t="array" aca="1" ref="AB178" ca="1">IF($C178="S",IF($Z178="OU",ROUND($X178,2),0),SomaAgrup)</f>
        <v>0</v>
      </c>
      <c r="AC178" s="565" t="str" cm="1">
        <f t="array" aca="1" ref="AC178" ca="1">IF($N178=""," ",
IF(AND($C178&lt;&gt;"S",OR($R178="",$R178="(digite a descrição aqui)")),"DESCRIÇÃO",
IF(AND($C178="S",OR($Q178&lt;&gt;"",$T178&gt;0,$U178&gt;0),$P178=""),"FONTE",
IF(AND($C178="S",$P178&lt;&gt;"",OR($T178&gt;0,$U178&gt;0),$Q178=""),"CÓDIGO",
IF(AND($C178="S",$P178&lt;&gt;"",$Q178&lt;&gt;"",$R178="(Código não identificado nas referências)"),"CÓDIGO N/ID",
IF(AND($C178="S",OR($R178="",$R178="(digite a descrição aqui)"),OR($Q178&lt;&gt;"",$T178&gt;0,$U178&gt;0)),"DESCRIÇÃO",
IF(AND($C178="S",$P178&lt;&gt;"",$Q178&lt;&gt;"",$S178=""),"UNIDADE",
IF(AND($C178="S",$P178&lt;&gt;"",$Q178&lt;&gt;"",$U178=0),"SEM CUSTO",
IF(AND(TIPOORCAMENTO="Licitado",$AL178=0,$AN178&gt;0),"SEM PREÇO",
IF(AND($C178="S",$P178&lt;&gt;"",$Q178&lt;&gt;"",$U178&gt;0,AND($V178&lt;&gt;"BDI 1",$V178&lt;&gt;"BDI 2",$V178&lt;&gt;"BDI 3")),IF(ISNUMBER($V178),"JUSTIFICAR BDI","BDI"),
IF(OR(AND(import.recurso="OGU",TIPOORCAMENTO="Proposto",LEFT($O$8,5)&lt;&gt;"(N/D:",$AG178&lt;&gt;"",ORÇAMENTO.CustoUnitario&gt;$AG178),AND(TIPOORCAMENTO="LICITADO",ORÇAMENTO.PrecoUnitarioLicitado&gt;$AN178)),"ACIMA REF.",
IF(AND($C178="S",$P178&lt;&gt;"",$Q178&lt;&gt;"",$T178=0,$U178&gt;0),"QUANT.",
IF(AND(Import.TipoArredondamento="TransfereGOV",$L178="F",$C178="S",LEN($Q178)&gt;13),"Código &gt;13",
IF(AND(Import.TipoArredondamento="TransfereGOV",$L178="F",$C178&lt;&gt;"S",LEN($R178)&gt;100),"Descrição &gt;100",
IF(AND(Import.TipoArredondamento="TransfereGOV",$L178="F",$C178="S",LEN($R178)&gt;500),"Descrição &gt;500",
IF(AND(Import.TipoArredondamento="TransfereGOV",$L178="F",$C178="S",LEFT(TRIM(UPPER($P178)),6)&lt;&gt;"SINAPI",ISNA(VLOOKUP(TRIM(UPPER($S178)),ListaTgov.Unidades,1,FALSE))),"Unid. Não Disp",
" "))))))))))))))))</f>
        <v>Unid. Não Disp</v>
      </c>
      <c r="AD178" s="670" t="str">
        <f ca="1">IF(C178&lt;=CRONO.NivelExibicao,MAX($AD$15:OFFSET(AD178,-1,0))+IF($C178&lt;&gt;1,1,MAX(1,COUNTIF(QCI!$A$13:$A$24,OFFSET($E178,-1,0)))),"")</f>
        <v/>
      </c>
      <c r="AE178" s="668" t="str" cm="1">
        <f t="array" aca="1" ref="AE178" ca="1">IF(AND($C178="S",ORÇAMENTO.CodBarra&lt;&gt;""),IF(ORÇAMENTO.Fonte="",ORÇAMENTO.CodBarra,CONCATENATE(ORÇAMENTO.Fonte," ",ORÇAMENTO.CodBarra)))</f>
        <v>Cotação 28</v>
      </c>
      <c r="AF178" s="669" cm="1">
        <f t="array" aca="1" ref="AF178" ca="1">IF(ISERROR(ORÇAMENTO.BancoRef),"(abra o arquivo 'Referência "&amp;Excel_BuiltIn_Database&amp;".xlsm)",IF(OR($C178&lt;&gt;"S",ORÇAMENTO.CodBarra=""),"(Sem Código)",IF(ISERROR(MATCH($AE178,INDIRECT(ORÇAMENTO.BancoRef),0)),"(Código não identificado nas referências)",MATCH($AE178,INDIRECT(ORÇAMENTO.BancoRef),0))))</f>
        <v>37</v>
      </c>
      <c r="AG178" s="428" cm="1">
        <f t="array" aca="1" ref="AG178" ca="1">ROUND(IF(DESONERACAO="sim",REFERENCIA.Desonerado,REFERENCIA.NaoDesonerado),2)</f>
        <v>25.29</v>
      </c>
      <c r="AH178" s="429">
        <f t="shared" ca="1" si="47"/>
        <v>0.24</v>
      </c>
      <c r="AJ178" s="431"/>
      <c r="AL178" s="439"/>
      <c r="AM178" s="336">
        <f t="shared" ca="1" si="0"/>
        <v>564.48</v>
      </c>
      <c r="AN178" s="470" cm="1">
        <f t="array" aca="1" ref="AN178" ca="1">ROUND(ORÇAMENTO.CustoUnitario*(1+$AH178),2)</f>
        <v>31.36</v>
      </c>
    </row>
    <row r="179" spans="1:40" s="670" customFormat="1" ht="63.75" x14ac:dyDescent="0.2">
      <c r="A179" s="670" t="str">
        <f t="shared" si="35"/>
        <v>S</v>
      </c>
      <c r="B179" s="670">
        <f t="shared" ca="1" si="36"/>
        <v>2</v>
      </c>
      <c r="C179" s="670" t="str">
        <f t="shared" ca="1" si="37"/>
        <v>S</v>
      </c>
      <c r="D179" s="670">
        <f t="shared" ca="1" si="38"/>
        <v>0</v>
      </c>
      <c r="E179" s="670">
        <f ca="1">IF($C179=1,OFFSET(E179,-1,0)+MAX(1,COUNTIF(QCI!$A$13:$A$24,OFFSET(ORÇAMENTO!E179,-1,0))),OFFSET(E179,-1,0))</f>
        <v>1</v>
      </c>
      <c r="F179" s="670">
        <f t="shared" ca="1" si="39"/>
        <v>23</v>
      </c>
      <c r="G179" s="670">
        <f t="shared" ca="1" si="40"/>
        <v>0</v>
      </c>
      <c r="H179" s="670">
        <f t="shared" ca="1" si="41"/>
        <v>0</v>
      </c>
      <c r="I179" s="670">
        <f t="shared" ca="1" si="42"/>
        <v>9</v>
      </c>
      <c r="J179" s="670">
        <f t="shared" ca="1" si="48"/>
        <v>0</v>
      </c>
      <c r="K179" s="670">
        <f ca="1">IF(OR($C179="S",$C179=0),0,MATCH(OFFSET($D179,0,$C179)+IF($C179&lt;&gt;1,1,COUNTIF(QCI!$A$13:$A$24,ORÇAMENTO!E179)),OFFSET($D179,1,$C179,ROW($C$191)-ROW($C179)),0))</f>
        <v>0</v>
      </c>
      <c r="L179" s="114" t="str">
        <f t="shared" ca="1" si="43"/>
        <v>F</v>
      </c>
      <c r="M179" s="115" t="s">
        <v>705</v>
      </c>
      <c r="N179" s="116" t="str">
        <f t="shared" ca="1" si="44"/>
        <v>Serviço</v>
      </c>
      <c r="O179" s="117" t="str">
        <f t="shared" ca="1" si="45"/>
        <v>1.23.9.</v>
      </c>
      <c r="P179" s="688" t="s">
        <v>750</v>
      </c>
      <c r="Q179" s="689" t="s">
        <v>1314</v>
      </c>
      <c r="R179" s="690" t="str" cm="1">
        <f t="array" aca="1" ref="R179" ca="1">IF($C179="S",REFERENCIA.Descricao,"(digite a descrição aqui)")</f>
        <v>ESCAVAÇÃO MECANIZADA DE VALA COM PROF. ATÉ 1,5 M (MÉDIA MONTANTE E JUSANTE/UMA COMPOSIÇÃO POR TRECHO), ESCAVADEIRA (0,8 M3), LARG. DE 1,5 M A 2,5 M, EM SOLO DE 2A CATEGORIA, LOCAIS COM BAIXO NÍVEL DE INTERFERÊNCIA. AF_09/2024</v>
      </c>
      <c r="S179" s="691" t="str" cm="1">
        <f t="array" aca="1" ref="S179" ca="1">REFERENCIA.Unidade</f>
        <v>M3</v>
      </c>
      <c r="T179" s="122">
        <f ca="1">OFFSET(CÁLCULO!H$15,ROW($T179)-ROW(T$15),0)</f>
        <v>9000</v>
      </c>
      <c r="U179" s="693">
        <v>7.87</v>
      </c>
      <c r="V179" s="694" t="s">
        <v>663</v>
      </c>
      <c r="W179" s="122" cm="1">
        <f t="array" aca="1" ref="W179" ca="1">IF($C179="S",ROUND(IF(TIPOORCAMENTO="Proposto",ORÇAMENTO.CustoUnitario*(1+$AH179),ORÇAMENTO.PrecoUnitarioLicitado),15-13*$AF$10),0)</f>
        <v>9.76</v>
      </c>
      <c r="X179" s="125" cm="1">
        <f t="array" aca="1" ref="X179" ca="1">IF($C179="S",IF(OR(Import.TipoArredondamento&lt;&gt;"TransfereGOV",ACOMPANHAMENTO="BM"),VTOTAL1,SUM(OFFSET(CÁLCULO!$AI$15,ROW($X179)-ROW($X$15),1):OFFSET(CÁLCULO!$BB$15,ROW($X179)-ROW($X$15),-1))),IF($C179=0,0,ROUND(SomaAgrup,15-13*$AF$11)))</f>
        <v>87840</v>
      </c>
      <c r="Y179" s="126" t="s">
        <v>751</v>
      </c>
      <c r="Z179" s="670" t="str">
        <f t="shared" ca="1" si="46"/>
        <v>RA</v>
      </c>
      <c r="AA179" s="127" cm="1">
        <f t="array" aca="1" ref="AA179" ca="1">IF($C179="S",IF($Z179="CP",$X179,IF($Z179="RA",(($X179)*QCI!$AA$3),0)),SomaAgrup)</f>
        <v>0</v>
      </c>
      <c r="AB179" s="128" cm="1">
        <f t="array" aca="1" ref="AB179" ca="1">IF($C179="S",IF($Z179="OU",ROUND($X179,2),0),SomaAgrup)</f>
        <v>0</v>
      </c>
      <c r="AC179" s="565" t="str" cm="1">
        <f t="array" aca="1" ref="AC179" ca="1">IF($N179=""," ",
IF(AND($C179&lt;&gt;"S",OR($R179="",$R179="(digite a descrição aqui)")),"DESCRIÇÃO",
IF(AND($C179="S",OR($Q179&lt;&gt;"",$T179&gt;0,$U179&gt;0),$P179=""),"FONTE",
IF(AND($C179="S",$P179&lt;&gt;"",OR($T179&gt;0,$U179&gt;0),$Q179=""),"CÓDIGO",
IF(AND($C179="S",$P179&lt;&gt;"",$Q179&lt;&gt;"",$R179="(Código não identificado nas referências)"),"CÓDIGO N/ID",
IF(AND($C179="S",OR($R179="",$R179="(digite a descrição aqui)"),OR($Q179&lt;&gt;"",$T179&gt;0,$U179&gt;0)),"DESCRIÇÃO",
IF(AND($C179="S",$P179&lt;&gt;"",$Q179&lt;&gt;"",$S179=""),"UNIDADE",
IF(AND($C179="S",$P179&lt;&gt;"",$Q179&lt;&gt;"",$U179=0),"SEM CUSTO",
IF(AND(TIPOORCAMENTO="Licitado",$AL179=0,$AN179&gt;0),"SEM PREÇO",
IF(AND($C179="S",$P179&lt;&gt;"",$Q179&lt;&gt;"",$U179&gt;0,AND($V179&lt;&gt;"BDI 1",$V179&lt;&gt;"BDI 2",$V179&lt;&gt;"BDI 3")),IF(ISNUMBER($V179),"JUSTIFICAR BDI","BDI"),
IF(OR(AND(import.recurso="OGU",TIPOORCAMENTO="Proposto",LEFT($O$8,5)&lt;&gt;"(N/D:",$AG179&lt;&gt;"",ORÇAMENTO.CustoUnitario&gt;$AG179),AND(TIPOORCAMENTO="LICITADO",ORÇAMENTO.PrecoUnitarioLicitado&gt;$AN179)),"ACIMA REF.",
IF(AND($C179="S",$P179&lt;&gt;"",$Q179&lt;&gt;"",$T179=0,$U179&gt;0),"QUANT.",
IF(AND(Import.TipoArredondamento="TransfereGOV",$L179="F",$C179="S",LEN($Q179)&gt;13),"Código &gt;13",
IF(AND(Import.TipoArredondamento="TransfereGOV",$L179="F",$C179&lt;&gt;"S",LEN($R179)&gt;100),"Descrição &gt;100",
IF(AND(Import.TipoArredondamento="TransfereGOV",$L179="F",$C179="S",LEN($R179)&gt;500),"Descrição &gt;500",
IF(AND(Import.TipoArredondamento="TransfereGOV",$L179="F",$C179="S",LEFT(TRIM(UPPER($P179)),6)&lt;&gt;"SINAPI",ISNA(VLOOKUP(TRIM(UPPER($S179)),ListaTgov.Unidades,1,FALSE))),"Unid. Não Disp",
" "))))))))))))))))</f>
        <v xml:space="preserve"> </v>
      </c>
      <c r="AD179" s="670" t="str">
        <f ca="1">IF(C179&lt;=CRONO.NivelExibicao,MAX($AD$15:OFFSET(AD179,-1,0))+IF($C179&lt;&gt;1,1,MAX(1,COUNTIF(QCI!$A$13:$A$24,OFFSET($E179,-1,0)))),"")</f>
        <v/>
      </c>
      <c r="AE179" s="668" t="str" cm="1">
        <f t="array" aca="1" ref="AE179" ca="1">IF(AND($C179="S",ORÇAMENTO.CodBarra&lt;&gt;""),IF(ORÇAMENTO.Fonte="",ORÇAMENTO.CodBarra,CONCATENATE(ORÇAMENTO.Fonte," ",ORÇAMENTO.CodBarra)))</f>
        <v>SINAPI 102315</v>
      </c>
      <c r="AF179" s="669" cm="1">
        <f t="array" aca="1" ref="AF179" ca="1">IF(ISERROR(ORÇAMENTO.BancoRef),"(abra o arquivo 'Referência "&amp;Excel_BuiltIn_Database&amp;".xlsm)",IF(OR($C179&lt;&gt;"S",ORÇAMENTO.CodBarra=""),"(Sem Código)",IF(ISERROR(MATCH($AE179,INDIRECT(ORÇAMENTO.BancoRef),0)),"(Código não identificado nas referências)",MATCH($AE179,INDIRECT(ORÇAMENTO.BancoRef),0))))</f>
        <v>9491</v>
      </c>
      <c r="AG179" s="428" cm="1">
        <f t="array" aca="1" ref="AG179" ca="1">ROUND(IF(DESONERACAO="sim",REFERENCIA.Desonerado,REFERENCIA.NaoDesonerado),2)</f>
        <v>7.87</v>
      </c>
      <c r="AH179" s="429">
        <f t="shared" ca="1" si="47"/>
        <v>0.24</v>
      </c>
      <c r="AJ179" s="431"/>
      <c r="AL179" s="439"/>
      <c r="AM179" s="336">
        <f t="shared" ca="1" si="0"/>
        <v>87840</v>
      </c>
      <c r="AN179" s="470" cm="1">
        <f t="array" aca="1" ref="AN179" ca="1">ROUND(ORÇAMENTO.CustoUnitario*(1+$AH179),2)</f>
        <v>9.76</v>
      </c>
    </row>
    <row r="180" spans="1:40" s="670" customFormat="1" ht="38.25" x14ac:dyDescent="0.2">
      <c r="A180" s="670" t="str">
        <f t="shared" si="35"/>
        <v>S</v>
      </c>
      <c r="B180" s="670">
        <f t="shared" ca="1" si="36"/>
        <v>2</v>
      </c>
      <c r="C180" s="670" t="str">
        <f t="shared" ca="1" si="37"/>
        <v>S</v>
      </c>
      <c r="D180" s="670">
        <f t="shared" ca="1" si="38"/>
        <v>0</v>
      </c>
      <c r="E180" s="670">
        <f ca="1">IF($C180=1,OFFSET(E180,-1,0)+MAX(1,COUNTIF(QCI!$A$13:$A$24,OFFSET(ORÇAMENTO!E180,-1,0))),OFFSET(E180,-1,0))</f>
        <v>1</v>
      </c>
      <c r="F180" s="670">
        <f t="shared" ca="1" si="39"/>
        <v>23</v>
      </c>
      <c r="G180" s="670">
        <f t="shared" ca="1" si="40"/>
        <v>0</v>
      </c>
      <c r="H180" s="670">
        <f t="shared" ca="1" si="41"/>
        <v>0</v>
      </c>
      <c r="I180" s="670">
        <f t="shared" ca="1" si="42"/>
        <v>10</v>
      </c>
      <c r="J180" s="670">
        <f t="shared" ca="1" si="48"/>
        <v>0</v>
      </c>
      <c r="K180" s="670">
        <f ca="1">IF(OR($C180="S",$C180=0),0,MATCH(OFFSET($D180,0,$C180)+IF($C180&lt;&gt;1,1,COUNTIF(QCI!$A$13:$A$24,ORÇAMENTO!E180)),OFFSET($D180,1,$C180,ROW($C$191)-ROW($C180)),0))</f>
        <v>0</v>
      </c>
      <c r="L180" s="114" t="str">
        <f t="shared" ca="1" si="43"/>
        <v>F</v>
      </c>
      <c r="M180" s="115" t="s">
        <v>705</v>
      </c>
      <c r="N180" s="116" t="str">
        <f t="shared" ca="1" si="44"/>
        <v>Serviço</v>
      </c>
      <c r="O180" s="117" t="str">
        <f t="shared" ca="1" si="45"/>
        <v>1.23.10.</v>
      </c>
      <c r="P180" s="688" t="s">
        <v>750</v>
      </c>
      <c r="Q180" s="689" t="s">
        <v>1023</v>
      </c>
      <c r="R180" s="690" t="str" cm="1">
        <f t="array" aca="1" ref="R180" ca="1">IF($C180="S",REFERENCIA.Descricao,"(digite a descrição aqui)")</f>
        <v>PREPARO DE FUNDO DE VALA COM LARGURA MENOR QUE 1,5 M (ACERTO DO SOLO NATURAL), EM LOCAL COM NÍVEL BAIXO DE INTERFERÊNCIA. AF_01/2026</v>
      </c>
      <c r="S180" s="691" t="str" cm="1">
        <f t="array" aca="1" ref="S180" ca="1">REFERENCIA.Unidade</f>
        <v>M2</v>
      </c>
      <c r="T180" s="122">
        <f ca="1">OFFSET(CÁLCULO!H$15,ROW($T180)-ROW(T$15),0)</f>
        <v>6000</v>
      </c>
      <c r="U180" s="693">
        <v>8.8000000000000007</v>
      </c>
      <c r="V180" s="694" t="s">
        <v>663</v>
      </c>
      <c r="W180" s="122" cm="1">
        <f t="array" aca="1" ref="W180" ca="1">IF($C180="S",ROUND(IF(TIPOORCAMENTO="Proposto",ORÇAMENTO.CustoUnitario*(1+$AH180),ORÇAMENTO.PrecoUnitarioLicitado),15-13*$AF$10),0)</f>
        <v>10.91</v>
      </c>
      <c r="X180" s="125" cm="1">
        <f t="array" aca="1" ref="X180" ca="1">IF($C180="S",IF(OR(Import.TipoArredondamento&lt;&gt;"TransfereGOV",ACOMPANHAMENTO="BM"),VTOTAL1,SUM(OFFSET(CÁLCULO!$AI$15,ROW($X180)-ROW($X$15),1):OFFSET(CÁLCULO!$BB$15,ROW($X180)-ROW($X$15),-1))),IF($C180=0,0,ROUND(SomaAgrup,15-13*$AF$11)))</f>
        <v>65460</v>
      </c>
      <c r="Y180" s="126" t="s">
        <v>751</v>
      </c>
      <c r="Z180" s="670" t="str">
        <f t="shared" ca="1" si="46"/>
        <v>RA</v>
      </c>
      <c r="AA180" s="127" cm="1">
        <f t="array" aca="1" ref="AA180" ca="1">IF($C180="S",IF($Z180="CP",$X180,IF($Z180="RA",(($X180)*QCI!$AA$3),0)),SomaAgrup)</f>
        <v>0</v>
      </c>
      <c r="AB180" s="128" cm="1">
        <f t="array" aca="1" ref="AB180" ca="1">IF($C180="S",IF($Z180="OU",ROUND($X180,2),0),SomaAgrup)</f>
        <v>0</v>
      </c>
      <c r="AC180" s="565" t="str" cm="1">
        <f t="array" aca="1" ref="AC180" ca="1">IF($N180=""," ",
IF(AND($C180&lt;&gt;"S",OR($R180="",$R180="(digite a descrição aqui)")),"DESCRIÇÃO",
IF(AND($C180="S",OR($Q180&lt;&gt;"",$T180&gt;0,$U180&gt;0),$P180=""),"FONTE",
IF(AND($C180="S",$P180&lt;&gt;"",OR($T180&gt;0,$U180&gt;0),$Q180=""),"CÓDIGO",
IF(AND($C180="S",$P180&lt;&gt;"",$Q180&lt;&gt;"",$R180="(Código não identificado nas referências)"),"CÓDIGO N/ID",
IF(AND($C180="S",OR($R180="",$R180="(digite a descrição aqui)"),OR($Q180&lt;&gt;"",$T180&gt;0,$U180&gt;0)),"DESCRIÇÃO",
IF(AND($C180="S",$P180&lt;&gt;"",$Q180&lt;&gt;"",$S180=""),"UNIDADE",
IF(AND($C180="S",$P180&lt;&gt;"",$Q180&lt;&gt;"",$U180=0),"SEM CUSTO",
IF(AND(TIPOORCAMENTO="Licitado",$AL180=0,$AN180&gt;0),"SEM PREÇO",
IF(AND($C180="S",$P180&lt;&gt;"",$Q180&lt;&gt;"",$U180&gt;0,AND($V180&lt;&gt;"BDI 1",$V180&lt;&gt;"BDI 2",$V180&lt;&gt;"BDI 3")),IF(ISNUMBER($V180),"JUSTIFICAR BDI","BDI"),
IF(OR(AND(import.recurso="OGU",TIPOORCAMENTO="Proposto",LEFT($O$8,5)&lt;&gt;"(N/D:",$AG180&lt;&gt;"",ORÇAMENTO.CustoUnitario&gt;$AG180),AND(TIPOORCAMENTO="LICITADO",ORÇAMENTO.PrecoUnitarioLicitado&gt;$AN180)),"ACIMA REF.",
IF(AND($C180="S",$P180&lt;&gt;"",$Q180&lt;&gt;"",$T180=0,$U180&gt;0),"QUANT.",
IF(AND(Import.TipoArredondamento="TransfereGOV",$L180="F",$C180="S",LEN($Q180)&gt;13),"Código &gt;13",
IF(AND(Import.TipoArredondamento="TransfereGOV",$L180="F",$C180&lt;&gt;"S",LEN($R180)&gt;100),"Descrição &gt;100",
IF(AND(Import.TipoArredondamento="TransfereGOV",$L180="F",$C180="S",LEN($R180)&gt;500),"Descrição &gt;500",
IF(AND(Import.TipoArredondamento="TransfereGOV",$L180="F",$C180="S",LEFT(TRIM(UPPER($P180)),6)&lt;&gt;"SINAPI",ISNA(VLOOKUP(TRIM(UPPER($S180)),ListaTgov.Unidades,1,FALSE))),"Unid. Não Disp",
" "))))))))))))))))</f>
        <v xml:space="preserve"> </v>
      </c>
      <c r="AD180" s="670" t="str">
        <f ca="1">IF(C180&lt;=CRONO.NivelExibicao,MAX($AD$15:OFFSET(AD180,-1,0))+IF($C180&lt;&gt;1,1,MAX(1,COUNTIF(QCI!$A$13:$A$24,OFFSET($E180,-1,0)))),"")</f>
        <v/>
      </c>
      <c r="AE180" s="668" t="str" cm="1">
        <f t="array" aca="1" ref="AE180" ca="1">IF(AND($C180="S",ORÇAMENTO.CodBarra&lt;&gt;""),IF(ORÇAMENTO.Fonte="",ORÇAMENTO.CodBarra,CONCATENATE(ORÇAMENTO.Fonte," ",ORÇAMENTO.CodBarra)))</f>
        <v>SINAPI 101616</v>
      </c>
      <c r="AF180" s="669" cm="1">
        <f t="array" aca="1" ref="AF180" ca="1">IF(ISERROR(ORÇAMENTO.BancoRef),"(abra o arquivo 'Referência "&amp;Excel_BuiltIn_Database&amp;".xlsm)",IF(OR($C180&lt;&gt;"S",ORÇAMENTO.CodBarra=""),"(Sem Código)",IF(ISERROR(MATCH($AE180,INDIRECT(ORÇAMENTO.BancoRef),0)),"(Código não identificado nas referências)",MATCH($AE180,INDIRECT(ORÇAMENTO.BancoRef),0))))</f>
        <v>9622</v>
      </c>
      <c r="AG180" s="428" cm="1">
        <f t="array" aca="1" ref="AG180" ca="1">ROUND(IF(DESONERACAO="sim",REFERENCIA.Desonerado,REFERENCIA.NaoDesonerado),2)</f>
        <v>8.8000000000000007</v>
      </c>
      <c r="AH180" s="429">
        <f t="shared" ca="1" si="47"/>
        <v>0.24</v>
      </c>
      <c r="AJ180" s="431"/>
      <c r="AL180" s="439"/>
      <c r="AM180" s="336">
        <f t="shared" ca="1" si="0"/>
        <v>65460</v>
      </c>
      <c r="AN180" s="470" cm="1">
        <f t="array" aca="1" ref="AN180" ca="1">ROUND(ORÇAMENTO.CustoUnitario*(1+$AH180),2)</f>
        <v>10.91</v>
      </c>
    </row>
    <row r="181" spans="1:40" s="670" customFormat="1" ht="63.75" x14ac:dyDescent="0.2">
      <c r="A181" s="670" t="str">
        <f t="shared" si="35"/>
        <v>S</v>
      </c>
      <c r="B181" s="670">
        <f t="shared" ca="1" si="36"/>
        <v>2</v>
      </c>
      <c r="C181" s="670" t="str">
        <f t="shared" ca="1" si="37"/>
        <v>S</v>
      </c>
      <c r="D181" s="670">
        <f t="shared" ca="1" si="38"/>
        <v>0</v>
      </c>
      <c r="E181" s="670">
        <f ca="1">IF($C181=1,OFFSET(E181,-1,0)+MAX(1,COUNTIF(QCI!$A$13:$A$24,OFFSET(ORÇAMENTO!E181,-1,0))),OFFSET(E181,-1,0))</f>
        <v>1</v>
      </c>
      <c r="F181" s="670">
        <f t="shared" ca="1" si="39"/>
        <v>23</v>
      </c>
      <c r="G181" s="670">
        <f t="shared" ca="1" si="40"/>
        <v>0</v>
      </c>
      <c r="H181" s="670">
        <f t="shared" ca="1" si="41"/>
        <v>0</v>
      </c>
      <c r="I181" s="670">
        <f t="shared" ca="1" si="42"/>
        <v>11</v>
      </c>
      <c r="J181" s="670">
        <f t="shared" ca="1" si="48"/>
        <v>0</v>
      </c>
      <c r="K181" s="670">
        <f ca="1">IF(OR($C181="S",$C181=0),0,MATCH(OFFSET($D181,0,$C181)+IF($C181&lt;&gt;1,1,COUNTIF(QCI!$A$13:$A$24,ORÇAMENTO!E181)),OFFSET($D181,1,$C181,ROW($C$191)-ROW($C181)),0))</f>
        <v>0</v>
      </c>
      <c r="L181" s="114" t="str">
        <f t="shared" ca="1" si="43"/>
        <v>F</v>
      </c>
      <c r="M181" s="115" t="s">
        <v>705</v>
      </c>
      <c r="N181" s="116" t="str">
        <f t="shared" ca="1" si="44"/>
        <v>Serviço</v>
      </c>
      <c r="O181" s="117" t="str">
        <f t="shared" ca="1" si="45"/>
        <v>1.23.11.</v>
      </c>
      <c r="P181" s="688" t="s">
        <v>750</v>
      </c>
      <c r="Q181" s="689" t="s">
        <v>1024</v>
      </c>
      <c r="R181" s="690" t="str" cm="1">
        <f t="array" aca="1" ref="R181" ca="1">IF($C181="S",REFERENCIA.Descricao,"(digite a descrição aqui)")</f>
        <v>REATERRO MECANIZADO DE VALA COM RETROESCAVADEIRA (CAPACIDADE DA CAÇAMBA DA RETRO: 0,26 M³/POTÊNCIA: 88 HP), LARGURA ATÉ 0,8 M, PROFUNDIDADE ATÉ 1,5 M, COM SOLO (SEM SUBSTITUIÇÃO) DE 1ª CATEGORIA, COM COMPACTADOR DE SOLOS DE PERCUSSÃO. AF_08/2023</v>
      </c>
      <c r="S181" s="691" t="str" cm="1">
        <f t="array" aca="1" ref="S181" ca="1">REFERENCIA.Unidade</f>
        <v>M3</v>
      </c>
      <c r="T181" s="122">
        <f ca="1">OFFSET(CÁLCULO!H$15,ROW($T181)-ROW(T$15),0)</f>
        <v>9000</v>
      </c>
      <c r="U181" s="693">
        <v>27.85</v>
      </c>
      <c r="V181" s="694" t="s">
        <v>663</v>
      </c>
      <c r="W181" s="122" cm="1">
        <f t="array" aca="1" ref="W181" ca="1">IF($C181="S",ROUND(IF(TIPOORCAMENTO="Proposto",ORÇAMENTO.CustoUnitario*(1+$AH181),ORÇAMENTO.PrecoUnitarioLicitado),15-13*$AF$10),0)</f>
        <v>34.53</v>
      </c>
      <c r="X181" s="125" cm="1">
        <f t="array" aca="1" ref="X181" ca="1">IF($C181="S",IF(OR(Import.TipoArredondamento&lt;&gt;"TransfereGOV",ACOMPANHAMENTO="BM"),VTOTAL1,SUM(OFFSET(CÁLCULO!$AI$15,ROW($X181)-ROW($X$15),1):OFFSET(CÁLCULO!$BB$15,ROW($X181)-ROW($X$15),-1))),IF($C181=0,0,ROUND(SomaAgrup,15-13*$AF$11)))</f>
        <v>310770</v>
      </c>
      <c r="Y181" s="126" t="s">
        <v>751</v>
      </c>
      <c r="Z181" s="670" t="str">
        <f t="shared" ca="1" si="46"/>
        <v>RA</v>
      </c>
      <c r="AA181" s="127" cm="1">
        <f t="array" aca="1" ref="AA181" ca="1">IF($C181="S",IF($Z181="CP",$X181,IF($Z181="RA",(($X181)*QCI!$AA$3),0)),SomaAgrup)</f>
        <v>0</v>
      </c>
      <c r="AB181" s="128" cm="1">
        <f t="array" aca="1" ref="AB181" ca="1">IF($C181="S",IF($Z181="OU",ROUND($X181,2),0),SomaAgrup)</f>
        <v>0</v>
      </c>
      <c r="AC181" s="565" t="str" cm="1">
        <f t="array" aca="1" ref="AC181" ca="1">IF($N181=""," ",
IF(AND($C181&lt;&gt;"S",OR($R181="",$R181="(digite a descrição aqui)")),"DESCRIÇÃO",
IF(AND($C181="S",OR($Q181&lt;&gt;"",$T181&gt;0,$U181&gt;0),$P181=""),"FONTE",
IF(AND($C181="S",$P181&lt;&gt;"",OR($T181&gt;0,$U181&gt;0),$Q181=""),"CÓDIGO",
IF(AND($C181="S",$P181&lt;&gt;"",$Q181&lt;&gt;"",$R181="(Código não identificado nas referências)"),"CÓDIGO N/ID",
IF(AND($C181="S",OR($R181="",$R181="(digite a descrição aqui)"),OR($Q181&lt;&gt;"",$T181&gt;0,$U181&gt;0)),"DESCRIÇÃO",
IF(AND($C181="S",$P181&lt;&gt;"",$Q181&lt;&gt;"",$S181=""),"UNIDADE",
IF(AND($C181="S",$P181&lt;&gt;"",$Q181&lt;&gt;"",$U181=0),"SEM CUSTO",
IF(AND(TIPOORCAMENTO="Licitado",$AL181=0,$AN181&gt;0),"SEM PREÇO",
IF(AND($C181="S",$P181&lt;&gt;"",$Q181&lt;&gt;"",$U181&gt;0,AND($V181&lt;&gt;"BDI 1",$V181&lt;&gt;"BDI 2",$V181&lt;&gt;"BDI 3")),IF(ISNUMBER($V181),"JUSTIFICAR BDI","BDI"),
IF(OR(AND(import.recurso="OGU",TIPOORCAMENTO="Proposto",LEFT($O$8,5)&lt;&gt;"(N/D:",$AG181&lt;&gt;"",ORÇAMENTO.CustoUnitario&gt;$AG181),AND(TIPOORCAMENTO="LICITADO",ORÇAMENTO.PrecoUnitarioLicitado&gt;$AN181)),"ACIMA REF.",
IF(AND($C181="S",$P181&lt;&gt;"",$Q181&lt;&gt;"",$T181=0,$U181&gt;0),"QUANT.",
IF(AND(Import.TipoArredondamento="TransfereGOV",$L181="F",$C181="S",LEN($Q181)&gt;13),"Código &gt;13",
IF(AND(Import.TipoArredondamento="TransfereGOV",$L181="F",$C181&lt;&gt;"S",LEN($R181)&gt;100),"Descrição &gt;100",
IF(AND(Import.TipoArredondamento="TransfereGOV",$L181="F",$C181="S",LEN($R181)&gt;500),"Descrição &gt;500",
IF(AND(Import.TipoArredondamento="TransfereGOV",$L181="F",$C181="S",LEFT(TRIM(UPPER($P181)),6)&lt;&gt;"SINAPI",ISNA(VLOOKUP(TRIM(UPPER($S181)),ListaTgov.Unidades,1,FALSE))),"Unid. Não Disp",
" "))))))))))))))))</f>
        <v xml:space="preserve"> </v>
      </c>
      <c r="AD181" s="670" t="str">
        <f ca="1">IF(C181&lt;=CRONO.NivelExibicao,MAX($AD$15:OFFSET(AD181,-1,0))+IF($C181&lt;&gt;1,1,MAX(1,COUNTIF(QCI!$A$13:$A$24,OFFSET($E181,-1,0)))),"")</f>
        <v/>
      </c>
      <c r="AE181" s="668" t="str" cm="1">
        <f t="array" aca="1" ref="AE181" ca="1">IF(AND($C181="S",ORÇAMENTO.CodBarra&lt;&gt;""),IF(ORÇAMENTO.Fonte="",ORÇAMENTO.CodBarra,CONCATENATE(ORÇAMENTO.Fonte," ",ORÇAMENTO.CodBarra)))</f>
        <v>SINAPI 93378</v>
      </c>
      <c r="AF181" s="669" cm="1">
        <f t="array" aca="1" ref="AF181" ca="1">IF(ISERROR(ORÇAMENTO.BancoRef),"(abra o arquivo 'Referência "&amp;Excel_BuiltIn_Database&amp;".xlsm)",IF(OR($C181&lt;&gt;"S",ORÇAMENTO.CodBarra=""),"(Sem Código)",IF(ISERROR(MATCH($AE181,INDIRECT(ORÇAMENTO.BancoRef),0)),"(Código não identificado nas referências)",MATCH($AE181,INDIRECT(ORÇAMENTO.BancoRef),0))))</f>
        <v>6793</v>
      </c>
      <c r="AG181" s="428" cm="1">
        <f t="array" aca="1" ref="AG181" ca="1">ROUND(IF(DESONERACAO="sim",REFERENCIA.Desonerado,REFERENCIA.NaoDesonerado),2)</f>
        <v>27.85</v>
      </c>
      <c r="AH181" s="429">
        <f t="shared" ca="1" si="47"/>
        <v>0.24</v>
      </c>
      <c r="AJ181" s="431"/>
      <c r="AL181" s="439"/>
      <c r="AM181" s="336">
        <f t="shared" ca="1" si="0"/>
        <v>310770</v>
      </c>
      <c r="AN181" s="470" cm="1">
        <f t="array" aca="1" ref="AN181" ca="1">ROUND(ORÇAMENTO.CustoUnitario*(1+$AH181),2)</f>
        <v>34.53</v>
      </c>
    </row>
    <row r="182" spans="1:40" s="670" customFormat="1" x14ac:dyDescent="0.2">
      <c r="A182" s="670" t="str">
        <f t="shared" si="35"/>
        <v>S</v>
      </c>
      <c r="B182" s="670">
        <f t="shared" ca="1" si="36"/>
        <v>2</v>
      </c>
      <c r="C182" s="670" t="str">
        <f t="shared" ca="1" si="37"/>
        <v>S</v>
      </c>
      <c r="D182" s="670">
        <f t="shared" ca="1" si="38"/>
        <v>0</v>
      </c>
      <c r="E182" s="670">
        <f ca="1">IF($C182=1,OFFSET(E182,-1,0)+MAX(1,COUNTIF(QCI!$A$13:$A$24,OFFSET(ORÇAMENTO!E182,-1,0))),OFFSET(E182,-1,0))</f>
        <v>1</v>
      </c>
      <c r="F182" s="670">
        <f t="shared" ca="1" si="39"/>
        <v>23</v>
      </c>
      <c r="G182" s="670">
        <f t="shared" ca="1" si="40"/>
        <v>0</v>
      </c>
      <c r="H182" s="670">
        <f t="shared" ca="1" si="41"/>
        <v>0</v>
      </c>
      <c r="I182" s="670">
        <f t="shared" ca="1" si="42"/>
        <v>12</v>
      </c>
      <c r="J182" s="670">
        <f t="shared" ca="1" si="48"/>
        <v>0</v>
      </c>
      <c r="K182" s="670">
        <f ca="1">IF(OR($C182="S",$C182=0),0,MATCH(OFFSET($D182,0,$C182)+IF($C182&lt;&gt;1,1,COUNTIF(QCI!$A$13:$A$24,ORÇAMENTO!E182)),OFFSET($D182,1,$C182,ROW($C$191)-ROW($C182)),0))</f>
        <v>0</v>
      </c>
      <c r="L182" s="114" t="str">
        <f t="shared" ca="1" si="43"/>
        <v>F</v>
      </c>
      <c r="M182" s="115" t="s">
        <v>705</v>
      </c>
      <c r="N182" s="116" t="str">
        <f t="shared" ca="1" si="44"/>
        <v>Serviço</v>
      </c>
      <c r="O182" s="117" t="str">
        <f t="shared" ca="1" si="45"/>
        <v>1.23.12.</v>
      </c>
      <c r="P182" s="688" t="s">
        <v>750</v>
      </c>
      <c r="Q182" s="689" t="s">
        <v>1247</v>
      </c>
      <c r="R182" s="690" t="str" cm="1">
        <f t="array" aca="1" ref="R182" ca="1">IF($C182="S",REFERENCIA.Descricao,"(digite a descrição aqui)")</f>
        <v>CORTE E DOBRA DE AÇO CA-25, DIÂMETRO DE 20,0 MM. AF_06/2022</v>
      </c>
      <c r="S182" s="691" t="str" cm="1">
        <f t="array" aca="1" ref="S182" ca="1">REFERENCIA.Unidade</f>
        <v>KG</v>
      </c>
      <c r="T182" s="122">
        <f ca="1">OFFSET(CÁLCULO!H$15,ROW($T182)-ROW(T$15),0)</f>
        <v>660</v>
      </c>
      <c r="U182" s="693">
        <v>9</v>
      </c>
      <c r="V182" s="694" t="s">
        <v>697</v>
      </c>
      <c r="W182" s="122" cm="1">
        <f t="array" aca="1" ref="W182" ca="1">IF($C182="S",ROUND(IF(TIPOORCAMENTO="Proposto",ORÇAMENTO.CustoUnitario*(1+$AH182),ORÇAMENTO.PrecoUnitarioLicitado),15-13*$AF$10),0)</f>
        <v>10.51</v>
      </c>
      <c r="X182" s="125" cm="1">
        <f t="array" aca="1" ref="X182" ca="1">IF($C182="S",IF(OR(Import.TipoArredondamento&lt;&gt;"TransfereGOV",ACOMPANHAMENTO="BM"),VTOTAL1,SUM(OFFSET(CÁLCULO!$AI$15,ROW($X182)-ROW($X$15),1):OFFSET(CÁLCULO!$BB$15,ROW($X182)-ROW($X$15),-1))),IF($C182=0,0,ROUND(SomaAgrup,15-13*$AF$11)))</f>
        <v>6936.6</v>
      </c>
      <c r="Y182" s="126" t="s">
        <v>751</v>
      </c>
      <c r="Z182" s="670" t="str">
        <f t="shared" ca="1" si="46"/>
        <v>RA</v>
      </c>
      <c r="AA182" s="127" cm="1">
        <f t="array" aca="1" ref="AA182" ca="1">IF($C182="S",IF($Z182="CP",$X182,IF($Z182="RA",(($X182)*QCI!$AA$3),0)),SomaAgrup)</f>
        <v>0</v>
      </c>
      <c r="AB182" s="128" cm="1">
        <f t="array" aca="1" ref="AB182" ca="1">IF($C182="S",IF($Z182="OU",ROUND($X182,2),0),SomaAgrup)</f>
        <v>0</v>
      </c>
      <c r="AC182" s="565" t="str" cm="1">
        <f t="array" aca="1" ref="AC182" ca="1">IF($N182=""," ",
IF(AND($C182&lt;&gt;"S",OR($R182="",$R182="(digite a descrição aqui)")),"DESCRIÇÃO",
IF(AND($C182="S",OR($Q182&lt;&gt;"",$T182&gt;0,$U182&gt;0),$P182=""),"FONTE",
IF(AND($C182="S",$P182&lt;&gt;"",OR($T182&gt;0,$U182&gt;0),$Q182=""),"CÓDIGO",
IF(AND($C182="S",$P182&lt;&gt;"",$Q182&lt;&gt;"",$R182="(Código não identificado nas referências)"),"CÓDIGO N/ID",
IF(AND($C182="S",OR($R182="",$R182="(digite a descrição aqui)"),OR($Q182&lt;&gt;"",$T182&gt;0,$U182&gt;0)),"DESCRIÇÃO",
IF(AND($C182="S",$P182&lt;&gt;"",$Q182&lt;&gt;"",$S182=""),"UNIDADE",
IF(AND($C182="S",$P182&lt;&gt;"",$Q182&lt;&gt;"",$U182=0),"SEM CUSTO",
IF(AND(TIPOORCAMENTO="Licitado",$AL182=0,$AN182&gt;0),"SEM PREÇO",
IF(AND($C182="S",$P182&lt;&gt;"",$Q182&lt;&gt;"",$U182&gt;0,AND($V182&lt;&gt;"BDI 1",$V182&lt;&gt;"BDI 2",$V182&lt;&gt;"BDI 3")),IF(ISNUMBER($V182),"JUSTIFICAR BDI","BDI"),
IF(OR(AND(import.recurso="OGU",TIPOORCAMENTO="Proposto",LEFT($O$8,5)&lt;&gt;"(N/D:",$AG182&lt;&gt;"",ORÇAMENTO.CustoUnitario&gt;$AG182),AND(TIPOORCAMENTO="LICITADO",ORÇAMENTO.PrecoUnitarioLicitado&gt;$AN182)),"ACIMA REF.",
IF(AND($C182="S",$P182&lt;&gt;"",$Q182&lt;&gt;"",$T182=0,$U182&gt;0),"QUANT.",
IF(AND(Import.TipoArredondamento="TransfereGOV",$L182="F",$C182="S",LEN($Q182)&gt;13),"Código &gt;13",
IF(AND(Import.TipoArredondamento="TransfereGOV",$L182="F",$C182&lt;&gt;"S",LEN($R182)&gt;100),"Descrição &gt;100",
IF(AND(Import.TipoArredondamento="TransfereGOV",$L182="F",$C182="S",LEN($R182)&gt;500),"Descrição &gt;500",
IF(AND(Import.TipoArredondamento="TransfereGOV",$L182="F",$C182="S",LEFT(TRIM(UPPER($P182)),6)&lt;&gt;"SINAPI",ISNA(VLOOKUP(TRIM(UPPER($S182)),ListaTgov.Unidades,1,FALSE))),"Unid. Não Disp",
" "))))))))))))))))</f>
        <v xml:space="preserve"> </v>
      </c>
      <c r="AD182" s="670" t="str">
        <f ca="1">IF(C182&lt;=CRONO.NivelExibicao,MAX($AD$15:OFFSET(AD182,-1,0))+IF($C182&lt;&gt;1,1,MAX(1,COUNTIF(QCI!$A$13:$A$24,OFFSET($E182,-1,0)))),"")</f>
        <v/>
      </c>
      <c r="AE182" s="668" t="str" cm="1">
        <f t="array" aca="1" ref="AE182" ca="1">IF(AND($C182="S",ORÇAMENTO.CodBarra&lt;&gt;""),IF(ORÇAMENTO.Fonte="",ORÇAMENTO.CodBarra,CONCATENATE(ORÇAMENTO.Fonte," ",ORÇAMENTO.CodBarra)))</f>
        <v>SINAPI 92880</v>
      </c>
      <c r="AF182" s="669" cm="1">
        <f t="array" aca="1" ref="AF182" ca="1">IF(ISERROR(ORÇAMENTO.BancoRef),"(abra o arquivo 'Referência "&amp;Excel_BuiltIn_Database&amp;".xlsm)",IF(OR($C182&lt;&gt;"S",ORÇAMENTO.CodBarra=""),"(Sem Código)",IF(ISERROR(MATCH($AE182,INDIRECT(ORÇAMENTO.BancoRef),0)),"(Código não identificado nas referências)",MATCH($AE182,INDIRECT(ORÇAMENTO.BancoRef),0))))</f>
        <v>6356</v>
      </c>
      <c r="AG182" s="428" cm="1">
        <f t="array" aca="1" ref="AG182" ca="1">ROUND(IF(DESONERACAO="sim",REFERENCIA.Desonerado,REFERENCIA.NaoDesonerado),2)</f>
        <v>9</v>
      </c>
      <c r="AH182" s="429">
        <f t="shared" ca="1" si="47"/>
        <v>0.16800000000000001</v>
      </c>
      <c r="AJ182" s="431"/>
      <c r="AL182" s="439"/>
      <c r="AM182" s="336">
        <f t="shared" ca="1" si="0"/>
        <v>6936.6</v>
      </c>
      <c r="AN182" s="470" cm="1">
        <f t="array" aca="1" ref="AN182" ca="1">ROUND(ORÇAMENTO.CustoUnitario*(1+$AH182),2)</f>
        <v>10.51</v>
      </c>
    </row>
    <row r="183" spans="1:40" s="680" customFormat="1" ht="25.5" x14ac:dyDescent="0.2">
      <c r="A183" s="680" t="str">
        <f>CHOOSE(1+LOG(1+2*(ORÇAMENTO.Nivel="Meta")+4*(ORÇAMENTO.Nivel="Nível 2")+8*(ORÇAMENTO.Nivel="Nível 3")+16*(ORÇAMENTO.Nivel="Nível 4")+32*(ORÇAMENTO.Nivel="Serviço"),2),0,1,2,3,4,"S")</f>
        <v>S</v>
      </c>
      <c r="B183" s="680">
        <f ca="1">IF(OR(C183="s",C183=0),OFFSET(B183,-1,0),C183)</f>
        <v>2</v>
      </c>
      <c r="C183" s="680" t="str">
        <f ca="1">IF(OFFSET(C183,-1,0)="L",1,IF(OFFSET(C183,-1,0)=1,2,IF(OR(A183="s",A183=0),"S",IF(AND(OFFSET(C183,-1,0)=2,A183=4),3,IF(AND(OR(OFFSET(C183,-1,0)="s",OFFSET(C183,-1,0)=0),A183&lt;&gt;"s",A183&gt;OFFSET(B183,-1,0)),OFFSET(B183,-1,0),A183)))))</f>
        <v>S</v>
      </c>
      <c r="D183" s="680">
        <f ca="1">IF(OR(C183="S",C183=0),0,IF(ISERROR(K183),J183,SMALL(J183:K183,1)))</f>
        <v>0</v>
      </c>
      <c r="E183" s="680">
        <f ca="1">IF($C183=1,OFFSET(E183,-1,0)+MAX(1,COUNTIF(QCI!$A$13:$A$24,OFFSET(ORÇAMENTO!E183,-1,0))),OFFSET(E183,-1,0))</f>
        <v>1</v>
      </c>
      <c r="F183" s="680">
        <f ca="1">IF($C183=1,0,IF($C183=2,OFFSET(F183,-1,0)+1,OFFSET(F183,-1,0)))</f>
        <v>23</v>
      </c>
      <c r="G183" s="680">
        <f ca="1">IF(AND($C183&lt;=2,$C183&lt;&gt;0),0,IF($C183=3,OFFSET(G183,-1,0)+1,OFFSET(G183,-1,0)))</f>
        <v>0</v>
      </c>
      <c r="H183" s="680">
        <f ca="1">IF(AND($C183&lt;=3,$C183&lt;&gt;0),0,IF($C183=4,OFFSET(H183,-1,0)+1,OFFSET(H183,-1,0)))</f>
        <v>0</v>
      </c>
      <c r="I183" s="680">
        <f ca="1">IF(AND($C183&lt;=4,$C183&lt;&gt;0),0,IF(AND($C183="S",$X183&gt;0),OFFSET(I183,-1,0)+1,OFFSET(I183,-1,0)))</f>
        <v>13</v>
      </c>
      <c r="J183" s="680">
        <f t="shared" ca="1" si="48"/>
        <v>0</v>
      </c>
      <c r="K183" s="680">
        <f ca="1">IF(OR($C183="S",$C183=0),0,MATCH(OFFSET($D183,0,$C183)+IF($C183&lt;&gt;1,1,COUNTIF(QCI!$A$13:$A$24,ORÇAMENTO!E183)),OFFSET($D183,1,$C183,ROW($C$191)-ROW($C183)),0))</f>
        <v>0</v>
      </c>
      <c r="L183" s="684" t="str">
        <f ca="1">IF(OR($X183&gt;0,$C183=1,$C183=2,$C183=3,$C183=4),"F","")</f>
        <v>F</v>
      </c>
      <c r="M183" s="685" t="s">
        <v>705</v>
      </c>
      <c r="N183" s="686" t="str">
        <f ca="1">CHOOSE(1+LOG(1+2*(C183=1)+4*(C183=2)+8*(C183=3)+16*(C183=4)+32*(C183="S"),2),"","Meta","Nível 2","Nível 3","Nível 4","Serviço")</f>
        <v>Serviço</v>
      </c>
      <c r="O183" s="687" t="str">
        <f ca="1">IF(OR($C183=0,$L183=""),"-",CONCATENATE(E183&amp;".",IF(AND($A$5&gt;=2,$C183&gt;=2),F183&amp;".",""),IF(AND($A$5&gt;=3,$C183&gt;=3),G183&amp;".",""),IF(AND($A$5&gt;=4,$C183&gt;=4),H183&amp;".",""),IF($C183="S",I183&amp;".","")))</f>
        <v>1.23.13.</v>
      </c>
      <c r="P183" s="688" t="s">
        <v>750</v>
      </c>
      <c r="Q183" s="689" t="s">
        <v>1224</v>
      </c>
      <c r="R183" s="690" t="str" cm="1">
        <f t="array" aca="1" ref="R183" ca="1">IF($C183="S",REFERENCIA.Descricao,"(digite a descrição aqui)")</f>
        <v>ARMAÇÃO DE BLOCO, SAPATA ISOLADA E SAPATA CORRIDA UTILIZANDO AÇO CA-50 DE 20 MM - MONTAGEM. AF_01/2024</v>
      </c>
      <c r="S183" s="691" t="str" cm="1">
        <f t="array" aca="1" ref="S183" ca="1">REFERENCIA.Unidade</f>
        <v>KG</v>
      </c>
      <c r="T183" s="692">
        <f ca="1">OFFSET(CÁLCULO!H$15,ROW($T183)-ROW(T$15),0)</f>
        <v>660</v>
      </c>
      <c r="U183" s="693">
        <v>10.6</v>
      </c>
      <c r="V183" s="694" t="s">
        <v>663</v>
      </c>
      <c r="W183" s="692" cm="1">
        <f t="array" aca="1" ref="W183" ca="1">IF($C183="S",ROUND(IF(TIPOORCAMENTO="Proposto",ORÇAMENTO.CustoUnitario*(1+$AH183),ORÇAMENTO.PrecoUnitarioLicitado),15-13*$AF$10),0)</f>
        <v>13.14</v>
      </c>
      <c r="X183" s="695" cm="1">
        <f t="array" aca="1" ref="X183" ca="1">IF($C183="S",IF(OR(Import.TipoArredondamento&lt;&gt;"TransfereGOV",ACOMPANHAMENTO="BM"),VTOTAL1,SUM(OFFSET(CÁLCULO!$AI$15,ROW($X183)-ROW($X$15),1):OFFSET(CÁLCULO!$BB$15,ROW($X183)-ROW($X$15),-1))),IF($C183=0,0,ROUND(SomaAgrup,15-13*$AF$11)))</f>
        <v>8672.4</v>
      </c>
      <c r="Y183" s="696" t="s">
        <v>751</v>
      </c>
      <c r="Z183" s="680" t="str">
        <f ca="1">IF(AND($C183="S",$X183&gt;0),IF(ISBLANK($Y183),"RA",LEFT($Y183,2)),"")</f>
        <v>RA</v>
      </c>
      <c r="AA183" s="697" cm="1">
        <f t="array" aca="1" ref="AA183" ca="1">IF($C183="S",IF($Z183="CP",$X183,IF($Z183="RA",(($X183)*QCI!$AA$3),0)),SomaAgrup)</f>
        <v>0</v>
      </c>
      <c r="AB183" s="698" cm="1">
        <f t="array" aca="1" ref="AB183" ca="1">IF($C183="S",IF($Z183="OU",ROUND($X183,2),0),SomaAgrup)</f>
        <v>0</v>
      </c>
      <c r="AC183" s="723" t="str" cm="1">
        <f t="array" aca="1" ref="AC183" ca="1">IF($N183=""," ",
IF(AND($C183&lt;&gt;"S",OR($R183="",$R183="(digite a descrição aqui)")),"DESCRIÇÃO",
IF(AND($C183="S",OR($Q183&lt;&gt;"",$T183&gt;0,$U183&gt;0),$P183=""),"FONTE",
IF(AND($C183="S",$P183&lt;&gt;"",OR($T183&gt;0,$U183&gt;0),$Q183=""),"CÓDIGO",
IF(AND($C183="S",$P183&lt;&gt;"",$Q183&lt;&gt;"",$R183="(Código não identificado nas referências)"),"CÓDIGO N/ID",
IF(AND($C183="S",OR($R183="",$R183="(digite a descrição aqui)"),OR($Q183&lt;&gt;"",$T183&gt;0,$U183&gt;0)),"DESCRIÇÃO",
IF(AND($C183="S",$P183&lt;&gt;"",$Q183&lt;&gt;"",$S183=""),"UNIDADE",
IF(AND($C183="S",$P183&lt;&gt;"",$Q183&lt;&gt;"",$U183=0),"SEM CUSTO",
IF(AND(TIPOORCAMENTO="Licitado",$AL183=0,$AN183&gt;0),"SEM PREÇO",
IF(AND($C183="S",$P183&lt;&gt;"",$Q183&lt;&gt;"",$U183&gt;0,AND($V183&lt;&gt;"BDI 1",$V183&lt;&gt;"BDI 2",$V183&lt;&gt;"BDI 3")),IF(ISNUMBER($V183),"JUSTIFICAR BDI","BDI"),
IF(OR(AND(import.recurso="OGU",TIPOORCAMENTO="Proposto",LEFT($O$8,5)&lt;&gt;"(N/D:",$AG183&lt;&gt;"",ORÇAMENTO.CustoUnitario&gt;$AG183),AND(TIPOORCAMENTO="LICITADO",ORÇAMENTO.PrecoUnitarioLicitado&gt;$AN183)),"ACIMA REF.",
IF(AND($C183="S",$P183&lt;&gt;"",$Q183&lt;&gt;"",$T183=0,$U183&gt;0),"QUANT.",
IF(AND(Import.TipoArredondamento="TransfereGOV",$L183="F",$C183="S",LEN($Q183)&gt;13),"Código &gt;13",
IF(AND(Import.TipoArredondamento="TransfereGOV",$L183="F",$C183&lt;&gt;"S",LEN($R183)&gt;100),"Descrição &gt;100",
IF(AND(Import.TipoArredondamento="TransfereGOV",$L183="F",$C183="S",LEN($R183)&gt;500),"Descrição &gt;500",
IF(AND(Import.TipoArredondamento="TransfereGOV",$L183="F",$C183="S",LEFT(TRIM(UPPER($P183)),6)&lt;&gt;"SINAPI",ISNA(VLOOKUP(TRIM(UPPER($S183)),ListaTgov.Unidades,1,FALSE))),"Unid. Não Disp",
" "))))))))))))))))</f>
        <v xml:space="preserve"> </v>
      </c>
      <c r="AD183" s="680" t="str">
        <f ca="1">IF(C183&lt;=CRONO.NivelExibicao,MAX($AD$15:OFFSET(AD183,-1,0))+IF($C183&lt;&gt;1,1,MAX(1,COUNTIF(QCI!$A$13:$A$24,OFFSET($E183,-1,0)))),"")</f>
        <v/>
      </c>
      <c r="AE183" s="681" t="str" cm="1">
        <f t="array" aca="1" ref="AE183" ca="1">IF(AND($C183="S",ORÇAMENTO.CodBarra&lt;&gt;""),IF(ORÇAMENTO.Fonte="",ORÇAMENTO.CodBarra,CONCATENATE(ORÇAMENTO.Fonte," ",ORÇAMENTO.CodBarra)))</f>
        <v>SINAPI 104922</v>
      </c>
      <c r="AF183" s="682" cm="1">
        <f t="array" aca="1" ref="AF183" ca="1">IF(ISERROR(ORÇAMENTO.BancoRef),"(abra o arquivo 'Referência "&amp;Excel_BuiltIn_Database&amp;".xlsm)",IF(OR($C183&lt;&gt;"S",ORÇAMENTO.CodBarra=""),"(Sem Código)",IF(ISERROR(MATCH($AE183,INDIRECT(ORÇAMENTO.BancoRef),0)),"(Código não identificado nas referências)",MATCH($AE183,INDIRECT(ORÇAMENTO.BancoRef),0))))</f>
        <v>10216</v>
      </c>
      <c r="AG183" s="714" cm="1">
        <f t="array" aca="1" ref="AG183" ca="1">ROUND(IF(DESONERACAO="sim",REFERENCIA.Desonerado,REFERENCIA.NaoDesonerado),2)</f>
        <v>10.6</v>
      </c>
      <c r="AH183" s="715">
        <f ca="1">ROUND(IF(ISNUMBER(ORÇAMENTO.OpcaoBDI),ORÇAMENTO.OpcaoBDI,IF(LEFT(ORÇAMENTO.OpcaoBDI,3)="BDI",HLOOKUP(ORÇAMENTO.OpcaoBDI,$F$4:$H$5,2,FALSE),0)),15-11*$AF$9)</f>
        <v>0.24</v>
      </c>
      <c r="AJ183" s="716"/>
      <c r="AL183" s="718"/>
      <c r="AM183" s="710">
        <f t="shared" ca="1" si="0"/>
        <v>8672.4</v>
      </c>
      <c r="AN183" s="721" cm="1">
        <f t="array" aca="1" ref="AN183" ca="1">ROUND(ORÇAMENTO.CustoUnitario*(1+$AH183),2)</f>
        <v>13.14</v>
      </c>
    </row>
    <row r="184" spans="1:40" s="670" customFormat="1" ht="38.25" x14ac:dyDescent="0.2">
      <c r="A184" s="670" t="str">
        <f t="shared" si="35"/>
        <v>S</v>
      </c>
      <c r="B184" s="670">
        <f t="shared" ca="1" si="36"/>
        <v>2</v>
      </c>
      <c r="C184" s="670" t="str">
        <f t="shared" ca="1" si="37"/>
        <v>S</v>
      </c>
      <c r="D184" s="670">
        <f t="shared" ca="1" si="38"/>
        <v>0</v>
      </c>
      <c r="E184" s="670">
        <f ca="1">IF($C184=1,OFFSET(E184,-1,0)+MAX(1,COUNTIF(QCI!$A$13:$A$24,OFFSET(ORÇAMENTO!E184,-1,0))),OFFSET(E184,-1,0))</f>
        <v>1</v>
      </c>
      <c r="F184" s="670">
        <f t="shared" ca="1" si="39"/>
        <v>23</v>
      </c>
      <c r="G184" s="670">
        <f t="shared" ca="1" si="40"/>
        <v>0</v>
      </c>
      <c r="H184" s="670">
        <f t="shared" ca="1" si="41"/>
        <v>0</v>
      </c>
      <c r="I184" s="670">
        <f t="shared" ca="1" si="42"/>
        <v>14</v>
      </c>
      <c r="J184" s="670">
        <f t="shared" ca="1" si="48"/>
        <v>0</v>
      </c>
      <c r="K184" s="670">
        <f ca="1">IF(OR($C184="S",$C184=0),0,MATCH(OFFSET($D184,0,$C184)+IF($C184&lt;&gt;1,1,COUNTIF(QCI!$A$13:$A$24,ORÇAMENTO!E184)),OFFSET($D184,1,$C184,ROW($C$191)-ROW($C184)),0))</f>
        <v>0</v>
      </c>
      <c r="L184" s="114" t="str">
        <f t="shared" ca="1" si="43"/>
        <v>F</v>
      </c>
      <c r="M184" s="115" t="s">
        <v>705</v>
      </c>
      <c r="N184" s="116" t="str">
        <f t="shared" ca="1" si="44"/>
        <v>Serviço</v>
      </c>
      <c r="O184" s="117" t="str">
        <f t="shared" ca="1" si="45"/>
        <v>1.23.14.</v>
      </c>
      <c r="P184" s="688" t="s">
        <v>750</v>
      </c>
      <c r="Q184" s="689" t="s">
        <v>1038</v>
      </c>
      <c r="R184" s="690" t="str" cm="1">
        <f t="array" aca="1" ref="R184" ca="1">IF($C184="S",REFERENCIA.Descricao,"(digite a descrição aqui)")</f>
        <v>CONCRETO FCK = 20MPA, TRAÇO 1:2,7:3 (EM MASSA SECA DE CIMENTO/ AREIA MÉDIA/ BRITA 1) - PREPARO MECÂNICO COM BETONEIRA 600 L. AF_05/2021</v>
      </c>
      <c r="S184" s="691" t="str" cm="1">
        <f t="array" aca="1" ref="S184" ca="1">REFERENCIA.Unidade</f>
        <v>M3</v>
      </c>
      <c r="T184" s="122">
        <f ca="1">OFFSET(CÁLCULO!H$15,ROW($T184)-ROW(T$15),0)</f>
        <v>11</v>
      </c>
      <c r="U184" s="693">
        <v>553.34</v>
      </c>
      <c r="V184" s="694" t="s">
        <v>663</v>
      </c>
      <c r="W184" s="122" cm="1">
        <f t="array" aca="1" ref="W184" ca="1">IF($C184="S",ROUND(IF(TIPOORCAMENTO="Proposto",ORÇAMENTO.CustoUnitario*(1+$AH184),ORÇAMENTO.PrecoUnitarioLicitado),15-13*$AF$10),0)</f>
        <v>686.14</v>
      </c>
      <c r="X184" s="125" cm="1">
        <f t="array" aca="1" ref="X184" ca="1">IF($C184="S",IF(OR(Import.TipoArredondamento&lt;&gt;"TransfereGOV",ACOMPANHAMENTO="BM"),VTOTAL1,SUM(OFFSET(CÁLCULO!$AI$15,ROW($X184)-ROW($X$15),1):OFFSET(CÁLCULO!$BB$15,ROW($X184)-ROW($X$15),-1))),IF($C184=0,0,ROUND(SomaAgrup,15-13*$AF$11)))</f>
        <v>7547.54</v>
      </c>
      <c r="Y184" s="126" t="s">
        <v>751</v>
      </c>
      <c r="Z184" s="670" t="str">
        <f t="shared" ca="1" si="46"/>
        <v>RA</v>
      </c>
      <c r="AA184" s="127" cm="1">
        <f t="array" aca="1" ref="AA184" ca="1">IF($C184="S",IF($Z184="CP",$X184,IF($Z184="RA",(($X184)*QCI!$AA$3),0)),SomaAgrup)</f>
        <v>0</v>
      </c>
      <c r="AB184" s="128" cm="1">
        <f t="array" aca="1" ref="AB184" ca="1">IF($C184="S",IF($Z184="OU",ROUND($X184,2),0),SomaAgrup)</f>
        <v>0</v>
      </c>
      <c r="AC184" s="565" t="str" cm="1">
        <f t="array" aca="1" ref="AC184" ca="1">IF($N184=""," ",
IF(AND($C184&lt;&gt;"S",OR($R184="",$R184="(digite a descrição aqui)")),"DESCRIÇÃO",
IF(AND($C184="S",OR($Q184&lt;&gt;"",$T184&gt;0,$U184&gt;0),$P184=""),"FONTE",
IF(AND($C184="S",$P184&lt;&gt;"",OR($T184&gt;0,$U184&gt;0),$Q184=""),"CÓDIGO",
IF(AND($C184="S",$P184&lt;&gt;"",$Q184&lt;&gt;"",$R184="(Código não identificado nas referências)"),"CÓDIGO N/ID",
IF(AND($C184="S",OR($R184="",$R184="(digite a descrição aqui)"),OR($Q184&lt;&gt;"",$T184&gt;0,$U184&gt;0)),"DESCRIÇÃO",
IF(AND($C184="S",$P184&lt;&gt;"",$Q184&lt;&gt;"",$S184=""),"UNIDADE",
IF(AND($C184="S",$P184&lt;&gt;"",$Q184&lt;&gt;"",$U184=0),"SEM CUSTO",
IF(AND(TIPOORCAMENTO="Licitado",$AL184=0,$AN184&gt;0),"SEM PREÇO",
IF(AND($C184="S",$P184&lt;&gt;"",$Q184&lt;&gt;"",$U184&gt;0,AND($V184&lt;&gt;"BDI 1",$V184&lt;&gt;"BDI 2",$V184&lt;&gt;"BDI 3")),IF(ISNUMBER($V184),"JUSTIFICAR BDI","BDI"),
IF(OR(AND(import.recurso="OGU",TIPOORCAMENTO="Proposto",LEFT($O$8,5)&lt;&gt;"(N/D:",$AG184&lt;&gt;"",ORÇAMENTO.CustoUnitario&gt;$AG184),AND(TIPOORCAMENTO="LICITADO",ORÇAMENTO.PrecoUnitarioLicitado&gt;$AN184)),"ACIMA REF.",
IF(AND($C184="S",$P184&lt;&gt;"",$Q184&lt;&gt;"",$T184=0,$U184&gt;0),"QUANT.",
IF(AND(Import.TipoArredondamento="TransfereGOV",$L184="F",$C184="S",LEN($Q184)&gt;13),"Código &gt;13",
IF(AND(Import.TipoArredondamento="TransfereGOV",$L184="F",$C184&lt;&gt;"S",LEN($R184)&gt;100),"Descrição &gt;100",
IF(AND(Import.TipoArredondamento="TransfereGOV",$L184="F",$C184="S",LEN($R184)&gt;500),"Descrição &gt;500",
IF(AND(Import.TipoArredondamento="TransfereGOV",$L184="F",$C184="S",LEFT(TRIM(UPPER($P184)),6)&lt;&gt;"SINAPI",ISNA(VLOOKUP(TRIM(UPPER($S184)),ListaTgov.Unidades,1,FALSE))),"Unid. Não Disp",
" "))))))))))))))))</f>
        <v xml:space="preserve"> </v>
      </c>
      <c r="AD184" s="670" t="str">
        <f ca="1">IF(C184&lt;=CRONO.NivelExibicao,MAX($AD$15:OFFSET(AD184,-1,0))+IF($C184&lt;&gt;1,1,MAX(1,COUNTIF(QCI!$A$13:$A$24,OFFSET($E184,-1,0)))),"")</f>
        <v/>
      </c>
      <c r="AE184" s="668" t="str" cm="1">
        <f t="array" aca="1" ref="AE184" ca="1">IF(AND($C184="S",ORÇAMENTO.CodBarra&lt;&gt;""),IF(ORÇAMENTO.Fonte="",ORÇAMENTO.CodBarra,CONCATENATE(ORÇAMENTO.Fonte," ",ORÇAMENTO.CodBarra)))</f>
        <v>SINAPI 94970</v>
      </c>
      <c r="AF184" s="669" cm="1">
        <f t="array" aca="1" ref="AF184" ca="1">IF(ISERROR(ORÇAMENTO.BancoRef),"(abra o arquivo 'Referência "&amp;Excel_BuiltIn_Database&amp;".xlsm)",IF(OR($C184&lt;&gt;"S",ORÇAMENTO.CodBarra=""),"(Sem Código)",IF(ISERROR(MATCH($AE184,INDIRECT(ORÇAMENTO.BancoRef),0)),"(Código não identificado nas referências)",MATCH($AE184,INDIRECT(ORÇAMENTO.BancoRef),0))))</f>
        <v>14688</v>
      </c>
      <c r="AG184" s="428" cm="1">
        <f t="array" aca="1" ref="AG184" ca="1">ROUND(IF(DESONERACAO="sim",REFERENCIA.Desonerado,REFERENCIA.NaoDesonerado),2)</f>
        <v>553.34</v>
      </c>
      <c r="AH184" s="429">
        <f t="shared" ca="1" si="47"/>
        <v>0.24</v>
      </c>
      <c r="AJ184" s="431"/>
      <c r="AL184" s="439"/>
      <c r="AM184" s="336">
        <f t="shared" ca="1" si="0"/>
        <v>7547.54</v>
      </c>
      <c r="AN184" s="470" cm="1">
        <f t="array" aca="1" ref="AN184" ca="1">ROUND(ORÇAMENTO.CustoUnitario*(1+$AH184),2)</f>
        <v>686.14</v>
      </c>
    </row>
    <row r="185" spans="1:40" s="680" customFormat="1" ht="25.5" x14ac:dyDescent="0.2">
      <c r="A185" s="680" t="str">
        <f>CHOOSE(1+LOG(1+2*(ORÇAMENTO.Nivel="Meta")+4*(ORÇAMENTO.Nivel="Nível 2")+8*(ORÇAMENTO.Nivel="Nível 3")+16*(ORÇAMENTO.Nivel="Nível 4")+32*(ORÇAMENTO.Nivel="Serviço"),2),0,1,2,3,4,"S")</f>
        <v>S</v>
      </c>
      <c r="B185" s="680">
        <f ca="1">IF(OR(C185="s",C185=0),OFFSET(B185,-1,0),C185)</f>
        <v>2</v>
      </c>
      <c r="C185" s="680" t="str">
        <f ca="1">IF(OFFSET(C185,-1,0)="L",1,IF(OFFSET(C185,-1,0)=1,2,IF(OR(A185="s",A185=0),"S",IF(AND(OFFSET(C185,-1,0)=2,A185=4),3,IF(AND(OR(OFFSET(C185,-1,0)="s",OFFSET(C185,-1,0)=0),A185&lt;&gt;"s",A185&gt;OFFSET(B185,-1,0)),OFFSET(B185,-1,0),A185)))))</f>
        <v>S</v>
      </c>
      <c r="D185" s="680">
        <f ca="1">IF(OR(C185="S",C185=0),0,IF(ISERROR(K185),J185,SMALL(J185:K185,1)))</f>
        <v>0</v>
      </c>
      <c r="E185" s="680">
        <f ca="1">IF($C185=1,OFFSET(E185,-1,0)+MAX(1,COUNTIF(QCI!$A$13:$A$24,OFFSET(ORÇAMENTO!E185,-1,0))),OFFSET(E185,-1,0))</f>
        <v>1</v>
      </c>
      <c r="F185" s="680">
        <f ca="1">IF($C185=1,0,IF($C185=2,OFFSET(F185,-1,0)+1,OFFSET(F185,-1,0)))</f>
        <v>23</v>
      </c>
      <c r="G185" s="680">
        <f ca="1">IF(AND($C185&lt;=2,$C185&lt;&gt;0),0,IF($C185=3,OFFSET(G185,-1,0)+1,OFFSET(G185,-1,0)))</f>
        <v>0</v>
      </c>
      <c r="H185" s="680">
        <f ca="1">IF(AND($C185&lt;=3,$C185&lt;&gt;0),0,IF($C185=4,OFFSET(H185,-1,0)+1,OFFSET(H185,-1,0)))</f>
        <v>0</v>
      </c>
      <c r="I185" s="680">
        <f ca="1">IF(AND($C185&lt;=4,$C185&lt;&gt;0),0,IF(AND($C185="S",$X185&gt;0),OFFSET(I185,-1,0)+1,OFFSET(I185,-1,0)))</f>
        <v>15</v>
      </c>
      <c r="J185" s="680">
        <f t="shared" ca="1" si="48"/>
        <v>0</v>
      </c>
      <c r="K185" s="680">
        <f ca="1">IF(OR($C185="S",$C185=0),0,MATCH(OFFSET($D185,0,$C185)+IF($C185&lt;&gt;1,1,COUNTIF(QCI!$A$13:$A$24,ORÇAMENTO!E185)),OFFSET($D185,1,$C185,ROW($C$191)-ROW($C185)),0))</f>
        <v>0</v>
      </c>
      <c r="L185" s="684" t="str">
        <f ca="1">IF(OR($X185&gt;0,$C185=1,$C185=2,$C185=3,$C185=4),"F","")</f>
        <v>F</v>
      </c>
      <c r="M185" s="685" t="s">
        <v>705</v>
      </c>
      <c r="N185" s="686" t="str">
        <f ca="1">CHOOSE(1+LOG(1+2*(C185=1)+4*(C185=2)+8*(C185=3)+16*(C185=4)+32*(C185="S"),2),"","Meta","Nível 2","Nível 3","Nível 4","Serviço")</f>
        <v>Serviço</v>
      </c>
      <c r="O185" s="687" t="str">
        <f ca="1">IF(OR($C185=0,$L185=""),"-",CONCATENATE(E185&amp;".",IF(AND($A$5&gt;=2,$C185&gt;=2),F185&amp;".",""),IF(AND($A$5&gt;=3,$C185&gt;=3),G185&amp;".",""),IF(AND($A$5&gt;=4,$C185&gt;=4),H185&amp;".",""),IF($C185="S",I185&amp;".","")))</f>
        <v>1.23.15.</v>
      </c>
      <c r="P185" s="688" t="s">
        <v>750</v>
      </c>
      <c r="Q185" s="689" t="s">
        <v>1221</v>
      </c>
      <c r="R185" s="690" t="str" cm="1">
        <f t="array" aca="1" ref="R185" ca="1">IF($C185="S",REFERENCIA.Descricao,"(digite a descrição aqui)")</f>
        <v>LANÇAMENTO COM USO DE BOMBA, ADENSAMENTO E ACABAMENTO DE CONCRETO EM ESTRUTURAS. AF_02/2022</v>
      </c>
      <c r="S185" s="691" t="str" cm="1">
        <f t="array" aca="1" ref="S185" ca="1">REFERENCIA.Unidade</f>
        <v>M3</v>
      </c>
      <c r="T185" s="692">
        <f ca="1">OFFSET(CÁLCULO!H$15,ROW($T185)-ROW(T$15),0)</f>
        <v>11</v>
      </c>
      <c r="U185" s="693">
        <v>48.55</v>
      </c>
      <c r="V185" s="694" t="s">
        <v>663</v>
      </c>
      <c r="W185" s="692" cm="1">
        <f t="array" aca="1" ref="W185" ca="1">IF($C185="S",ROUND(IF(TIPOORCAMENTO="Proposto",ORÇAMENTO.CustoUnitario*(1+$AH185),ORÇAMENTO.PrecoUnitarioLicitado),15-13*$AF$10),0)</f>
        <v>60.2</v>
      </c>
      <c r="X185" s="695" cm="1">
        <f t="array" aca="1" ref="X185" ca="1">IF($C185="S",IF(OR(Import.TipoArredondamento&lt;&gt;"TransfereGOV",ACOMPANHAMENTO="BM"),VTOTAL1,SUM(OFFSET(CÁLCULO!$AI$15,ROW($X185)-ROW($X$15),1):OFFSET(CÁLCULO!$BB$15,ROW($X185)-ROW($X$15),-1))),IF($C185=0,0,ROUND(SomaAgrup,15-13*$AF$11)))</f>
        <v>662.2</v>
      </c>
      <c r="Y185" s="696" t="s">
        <v>751</v>
      </c>
      <c r="Z185" s="680" t="str">
        <f ca="1">IF(AND($C185="S",$X185&gt;0),IF(ISBLANK($Y185),"RA",LEFT($Y185,2)),"")</f>
        <v>RA</v>
      </c>
      <c r="AA185" s="697" cm="1">
        <f t="array" aca="1" ref="AA185" ca="1">IF($C185="S",IF($Z185="CP",$X185,IF($Z185="RA",(($X185)*QCI!$AA$3),0)),SomaAgrup)</f>
        <v>0</v>
      </c>
      <c r="AB185" s="698" cm="1">
        <f t="array" aca="1" ref="AB185" ca="1">IF($C185="S",IF($Z185="OU",ROUND($X185,2),0),SomaAgrup)</f>
        <v>0</v>
      </c>
      <c r="AC185" s="723" t="str" cm="1">
        <f t="array" aca="1" ref="AC185" ca="1">IF($N185=""," ",
IF(AND($C185&lt;&gt;"S",OR($R185="",$R185="(digite a descrição aqui)")),"DESCRIÇÃO",
IF(AND($C185="S",OR($Q185&lt;&gt;"",$T185&gt;0,$U185&gt;0),$P185=""),"FONTE",
IF(AND($C185="S",$P185&lt;&gt;"",OR($T185&gt;0,$U185&gt;0),$Q185=""),"CÓDIGO",
IF(AND($C185="S",$P185&lt;&gt;"",$Q185&lt;&gt;"",$R185="(Código não identificado nas referências)"),"CÓDIGO N/ID",
IF(AND($C185="S",OR($R185="",$R185="(digite a descrição aqui)"),OR($Q185&lt;&gt;"",$T185&gt;0,$U185&gt;0)),"DESCRIÇÃO",
IF(AND($C185="S",$P185&lt;&gt;"",$Q185&lt;&gt;"",$S185=""),"UNIDADE",
IF(AND($C185="S",$P185&lt;&gt;"",$Q185&lt;&gt;"",$U185=0),"SEM CUSTO",
IF(AND(TIPOORCAMENTO="Licitado",$AL185=0,$AN185&gt;0),"SEM PREÇO",
IF(AND($C185="S",$P185&lt;&gt;"",$Q185&lt;&gt;"",$U185&gt;0,AND($V185&lt;&gt;"BDI 1",$V185&lt;&gt;"BDI 2",$V185&lt;&gt;"BDI 3")),IF(ISNUMBER($V185),"JUSTIFICAR BDI","BDI"),
IF(OR(AND(import.recurso="OGU",TIPOORCAMENTO="Proposto",LEFT($O$8,5)&lt;&gt;"(N/D:",$AG185&lt;&gt;"",ORÇAMENTO.CustoUnitario&gt;$AG185),AND(TIPOORCAMENTO="LICITADO",ORÇAMENTO.PrecoUnitarioLicitado&gt;$AN185)),"ACIMA REF.",
IF(AND($C185="S",$P185&lt;&gt;"",$Q185&lt;&gt;"",$T185=0,$U185&gt;0),"QUANT.",
IF(AND(Import.TipoArredondamento="TransfereGOV",$L185="F",$C185="S",LEN($Q185)&gt;13),"Código &gt;13",
IF(AND(Import.TipoArredondamento="TransfereGOV",$L185="F",$C185&lt;&gt;"S",LEN($R185)&gt;100),"Descrição &gt;100",
IF(AND(Import.TipoArredondamento="TransfereGOV",$L185="F",$C185="S",LEN($R185)&gt;500),"Descrição &gt;500",
IF(AND(Import.TipoArredondamento="TransfereGOV",$L185="F",$C185="S",LEFT(TRIM(UPPER($P185)),6)&lt;&gt;"SINAPI",ISNA(VLOOKUP(TRIM(UPPER($S185)),ListaTgov.Unidades,1,FALSE))),"Unid. Não Disp",
" "))))))))))))))))</f>
        <v xml:space="preserve"> </v>
      </c>
      <c r="AD185" s="680" t="str">
        <f ca="1">IF(C185&lt;=CRONO.NivelExibicao,MAX($AD$15:OFFSET(AD185,-1,0))+IF($C185&lt;&gt;1,1,MAX(1,COUNTIF(QCI!$A$13:$A$24,OFFSET($E185,-1,0)))),"")</f>
        <v/>
      </c>
      <c r="AE185" s="681" t="str" cm="1">
        <f t="array" aca="1" ref="AE185" ca="1">IF(AND($C185="S",ORÇAMENTO.CodBarra&lt;&gt;""),IF(ORÇAMENTO.Fonte="",ORÇAMENTO.CodBarra,CONCATENATE(ORÇAMENTO.Fonte," ",ORÇAMENTO.CodBarra)))</f>
        <v>SINAPI 103673</v>
      </c>
      <c r="AF185" s="682" cm="1">
        <f t="array" aca="1" ref="AF185" ca="1">IF(ISERROR(ORÇAMENTO.BancoRef),"(abra o arquivo 'Referência "&amp;Excel_BuiltIn_Database&amp;".xlsm)",IF(OR($C185&lt;&gt;"S",ORÇAMENTO.CodBarra=""),"(Sem Código)",IF(ISERROR(MATCH($AE185,INDIRECT(ORÇAMENTO.BancoRef),0)),"(Código não identificado nas referências)",MATCH($AE185,INDIRECT(ORÇAMENTO.BancoRef),0))))</f>
        <v>7372</v>
      </c>
      <c r="AG185" s="714" cm="1">
        <f t="array" aca="1" ref="AG185" ca="1">ROUND(IF(DESONERACAO="sim",REFERENCIA.Desonerado,REFERENCIA.NaoDesonerado),2)</f>
        <v>48.55</v>
      </c>
      <c r="AH185" s="715">
        <f ca="1">ROUND(IF(ISNUMBER(ORÇAMENTO.OpcaoBDI),ORÇAMENTO.OpcaoBDI,IF(LEFT(ORÇAMENTO.OpcaoBDI,3)="BDI",HLOOKUP(ORÇAMENTO.OpcaoBDI,$F$4:$H$5,2,FALSE),0)),15-11*$AF$9)</f>
        <v>0.24</v>
      </c>
      <c r="AJ185" s="716"/>
      <c r="AL185" s="718"/>
      <c r="AM185" s="710">
        <f t="shared" ca="1" si="0"/>
        <v>662.2</v>
      </c>
      <c r="AN185" s="721" cm="1">
        <f t="array" aca="1" ref="AN185" ca="1">ROUND(ORÇAMENTO.CustoUnitario*(1+$AH185),2)</f>
        <v>60.2</v>
      </c>
    </row>
    <row r="186" spans="1:40" s="670" customFormat="1" x14ac:dyDescent="0.2">
      <c r="A186" s="670">
        <f t="shared" si="35"/>
        <v>2</v>
      </c>
      <c r="B186" s="670">
        <f t="shared" ca="1" si="36"/>
        <v>2</v>
      </c>
      <c r="C186" s="670">
        <f t="shared" ca="1" si="37"/>
        <v>2</v>
      </c>
      <c r="D186" s="670">
        <f t="shared" ca="1" si="38"/>
        <v>5</v>
      </c>
      <c r="E186" s="670">
        <f ca="1">IF($C186=1,OFFSET(E186,-1,0)+MAX(1,COUNTIF(QCI!$A$13:$A$24,OFFSET(ORÇAMENTO!E186,-1,0))),OFFSET(E186,-1,0))</f>
        <v>1</v>
      </c>
      <c r="F186" s="670">
        <f t="shared" ca="1" si="39"/>
        <v>24</v>
      </c>
      <c r="G186" s="670">
        <f t="shared" ca="1" si="40"/>
        <v>0</v>
      </c>
      <c r="H186" s="670">
        <f t="shared" ca="1" si="41"/>
        <v>0</v>
      </c>
      <c r="I186" s="670">
        <f t="shared" ca="1" si="42"/>
        <v>0</v>
      </c>
      <c r="J186" s="670">
        <f t="shared" ca="1" si="48"/>
        <v>5</v>
      </c>
      <c r="K186" s="670" t="e">
        <f ca="1">IF(OR($C186="S",$C186=0),0,MATCH(OFFSET($D186,0,$C186)+IF($C186&lt;&gt;1,1,COUNTIF(QCI!$A$13:$A$24,ORÇAMENTO!E186)),OFFSET($D186,1,$C186,ROW($C$191)-ROW($C186)),0))</f>
        <v>#N/A</v>
      </c>
      <c r="L186" s="114" t="str">
        <f t="shared" ca="1" si="43"/>
        <v>F</v>
      </c>
      <c r="M186" s="115" t="s">
        <v>702</v>
      </c>
      <c r="N186" s="116" t="str">
        <f t="shared" ca="1" si="44"/>
        <v>Nível 2</v>
      </c>
      <c r="O186" s="117" t="str">
        <f t="shared" ca="1" si="45"/>
        <v>1.24.</v>
      </c>
      <c r="P186" s="688" t="s">
        <v>250</v>
      </c>
      <c r="Q186" s="689" t="s">
        <v>250</v>
      </c>
      <c r="R186" s="690" t="s">
        <v>1062</v>
      </c>
      <c r="S186" s="691" t="s">
        <v>688</v>
      </c>
      <c r="T186" s="122">
        <f ca="1">OFFSET(CÁLCULO!H$15,ROW($T186)-ROW(T$15),0)</f>
        <v>0</v>
      </c>
      <c r="U186" s="693">
        <f t="shared" ca="1" si="34"/>
        <v>0</v>
      </c>
      <c r="V186" s="694" t="s">
        <v>663</v>
      </c>
      <c r="W186" s="122" cm="1">
        <f t="array" aca="1" ref="W186" ca="1">IF($C186="S",ROUND(IF(TIPOORCAMENTO="Proposto",ORÇAMENTO.CustoUnitario*(1+$AH186),ORÇAMENTO.PrecoUnitarioLicitado),15-13*$AF$10),0)</f>
        <v>0</v>
      </c>
      <c r="X186" s="125" cm="1">
        <f t="array" aca="1" ref="X186" ca="1">IF($C186="S",IF(OR(Import.TipoArredondamento&lt;&gt;"TransfereGOV",ACOMPANHAMENTO="BM"),VTOTAL1,SUM(OFFSET(CÁLCULO!$AI$15,ROW($X186)-ROW($X$15),1):OFFSET(CÁLCULO!$BB$15,ROW($X186)-ROW($X$15),-1))),IF($C186=0,0,ROUND(SomaAgrup,15-13*$AF$11)))</f>
        <v>135179.56</v>
      </c>
      <c r="Y186" s="126" t="s">
        <v>751</v>
      </c>
      <c r="Z186" s="670" t="str">
        <f t="shared" ca="1" si="46"/>
        <v/>
      </c>
      <c r="AA186" s="127" cm="1">
        <f t="array" aca="1" ref="AA186" ca="1">IF($C186="S",IF($Z186="CP",$X186,IF($Z186="RA",(($X186)*QCI!$AA$3),0)),SomaAgrup)</f>
        <v>0</v>
      </c>
      <c r="AB186" s="128" cm="1">
        <f t="array" aca="1" ref="AB186" ca="1">IF($C186="S",IF($Z186="OU",ROUND($X186,2),0),SomaAgrup)</f>
        <v>0</v>
      </c>
      <c r="AC186" s="565" t="str" cm="1">
        <f t="array" aca="1" ref="AC186" ca="1">IF($N186=""," ",
IF(AND($C186&lt;&gt;"S",OR($R186="",$R186="(digite a descrição aqui)")),"DESCRIÇÃO",
IF(AND($C186="S",OR($Q186&lt;&gt;"",$T186&gt;0,$U186&gt;0),$P186=""),"FONTE",
IF(AND($C186="S",$P186&lt;&gt;"",OR($T186&gt;0,$U186&gt;0),$Q186=""),"CÓDIGO",
IF(AND($C186="S",$P186&lt;&gt;"",$Q186&lt;&gt;"",$R186="(Código não identificado nas referências)"),"CÓDIGO N/ID",
IF(AND($C186="S",OR($R186="",$R186="(digite a descrição aqui)"),OR($Q186&lt;&gt;"",$T186&gt;0,$U186&gt;0)),"DESCRIÇÃO",
IF(AND($C186="S",$P186&lt;&gt;"",$Q186&lt;&gt;"",$S186=""),"UNIDADE",
IF(AND($C186="S",$P186&lt;&gt;"",$Q186&lt;&gt;"",$U186=0),"SEM CUSTO",
IF(AND(TIPOORCAMENTO="Licitado",$AL186=0,$AN186&gt;0),"SEM PREÇO",
IF(AND($C186="S",$P186&lt;&gt;"",$Q186&lt;&gt;"",$U186&gt;0,AND($V186&lt;&gt;"BDI 1",$V186&lt;&gt;"BDI 2",$V186&lt;&gt;"BDI 3")),IF(ISNUMBER($V186),"JUSTIFICAR BDI","BDI"),
IF(OR(AND(import.recurso="OGU",TIPOORCAMENTO="Proposto",LEFT($O$8,5)&lt;&gt;"(N/D:",$AG186&lt;&gt;"",ORÇAMENTO.CustoUnitario&gt;$AG186),AND(TIPOORCAMENTO="LICITADO",ORÇAMENTO.PrecoUnitarioLicitado&gt;$AN186)),"ACIMA REF.",
IF(AND($C186="S",$P186&lt;&gt;"",$Q186&lt;&gt;"",$T186=0,$U186&gt;0),"QUANT.",
IF(AND(Import.TipoArredondamento="TransfereGOV",$L186="F",$C186="S",LEN($Q186)&gt;13),"Código &gt;13",
IF(AND(Import.TipoArredondamento="TransfereGOV",$L186="F",$C186&lt;&gt;"S",LEN($R186)&gt;100),"Descrição &gt;100",
IF(AND(Import.TipoArredondamento="TransfereGOV",$L186="F",$C186="S",LEN($R186)&gt;500),"Descrição &gt;500",
IF(AND(Import.TipoArredondamento="TransfereGOV",$L186="F",$C186="S",LEFT(TRIM(UPPER($P186)),6)&lt;&gt;"SINAPI",ISNA(VLOOKUP(TRIM(UPPER($S186)),ListaTgov.Unidades,1,FALSE))),"Unid. Não Disp",
" "))))))))))))))))</f>
        <v xml:space="preserve"> </v>
      </c>
      <c r="AD186" s="670">
        <f ca="1">IF(C186&lt;=CRONO.NivelExibicao,MAX($AD$15:OFFSET(AD186,-1,0))+IF($C186&lt;&gt;1,1,MAX(1,COUNTIF(QCI!$A$13:$A$24,OFFSET($E186,-1,0)))),"")</f>
        <v>25</v>
      </c>
      <c r="AE186" s="668" t="b" cm="1">
        <f t="array" aca="1" ref="AE186" ca="1">IF(AND($C186="S",ORÇAMENTO.CodBarra&lt;&gt;""),IF(ORÇAMENTO.Fonte="",ORÇAMENTO.CodBarra,CONCATENATE(ORÇAMENTO.Fonte," ",ORÇAMENTO.CodBarra)))</f>
        <v>0</v>
      </c>
      <c r="AF186" s="669" t="str" cm="1">
        <f t="array" aca="1" ref="AF186" ca="1">IF(ISERROR(ORÇAMENTO.BancoRef),"(abra o arquivo 'Referência "&amp;Excel_BuiltIn_Database&amp;".xlsm)",IF(OR($C186&lt;&gt;"S",ORÇAMENTO.CodBarra=""),"(Sem Código)",IF(ISERROR(MATCH($AE186,INDIRECT(ORÇAMENTO.BancoRef),0)),"(Código não identificado nas referências)",MATCH($AE186,INDIRECT(ORÇAMENTO.BancoRef),0))))</f>
        <v>(Sem Código)</v>
      </c>
      <c r="AG186" s="428" cm="1">
        <f t="array" aca="1" ref="AG186" ca="1">ROUND(IF(DESONERACAO="sim",REFERENCIA.Desonerado,REFERENCIA.NaoDesonerado),2)</f>
        <v>0</v>
      </c>
      <c r="AH186" s="429">
        <f t="shared" ca="1" si="47"/>
        <v>0.24</v>
      </c>
      <c r="AJ186" s="431"/>
      <c r="AL186" s="439"/>
      <c r="AM186" s="336">
        <f t="shared" ca="1" si="0"/>
        <v>135179.56</v>
      </c>
      <c r="AN186" s="470" cm="1">
        <f t="array" aca="1" ref="AN186" ca="1">ROUND(ORÇAMENTO.CustoUnitario*(1+$AH186),2)</f>
        <v>0</v>
      </c>
    </row>
    <row r="187" spans="1:40" s="670" customFormat="1" ht="25.5" x14ac:dyDescent="0.2">
      <c r="A187" s="670" t="str">
        <f t="shared" si="35"/>
        <v>S</v>
      </c>
      <c r="B187" s="670">
        <f t="shared" ca="1" si="36"/>
        <v>2</v>
      </c>
      <c r="C187" s="670" t="str">
        <f t="shared" ca="1" si="37"/>
        <v>S</v>
      </c>
      <c r="D187" s="670">
        <f t="shared" ca="1" si="38"/>
        <v>0</v>
      </c>
      <c r="E187" s="670">
        <f ca="1">IF($C187=1,OFFSET(E187,-1,0)+MAX(1,COUNTIF(QCI!$A$13:$A$24,OFFSET(ORÇAMENTO!E187,-1,0))),OFFSET(E187,-1,0))</f>
        <v>1</v>
      </c>
      <c r="F187" s="670">
        <f t="shared" ca="1" si="39"/>
        <v>24</v>
      </c>
      <c r="G187" s="670">
        <f t="shared" ca="1" si="40"/>
        <v>0</v>
      </c>
      <c r="H187" s="670">
        <f t="shared" ca="1" si="41"/>
        <v>0</v>
      </c>
      <c r="I187" s="670">
        <f t="shared" ca="1" si="42"/>
        <v>1</v>
      </c>
      <c r="J187" s="670">
        <f t="shared" ca="1" si="48"/>
        <v>0</v>
      </c>
      <c r="K187" s="670">
        <f ca="1">IF(OR($C187="S",$C187=0),0,MATCH(OFFSET($D187,0,$C187)+IF($C187&lt;&gt;1,1,COUNTIF(QCI!$A$13:$A$24,ORÇAMENTO!E187)),OFFSET($D187,1,$C187,ROW($C$191)-ROW($C187)),0))</f>
        <v>0</v>
      </c>
      <c r="L187" s="114" t="str">
        <f t="shared" ca="1" si="43"/>
        <v>F</v>
      </c>
      <c r="M187" s="115" t="s">
        <v>705</v>
      </c>
      <c r="N187" s="116" t="str">
        <f t="shared" ca="1" si="44"/>
        <v>Serviço</v>
      </c>
      <c r="O187" s="117" t="str">
        <f t="shared" ca="1" si="45"/>
        <v>1.24.1.</v>
      </c>
      <c r="P187" s="688" t="s">
        <v>957</v>
      </c>
      <c r="Q187" s="689" t="s">
        <v>1121</v>
      </c>
      <c r="R187" s="690" t="str" cm="1">
        <f t="array" aca="1" ref="R187" ca="1">IF($C187="S",REFERENCIA.Descricao,"(digite a descrição aqui)")</f>
        <v>PROJETO EXECUTIVO DE INSTALAÇÕES HIDROSSANITÁRIAS - PRANCHAS</v>
      </c>
      <c r="S187" s="691" t="str" cm="1">
        <f t="array" aca="1" ref="S187" ca="1">REFERENCIA.Unidade</f>
        <v>UNIDADE</v>
      </c>
      <c r="T187" s="122">
        <f ca="1">OFFSET(CÁLCULO!H$15,ROW($T187)-ROW(T$15),0)</f>
        <v>20</v>
      </c>
      <c r="U187" s="693">
        <f t="shared" ca="1" si="34"/>
        <v>1730.34</v>
      </c>
      <c r="V187" s="694" t="s">
        <v>663</v>
      </c>
      <c r="W187" s="122" cm="1">
        <f t="array" aca="1" ref="W187" ca="1">IF($C187="S",ROUND(IF(TIPOORCAMENTO="Proposto",ORÇAMENTO.CustoUnitario*(1+$AH187),ORÇAMENTO.PrecoUnitarioLicitado),15-13*$AF$10),0)</f>
        <v>2145.62</v>
      </c>
      <c r="X187" s="125" cm="1">
        <f t="array" aca="1" ref="X187" ca="1">IF($C187="S",IF(OR(Import.TipoArredondamento&lt;&gt;"TransfereGOV",ACOMPANHAMENTO="BM"),VTOTAL1,SUM(OFFSET(CÁLCULO!$AI$15,ROW($X187)-ROW($X$15),1):OFFSET(CÁLCULO!$BB$15,ROW($X187)-ROW($X$15),-1))),IF($C187=0,0,ROUND(SomaAgrup,15-13*$AF$11)))</f>
        <v>42912.4</v>
      </c>
      <c r="Y187" s="126" t="s">
        <v>751</v>
      </c>
      <c r="Z187" s="670" t="str">
        <f t="shared" ca="1" si="46"/>
        <v>RA</v>
      </c>
      <c r="AA187" s="127" cm="1">
        <f t="array" aca="1" ref="AA187" ca="1">IF($C187="S",IF($Z187="CP",$X187,IF($Z187="RA",(($X187)*QCI!$AA$3),0)),SomaAgrup)</f>
        <v>0</v>
      </c>
      <c r="AB187" s="128" cm="1">
        <f t="array" aca="1" ref="AB187" ca="1">IF($C187="S",IF($Z187="OU",ROUND($X187,2),0),SomaAgrup)</f>
        <v>0</v>
      </c>
      <c r="AC187" s="565" t="str" cm="1">
        <f t="array" aca="1" ref="AC187" ca="1">IF($N187=""," ",
IF(AND($C187&lt;&gt;"S",OR($R187="",$R187="(digite a descrição aqui)")),"DESCRIÇÃO",
IF(AND($C187="S",OR($Q187&lt;&gt;"",$T187&gt;0,$U187&gt;0),$P187=""),"FONTE",
IF(AND($C187="S",$P187&lt;&gt;"",OR($T187&gt;0,$U187&gt;0),$Q187=""),"CÓDIGO",
IF(AND($C187="S",$P187&lt;&gt;"",$Q187&lt;&gt;"",$R187="(Código não identificado nas referências)"),"CÓDIGO N/ID",
IF(AND($C187="S",OR($R187="",$R187="(digite a descrição aqui)"),OR($Q187&lt;&gt;"",$T187&gt;0,$U187&gt;0)),"DESCRIÇÃO",
IF(AND($C187="S",$P187&lt;&gt;"",$Q187&lt;&gt;"",$S187=""),"UNIDADE",
IF(AND($C187="S",$P187&lt;&gt;"",$Q187&lt;&gt;"",$U187=0),"SEM CUSTO",
IF(AND(TIPOORCAMENTO="Licitado",$AL187=0,$AN187&gt;0),"SEM PREÇO",
IF(AND($C187="S",$P187&lt;&gt;"",$Q187&lt;&gt;"",$U187&gt;0,AND($V187&lt;&gt;"BDI 1",$V187&lt;&gt;"BDI 2",$V187&lt;&gt;"BDI 3")),IF(ISNUMBER($V187),"JUSTIFICAR BDI","BDI"),
IF(OR(AND(import.recurso="OGU",TIPOORCAMENTO="Proposto",LEFT($O$8,5)&lt;&gt;"(N/D:",$AG187&lt;&gt;"",ORÇAMENTO.CustoUnitario&gt;$AG187),AND(TIPOORCAMENTO="LICITADO",ORÇAMENTO.PrecoUnitarioLicitado&gt;$AN187)),"ACIMA REF.",
IF(AND($C187="S",$P187&lt;&gt;"",$Q187&lt;&gt;"",$T187=0,$U187&gt;0),"QUANT.",
IF(AND(Import.TipoArredondamento="TransfereGOV",$L187="F",$C187="S",LEN($Q187)&gt;13),"Código &gt;13",
IF(AND(Import.TipoArredondamento="TransfereGOV",$L187="F",$C187&lt;&gt;"S",LEN($R187)&gt;100),"Descrição &gt;100",
IF(AND(Import.TipoArredondamento="TransfereGOV",$L187="F",$C187="S",LEN($R187)&gt;500),"Descrição &gt;500",
IF(AND(Import.TipoArredondamento="TransfereGOV",$L187="F",$C187="S",LEFT(TRIM(UPPER($P187)),6)&lt;&gt;"SINAPI",ISNA(VLOOKUP(TRIM(UPPER($S187)),ListaTgov.Unidades,1,FALSE))),"Unid. Não Disp",
" "))))))))))))))))</f>
        <v>Unid. Não Disp</v>
      </c>
      <c r="AD187" s="670" t="str">
        <f ca="1">IF(C187&lt;=CRONO.NivelExibicao,MAX($AD$15:OFFSET(AD187,-1,0))+IF($C187&lt;&gt;1,1,MAX(1,COUNTIF(QCI!$A$13:$A$24,OFFSET($E187,-1,0)))),"")</f>
        <v/>
      </c>
      <c r="AE187" s="668" t="str" cm="1">
        <f t="array" aca="1" ref="AE187" ca="1">IF(AND($C187="S",ORÇAMENTO.CodBarra&lt;&gt;""),IF(ORÇAMENTO.Fonte="",ORÇAMENTO.CodBarra,CONCATENATE(ORÇAMENTO.Fonte," ",ORÇAMENTO.CodBarra)))</f>
        <v>Cotação 35</v>
      </c>
      <c r="AF187" s="669" cm="1">
        <f t="array" aca="1" ref="AF187" ca="1">IF(ISERROR(ORÇAMENTO.BancoRef),"(abra o arquivo 'Referência "&amp;Excel_BuiltIn_Database&amp;".xlsm)",IF(OR($C187&lt;&gt;"S",ORÇAMENTO.CodBarra=""),"(Sem Código)",IF(ISERROR(MATCH($AE187,INDIRECT(ORÇAMENTO.BancoRef),0)),"(Código não identificado nas referências)",MATCH($AE187,INDIRECT(ORÇAMENTO.BancoRef),0))))</f>
        <v>44</v>
      </c>
      <c r="AG187" s="428" cm="1">
        <f t="array" aca="1" ref="AG187" ca="1">ROUND(IF(DESONERACAO="sim",REFERENCIA.Desonerado,REFERENCIA.NaoDesonerado),2)</f>
        <v>1730.34</v>
      </c>
      <c r="AH187" s="429">
        <f t="shared" ca="1" si="47"/>
        <v>0.24</v>
      </c>
      <c r="AJ187" s="431"/>
      <c r="AL187" s="439"/>
      <c r="AM187" s="336">
        <f t="shared" ca="1" si="0"/>
        <v>42912.4</v>
      </c>
      <c r="AN187" s="470" cm="1">
        <f t="array" aca="1" ref="AN187" ca="1">ROUND(ORÇAMENTO.CustoUnitario*(1+$AH187),2)</f>
        <v>2145.62</v>
      </c>
    </row>
    <row r="188" spans="1:40" s="670" customFormat="1" x14ac:dyDescent="0.2">
      <c r="A188" s="670" t="str">
        <f t="shared" si="35"/>
        <v>S</v>
      </c>
      <c r="B188" s="670">
        <f t="shared" ca="1" si="36"/>
        <v>2</v>
      </c>
      <c r="C188" s="670" t="str">
        <f t="shared" ca="1" si="37"/>
        <v>S</v>
      </c>
      <c r="D188" s="670">
        <f t="shared" ca="1" si="38"/>
        <v>0</v>
      </c>
      <c r="E188" s="670">
        <f ca="1">IF($C188=1,OFFSET(E188,-1,0)+MAX(1,COUNTIF(QCI!$A$13:$A$24,OFFSET(ORÇAMENTO!E188,-1,0))),OFFSET(E188,-1,0))</f>
        <v>1</v>
      </c>
      <c r="F188" s="670">
        <f t="shared" ca="1" si="39"/>
        <v>24</v>
      </c>
      <c r="G188" s="670">
        <f t="shared" ca="1" si="40"/>
        <v>0</v>
      </c>
      <c r="H188" s="670">
        <f t="shared" ca="1" si="41"/>
        <v>0</v>
      </c>
      <c r="I188" s="670">
        <f t="shared" ca="1" si="42"/>
        <v>2</v>
      </c>
      <c r="J188" s="670">
        <f t="shared" ca="1" si="48"/>
        <v>0</v>
      </c>
      <c r="K188" s="670">
        <f ca="1">IF(OR($C188="S",$C188=0),0,MATCH(OFFSET($D188,0,$C188)+IF($C188&lt;&gt;1,1,COUNTIF(QCI!$A$13:$A$24,ORÇAMENTO!E188)),OFFSET($D188,1,$C188,ROW($C$191)-ROW($C188)),0))</f>
        <v>0</v>
      </c>
      <c r="L188" s="114" t="str">
        <f t="shared" ca="1" si="43"/>
        <v>F</v>
      </c>
      <c r="M188" s="115" t="s">
        <v>705</v>
      </c>
      <c r="N188" s="116" t="str">
        <f t="shared" ca="1" si="44"/>
        <v>Serviço</v>
      </c>
      <c r="O188" s="117" t="str">
        <f t="shared" ca="1" si="45"/>
        <v>1.24.2.</v>
      </c>
      <c r="P188" s="688" t="s">
        <v>957</v>
      </c>
      <c r="Q188" s="689" t="s">
        <v>1122</v>
      </c>
      <c r="R188" s="690" t="str" cm="1">
        <f t="array" aca="1" ref="R188" ca="1">IF($C188="S",REFERENCIA.Descricao,"(digite a descrição aqui)")</f>
        <v>PROJETO EXECUTIVO DE SPDA- PRANCHAS</v>
      </c>
      <c r="S188" s="691" t="str" cm="1">
        <f t="array" aca="1" ref="S188" ca="1">REFERENCIA.Unidade</f>
        <v>UNIDADE</v>
      </c>
      <c r="T188" s="122">
        <f ca="1">OFFSET(CÁLCULO!H$15,ROW($T188)-ROW(T$15),0)</f>
        <v>16</v>
      </c>
      <c r="U188" s="693">
        <f t="shared" ca="1" si="34"/>
        <v>1300.72</v>
      </c>
      <c r="V188" s="694" t="s">
        <v>663</v>
      </c>
      <c r="W188" s="122" cm="1">
        <f t="array" aca="1" ref="W188" ca="1">IF($C188="S",ROUND(IF(TIPOORCAMENTO="Proposto",ORÇAMENTO.CustoUnitario*(1+$AH188),ORÇAMENTO.PrecoUnitarioLicitado),15-13*$AF$10),0)</f>
        <v>1612.89</v>
      </c>
      <c r="X188" s="125" cm="1">
        <f t="array" aca="1" ref="X188" ca="1">IF($C188="S",IF(OR(Import.TipoArredondamento&lt;&gt;"TransfereGOV",ACOMPANHAMENTO="BM"),VTOTAL1,SUM(OFFSET(CÁLCULO!$AI$15,ROW($X188)-ROW($X$15),1):OFFSET(CÁLCULO!$BB$15,ROW($X188)-ROW($X$15),-1))),IF($C188=0,0,ROUND(SomaAgrup,15-13*$AF$11)))</f>
        <v>25806.240000000002</v>
      </c>
      <c r="Y188" s="126" t="s">
        <v>751</v>
      </c>
      <c r="Z188" s="670" t="str">
        <f t="shared" ca="1" si="46"/>
        <v>RA</v>
      </c>
      <c r="AA188" s="127" cm="1">
        <f t="array" aca="1" ref="AA188" ca="1">IF($C188="S",IF($Z188="CP",$X188,IF($Z188="RA",(($X188)*QCI!$AA$3),0)),SomaAgrup)</f>
        <v>0</v>
      </c>
      <c r="AB188" s="128" cm="1">
        <f t="array" aca="1" ref="AB188" ca="1">IF($C188="S",IF($Z188="OU",ROUND($X188,2),0),SomaAgrup)</f>
        <v>0</v>
      </c>
      <c r="AC188" s="565" t="str" cm="1">
        <f t="array" aca="1" ref="AC188" ca="1">IF($N188=""," ",
IF(AND($C188&lt;&gt;"S",OR($R188="",$R188="(digite a descrição aqui)")),"DESCRIÇÃO",
IF(AND($C188="S",OR($Q188&lt;&gt;"",$T188&gt;0,$U188&gt;0),$P188=""),"FONTE",
IF(AND($C188="S",$P188&lt;&gt;"",OR($T188&gt;0,$U188&gt;0),$Q188=""),"CÓDIGO",
IF(AND($C188="S",$P188&lt;&gt;"",$Q188&lt;&gt;"",$R188="(Código não identificado nas referências)"),"CÓDIGO N/ID",
IF(AND($C188="S",OR($R188="",$R188="(digite a descrição aqui)"),OR($Q188&lt;&gt;"",$T188&gt;0,$U188&gt;0)),"DESCRIÇÃO",
IF(AND($C188="S",$P188&lt;&gt;"",$Q188&lt;&gt;"",$S188=""),"UNIDADE",
IF(AND($C188="S",$P188&lt;&gt;"",$Q188&lt;&gt;"",$U188=0),"SEM CUSTO",
IF(AND(TIPOORCAMENTO="Licitado",$AL188=0,$AN188&gt;0),"SEM PREÇO",
IF(AND($C188="S",$P188&lt;&gt;"",$Q188&lt;&gt;"",$U188&gt;0,AND($V188&lt;&gt;"BDI 1",$V188&lt;&gt;"BDI 2",$V188&lt;&gt;"BDI 3")),IF(ISNUMBER($V188),"JUSTIFICAR BDI","BDI"),
IF(OR(AND(import.recurso="OGU",TIPOORCAMENTO="Proposto",LEFT($O$8,5)&lt;&gt;"(N/D:",$AG188&lt;&gt;"",ORÇAMENTO.CustoUnitario&gt;$AG188),AND(TIPOORCAMENTO="LICITADO",ORÇAMENTO.PrecoUnitarioLicitado&gt;$AN188)),"ACIMA REF.",
IF(AND($C188="S",$P188&lt;&gt;"",$Q188&lt;&gt;"",$T188=0,$U188&gt;0),"QUANT.",
IF(AND(Import.TipoArredondamento="TransfereGOV",$L188="F",$C188="S",LEN($Q188)&gt;13),"Código &gt;13",
IF(AND(Import.TipoArredondamento="TransfereGOV",$L188="F",$C188&lt;&gt;"S",LEN($R188)&gt;100),"Descrição &gt;100",
IF(AND(Import.TipoArredondamento="TransfereGOV",$L188="F",$C188="S",LEN($R188)&gt;500),"Descrição &gt;500",
IF(AND(Import.TipoArredondamento="TransfereGOV",$L188="F",$C188="S",LEFT(TRIM(UPPER($P188)),6)&lt;&gt;"SINAPI",ISNA(VLOOKUP(TRIM(UPPER($S188)),ListaTgov.Unidades,1,FALSE))),"Unid. Não Disp",
" "))))))))))))))))</f>
        <v>Unid. Não Disp</v>
      </c>
      <c r="AD188" s="670" t="str">
        <f ca="1">IF(C188&lt;=CRONO.NivelExibicao,MAX($AD$15:OFFSET(AD188,-1,0))+IF($C188&lt;&gt;1,1,MAX(1,COUNTIF(QCI!$A$13:$A$24,OFFSET($E188,-1,0)))),"")</f>
        <v/>
      </c>
      <c r="AE188" s="668" t="str" cm="1">
        <f t="array" aca="1" ref="AE188" ca="1">IF(AND($C188="S",ORÇAMENTO.CodBarra&lt;&gt;""),IF(ORÇAMENTO.Fonte="",ORÇAMENTO.CodBarra,CONCATENATE(ORÇAMENTO.Fonte," ",ORÇAMENTO.CodBarra)))</f>
        <v>Cotação 36</v>
      </c>
      <c r="AF188" s="669" cm="1">
        <f t="array" aca="1" ref="AF188" ca="1">IF(ISERROR(ORÇAMENTO.BancoRef),"(abra o arquivo 'Referência "&amp;Excel_BuiltIn_Database&amp;".xlsm)",IF(OR($C188&lt;&gt;"S",ORÇAMENTO.CodBarra=""),"(Sem Código)",IF(ISERROR(MATCH($AE188,INDIRECT(ORÇAMENTO.BancoRef),0)),"(Código não identificado nas referências)",MATCH($AE188,INDIRECT(ORÇAMENTO.BancoRef),0))))</f>
        <v>45</v>
      </c>
      <c r="AG188" s="428" cm="1">
        <f t="array" aca="1" ref="AG188" ca="1">ROUND(IF(DESONERACAO="sim",REFERENCIA.Desonerado,REFERENCIA.NaoDesonerado),2)</f>
        <v>1300.72</v>
      </c>
      <c r="AH188" s="429">
        <f t="shared" ca="1" si="47"/>
        <v>0.24</v>
      </c>
      <c r="AJ188" s="431"/>
      <c r="AL188" s="439"/>
      <c r="AM188" s="336">
        <f t="shared" ca="1" si="0"/>
        <v>25806.240000000002</v>
      </c>
      <c r="AN188" s="470" cm="1">
        <f t="array" aca="1" ref="AN188" ca="1">ROUND(ORÇAMENTO.CustoUnitario*(1+$AH188),2)</f>
        <v>1612.89</v>
      </c>
    </row>
    <row r="189" spans="1:40" s="670" customFormat="1" x14ac:dyDescent="0.2">
      <c r="A189" s="670" t="str">
        <f t="shared" si="35"/>
        <v>S</v>
      </c>
      <c r="B189" s="670">
        <f t="shared" ca="1" si="36"/>
        <v>2</v>
      </c>
      <c r="C189" s="670" t="str">
        <f t="shared" ca="1" si="37"/>
        <v>S</v>
      </c>
      <c r="D189" s="670">
        <f t="shared" ca="1" si="38"/>
        <v>0</v>
      </c>
      <c r="E189" s="670">
        <f ca="1">IF($C189=1,OFFSET(E189,-1,0)+MAX(1,COUNTIF(QCI!$A$13:$A$24,OFFSET(ORÇAMENTO!E189,-1,0))),OFFSET(E189,-1,0))</f>
        <v>1</v>
      </c>
      <c r="F189" s="670">
        <f t="shared" ca="1" si="39"/>
        <v>24</v>
      </c>
      <c r="G189" s="670">
        <f t="shared" ca="1" si="40"/>
        <v>0</v>
      </c>
      <c r="H189" s="670">
        <f t="shared" ca="1" si="41"/>
        <v>0</v>
      </c>
      <c r="I189" s="670">
        <f t="shared" ca="1" si="42"/>
        <v>3</v>
      </c>
      <c r="J189" s="670">
        <f t="shared" ca="1" si="48"/>
        <v>0</v>
      </c>
      <c r="K189" s="670">
        <f ca="1">IF(OR($C189="S",$C189=0),0,MATCH(OFFSET($D189,0,$C189)+IF($C189&lt;&gt;1,1,COUNTIF(QCI!$A$13:$A$24,ORÇAMENTO!E189)),OFFSET($D189,1,$C189,ROW($C$191)-ROW($C189)),0))</f>
        <v>0</v>
      </c>
      <c r="L189" s="114" t="str">
        <f t="shared" ca="1" si="43"/>
        <v>F</v>
      </c>
      <c r="M189" s="115" t="s">
        <v>705</v>
      </c>
      <c r="N189" s="116" t="str">
        <f t="shared" ca="1" si="44"/>
        <v>Serviço</v>
      </c>
      <c r="O189" s="117" t="str">
        <f t="shared" ca="1" si="45"/>
        <v>1.24.3.</v>
      </c>
      <c r="P189" s="688" t="s">
        <v>957</v>
      </c>
      <c r="Q189" s="689" t="s">
        <v>1123</v>
      </c>
      <c r="R189" s="690" t="str" cm="1">
        <f t="array" aca="1" ref="R189" ca="1">IF($C189="S",REFERENCIA.Descricao,"(digite a descrição aqui)")</f>
        <v>PROJETO EXECUTIVO DE INSTALAÇÕES ELÉTRICAS- PRANCHAS</v>
      </c>
      <c r="S189" s="691" t="str" cm="1">
        <f t="array" aca="1" ref="S189" ca="1">REFERENCIA.Unidade</f>
        <v>PRANCHA</v>
      </c>
      <c r="T189" s="122">
        <f ca="1">OFFSET(CÁLCULO!H$15,ROW($T189)-ROW(T$15),0)</f>
        <v>12</v>
      </c>
      <c r="U189" s="693">
        <f t="shared" ca="1" si="34"/>
        <v>1808.2</v>
      </c>
      <c r="V189" s="694" t="s">
        <v>663</v>
      </c>
      <c r="W189" s="122" cm="1">
        <f t="array" aca="1" ref="W189" ca="1">IF($C189="S",ROUND(IF(TIPOORCAMENTO="Proposto",ORÇAMENTO.CustoUnitario*(1+$AH189),ORÇAMENTO.PrecoUnitarioLicitado),15-13*$AF$10),0)</f>
        <v>2242.17</v>
      </c>
      <c r="X189" s="125" cm="1">
        <f t="array" aca="1" ref="X189" ca="1">IF($C189="S",IF(OR(Import.TipoArredondamento&lt;&gt;"TransfereGOV",ACOMPANHAMENTO="BM"),VTOTAL1,SUM(OFFSET(CÁLCULO!$AI$15,ROW($X189)-ROW($X$15),1):OFFSET(CÁLCULO!$BB$15,ROW($X189)-ROW($X$15),-1))),IF($C189=0,0,ROUND(SomaAgrup,15-13*$AF$11)))</f>
        <v>26906.04</v>
      </c>
      <c r="Y189" s="126" t="s">
        <v>751</v>
      </c>
      <c r="Z189" s="670" t="str">
        <f t="shared" ca="1" si="46"/>
        <v>RA</v>
      </c>
      <c r="AA189" s="127" cm="1">
        <f t="array" aca="1" ref="AA189" ca="1">IF($C189="S",IF($Z189="CP",$X189,IF($Z189="RA",(($X189)*QCI!$AA$3),0)),SomaAgrup)</f>
        <v>0</v>
      </c>
      <c r="AB189" s="128" cm="1">
        <f t="array" aca="1" ref="AB189" ca="1">IF($C189="S",IF($Z189="OU",ROUND($X189,2),0),SomaAgrup)</f>
        <v>0</v>
      </c>
      <c r="AC189" s="565" t="str" cm="1">
        <f t="array" aca="1" ref="AC189" ca="1">IF($N189=""," ",
IF(AND($C189&lt;&gt;"S",OR($R189="",$R189="(digite a descrição aqui)")),"DESCRIÇÃO",
IF(AND($C189="S",OR($Q189&lt;&gt;"",$T189&gt;0,$U189&gt;0),$P189=""),"FONTE",
IF(AND($C189="S",$P189&lt;&gt;"",OR($T189&gt;0,$U189&gt;0),$Q189=""),"CÓDIGO",
IF(AND($C189="S",$P189&lt;&gt;"",$Q189&lt;&gt;"",$R189="(Código não identificado nas referências)"),"CÓDIGO N/ID",
IF(AND($C189="S",OR($R189="",$R189="(digite a descrição aqui)"),OR($Q189&lt;&gt;"",$T189&gt;0,$U189&gt;0)),"DESCRIÇÃO",
IF(AND($C189="S",$P189&lt;&gt;"",$Q189&lt;&gt;"",$S189=""),"UNIDADE",
IF(AND($C189="S",$P189&lt;&gt;"",$Q189&lt;&gt;"",$U189=0),"SEM CUSTO",
IF(AND(TIPOORCAMENTO="Licitado",$AL189=0,$AN189&gt;0),"SEM PREÇO",
IF(AND($C189="S",$P189&lt;&gt;"",$Q189&lt;&gt;"",$U189&gt;0,AND($V189&lt;&gt;"BDI 1",$V189&lt;&gt;"BDI 2",$V189&lt;&gt;"BDI 3")),IF(ISNUMBER($V189),"JUSTIFICAR BDI","BDI"),
IF(OR(AND(import.recurso="OGU",TIPOORCAMENTO="Proposto",LEFT($O$8,5)&lt;&gt;"(N/D:",$AG189&lt;&gt;"",ORÇAMENTO.CustoUnitario&gt;$AG189),AND(TIPOORCAMENTO="LICITADO",ORÇAMENTO.PrecoUnitarioLicitado&gt;$AN189)),"ACIMA REF.",
IF(AND($C189="S",$P189&lt;&gt;"",$Q189&lt;&gt;"",$T189=0,$U189&gt;0),"QUANT.",
IF(AND(Import.TipoArredondamento="TransfereGOV",$L189="F",$C189="S",LEN($Q189)&gt;13),"Código &gt;13",
IF(AND(Import.TipoArredondamento="TransfereGOV",$L189="F",$C189&lt;&gt;"S",LEN($R189)&gt;100),"Descrição &gt;100",
IF(AND(Import.TipoArredondamento="TransfereGOV",$L189="F",$C189="S",LEN($R189)&gt;500),"Descrição &gt;500",
IF(AND(Import.TipoArredondamento="TransfereGOV",$L189="F",$C189="S",LEFT(TRIM(UPPER($P189)),6)&lt;&gt;"SINAPI",ISNA(VLOOKUP(TRIM(UPPER($S189)),ListaTgov.Unidades,1,FALSE))),"Unid. Não Disp",
" "))))))))))))))))</f>
        <v>Unid. Não Disp</v>
      </c>
      <c r="AD189" s="670" t="str">
        <f ca="1">IF(C189&lt;=CRONO.NivelExibicao,MAX($AD$15:OFFSET(AD189,-1,0))+IF($C189&lt;&gt;1,1,MAX(1,COUNTIF(QCI!$A$13:$A$24,OFFSET($E189,-1,0)))),"")</f>
        <v/>
      </c>
      <c r="AE189" s="668" t="str" cm="1">
        <f t="array" aca="1" ref="AE189" ca="1">IF(AND($C189="S",ORÇAMENTO.CodBarra&lt;&gt;""),IF(ORÇAMENTO.Fonte="",ORÇAMENTO.CodBarra,CONCATENATE(ORÇAMENTO.Fonte," ",ORÇAMENTO.CodBarra)))</f>
        <v>Cotação 38</v>
      </c>
      <c r="AF189" s="669" cm="1">
        <f t="array" aca="1" ref="AF189" ca="1">IF(ISERROR(ORÇAMENTO.BancoRef),"(abra o arquivo 'Referência "&amp;Excel_BuiltIn_Database&amp;".xlsm)",IF(OR($C189&lt;&gt;"S",ORÇAMENTO.CodBarra=""),"(Sem Código)",IF(ISERROR(MATCH($AE189,INDIRECT(ORÇAMENTO.BancoRef),0)),"(Código não identificado nas referências)",MATCH($AE189,INDIRECT(ORÇAMENTO.BancoRef),0))))</f>
        <v>47</v>
      </c>
      <c r="AG189" s="428" cm="1">
        <f t="array" aca="1" ref="AG189" ca="1">ROUND(IF(DESONERACAO="sim",REFERENCIA.Desonerado,REFERENCIA.NaoDesonerado),2)</f>
        <v>1808.2</v>
      </c>
      <c r="AH189" s="429">
        <f t="shared" ca="1" si="47"/>
        <v>0.24</v>
      </c>
      <c r="AJ189" s="431"/>
      <c r="AL189" s="439"/>
      <c r="AM189" s="336">
        <f t="shared" ca="1" si="0"/>
        <v>26906.04</v>
      </c>
      <c r="AN189" s="470" cm="1">
        <f t="array" aca="1" ref="AN189" ca="1">ROUND(ORÇAMENTO.CustoUnitario*(1+$AH189),2)</f>
        <v>2242.17</v>
      </c>
    </row>
    <row r="190" spans="1:40" s="670" customFormat="1" x14ac:dyDescent="0.2">
      <c r="A190" s="670" t="str">
        <f t="shared" ref="A190" si="49">CHOOSE(1+LOG(1+2*(ORÇAMENTO.Nivel="Meta")+4*(ORÇAMENTO.Nivel="Nível 2")+8*(ORÇAMENTO.Nivel="Nível 3")+16*(ORÇAMENTO.Nivel="Nível 4")+32*(ORÇAMENTO.Nivel="Serviço"),2),0,1,2,3,4,"S")</f>
        <v>S</v>
      </c>
      <c r="B190" s="670">
        <f t="shared" ref="B190" ca="1" si="50">IF(OR(C190="s",C190=0),OFFSET(B190,-1,0),C190)</f>
        <v>2</v>
      </c>
      <c r="C190" s="670" t="str">
        <f t="shared" ref="C190" ca="1" si="51">IF(OFFSET(C190,-1,0)="L",1,IF(OFFSET(C190,-1,0)=1,2,IF(OR(A190="s",A190=0),"S",IF(AND(OFFSET(C190,-1,0)=2,A190=4),3,IF(AND(OR(OFFSET(C190,-1,0)="s",OFFSET(C190,-1,0)=0),A190&lt;&gt;"s",A190&gt;OFFSET(B190,-1,0)),OFFSET(B190,-1,0),A190)))))</f>
        <v>S</v>
      </c>
      <c r="D190" s="670">
        <f t="shared" ref="D190" ca="1" si="52">IF(OR(C190="S",C190=0),0,IF(ISERROR(K190),J190,SMALL(J190:K190,1)))</f>
        <v>0</v>
      </c>
      <c r="E190" s="670">
        <f ca="1">IF($C190=1,OFFSET(E190,-1,0)+MAX(1,COUNTIF(QCI!$A$13:$A$24,OFFSET(ORÇAMENTO!E190,-1,0))),OFFSET(E190,-1,0))</f>
        <v>1</v>
      </c>
      <c r="F190" s="670">
        <f t="shared" ref="F190" ca="1" si="53">IF($C190=1,0,IF($C190=2,OFFSET(F190,-1,0)+1,OFFSET(F190,-1,0)))</f>
        <v>24</v>
      </c>
      <c r="G190" s="670">
        <f t="shared" ref="G190" ca="1" si="54">IF(AND($C190&lt;=2,$C190&lt;&gt;0),0,IF($C190=3,OFFSET(G190,-1,0)+1,OFFSET(G190,-1,0)))</f>
        <v>0</v>
      </c>
      <c r="H190" s="670">
        <f t="shared" ref="H190" ca="1" si="55">IF(AND($C190&lt;=3,$C190&lt;&gt;0),0,IF($C190=4,OFFSET(H190,-1,0)+1,OFFSET(H190,-1,0)))</f>
        <v>0</v>
      </c>
      <c r="I190" s="670">
        <f t="shared" ref="I190" ca="1" si="56">IF(AND($C190&lt;=4,$C190&lt;&gt;0),0,IF(AND($C190="S",$X190&gt;0),OFFSET(I190,-1,0)+1,OFFSET(I190,-1,0)))</f>
        <v>4</v>
      </c>
      <c r="J190" s="670">
        <f t="shared" ca="1" si="48"/>
        <v>0</v>
      </c>
      <c r="K190" s="670">
        <f ca="1">IF(OR($C190="S",$C190=0),0,MATCH(OFFSET($D190,0,$C190)+IF($C190&lt;&gt;1,1,COUNTIF(QCI!$A$13:$A$24,ORÇAMENTO!E190)),OFFSET($D190,1,$C190,ROW($C$191)-ROW($C190)),0))</f>
        <v>0</v>
      </c>
      <c r="L190" s="114" t="str">
        <f t="shared" ref="L190" ca="1" si="57">IF(OR($X190&gt;0,$C190=1,$C190=2,$C190=3,$C190=4),"F","")</f>
        <v>F</v>
      </c>
      <c r="M190" s="115" t="s">
        <v>705</v>
      </c>
      <c r="N190" s="116" t="str">
        <f t="shared" ref="N190" ca="1" si="58">CHOOSE(1+LOG(1+2*(C190=1)+4*(C190=2)+8*(C190=3)+16*(C190=4)+32*(C190="S"),2),"","Meta","Nível 2","Nível 3","Nível 4","Serviço")</f>
        <v>Serviço</v>
      </c>
      <c r="O190" s="117" t="str">
        <f t="shared" ref="O190" ca="1" si="59">IF(OR($C190=0,$L190=""),"-",CONCATENATE(E190&amp;".",IF(AND($A$5&gt;=2,$C190&gt;=2),F190&amp;".",""),IF(AND($A$5&gt;=3,$C190&gt;=3),G190&amp;".",""),IF(AND($A$5&gt;=4,$C190&gt;=4),H190&amp;".",""),IF($C190="S",I190&amp;".","")))</f>
        <v>1.24.4.</v>
      </c>
      <c r="P190" s="688" t="s">
        <v>957</v>
      </c>
      <c r="Q190" s="689" t="s">
        <v>1124</v>
      </c>
      <c r="R190" s="690" t="str" cm="1">
        <f t="array" aca="1" ref="R190" ca="1">IF($C190="S",REFERENCIA.Descricao,"(digite a descrição aqui)")</f>
        <v>Projeto executivo de estrutura em formato A1 -PRANCHAS</v>
      </c>
      <c r="S190" s="691" t="str" cm="1">
        <f t="array" aca="1" ref="S190" ca="1">REFERENCIA.Unidade</f>
        <v>UNIDADE</v>
      </c>
      <c r="T190" s="122">
        <f ca="1">OFFSET(CÁLCULO!H$15,ROW($T190)-ROW(T$15),0)</f>
        <v>12</v>
      </c>
      <c r="U190" s="693">
        <f t="shared" ca="1" si="34"/>
        <v>2658.26</v>
      </c>
      <c r="V190" s="694" t="s">
        <v>663</v>
      </c>
      <c r="W190" s="122" cm="1">
        <f t="array" aca="1" ref="W190" ca="1">IF($C190="S",ROUND(IF(TIPOORCAMENTO="Proposto",ORÇAMENTO.CustoUnitario*(1+$AH190),ORÇAMENTO.PrecoUnitarioLicitado),15-13*$AF$10),0)</f>
        <v>3296.24</v>
      </c>
      <c r="X190" s="125" cm="1">
        <f t="array" aca="1" ref="X190" ca="1">IF($C190="S",IF(OR(Import.TipoArredondamento&lt;&gt;"TransfereGOV",ACOMPANHAMENTO="BM"),VTOTAL1,SUM(OFFSET(CÁLCULO!$AI$15,ROW($X190)-ROW($X$15),1):OFFSET(CÁLCULO!$BB$15,ROW($X190)-ROW($X$15),-1))),IF($C190=0,0,ROUND(SomaAgrup,15-13*$AF$11)))</f>
        <v>39554.879999999997</v>
      </c>
      <c r="Y190" s="126" t="s">
        <v>751</v>
      </c>
      <c r="Z190" s="670" t="str">
        <f t="shared" ref="Z190" ca="1" si="60">IF(AND($C190="S",$X190&gt;0),IF(ISBLANK($Y190),"RA",LEFT($Y190,2)),"")</f>
        <v>RA</v>
      </c>
      <c r="AA190" s="127" cm="1">
        <f t="array" aca="1" ref="AA190" ca="1">IF($C190="S",IF($Z190="CP",$X190,IF($Z190="RA",(($X190)*QCI!$AA$3),0)),SomaAgrup)</f>
        <v>0</v>
      </c>
      <c r="AB190" s="128" cm="1">
        <f t="array" aca="1" ref="AB190" ca="1">IF($C190="S",IF($Z190="OU",ROUND($X190,2),0),SomaAgrup)</f>
        <v>0</v>
      </c>
      <c r="AC190" s="565" t="str" cm="1">
        <f t="array" aca="1" ref="AC190" ca="1">IF($N190=""," ",
IF(AND($C190&lt;&gt;"S",OR($R190="",$R190="(digite a descrição aqui)")),"DESCRIÇÃO",
IF(AND($C190="S",OR($Q190&lt;&gt;"",$T190&gt;0,$U190&gt;0),$P190=""),"FONTE",
IF(AND($C190="S",$P190&lt;&gt;"",OR($T190&gt;0,$U190&gt;0),$Q190=""),"CÓDIGO",
IF(AND($C190="S",$P190&lt;&gt;"",$Q190&lt;&gt;"",$R190="(Código não identificado nas referências)"),"CÓDIGO N/ID",
IF(AND($C190="S",OR($R190="",$R190="(digite a descrição aqui)"),OR($Q190&lt;&gt;"",$T190&gt;0,$U190&gt;0)),"DESCRIÇÃO",
IF(AND($C190="S",$P190&lt;&gt;"",$Q190&lt;&gt;"",$S190=""),"UNIDADE",
IF(AND($C190="S",$P190&lt;&gt;"",$Q190&lt;&gt;"",$U190=0),"SEM CUSTO",
IF(AND(TIPOORCAMENTO="Licitado",$AL190=0,$AN190&gt;0),"SEM PREÇO",
IF(AND($C190="S",$P190&lt;&gt;"",$Q190&lt;&gt;"",$U190&gt;0,AND($V190&lt;&gt;"BDI 1",$V190&lt;&gt;"BDI 2",$V190&lt;&gt;"BDI 3")),IF(ISNUMBER($V190),"JUSTIFICAR BDI","BDI"),
IF(OR(AND(import.recurso="OGU",TIPOORCAMENTO="Proposto",LEFT($O$8,5)&lt;&gt;"(N/D:",$AG190&lt;&gt;"",ORÇAMENTO.CustoUnitario&gt;$AG190),AND(TIPOORCAMENTO="LICITADO",ORÇAMENTO.PrecoUnitarioLicitado&gt;$AN190)),"ACIMA REF.",
IF(AND($C190="S",$P190&lt;&gt;"",$Q190&lt;&gt;"",$T190=0,$U190&gt;0),"QUANT.",
IF(AND(Import.TipoArredondamento="TransfereGOV",$L190="F",$C190="S",LEN($Q190)&gt;13),"Código &gt;13",
IF(AND(Import.TipoArredondamento="TransfereGOV",$L190="F",$C190&lt;&gt;"S",LEN($R190)&gt;100),"Descrição &gt;100",
IF(AND(Import.TipoArredondamento="TransfereGOV",$L190="F",$C190="S",LEN($R190)&gt;500),"Descrição &gt;500",
IF(AND(Import.TipoArredondamento="TransfereGOV",$L190="F",$C190="S",LEFT(TRIM(UPPER($P190)),6)&lt;&gt;"SINAPI",ISNA(VLOOKUP(TRIM(UPPER($S190)),ListaTgov.Unidades,1,FALSE))),"Unid. Não Disp",
" "))))))))))))))))</f>
        <v>Unid. Não Disp</v>
      </c>
      <c r="AD190" s="670" t="str">
        <f ca="1">IF(C190&lt;=CRONO.NivelExibicao,MAX($AD$15:OFFSET(AD190,-1,0))+IF($C190&lt;&gt;1,1,MAX(1,COUNTIF(QCI!$A$13:$A$24,OFFSET($E190,-1,0)))),"")</f>
        <v/>
      </c>
      <c r="AE190" s="668" t="str" cm="1">
        <f t="array" aca="1" ref="AE190" ca="1">IF(AND($C190="S",ORÇAMENTO.CodBarra&lt;&gt;""),IF(ORÇAMENTO.Fonte="",ORÇAMENTO.CodBarra,CONCATENATE(ORÇAMENTO.Fonte," ",ORÇAMENTO.CodBarra)))</f>
        <v>Cotação 37</v>
      </c>
      <c r="AF190" s="669" cm="1">
        <f t="array" aca="1" ref="AF190" ca="1">IF(ISERROR(ORÇAMENTO.BancoRef),"(abra o arquivo 'Referência "&amp;Excel_BuiltIn_Database&amp;".xlsm)",IF(OR($C190&lt;&gt;"S",ORÇAMENTO.CodBarra=""),"(Sem Código)",IF(ISERROR(MATCH($AE190,INDIRECT(ORÇAMENTO.BancoRef),0)),"(Código não identificado nas referências)",MATCH($AE190,INDIRECT(ORÇAMENTO.BancoRef),0))))</f>
        <v>46</v>
      </c>
      <c r="AG190" s="428" cm="1">
        <f t="array" aca="1" ref="AG190" ca="1">ROUND(IF(DESONERACAO="sim",REFERENCIA.Desonerado,REFERENCIA.NaoDesonerado),2)</f>
        <v>2658.26</v>
      </c>
      <c r="AH190" s="429">
        <f t="shared" ref="AH190" ca="1" si="61">ROUND(IF(ISNUMBER(ORÇAMENTO.OpcaoBDI),ORÇAMENTO.OpcaoBDI,IF(LEFT(ORÇAMENTO.OpcaoBDI,3)="BDI",HLOOKUP(ORÇAMENTO.OpcaoBDI,$F$4:$H$5,2,FALSE),0)),15-11*$AF$9)</f>
        <v>0.24</v>
      </c>
      <c r="AJ190" s="431"/>
      <c r="AL190" s="439"/>
      <c r="AM190" s="336">
        <f t="shared" ca="1" si="0"/>
        <v>39554.879999999997</v>
      </c>
      <c r="AN190" s="470" cm="1">
        <f t="array" aca="1" ref="AN190" ca="1">ROUND(ORÇAMENTO.CustoUnitario*(1+$AH190),2)</f>
        <v>3296.24</v>
      </c>
    </row>
    <row r="191" spans="1:40" ht="5.0999999999999996" customHeight="1" x14ac:dyDescent="0.2">
      <c r="A191">
        <v>-1</v>
      </c>
      <c r="C191">
        <v>-1</v>
      </c>
      <c r="E191">
        <v>0</v>
      </c>
      <c r="F191">
        <v>0</v>
      </c>
      <c r="G191">
        <v>0</v>
      </c>
      <c r="H191">
        <v>0</v>
      </c>
      <c r="I191">
        <v>0</v>
      </c>
      <c r="L191" s="114" t="s">
        <v>536</v>
      </c>
      <c r="M191" s="616"/>
      <c r="N191" s="424"/>
      <c r="O191" s="616"/>
      <c r="P191" s="617"/>
      <c r="Q191" s="617"/>
      <c r="R191" s="617"/>
      <c r="S191" s="617"/>
      <c r="T191" s="617"/>
      <c r="U191" s="617"/>
      <c r="V191" s="617"/>
      <c r="W191" s="617"/>
      <c r="X191" s="424"/>
      <c r="Y191" s="424"/>
      <c r="AC191" s="565" t="str" cm="1">
        <f t="array" ref="AC191">IF($N191=""," ",
IF(AND($C191&lt;&gt;"S",OR($R191="",$R191="(digite a descrição aqui)")),"DESCRIÇÃO",
IF(AND($C191="S",OR($Q191&lt;&gt;"",$T191&gt;0,$U191&gt;0),$P191=""),"FONTE",
IF(AND($C191="S",$P191&lt;&gt;"",OR($T191&gt;0,$U191&gt;0),$Q191=""),"CÓDIGO",
IF(AND($C191="S",$P191&lt;&gt;"",$Q191&lt;&gt;"",$R191="(Código não identificado nas referências)"),"CÓDIGO N/ID",
IF(AND($C191="S",OR($R191="",$R191="(digite a descrição aqui)"),OR($Q191&lt;&gt;"",$T191&gt;0,$U191&gt;0)),"DESCRIÇÃO",
IF(AND($C191="S",$P191&lt;&gt;"",$Q191&lt;&gt;"",$S191=""),"UNIDADE",
IF(AND($C191="S",$P191&lt;&gt;"",$Q191&lt;&gt;"",$U191=0),"SEM CUSTO",
IF(AND(TIPOORCAMENTO="Licitado",$AL191=0,$AN191&gt;0),"SEM PREÇO",
IF(AND($C191="S",$P191&lt;&gt;"",$Q191&lt;&gt;"",$U191&gt;0,AND($V191&lt;&gt;"BDI 1",$V191&lt;&gt;"BDI 2",$V191&lt;&gt;"BDI 3")),IF(ISNUMBER($V191),"JUSTIFICAR BDI","BDI"),
IF(OR(AND(import.recurso="OGU",TIPOORCAMENTO="Proposto",LEFT($O$8,5)&lt;&gt;"(N/D:",$AG191&lt;&gt;"",ORÇAMENTO.CustoUnitario&gt;$AG191),AND(TIPOORCAMENTO="LICITADO",ORÇAMENTO.PrecoUnitarioLicitado&gt;$AN191)),"ACIMA REF.",
IF(AND($C191="S",$P191&lt;&gt;"",$Q191&lt;&gt;"",$T191=0,$U191&gt;0),"QUANT.",
IF(AND(Import.TipoArredondamento="TransfereGOV",$L191="F",$C191="S",LEN($Q191)&gt;13),"Código &gt;13",
IF(AND(Import.TipoArredondamento="TransfereGOV",$L191="F",$C191&lt;&gt;"S",LEN($R191)&gt;100),"Descrição &gt;100",
IF(AND(Import.TipoArredondamento="TransfereGOV",$L191="F",$C191="S",LEN($R191)&gt;500),"Descrição &gt;500",
IF(AND(Import.TipoArredondamento="TransfereGOV",$L191="F",$C191="S",LEFT(TRIM(UPPER($P191)),6)&lt;&gt;"SINAPI",ISNA(VLOOKUP(TRIM(UPPER($S191)),ListaTgov.Unidades,1,FALSE))),"Unid. Não Disp",
" "))))))))))))))))</f>
        <v xml:space="preserve"> </v>
      </c>
      <c r="AF191" s="12"/>
      <c r="AG191" s="618"/>
      <c r="AH191" s="419"/>
      <c r="AJ191" s="425"/>
      <c r="AL191" s="618"/>
      <c r="AM191" s="619"/>
      <c r="AN191" s="419"/>
    </row>
    <row r="192" spans="1:40" x14ac:dyDescent="0.2">
      <c r="AF192" s="12"/>
    </row>
    <row r="193" spans="15:32" x14ac:dyDescent="0.2">
      <c r="AF193" s="12"/>
    </row>
    <row r="194" spans="15:32" ht="14.25" x14ac:dyDescent="0.2">
      <c r="O194" s="134" t="s">
        <v>753</v>
      </c>
      <c r="Q194" s="797" t="s">
        <v>754</v>
      </c>
      <c r="R194" s="797"/>
      <c r="S194" s="797"/>
      <c r="T194" s="797"/>
      <c r="U194" s="797"/>
      <c r="V194" s="797"/>
      <c r="W194" s="797"/>
      <c r="X194" s="797"/>
      <c r="AF194" s="12"/>
    </row>
    <row r="195" spans="15:32" x14ac:dyDescent="0.2">
      <c r="AF195" s="12"/>
    </row>
    <row r="196" spans="15:32" ht="14.25" x14ac:dyDescent="0.2">
      <c r="O196" s="135" t="s">
        <v>689</v>
      </c>
      <c r="X196" s="4"/>
      <c r="AF196" s="12"/>
    </row>
    <row r="197" spans="15:32" ht="12.75" customHeight="1" x14ac:dyDescent="0.2">
      <c r="O197" s="798"/>
      <c r="P197" s="798"/>
      <c r="Q197" s="798"/>
      <c r="R197" s="798"/>
      <c r="S197" s="798"/>
      <c r="T197" s="798"/>
      <c r="U197" s="798"/>
      <c r="V197" s="798"/>
      <c r="W197" s="798"/>
      <c r="X197" s="798"/>
      <c r="AF197" s="12"/>
    </row>
    <row r="198" spans="15:32" x14ac:dyDescent="0.2">
      <c r="O198" s="798"/>
      <c r="P198" s="798"/>
      <c r="Q198" s="798"/>
      <c r="R198" s="798"/>
      <c r="S198" s="798"/>
      <c r="T198" s="798"/>
      <c r="U198" s="798"/>
      <c r="V198" s="798"/>
      <c r="W198" s="798"/>
      <c r="X198" s="798"/>
      <c r="AF198" s="12"/>
    </row>
    <row r="199" spans="15:32" x14ac:dyDescent="0.2">
      <c r="O199" s="798"/>
      <c r="P199" s="798"/>
      <c r="Q199" s="798"/>
      <c r="R199" s="798"/>
      <c r="S199" s="798"/>
      <c r="T199" s="798"/>
      <c r="U199" s="798"/>
      <c r="V199" s="798"/>
      <c r="W199" s="798"/>
      <c r="X199" s="798"/>
      <c r="AF199" s="12"/>
    </row>
    <row r="200" spans="15:32" ht="14.25" x14ac:dyDescent="0.2">
      <c r="O200" s="443"/>
      <c r="P200" s="443"/>
      <c r="Q200" s="443"/>
      <c r="R200" s="443"/>
      <c r="S200" s="443"/>
      <c r="T200" s="443"/>
      <c r="U200" s="443"/>
      <c r="V200" s="443"/>
      <c r="W200" s="443"/>
      <c r="X200" s="443"/>
      <c r="Y200" s="443"/>
      <c r="Z200" s="136"/>
      <c r="AA200" s="136"/>
      <c r="AB200" s="136"/>
      <c r="AF200" s="12"/>
    </row>
    <row r="201" spans="15:32" ht="15" x14ac:dyDescent="0.25">
      <c r="O201" s="799"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201" s="799"/>
      <c r="Q201" s="799"/>
      <c r="R201" s="799"/>
      <c r="S201" s="799"/>
      <c r="T201" s="799"/>
      <c r="U201" s="799"/>
      <c r="V201" s="799"/>
      <c r="W201" s="799"/>
      <c r="X201" s="799"/>
      <c r="Y201" s="137"/>
      <c r="Z201" s="137"/>
      <c r="AA201" s="137"/>
      <c r="AB201" s="137"/>
      <c r="AF201" s="12"/>
    </row>
    <row r="202" spans="15:32" ht="15" customHeight="1" x14ac:dyDescent="0.25">
      <c r="O202" s="801" t="s">
        <v>755</v>
      </c>
      <c r="P202" s="801"/>
      <c r="Q202" s="801"/>
      <c r="R202" s="801"/>
      <c r="S202" s="801"/>
      <c r="T202" s="801"/>
      <c r="U202" s="801"/>
      <c r="V202" s="801"/>
      <c r="W202" s="801"/>
      <c r="X202" s="801"/>
      <c r="Y202" s="137"/>
      <c r="Z202" s="137"/>
      <c r="AA202" s="137"/>
      <c r="AB202" s="137"/>
      <c r="AF202" s="12"/>
    </row>
    <row r="203" spans="15:32" x14ac:dyDescent="0.2">
      <c r="AF203" s="12"/>
    </row>
    <row r="204" spans="15:32" ht="30" customHeight="1" x14ac:dyDescent="0.2">
      <c r="O204" s="800" t="str">
        <f>Import.Município</f>
        <v>BOA ESPERANÇA</v>
      </c>
      <c r="P204" s="800"/>
      <c r="Q204" s="800"/>
      <c r="S204" s="460"/>
      <c r="T204" s="460"/>
      <c r="U204" s="460"/>
      <c r="V204" s="460"/>
      <c r="W204" s="417"/>
      <c r="AF204" s="12"/>
    </row>
    <row r="205" spans="15:32" x14ac:dyDescent="0.2">
      <c r="O205" s="9" t="s">
        <v>693</v>
      </c>
      <c r="S205" s="181" t="s">
        <v>696</v>
      </c>
      <c r="T205" s="181"/>
      <c r="U205" s="181"/>
      <c r="V205" s="181"/>
      <c r="AF205" s="12"/>
    </row>
    <row r="206" spans="15:32" x14ac:dyDescent="0.2">
      <c r="S206" s="77" t="s">
        <v>240</v>
      </c>
      <c r="T206" s="78" t="str">
        <f t="array" ref="T206:T208">Import.RespOrçamento</f>
        <v>LAIZ MOSCARDINI CRUZ NASCIMENTO</v>
      </c>
      <c r="V206" s="79"/>
      <c r="AF206" s="12"/>
    </row>
    <row r="207" spans="15:32" x14ac:dyDescent="0.2">
      <c r="O207" s="794">
        <f>DADOS!$C$25</f>
        <v>46106</v>
      </c>
      <c r="P207" s="794"/>
      <c r="Q207" s="794"/>
      <c r="S207" s="77" t="s">
        <v>243</v>
      </c>
      <c r="T207" s="78" t="str">
        <v>283596/D</v>
      </c>
      <c r="U207" s="79"/>
      <c r="V207" s="79"/>
      <c r="AF207" s="12"/>
    </row>
    <row r="208" spans="15:32" x14ac:dyDescent="0.2">
      <c r="O208" s="140" t="s">
        <v>694</v>
      </c>
      <c r="P208" s="1"/>
      <c r="Q208" s="1"/>
      <c r="S208" s="77" t="s">
        <v>246</v>
      </c>
      <c r="T208" s="78" t="str">
        <v>MG20232488275</v>
      </c>
      <c r="U208" s="79"/>
      <c r="V208" s="79"/>
      <c r="AF208" s="12"/>
    </row>
    <row r="209" spans="32:32" x14ac:dyDescent="0.2">
      <c r="AF209" s="12"/>
    </row>
    <row r="210" spans="32:32" x14ac:dyDescent="0.2">
      <c r="AF210" s="12"/>
    </row>
    <row r="211" spans="32:32" x14ac:dyDescent="0.2">
      <c r="AF211" s="12"/>
    </row>
    <row r="212" spans="32:32" x14ac:dyDescent="0.2">
      <c r="AF212" s="12"/>
    </row>
    <row r="213" spans="32:32" x14ac:dyDescent="0.2">
      <c r="AF213" s="12"/>
    </row>
    <row r="214" spans="32:32" x14ac:dyDescent="0.2">
      <c r="AF214" s="12"/>
    </row>
    <row r="215" spans="32:32" x14ac:dyDescent="0.2">
      <c r="AF215" s="12"/>
    </row>
    <row r="216" spans="32:32" x14ac:dyDescent="0.2">
      <c r="AF216" s="12"/>
    </row>
    <row r="217" spans="32:32" x14ac:dyDescent="0.2">
      <c r="AF217" s="12"/>
    </row>
    <row r="218" spans="32:32" x14ac:dyDescent="0.2">
      <c r="AF218" s="12"/>
    </row>
    <row r="219" spans="32:32" x14ac:dyDescent="0.2">
      <c r="AF219" s="12"/>
    </row>
    <row r="220" spans="32:32" x14ac:dyDescent="0.2">
      <c r="AF220" s="12"/>
    </row>
    <row r="221" spans="32:32" x14ac:dyDescent="0.2">
      <c r="AF221" s="12"/>
    </row>
    <row r="222" spans="32:32" x14ac:dyDescent="0.2">
      <c r="AF222" s="12"/>
    </row>
    <row r="223" spans="32:32" x14ac:dyDescent="0.2">
      <c r="AF223" s="12"/>
    </row>
    <row r="224" spans="32:32" x14ac:dyDescent="0.2">
      <c r="AF224" s="12"/>
    </row>
    <row r="225" spans="32:32" x14ac:dyDescent="0.2">
      <c r="AF225" s="12"/>
    </row>
    <row r="226" spans="32:32" x14ac:dyDescent="0.2">
      <c r="AF226" s="12"/>
    </row>
    <row r="227" spans="32:32" x14ac:dyDescent="0.2">
      <c r="AF227" s="12"/>
    </row>
    <row r="228" spans="32:32" x14ac:dyDescent="0.2">
      <c r="AF228" s="12"/>
    </row>
    <row r="229" spans="32:32" x14ac:dyDescent="0.2">
      <c r="AF229" s="12"/>
    </row>
    <row r="230" spans="32:32" x14ac:dyDescent="0.2">
      <c r="AF230" s="12"/>
    </row>
    <row r="231" spans="32:32" x14ac:dyDescent="0.2">
      <c r="AF231" s="12"/>
    </row>
    <row r="232" spans="32:32" x14ac:dyDescent="0.2">
      <c r="AF232" s="12"/>
    </row>
    <row r="233" spans="32:32" x14ac:dyDescent="0.2">
      <c r="AF233" s="12"/>
    </row>
    <row r="234" spans="32:32" x14ac:dyDescent="0.2">
      <c r="AF234" s="12"/>
    </row>
    <row r="235" spans="32:32" x14ac:dyDescent="0.2">
      <c r="AF235" s="12"/>
    </row>
    <row r="236" spans="32:32" x14ac:dyDescent="0.2">
      <c r="AF236" s="12"/>
    </row>
    <row r="237" spans="32:32" x14ac:dyDescent="0.2">
      <c r="AF237" s="12"/>
    </row>
    <row r="238" spans="32:32" x14ac:dyDescent="0.2">
      <c r="AF238" s="12"/>
    </row>
    <row r="239" spans="32:32" x14ac:dyDescent="0.2">
      <c r="AF239" s="12"/>
    </row>
    <row r="240" spans="32:32" x14ac:dyDescent="0.2">
      <c r="AF240" s="12"/>
    </row>
    <row r="241" spans="32:32" x14ac:dyDescent="0.2">
      <c r="AF241" s="12"/>
    </row>
    <row r="242" spans="32:32" x14ac:dyDescent="0.2">
      <c r="AF242" s="12"/>
    </row>
    <row r="243" spans="32:32" x14ac:dyDescent="0.2">
      <c r="AF243" s="12"/>
    </row>
    <row r="244" spans="32:32" x14ac:dyDescent="0.2">
      <c r="AF244" s="12"/>
    </row>
    <row r="245" spans="32:32" x14ac:dyDescent="0.2">
      <c r="AF245" s="12"/>
    </row>
    <row r="246" spans="32:32" x14ac:dyDescent="0.2">
      <c r="AF246" s="12"/>
    </row>
    <row r="247" spans="32:32" x14ac:dyDescent="0.2">
      <c r="AF247" s="12"/>
    </row>
    <row r="248" spans="32:32" x14ac:dyDescent="0.2">
      <c r="AF248" s="12"/>
    </row>
    <row r="249" spans="32:32" x14ac:dyDescent="0.2">
      <c r="AF249" s="12"/>
    </row>
    <row r="250" spans="32:32" x14ac:dyDescent="0.2">
      <c r="AF250" s="12"/>
    </row>
    <row r="251" spans="32:32" x14ac:dyDescent="0.2">
      <c r="AF251" s="12"/>
    </row>
    <row r="252" spans="32:32" x14ac:dyDescent="0.2">
      <c r="AF252" s="12"/>
    </row>
    <row r="253" spans="32:32" x14ac:dyDescent="0.2">
      <c r="AF253" s="12"/>
    </row>
    <row r="254" spans="32:32" x14ac:dyDescent="0.2">
      <c r="AF254" s="12"/>
    </row>
    <row r="255" spans="32:32" x14ac:dyDescent="0.2">
      <c r="AF255" s="12"/>
    </row>
    <row r="256" spans="32: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row r="65566" spans="32:32" x14ac:dyDescent="0.2">
      <c r="AF65566" s="12"/>
    </row>
    <row r="65567" spans="32:32" x14ac:dyDescent="0.2">
      <c r="AF65567" s="12"/>
    </row>
    <row r="65568" spans="32:32" x14ac:dyDescent="0.2">
      <c r="AF65568" s="12"/>
    </row>
    <row r="65569" spans="32:32" x14ac:dyDescent="0.2">
      <c r="AF65569" s="12"/>
    </row>
    <row r="65570" spans="32:32" x14ac:dyDescent="0.2">
      <c r="AF65570" s="12"/>
    </row>
    <row r="65571" spans="32:32" x14ac:dyDescent="0.2">
      <c r="AF65571" s="12"/>
    </row>
    <row r="65572" spans="32:32" x14ac:dyDescent="0.2">
      <c r="AF65572" s="12"/>
    </row>
    <row r="65573" spans="32:32" x14ac:dyDescent="0.2">
      <c r="AF65573" s="12"/>
    </row>
    <row r="65574" spans="32:32" x14ac:dyDescent="0.2">
      <c r="AF65574" s="12"/>
    </row>
    <row r="65575" spans="32:32" x14ac:dyDescent="0.2">
      <c r="AF65575" s="12"/>
    </row>
    <row r="65576" spans="32:32" x14ac:dyDescent="0.2">
      <c r="AF65576" s="12"/>
    </row>
    <row r="65577" spans="32:32" x14ac:dyDescent="0.2">
      <c r="AF65577" s="12"/>
    </row>
    <row r="65578" spans="32:32" x14ac:dyDescent="0.2">
      <c r="AF65578" s="12"/>
    </row>
    <row r="65579" spans="32:32" x14ac:dyDescent="0.2">
      <c r="AF65579" s="12"/>
    </row>
    <row r="65580" spans="32:32" x14ac:dyDescent="0.2">
      <c r="AF65580" s="12"/>
    </row>
    <row r="65581" spans="32:32" x14ac:dyDescent="0.2">
      <c r="AF65581" s="12"/>
    </row>
    <row r="65582" spans="32:32" x14ac:dyDescent="0.2">
      <c r="AF65582" s="12"/>
    </row>
    <row r="65583" spans="32:32" x14ac:dyDescent="0.2">
      <c r="AF65583" s="12"/>
    </row>
    <row r="65584" spans="32:32" x14ac:dyDescent="0.2">
      <c r="AF65584" s="12"/>
    </row>
    <row r="65585" spans="32:32" x14ac:dyDescent="0.2">
      <c r="AF65585" s="12"/>
    </row>
    <row r="65586" spans="32:32" x14ac:dyDescent="0.2">
      <c r="AF65586" s="12"/>
    </row>
    <row r="65587" spans="32:32" x14ac:dyDescent="0.2">
      <c r="AF65587" s="12"/>
    </row>
    <row r="65588" spans="32:32" x14ac:dyDescent="0.2">
      <c r="AF65588" s="12"/>
    </row>
    <row r="65589" spans="32:32" x14ac:dyDescent="0.2">
      <c r="AF65589" s="12"/>
    </row>
    <row r="65590" spans="32:32" x14ac:dyDescent="0.2">
      <c r="AF65590" s="12"/>
    </row>
    <row r="65591" spans="32:32" x14ac:dyDescent="0.2">
      <c r="AF65591" s="12"/>
    </row>
    <row r="65592" spans="32:32" x14ac:dyDescent="0.2">
      <c r="AF65592" s="12"/>
    </row>
    <row r="65593" spans="32:32" x14ac:dyDescent="0.2">
      <c r="AF65593" s="12"/>
    </row>
    <row r="65594" spans="32:32" x14ac:dyDescent="0.2">
      <c r="AF65594" s="12"/>
    </row>
    <row r="65595" spans="32:32" x14ac:dyDescent="0.2">
      <c r="AF65595" s="12"/>
    </row>
    <row r="65596" spans="32:32" x14ac:dyDescent="0.2">
      <c r="AF65596" s="12"/>
    </row>
    <row r="65597" spans="32:32" x14ac:dyDescent="0.2">
      <c r="AF65597" s="12"/>
    </row>
    <row r="65598" spans="32:32" x14ac:dyDescent="0.2">
      <c r="AF65598" s="12"/>
    </row>
    <row r="65599" spans="32:32" x14ac:dyDescent="0.2">
      <c r="AF65599" s="12"/>
    </row>
    <row r="65600" spans="32:32" x14ac:dyDescent="0.2">
      <c r="AF65600" s="12"/>
    </row>
    <row r="65601" spans="32:32" x14ac:dyDescent="0.2">
      <c r="AF65601" s="12"/>
    </row>
    <row r="65602" spans="32:32" x14ac:dyDescent="0.2">
      <c r="AF65602" s="12"/>
    </row>
    <row r="65603" spans="32:32" x14ac:dyDescent="0.2">
      <c r="AF65603" s="12"/>
    </row>
    <row r="65604" spans="32:32" x14ac:dyDescent="0.2">
      <c r="AF65604" s="12"/>
    </row>
    <row r="65605" spans="32:32" x14ac:dyDescent="0.2">
      <c r="AF65605" s="12"/>
    </row>
    <row r="65606" spans="32:32" x14ac:dyDescent="0.2">
      <c r="AF65606" s="12"/>
    </row>
    <row r="65607" spans="32:32" x14ac:dyDescent="0.2">
      <c r="AF65607" s="12"/>
    </row>
    <row r="65608" spans="32:32" x14ac:dyDescent="0.2">
      <c r="AF65608" s="12"/>
    </row>
    <row r="65609" spans="32:32" x14ac:dyDescent="0.2">
      <c r="AF65609" s="12"/>
    </row>
    <row r="65610" spans="32:32" x14ac:dyDescent="0.2">
      <c r="AF65610" s="12"/>
    </row>
    <row r="65611" spans="32:32" x14ac:dyDescent="0.2">
      <c r="AF65611" s="12"/>
    </row>
    <row r="65612" spans="32:32" x14ac:dyDescent="0.2">
      <c r="AF65612" s="12"/>
    </row>
    <row r="65613" spans="32:32" x14ac:dyDescent="0.2">
      <c r="AF65613" s="12"/>
    </row>
    <row r="65614" spans="32:32" x14ac:dyDescent="0.2">
      <c r="AF65614" s="12"/>
    </row>
    <row r="65615" spans="32:32" x14ac:dyDescent="0.2">
      <c r="AF65615" s="12"/>
    </row>
    <row r="65616" spans="32:32" x14ac:dyDescent="0.2">
      <c r="AF65616" s="12"/>
    </row>
    <row r="65617" spans="32:32" x14ac:dyDescent="0.2">
      <c r="AF65617" s="12"/>
    </row>
    <row r="65618" spans="32:32" x14ac:dyDescent="0.2">
      <c r="AF65618" s="12"/>
    </row>
    <row r="65619" spans="32:32" x14ac:dyDescent="0.2">
      <c r="AF65619" s="12"/>
    </row>
    <row r="65620" spans="32:32" x14ac:dyDescent="0.2">
      <c r="AF65620" s="12"/>
    </row>
    <row r="65621" spans="32:32" x14ac:dyDescent="0.2">
      <c r="AF65621" s="12"/>
    </row>
    <row r="65622" spans="32:32" x14ac:dyDescent="0.2">
      <c r="AF65622" s="12"/>
    </row>
    <row r="65623" spans="32:32" x14ac:dyDescent="0.2">
      <c r="AF65623" s="12"/>
    </row>
    <row r="65624" spans="32:32" x14ac:dyDescent="0.2">
      <c r="AF65624" s="12"/>
    </row>
    <row r="65625" spans="32:32" x14ac:dyDescent="0.2">
      <c r="AF65625" s="12"/>
    </row>
    <row r="65626" spans="32:32" x14ac:dyDescent="0.2">
      <c r="AF65626" s="12"/>
    </row>
    <row r="65627" spans="32:32" x14ac:dyDescent="0.2">
      <c r="AF65627" s="12"/>
    </row>
    <row r="65628" spans="32:32" x14ac:dyDescent="0.2">
      <c r="AF65628" s="12"/>
    </row>
    <row r="65629" spans="32:32" x14ac:dyDescent="0.2">
      <c r="AF65629" s="12"/>
    </row>
    <row r="65630" spans="32:32" x14ac:dyDescent="0.2">
      <c r="AF65630" s="12"/>
    </row>
    <row r="65631" spans="32:32" x14ac:dyDescent="0.2">
      <c r="AF65631" s="12"/>
    </row>
    <row r="65632" spans="32:32" x14ac:dyDescent="0.2">
      <c r="AF65632" s="12"/>
    </row>
    <row r="65633" spans="32:32" x14ac:dyDescent="0.2">
      <c r="AF65633" s="12"/>
    </row>
    <row r="65634" spans="32:32" x14ac:dyDescent="0.2">
      <c r="AF65634" s="12"/>
    </row>
    <row r="65635" spans="32:32" x14ac:dyDescent="0.2">
      <c r="AF65635" s="12"/>
    </row>
    <row r="65636" spans="32:32" x14ac:dyDescent="0.2">
      <c r="AF65636" s="12"/>
    </row>
    <row r="65637" spans="32:32" x14ac:dyDescent="0.2">
      <c r="AF65637" s="12"/>
    </row>
    <row r="65638" spans="32:32" x14ac:dyDescent="0.2">
      <c r="AF65638" s="12"/>
    </row>
    <row r="65639" spans="32:32" x14ac:dyDescent="0.2">
      <c r="AF65639" s="12"/>
    </row>
    <row r="65640" spans="32:32" x14ac:dyDescent="0.2">
      <c r="AF65640" s="12"/>
    </row>
    <row r="65641" spans="32:32" x14ac:dyDescent="0.2">
      <c r="AF65641" s="12"/>
    </row>
    <row r="65642" spans="32:32" x14ac:dyDescent="0.2">
      <c r="AF65642" s="12"/>
    </row>
    <row r="65643" spans="32:32" x14ac:dyDescent="0.2">
      <c r="AF65643" s="12"/>
    </row>
    <row r="65644" spans="32:32" x14ac:dyDescent="0.2">
      <c r="AF65644" s="12"/>
    </row>
    <row r="65645" spans="32:32" x14ac:dyDescent="0.2">
      <c r="AF65645" s="12"/>
    </row>
    <row r="65646" spans="32:32" x14ac:dyDescent="0.2">
      <c r="AF65646" s="12"/>
    </row>
    <row r="65647" spans="32:32" x14ac:dyDescent="0.2">
      <c r="AF65647" s="12"/>
    </row>
    <row r="65648" spans="32:32" x14ac:dyDescent="0.2">
      <c r="AF65648" s="12"/>
    </row>
    <row r="65649" spans="32:32" x14ac:dyDescent="0.2">
      <c r="AF65649" s="12"/>
    </row>
    <row r="65650" spans="32:32" x14ac:dyDescent="0.2">
      <c r="AF65650" s="12"/>
    </row>
    <row r="65651" spans="32:32" x14ac:dyDescent="0.2">
      <c r="AF65651" s="12"/>
    </row>
    <row r="65652" spans="32:32" x14ac:dyDescent="0.2">
      <c r="AF65652" s="12"/>
    </row>
    <row r="65653" spans="32:32" x14ac:dyDescent="0.2">
      <c r="AF65653" s="12"/>
    </row>
    <row r="65654" spans="32:32" x14ac:dyDescent="0.2">
      <c r="AF65654" s="12"/>
    </row>
    <row r="65655" spans="32:32" x14ac:dyDescent="0.2">
      <c r="AF65655" s="12"/>
    </row>
    <row r="65656" spans="32:32" x14ac:dyDescent="0.2">
      <c r="AF65656" s="12"/>
    </row>
    <row r="65657" spans="32:32" x14ac:dyDescent="0.2">
      <c r="AF65657" s="12"/>
    </row>
    <row r="65658" spans="32:32" x14ac:dyDescent="0.2">
      <c r="AF65658" s="12"/>
    </row>
    <row r="65659" spans="32:32" x14ac:dyDescent="0.2">
      <c r="AF65659" s="12"/>
    </row>
    <row r="65660" spans="32:32" x14ac:dyDescent="0.2">
      <c r="AF65660" s="12"/>
    </row>
    <row r="65661" spans="32:32" x14ac:dyDescent="0.2">
      <c r="AF65661" s="12"/>
    </row>
    <row r="65662" spans="32:32" x14ac:dyDescent="0.2">
      <c r="AF65662" s="12"/>
    </row>
    <row r="65663" spans="32:32" x14ac:dyDescent="0.2">
      <c r="AF65663" s="12"/>
    </row>
    <row r="65664" spans="32:32" x14ac:dyDescent="0.2">
      <c r="AF65664" s="12"/>
    </row>
    <row r="65665" spans="32:32" x14ac:dyDescent="0.2">
      <c r="AF65665" s="12"/>
    </row>
    <row r="65666" spans="32:32" x14ac:dyDescent="0.2">
      <c r="AF65666" s="12"/>
    </row>
    <row r="65667" spans="32:32" x14ac:dyDescent="0.2">
      <c r="AF65667" s="12"/>
    </row>
    <row r="65668" spans="32:32" x14ac:dyDescent="0.2">
      <c r="AF65668" s="12"/>
    </row>
    <row r="65669" spans="32:32" x14ac:dyDescent="0.2">
      <c r="AF65669" s="12"/>
    </row>
    <row r="65670" spans="32:32" x14ac:dyDescent="0.2">
      <c r="AF65670" s="12"/>
    </row>
    <row r="65671" spans="32:32" x14ac:dyDescent="0.2">
      <c r="AF65671" s="12"/>
    </row>
    <row r="65672" spans="32:32" x14ac:dyDescent="0.2">
      <c r="AF65672" s="12"/>
    </row>
    <row r="65673" spans="32:32" x14ac:dyDescent="0.2">
      <c r="AF65673" s="12"/>
    </row>
    <row r="65674" spans="32:32" x14ac:dyDescent="0.2">
      <c r="AF65674" s="12"/>
    </row>
    <row r="65675" spans="32:32" x14ac:dyDescent="0.2">
      <c r="AF65675" s="12"/>
    </row>
    <row r="65676" spans="32:32" x14ac:dyDescent="0.2">
      <c r="AF65676" s="12"/>
    </row>
    <row r="65677" spans="32:32" x14ac:dyDescent="0.2">
      <c r="AF65677" s="12"/>
    </row>
    <row r="65678" spans="32:32" x14ac:dyDescent="0.2">
      <c r="AF65678" s="12"/>
    </row>
    <row r="65679" spans="32:32" x14ac:dyDescent="0.2">
      <c r="AF65679" s="12"/>
    </row>
    <row r="65680" spans="32:32" x14ac:dyDescent="0.2">
      <c r="AF65680" s="12"/>
    </row>
    <row r="65681" spans="32:32" x14ac:dyDescent="0.2">
      <c r="AF65681" s="12"/>
    </row>
    <row r="65682" spans="32:32" x14ac:dyDescent="0.2">
      <c r="AF65682" s="12"/>
    </row>
    <row r="65683" spans="32:32" x14ac:dyDescent="0.2">
      <c r="AF65683" s="12"/>
    </row>
    <row r="65684" spans="32:32" x14ac:dyDescent="0.2">
      <c r="AF65684" s="12"/>
    </row>
    <row r="65685" spans="32:32" x14ac:dyDescent="0.2">
      <c r="AF65685" s="12"/>
    </row>
    <row r="65686" spans="32:32" x14ac:dyDescent="0.2">
      <c r="AF65686" s="12"/>
    </row>
    <row r="65687" spans="32:32" x14ac:dyDescent="0.2">
      <c r="AF65687" s="12"/>
    </row>
    <row r="65688" spans="32:32" x14ac:dyDescent="0.2">
      <c r="AF65688" s="12"/>
    </row>
    <row r="65689" spans="32:32" x14ac:dyDescent="0.2">
      <c r="AF65689" s="12"/>
    </row>
    <row r="65690" spans="32:32" x14ac:dyDescent="0.2">
      <c r="AF65690" s="12"/>
    </row>
    <row r="65691" spans="32:32" x14ac:dyDescent="0.2">
      <c r="AF65691" s="12"/>
    </row>
    <row r="65692" spans="32:32" x14ac:dyDescent="0.2">
      <c r="AF65692" s="12"/>
    </row>
    <row r="65693" spans="32:32" x14ac:dyDescent="0.2">
      <c r="AF65693" s="12"/>
    </row>
    <row r="65694" spans="32:32" x14ac:dyDescent="0.2">
      <c r="AF65694" s="12"/>
    </row>
    <row r="65695" spans="32:32" x14ac:dyDescent="0.2">
      <c r="AF65695" s="12"/>
    </row>
    <row r="65696" spans="32:32" x14ac:dyDescent="0.2">
      <c r="AF65696" s="12"/>
    </row>
    <row r="65697" spans="32:32" x14ac:dyDescent="0.2">
      <c r="AF65697" s="12"/>
    </row>
    <row r="65698" spans="32:32" x14ac:dyDescent="0.2">
      <c r="AF65698" s="12"/>
    </row>
    <row r="65699" spans="32:32" x14ac:dyDescent="0.2">
      <c r="AF65699" s="12"/>
    </row>
    <row r="65700" spans="32:32" x14ac:dyDescent="0.2">
      <c r="AF65700" s="12"/>
    </row>
    <row r="65701" spans="32:32" x14ac:dyDescent="0.2">
      <c r="AF65701" s="12"/>
    </row>
    <row r="65702" spans="32:32" x14ac:dyDescent="0.2">
      <c r="AF65702" s="12"/>
    </row>
    <row r="65703" spans="32:32" x14ac:dyDescent="0.2">
      <c r="AF65703" s="12"/>
    </row>
    <row r="65704" spans="32:32" x14ac:dyDescent="0.2">
      <c r="AF65704" s="12"/>
    </row>
    <row r="65705" spans="32:32" x14ac:dyDescent="0.2">
      <c r="AF65705" s="12"/>
    </row>
    <row r="65706" spans="32:32" x14ac:dyDescent="0.2">
      <c r="AF65706" s="12"/>
    </row>
    <row r="65707" spans="32:32" x14ac:dyDescent="0.2">
      <c r="AF65707" s="12"/>
    </row>
    <row r="65708" spans="32:32" x14ac:dyDescent="0.2">
      <c r="AF65708" s="12"/>
    </row>
    <row r="65709" spans="32:32" x14ac:dyDescent="0.2">
      <c r="AF65709" s="12"/>
    </row>
    <row r="65710" spans="32:32" x14ac:dyDescent="0.2">
      <c r="AF65710" s="12"/>
    </row>
    <row r="65711" spans="32:32" x14ac:dyDescent="0.2">
      <c r="AF65711" s="12"/>
    </row>
    <row r="65712" spans="32:32" x14ac:dyDescent="0.2">
      <c r="AF65712" s="12"/>
    </row>
    <row r="65713" spans="32:32" x14ac:dyDescent="0.2">
      <c r="AF65713" s="12"/>
    </row>
    <row r="65714" spans="32:32" x14ac:dyDescent="0.2">
      <c r="AF65714" s="12"/>
    </row>
    <row r="65715" spans="32:32" x14ac:dyDescent="0.2">
      <c r="AF65715" s="12"/>
    </row>
    <row r="65716" spans="32:32" x14ac:dyDescent="0.2">
      <c r="AF65716" s="12"/>
    </row>
    <row r="65717" spans="32:32" x14ac:dyDescent="0.2">
      <c r="AF65717" s="12"/>
    </row>
    <row r="65718" spans="32:32" x14ac:dyDescent="0.2">
      <c r="AF65718" s="12"/>
    </row>
    <row r="65719" spans="32:32" x14ac:dyDescent="0.2">
      <c r="AF65719" s="12"/>
    </row>
    <row r="65720" spans="32:32" x14ac:dyDescent="0.2">
      <c r="AF65720" s="12"/>
    </row>
    <row r="65721" spans="32:32" x14ac:dyDescent="0.2">
      <c r="AF65721" s="12"/>
    </row>
  </sheetData>
  <sheetProtection algorithmName="SHA-512" hashValue="fhg8gSbKUB5LZGf/VrlMTaDH3Sjl8nV7nkCPmLxuyICjlqDHOwWfYBRiJKXBPtWZbr2ckFjCG+4UQB2AE2gUfg==" saltValue="jkbSkkoBRaofJ4bS1k19BQ==" spinCount="100000" sheet="1" objects="1" scenarios="1" autoFilter="0"/>
  <autoFilter ref="L15:L191" xr:uid="{00000000-0001-0000-0400-000000000000}"/>
  <mergeCells count="25">
    <mergeCell ref="O207:Q207"/>
    <mergeCell ref="O15:R15"/>
    <mergeCell ref="Q194:X194"/>
    <mergeCell ref="O197:X199"/>
    <mergeCell ref="O201:X201"/>
    <mergeCell ref="O204:Q204"/>
    <mergeCell ref="O202:X202"/>
    <mergeCell ref="O4:P4"/>
    <mergeCell ref="S4:X4"/>
    <mergeCell ref="O5:P5"/>
    <mergeCell ref="S5:X5"/>
    <mergeCell ref="F8:K8"/>
    <mergeCell ref="L8:L12"/>
    <mergeCell ref="O8:P8"/>
    <mergeCell ref="S8:U8"/>
    <mergeCell ref="F9:K9"/>
    <mergeCell ref="F10:K10"/>
    <mergeCell ref="AE5:AF5"/>
    <mergeCell ref="O7:P7"/>
    <mergeCell ref="S7:U7"/>
    <mergeCell ref="AL7:AL11"/>
    <mergeCell ref="Y8:Y12"/>
    <mergeCell ref="Z8:Z12"/>
    <mergeCell ref="AA12:AB12"/>
    <mergeCell ref="AJ7:AJ11"/>
  </mergeCells>
  <phoneticPr fontId="38" type="noConversion"/>
  <conditionalFormatting sqref="M14 M189:M190 M116:M153 M170:M177 M26:M34 M36:M41 M64:M71">
    <cfRule type="cellIs" dxfId="1181" priority="44629" stopIfTrue="1" operator="notEqual">
      <formula>$N14</formula>
    </cfRule>
  </conditionalFormatting>
  <conditionalFormatting sqref="N14:O14 W14 N189:O190 W189:X190 W36:X36 N116:O153 W116:X153 W170:X177 N170:O177 W37 W67:X71 W66 W26:X34 N26:O34 W38:X41 N36:O41 W64:X65 N64:O71">
    <cfRule type="expression" dxfId="1180" priority="44630" stopIfTrue="1">
      <formula>$C14=1</formula>
    </cfRule>
    <cfRule type="expression" dxfId="1179" priority="44631" stopIfTrue="1">
      <formula>OR($C14=0,$C14=2,$C14=3,$C14=4)</formula>
    </cfRule>
  </conditionalFormatting>
  <conditionalFormatting sqref="U14:V14 U16:V190">
    <cfRule type="expression" dxfId="1178" priority="44632" stopIfTrue="1">
      <formula>$C14=1</formula>
    </cfRule>
    <cfRule type="expression" dxfId="1177" priority="44633" stopIfTrue="1">
      <formula>OR($C14=0,$C14=2,$C14=3,$C14=4)</formula>
    </cfRule>
    <cfRule type="expression" dxfId="1176" priority="44634" stopIfTrue="1">
      <formula>AND(TIPOORCAMENTO="Licitado",$C14&lt;&gt;"L",$C14&lt;&gt;-1)</formula>
    </cfRule>
  </conditionalFormatting>
  <conditionalFormatting sqref="P14:Q14 S14:T14 Y14 AG14:AH14 T189:T190 Y189:Y190 AG189:AH190 Y116:Y153 AG116:AH153 T116:T153 Y170:Y177 AG170:AH177 T170:T177 T50 Y50 AG50:AH50 T165 Y165 AG165:AH165 T58 Y58 AG58:AH58 T85 Y85 AG85:AH85 T108 Y108 AG108:AH108 T104 Y104 AG104:AH104 T62 Y62 AG62:AH62 T46 Y46 AG46:AH46 T74 Y74 AG74:AH74 T183 Y183 AG183:AH183 T185 Y185 AG185:AH185 T22 Y22 AG22:AH22 Y26:Y34 AG26:AH34 Y36:Y41 AG36:AH41 Y64:Y71 AG64:AH71 T26:T34 T36:T41 T64:T71 P16:Q190 S16:S190">
    <cfRule type="expression" dxfId="1175" priority="44635" stopIfTrue="1">
      <formula>$C14=1</formula>
    </cfRule>
    <cfRule type="expression" dxfId="1174" priority="44636" stopIfTrue="1">
      <formula>OR($C14=0,$C14=2,$C14=3,$C14=4)</formula>
    </cfRule>
  </conditionalFormatting>
  <conditionalFormatting sqref="AJ7:AJ15 AJ189:AJ191 AJ116:AJ153 AJ170:AJ177 AJ26:AJ34 AJ36:AJ41 AJ64:AJ71">
    <cfRule type="expression" dxfId="1173" priority="44637" stopIfTrue="1">
      <formula>OR(ACOMPANHAMENTO&lt;&gt;"BM",TIPOORCAMENTO="Licitado")</formula>
    </cfRule>
    <cfRule type="expression" dxfId="1172" priority="44638" stopIfTrue="1">
      <formula>$C7=1</formula>
    </cfRule>
    <cfRule type="expression" dxfId="1171" priority="44639" stopIfTrue="1">
      <formula>OR(AND(ISNUMBER($C7),$C7=0),$C7=2,$C7=3,$C7=4)</formula>
    </cfRule>
  </conditionalFormatting>
  <conditionalFormatting sqref="AL7:AL15 AL189:AL191 AL116:AL153 AL170:AL177 AL26:AL34 AL36:AL41 AL64:AL71">
    <cfRule type="expression" dxfId="1170" priority="44640" stopIfTrue="1">
      <formula>TIPOORCAMENTO="PROPOSTO"</formula>
    </cfRule>
    <cfRule type="expression" dxfId="1169" priority="44641" stopIfTrue="1">
      <formula>$C7=1</formula>
    </cfRule>
    <cfRule type="expression" dxfId="1168" priority="44642" stopIfTrue="1">
      <formula>OR(AND(ISNUMBER($C7),$C7=0),$C7=2,$C7=3,$C7=4)</formula>
    </cfRule>
  </conditionalFormatting>
  <conditionalFormatting sqref="O8:P8">
    <cfRule type="expression" dxfId="1167" priority="44646" stopIfTrue="1">
      <formula>ISERROR(INDIRECT($F$9))</formula>
    </cfRule>
  </conditionalFormatting>
  <conditionalFormatting sqref="S7:V8">
    <cfRule type="expression" dxfId="1166" priority="44647" stopIfTrue="1">
      <formula>TIPOORCAMENTO="Proposto"</formula>
    </cfRule>
  </conditionalFormatting>
  <conditionalFormatting sqref="S9:X9">
    <cfRule type="expression" dxfId="1165" priority="44594" stopIfTrue="1">
      <formula>TIPOORCAMENTO="Proposto"</formula>
    </cfRule>
  </conditionalFormatting>
  <conditionalFormatting sqref="AM7:AN15 AM189:AN191 AM116:AN153 AM170:AN177 AM26:AN34 AM36:AN41 AM64:AN71">
    <cfRule type="expression" dxfId="1164" priority="44643" stopIfTrue="1">
      <formula>TIPOORCAMENTO="PROPOSTO"</formula>
    </cfRule>
    <cfRule type="expression" dxfId="1163" priority="44644" stopIfTrue="1">
      <formula>$C7=1</formula>
    </cfRule>
    <cfRule type="expression" dxfId="1162" priority="44645" stopIfTrue="1">
      <formula>OR(AND(ISNUMBER($C7),$C7=0),$C7=2,$C7=3,$C7=4)</formula>
    </cfRule>
  </conditionalFormatting>
  <conditionalFormatting sqref="X14">
    <cfRule type="expression" dxfId="1161" priority="30219" stopIfTrue="1">
      <formula>$C14=1</formula>
    </cfRule>
    <cfRule type="expression" dxfId="1160" priority="30220" stopIfTrue="1">
      <formula>OR($C14=0,$C14=2,$C14=3,$C14=4)</formula>
    </cfRule>
  </conditionalFormatting>
  <conditionalFormatting sqref="AC11">
    <cfRule type="cellIs" dxfId="1159" priority="21054" operator="equal">
      <formula>"OK"</formula>
    </cfRule>
  </conditionalFormatting>
  <conditionalFormatting sqref="R14">
    <cfRule type="expression" dxfId="1158" priority="5986" stopIfTrue="1">
      <formula>$C14=1</formula>
    </cfRule>
    <cfRule type="expression" dxfId="1157" priority="5987" stopIfTrue="1">
      <formula>OR($C14=0,$C14=2,$C14=3,$C14=4)</formula>
    </cfRule>
  </conditionalFormatting>
  <conditionalFormatting sqref="R14 R16:R190">
    <cfRule type="beginsWith" dxfId="1156" priority="5985" operator="beginsWith" text="(">
      <formula>LEFT(R14,LEN("("))="("</formula>
    </cfRule>
  </conditionalFormatting>
  <conditionalFormatting sqref="M16:M21 M23:M25">
    <cfRule type="cellIs" dxfId="1155" priority="1428" stopIfTrue="1" operator="notEqual">
      <formula>$N16</formula>
    </cfRule>
  </conditionalFormatting>
  <conditionalFormatting sqref="N16:O21 W16:W21 W23:W25 N23:O25">
    <cfRule type="expression" dxfId="1154" priority="1429" stopIfTrue="1">
      <formula>$C16=1</formula>
    </cfRule>
    <cfRule type="expression" dxfId="1153" priority="1430" stopIfTrue="1">
      <formula>OR($C16=0,$C16=2,$C16=3,$C16=4)</formula>
    </cfRule>
  </conditionalFormatting>
  <conditionalFormatting sqref="Y16:Y21 AG16:AH21 T16:T21 T23:T25 AG23:AH25 Y23:Y25">
    <cfRule type="expression" dxfId="1152" priority="1434" stopIfTrue="1">
      <formula>$C16=1</formula>
    </cfRule>
    <cfRule type="expression" dxfId="1151" priority="1435" stopIfTrue="1">
      <formula>OR($C16=0,$C16=2,$C16=3,$C16=4)</formula>
    </cfRule>
  </conditionalFormatting>
  <conditionalFormatting sqref="AJ16:AJ21 AJ23:AJ25">
    <cfRule type="expression" dxfId="1150" priority="1436" stopIfTrue="1">
      <formula>OR(ACOMPANHAMENTO&lt;&gt;"BM",TIPOORCAMENTO="Licitado")</formula>
    </cfRule>
    <cfRule type="expression" dxfId="1149" priority="1437" stopIfTrue="1">
      <formula>$C16=1</formula>
    </cfRule>
    <cfRule type="expression" dxfId="1148" priority="1438" stopIfTrue="1">
      <formula>OR(AND(ISNUMBER($C16),$C16=0),$C16=2,$C16=3,$C16=4)</formula>
    </cfRule>
  </conditionalFormatting>
  <conditionalFormatting sqref="AL16:AL21 AL23:AL25">
    <cfRule type="expression" dxfId="1147" priority="1439" stopIfTrue="1">
      <formula>TIPOORCAMENTO="PROPOSTO"</formula>
    </cfRule>
    <cfRule type="expression" dxfId="1146" priority="1440" stopIfTrue="1">
      <formula>$C16=1</formula>
    </cfRule>
    <cfRule type="expression" dxfId="1145" priority="1441" stopIfTrue="1">
      <formula>OR(AND(ISNUMBER($C16),$C16=0),$C16=2,$C16=3,$C16=4)</formula>
    </cfRule>
  </conditionalFormatting>
  <conditionalFormatting sqref="AM16:AN21 AM23:AN25">
    <cfRule type="expression" dxfId="1144" priority="1442" stopIfTrue="1">
      <formula>TIPOORCAMENTO="PROPOSTO"</formula>
    </cfRule>
    <cfRule type="expression" dxfId="1143" priority="1443" stopIfTrue="1">
      <formula>$C16=1</formula>
    </cfRule>
    <cfRule type="expression" dxfId="1142" priority="1444" stopIfTrue="1">
      <formula>OR(AND(ISNUMBER($C16),$C16=0),$C16=2,$C16=3,$C16=4)</formula>
    </cfRule>
  </conditionalFormatting>
  <conditionalFormatting sqref="X16:X21 X23:X25">
    <cfRule type="expression" dxfId="1141" priority="1426" stopIfTrue="1">
      <formula>$C16=1</formula>
    </cfRule>
    <cfRule type="expression" dxfId="1140" priority="1427" stopIfTrue="1">
      <formula>OR($C16=0,$C16=2,$C16=3,$C16=4)</formula>
    </cfRule>
  </conditionalFormatting>
  <conditionalFormatting sqref="M42:M45 M51:M52 M47:M49">
    <cfRule type="cellIs" dxfId="1139" priority="1340" stopIfTrue="1" operator="notEqual">
      <formula>$N42</formula>
    </cfRule>
  </conditionalFormatting>
  <conditionalFormatting sqref="N42:O45 W42:W45 W51:W52 N51:O52 N47:O49 W47:W49">
    <cfRule type="expression" dxfId="1138" priority="1341" stopIfTrue="1">
      <formula>$C42=1</formula>
    </cfRule>
    <cfRule type="expression" dxfId="1137" priority="1342" stopIfTrue="1">
      <formula>OR($C42=0,$C42=2,$C42=3,$C42=4)</formula>
    </cfRule>
  </conditionalFormatting>
  <conditionalFormatting sqref="Y42:Y45 AG42:AH45 T42:T45 T51:T52 AG51:AH52 Y51:Y52 Y47:Y49 AG47:AH49 T47:T49">
    <cfRule type="expression" dxfId="1136" priority="1346" stopIfTrue="1">
      <formula>$C42=1</formula>
    </cfRule>
    <cfRule type="expression" dxfId="1135" priority="1347" stopIfTrue="1">
      <formula>OR($C42=0,$C42=2,$C42=3,$C42=4)</formula>
    </cfRule>
  </conditionalFormatting>
  <conditionalFormatting sqref="AJ42:AJ45 AJ51:AJ52 AJ47:AJ49">
    <cfRule type="expression" dxfId="1134" priority="1348" stopIfTrue="1">
      <formula>OR(ACOMPANHAMENTO&lt;&gt;"BM",TIPOORCAMENTO="Licitado")</formula>
    </cfRule>
    <cfRule type="expression" dxfId="1133" priority="1349" stopIfTrue="1">
      <formula>$C42=1</formula>
    </cfRule>
    <cfRule type="expression" dxfId="1132" priority="1350" stopIfTrue="1">
      <formula>OR(AND(ISNUMBER($C42),$C42=0),$C42=2,$C42=3,$C42=4)</formula>
    </cfRule>
  </conditionalFormatting>
  <conditionalFormatting sqref="AL42:AL45 AL51:AL52 AL47:AL49">
    <cfRule type="expression" dxfId="1131" priority="1351" stopIfTrue="1">
      <formula>TIPOORCAMENTO="PROPOSTO"</formula>
    </cfRule>
    <cfRule type="expression" dxfId="1130" priority="1352" stopIfTrue="1">
      <formula>$C42=1</formula>
    </cfRule>
    <cfRule type="expression" dxfId="1129" priority="1353" stopIfTrue="1">
      <formula>OR(AND(ISNUMBER($C42),$C42=0),$C42=2,$C42=3,$C42=4)</formula>
    </cfRule>
  </conditionalFormatting>
  <conditionalFormatting sqref="AM42:AN45 AM51:AN52 AM47:AN49">
    <cfRule type="expression" dxfId="1128" priority="1354" stopIfTrue="1">
      <formula>TIPOORCAMENTO="PROPOSTO"</formula>
    </cfRule>
    <cfRule type="expression" dxfId="1127" priority="1355" stopIfTrue="1">
      <formula>$C42=1</formula>
    </cfRule>
    <cfRule type="expression" dxfId="1126" priority="1356" stopIfTrue="1">
      <formula>OR(AND(ISNUMBER($C42),$C42=0),$C42=2,$C42=3,$C42=4)</formula>
    </cfRule>
  </conditionalFormatting>
  <conditionalFormatting sqref="X42:X45 X51:X52 X47:X49">
    <cfRule type="expression" dxfId="1125" priority="1338" stopIfTrue="1">
      <formula>$C42=1</formula>
    </cfRule>
    <cfRule type="expression" dxfId="1124" priority="1339" stopIfTrue="1">
      <formula>OR($C42=0,$C42=2,$C42=3,$C42=4)</formula>
    </cfRule>
  </conditionalFormatting>
  <conditionalFormatting sqref="M53:M57 M59:M61 M63">
    <cfRule type="cellIs" dxfId="1123" priority="1318" stopIfTrue="1" operator="notEqual">
      <formula>$N53</formula>
    </cfRule>
  </conditionalFormatting>
  <conditionalFormatting sqref="N53:O57 W53:W57 W59:W61 N59:O61 N63:O63 W63">
    <cfRule type="expression" dxfId="1122" priority="1319" stopIfTrue="1">
      <formula>$C53=1</formula>
    </cfRule>
    <cfRule type="expression" dxfId="1121" priority="1320" stopIfTrue="1">
      <formula>OR($C53=0,$C53=2,$C53=3,$C53=4)</formula>
    </cfRule>
  </conditionalFormatting>
  <conditionalFormatting sqref="T53:T57 Y53:Y57 AG53:AH57 AG59:AH61 Y59:Y61 T59:T61 T63 Y63 AG63:AH63">
    <cfRule type="expression" dxfId="1120" priority="1324" stopIfTrue="1">
      <formula>$C53=1</formula>
    </cfRule>
    <cfRule type="expression" dxfId="1119" priority="1325" stopIfTrue="1">
      <formula>OR($C53=0,$C53=2,$C53=3,$C53=4)</formula>
    </cfRule>
  </conditionalFormatting>
  <conditionalFormatting sqref="AJ53:AJ57 AJ59:AJ61 AJ63">
    <cfRule type="expression" dxfId="1118" priority="1326" stopIfTrue="1">
      <formula>OR(ACOMPANHAMENTO&lt;&gt;"BM",TIPOORCAMENTO="Licitado")</formula>
    </cfRule>
    <cfRule type="expression" dxfId="1117" priority="1327" stopIfTrue="1">
      <formula>$C53=1</formula>
    </cfRule>
    <cfRule type="expression" dxfId="1116" priority="1328" stopIfTrue="1">
      <formula>OR(AND(ISNUMBER($C53),$C53=0),$C53=2,$C53=3,$C53=4)</formula>
    </cfRule>
  </conditionalFormatting>
  <conditionalFormatting sqref="AL53:AL57 AL59:AL61 AL63">
    <cfRule type="expression" dxfId="1115" priority="1329" stopIfTrue="1">
      <formula>TIPOORCAMENTO="PROPOSTO"</formula>
    </cfRule>
    <cfRule type="expression" dxfId="1114" priority="1330" stopIfTrue="1">
      <formula>$C53=1</formula>
    </cfRule>
    <cfRule type="expression" dxfId="1113" priority="1331" stopIfTrue="1">
      <formula>OR(AND(ISNUMBER($C53),$C53=0),$C53=2,$C53=3,$C53=4)</formula>
    </cfRule>
  </conditionalFormatting>
  <conditionalFormatting sqref="AM53:AN57 AM59:AN61 AM63:AN63">
    <cfRule type="expression" dxfId="1112" priority="1332" stopIfTrue="1">
      <formula>TIPOORCAMENTO="PROPOSTO"</formula>
    </cfRule>
    <cfRule type="expression" dxfId="1111" priority="1333" stopIfTrue="1">
      <formula>$C53=1</formula>
    </cfRule>
    <cfRule type="expression" dxfId="1110" priority="1334" stopIfTrue="1">
      <formula>OR(AND(ISNUMBER($C53),$C53=0),$C53=2,$C53=3,$C53=4)</formula>
    </cfRule>
  </conditionalFormatting>
  <conditionalFormatting sqref="X53:X57 X59:X61 X63">
    <cfRule type="expression" dxfId="1109" priority="1316" stopIfTrue="1">
      <formula>$C53=1</formula>
    </cfRule>
    <cfRule type="expression" dxfId="1108" priority="1317" stopIfTrue="1">
      <formula>OR($C53=0,$C53=2,$C53=3,$C53=4)</formula>
    </cfRule>
  </conditionalFormatting>
  <conditionalFormatting sqref="M72:M73 M76:M79 M83:M84 M86">
    <cfRule type="cellIs" dxfId="1107" priority="1274" stopIfTrue="1" operator="notEqual">
      <formula>$N72</formula>
    </cfRule>
  </conditionalFormatting>
  <conditionalFormatting sqref="N72:O73 W72:W73 W76:W79 N76:O79 N83:O84 W83:W84 W86 N86:O86">
    <cfRule type="expression" dxfId="1106" priority="1275" stopIfTrue="1">
      <formula>$C72=1</formula>
    </cfRule>
    <cfRule type="expression" dxfId="1105" priority="1276" stopIfTrue="1">
      <formula>OR($C72=0,$C72=2,$C72=3,$C72=4)</formula>
    </cfRule>
  </conditionalFormatting>
  <conditionalFormatting sqref="Y72:Y73 AG72:AH73 T72:T73 T76:T79 AG76:AH79 Y76:Y79 Y83:Y84 AG83:AH84 T83:T84 T86 AG86:AH86 Y86">
    <cfRule type="expression" dxfId="1104" priority="1280" stopIfTrue="1">
      <formula>$C72=1</formula>
    </cfRule>
    <cfRule type="expression" dxfId="1103" priority="1281" stopIfTrue="1">
      <formula>OR($C72=0,$C72=2,$C72=3,$C72=4)</formula>
    </cfRule>
  </conditionalFormatting>
  <conditionalFormatting sqref="AJ72:AJ73 AJ76:AJ79 AJ83:AJ84 AJ86">
    <cfRule type="expression" dxfId="1102" priority="1282" stopIfTrue="1">
      <formula>OR(ACOMPANHAMENTO&lt;&gt;"BM",TIPOORCAMENTO="Licitado")</formula>
    </cfRule>
    <cfRule type="expression" dxfId="1101" priority="1283" stopIfTrue="1">
      <formula>$C72=1</formula>
    </cfRule>
    <cfRule type="expression" dxfId="1100" priority="1284" stopIfTrue="1">
      <formula>OR(AND(ISNUMBER($C72),$C72=0),$C72=2,$C72=3,$C72=4)</formula>
    </cfRule>
  </conditionalFormatting>
  <conditionalFormatting sqref="AL72:AL73 AL76:AL79 AL83:AL84 AL86">
    <cfRule type="expression" dxfId="1099" priority="1285" stopIfTrue="1">
      <formula>TIPOORCAMENTO="PROPOSTO"</formula>
    </cfRule>
    <cfRule type="expression" dxfId="1098" priority="1286" stopIfTrue="1">
      <formula>$C72=1</formula>
    </cfRule>
    <cfRule type="expression" dxfId="1097" priority="1287" stopIfTrue="1">
      <formula>OR(AND(ISNUMBER($C72),$C72=0),$C72=2,$C72=3,$C72=4)</formula>
    </cfRule>
  </conditionalFormatting>
  <conditionalFormatting sqref="AM72:AN73 AM76:AN79 AM83:AN84 AM86:AN86">
    <cfRule type="expression" dxfId="1096" priority="1288" stopIfTrue="1">
      <formula>TIPOORCAMENTO="PROPOSTO"</formula>
    </cfRule>
    <cfRule type="expression" dxfId="1095" priority="1289" stopIfTrue="1">
      <formula>$C72=1</formula>
    </cfRule>
    <cfRule type="expression" dxfId="1094" priority="1290" stopIfTrue="1">
      <formula>OR(AND(ISNUMBER($C72),$C72=0),$C72=2,$C72=3,$C72=4)</formula>
    </cfRule>
  </conditionalFormatting>
  <conditionalFormatting sqref="X72:X73 X76:X79 X83:X84 X86">
    <cfRule type="expression" dxfId="1093" priority="1272" stopIfTrue="1">
      <formula>$C72=1</formula>
    </cfRule>
    <cfRule type="expression" dxfId="1092" priority="1273" stopIfTrue="1">
      <formula>OR($C72=0,$C72=2,$C72=3,$C72=4)</formula>
    </cfRule>
  </conditionalFormatting>
  <conditionalFormatting sqref="M87:M95">
    <cfRule type="cellIs" dxfId="1091" priority="1252" stopIfTrue="1" operator="notEqual">
      <formula>$N87</formula>
    </cfRule>
  </conditionalFormatting>
  <conditionalFormatting sqref="W87:W95 N87:O95">
    <cfRule type="expression" dxfId="1090" priority="1253" stopIfTrue="1">
      <formula>$C87=1</formula>
    </cfRule>
    <cfRule type="expression" dxfId="1089" priority="1254" stopIfTrue="1">
      <formula>OR($C87=0,$C87=2,$C87=3,$C87=4)</formula>
    </cfRule>
  </conditionalFormatting>
  <conditionalFormatting sqref="T87:T95 AG87:AH95 Y87:Y95">
    <cfRule type="expression" dxfId="1088" priority="1258" stopIfTrue="1">
      <formula>$C87=1</formula>
    </cfRule>
    <cfRule type="expression" dxfId="1087" priority="1259" stopIfTrue="1">
      <formula>OR($C87=0,$C87=2,$C87=3,$C87=4)</formula>
    </cfRule>
  </conditionalFormatting>
  <conditionalFormatting sqref="AJ87:AJ95">
    <cfRule type="expression" dxfId="1086" priority="1260" stopIfTrue="1">
      <formula>OR(ACOMPANHAMENTO&lt;&gt;"BM",TIPOORCAMENTO="Licitado")</formula>
    </cfRule>
    <cfRule type="expression" dxfId="1085" priority="1261" stopIfTrue="1">
      <formula>$C87=1</formula>
    </cfRule>
    <cfRule type="expression" dxfId="1084" priority="1262" stopIfTrue="1">
      <formula>OR(AND(ISNUMBER($C87),$C87=0),$C87=2,$C87=3,$C87=4)</formula>
    </cfRule>
  </conditionalFormatting>
  <conditionalFormatting sqref="AL87:AL95">
    <cfRule type="expression" dxfId="1083" priority="1263" stopIfTrue="1">
      <formula>TIPOORCAMENTO="PROPOSTO"</formula>
    </cfRule>
    <cfRule type="expression" dxfId="1082" priority="1264" stopIfTrue="1">
      <formula>$C87=1</formula>
    </cfRule>
    <cfRule type="expression" dxfId="1081" priority="1265" stopIfTrue="1">
      <formula>OR(AND(ISNUMBER($C87),$C87=0),$C87=2,$C87=3,$C87=4)</formula>
    </cfRule>
  </conditionalFormatting>
  <conditionalFormatting sqref="AM87:AN95">
    <cfRule type="expression" dxfId="1080" priority="1266" stopIfTrue="1">
      <formula>TIPOORCAMENTO="PROPOSTO"</formula>
    </cfRule>
    <cfRule type="expression" dxfId="1079" priority="1267" stopIfTrue="1">
      <formula>$C87=1</formula>
    </cfRule>
    <cfRule type="expression" dxfId="1078" priority="1268" stopIfTrue="1">
      <formula>OR(AND(ISNUMBER($C87),$C87=0),$C87=2,$C87=3,$C87=4)</formula>
    </cfRule>
  </conditionalFormatting>
  <conditionalFormatting sqref="X87:X95">
    <cfRule type="expression" dxfId="1077" priority="1250" stopIfTrue="1">
      <formula>$C87=1</formula>
    </cfRule>
    <cfRule type="expression" dxfId="1076" priority="1251" stopIfTrue="1">
      <formula>OR($C87=0,$C87=2,$C87=3,$C87=4)</formula>
    </cfRule>
  </conditionalFormatting>
  <conditionalFormatting sqref="M96:M103 M105">
    <cfRule type="cellIs" dxfId="1075" priority="1230" stopIfTrue="1" operator="notEqual">
      <formula>$N96</formula>
    </cfRule>
  </conditionalFormatting>
  <conditionalFormatting sqref="N96:O103 W96:W103 W105 N105:O105">
    <cfRule type="expression" dxfId="1074" priority="1231" stopIfTrue="1">
      <formula>$C96=1</formula>
    </cfRule>
    <cfRule type="expression" dxfId="1073" priority="1232" stopIfTrue="1">
      <formula>OR($C96=0,$C96=2,$C96=3,$C96=4)</formula>
    </cfRule>
  </conditionalFormatting>
  <conditionalFormatting sqref="Y96:Y103 AG96:AH103 T96:T103 T105 AG105:AH105 Y105">
    <cfRule type="expression" dxfId="1072" priority="1236" stopIfTrue="1">
      <formula>$C96=1</formula>
    </cfRule>
    <cfRule type="expression" dxfId="1071" priority="1237" stopIfTrue="1">
      <formula>OR($C96=0,$C96=2,$C96=3,$C96=4)</formula>
    </cfRule>
  </conditionalFormatting>
  <conditionalFormatting sqref="AJ96:AJ103 AJ105">
    <cfRule type="expression" dxfId="1070" priority="1238" stopIfTrue="1">
      <formula>OR(ACOMPANHAMENTO&lt;&gt;"BM",TIPOORCAMENTO="Licitado")</formula>
    </cfRule>
    <cfRule type="expression" dxfId="1069" priority="1239" stopIfTrue="1">
      <formula>$C96=1</formula>
    </cfRule>
    <cfRule type="expression" dxfId="1068" priority="1240" stopIfTrue="1">
      <formula>OR(AND(ISNUMBER($C96),$C96=0),$C96=2,$C96=3,$C96=4)</formula>
    </cfRule>
  </conditionalFormatting>
  <conditionalFormatting sqref="AL96:AL103 AL105">
    <cfRule type="expression" dxfId="1067" priority="1241" stopIfTrue="1">
      <formula>TIPOORCAMENTO="PROPOSTO"</formula>
    </cfRule>
    <cfRule type="expression" dxfId="1066" priority="1242" stopIfTrue="1">
      <formula>$C96=1</formula>
    </cfRule>
    <cfRule type="expression" dxfId="1065" priority="1243" stopIfTrue="1">
      <formula>OR(AND(ISNUMBER($C96),$C96=0),$C96=2,$C96=3,$C96=4)</formula>
    </cfRule>
  </conditionalFormatting>
  <conditionalFormatting sqref="AM96:AN103 AM105:AN105">
    <cfRule type="expression" dxfId="1064" priority="1244" stopIfTrue="1">
      <formula>TIPOORCAMENTO="PROPOSTO"</formula>
    </cfRule>
    <cfRule type="expression" dxfId="1063" priority="1245" stopIfTrue="1">
      <formula>$C96=1</formula>
    </cfRule>
    <cfRule type="expression" dxfId="1062" priority="1246" stopIfTrue="1">
      <formula>OR(AND(ISNUMBER($C96),$C96=0),$C96=2,$C96=3,$C96=4)</formula>
    </cfRule>
  </conditionalFormatting>
  <conditionalFormatting sqref="X96:X103 X105">
    <cfRule type="expression" dxfId="1061" priority="1228" stopIfTrue="1">
      <formula>$C96=1</formula>
    </cfRule>
    <cfRule type="expression" dxfId="1060" priority="1229" stopIfTrue="1">
      <formula>OR($C96=0,$C96=2,$C96=3,$C96=4)</formula>
    </cfRule>
  </conditionalFormatting>
  <conditionalFormatting sqref="M106:M107 M109:M115">
    <cfRule type="cellIs" dxfId="1059" priority="1208" stopIfTrue="1" operator="notEqual">
      <formula>$N106</formula>
    </cfRule>
  </conditionalFormatting>
  <conditionalFormatting sqref="N106:O107 W106:W107 W109:W115 N109:O115">
    <cfRule type="expression" dxfId="1058" priority="1209" stopIfTrue="1">
      <formula>$C106=1</formula>
    </cfRule>
    <cfRule type="expression" dxfId="1057" priority="1210" stopIfTrue="1">
      <formula>OR($C106=0,$C106=2,$C106=3,$C106=4)</formula>
    </cfRule>
  </conditionalFormatting>
  <conditionalFormatting sqref="Y106:Y107 AG106:AH107 T106:T107 T109:T115 AG109:AH115 Y109:Y115">
    <cfRule type="expression" dxfId="1056" priority="1214" stopIfTrue="1">
      <formula>$C106=1</formula>
    </cfRule>
    <cfRule type="expression" dxfId="1055" priority="1215" stopIfTrue="1">
      <formula>OR($C106=0,$C106=2,$C106=3,$C106=4)</formula>
    </cfRule>
  </conditionalFormatting>
  <conditionalFormatting sqref="AJ106:AJ107 AJ109:AJ115">
    <cfRule type="expression" dxfId="1054" priority="1216" stopIfTrue="1">
      <formula>OR(ACOMPANHAMENTO&lt;&gt;"BM",TIPOORCAMENTO="Licitado")</formula>
    </cfRule>
    <cfRule type="expression" dxfId="1053" priority="1217" stopIfTrue="1">
      <formula>$C106=1</formula>
    </cfRule>
    <cfRule type="expression" dxfId="1052" priority="1218" stopIfTrue="1">
      <formula>OR(AND(ISNUMBER($C106),$C106=0),$C106=2,$C106=3,$C106=4)</formula>
    </cfRule>
  </conditionalFormatting>
  <conditionalFormatting sqref="AL106:AL107 AL109:AL115">
    <cfRule type="expression" dxfId="1051" priority="1219" stopIfTrue="1">
      <formula>TIPOORCAMENTO="PROPOSTO"</formula>
    </cfRule>
    <cfRule type="expression" dxfId="1050" priority="1220" stopIfTrue="1">
      <formula>$C106=1</formula>
    </cfRule>
    <cfRule type="expression" dxfId="1049" priority="1221" stopIfTrue="1">
      <formula>OR(AND(ISNUMBER($C106),$C106=0),$C106=2,$C106=3,$C106=4)</formula>
    </cfRule>
  </conditionalFormatting>
  <conditionalFormatting sqref="AM106:AN107 AM109:AN115">
    <cfRule type="expression" dxfId="1048" priority="1222" stopIfTrue="1">
      <formula>TIPOORCAMENTO="PROPOSTO"</formula>
    </cfRule>
    <cfRule type="expression" dxfId="1047" priority="1223" stopIfTrue="1">
      <formula>$C106=1</formula>
    </cfRule>
    <cfRule type="expression" dxfId="1046" priority="1224" stopIfTrue="1">
      <formula>OR(AND(ISNUMBER($C106),$C106=0),$C106=2,$C106=3,$C106=4)</formula>
    </cfRule>
  </conditionalFormatting>
  <conditionalFormatting sqref="X106:X107 X109:X115">
    <cfRule type="expression" dxfId="1045" priority="1206" stopIfTrue="1">
      <formula>$C106=1</formula>
    </cfRule>
    <cfRule type="expression" dxfId="1044" priority="1207" stopIfTrue="1">
      <formula>OR($C106=0,$C106=2,$C106=3,$C106=4)</formula>
    </cfRule>
  </conditionalFormatting>
  <conditionalFormatting sqref="M154:M162">
    <cfRule type="cellIs" dxfId="1043" priority="1076" stopIfTrue="1" operator="notEqual">
      <formula>$N154</formula>
    </cfRule>
  </conditionalFormatting>
  <conditionalFormatting sqref="N154:O162 W154:W162">
    <cfRule type="expression" dxfId="1042" priority="1077" stopIfTrue="1">
      <formula>$C154=1</formula>
    </cfRule>
    <cfRule type="expression" dxfId="1041" priority="1078" stopIfTrue="1">
      <formula>OR($C154=0,$C154=2,$C154=3,$C154=4)</formula>
    </cfRule>
  </conditionalFormatting>
  <conditionalFormatting sqref="Y154:Y162 AG154:AH162 T154:T162">
    <cfRule type="expression" dxfId="1040" priority="1082" stopIfTrue="1">
      <formula>$C154=1</formula>
    </cfRule>
    <cfRule type="expression" dxfId="1039" priority="1083" stopIfTrue="1">
      <formula>OR($C154=0,$C154=2,$C154=3,$C154=4)</formula>
    </cfRule>
  </conditionalFormatting>
  <conditionalFormatting sqref="AJ154:AJ162">
    <cfRule type="expression" dxfId="1038" priority="1084" stopIfTrue="1">
      <formula>OR(ACOMPANHAMENTO&lt;&gt;"BM",TIPOORCAMENTO="Licitado")</formula>
    </cfRule>
    <cfRule type="expression" dxfId="1037" priority="1085" stopIfTrue="1">
      <formula>$C154=1</formula>
    </cfRule>
    <cfRule type="expression" dxfId="1036" priority="1086" stopIfTrue="1">
      <formula>OR(AND(ISNUMBER($C154),$C154=0),$C154=2,$C154=3,$C154=4)</formula>
    </cfRule>
  </conditionalFormatting>
  <conditionalFormatting sqref="AL154:AL162">
    <cfRule type="expression" dxfId="1035" priority="1087" stopIfTrue="1">
      <formula>TIPOORCAMENTO="PROPOSTO"</formula>
    </cfRule>
    <cfRule type="expression" dxfId="1034" priority="1088" stopIfTrue="1">
      <formula>$C154=1</formula>
    </cfRule>
    <cfRule type="expression" dxfId="1033" priority="1089" stopIfTrue="1">
      <formula>OR(AND(ISNUMBER($C154),$C154=0),$C154=2,$C154=3,$C154=4)</formula>
    </cfRule>
  </conditionalFormatting>
  <conditionalFormatting sqref="AM154:AN162">
    <cfRule type="expression" dxfId="1032" priority="1090" stopIfTrue="1">
      <formula>TIPOORCAMENTO="PROPOSTO"</formula>
    </cfRule>
    <cfRule type="expression" dxfId="1031" priority="1091" stopIfTrue="1">
      <formula>$C154=1</formula>
    </cfRule>
    <cfRule type="expression" dxfId="1030" priority="1092" stopIfTrue="1">
      <formula>OR(AND(ISNUMBER($C154),$C154=0),$C154=2,$C154=3,$C154=4)</formula>
    </cfRule>
  </conditionalFormatting>
  <conditionalFormatting sqref="X154:X162">
    <cfRule type="expression" dxfId="1029" priority="1074" stopIfTrue="1">
      <formula>$C154=1</formula>
    </cfRule>
    <cfRule type="expression" dxfId="1028" priority="1075" stopIfTrue="1">
      <formula>OR($C154=0,$C154=2,$C154=3,$C154=4)</formula>
    </cfRule>
  </conditionalFormatting>
  <conditionalFormatting sqref="M163:M164 M166:M168">
    <cfRule type="cellIs" dxfId="1027" priority="1054" stopIfTrue="1" operator="notEqual">
      <formula>$N163</formula>
    </cfRule>
  </conditionalFormatting>
  <conditionalFormatting sqref="W163:W164 N163:O164 N166:O168 W166:W168">
    <cfRule type="expression" dxfId="1026" priority="1055" stopIfTrue="1">
      <formula>$C163=1</formula>
    </cfRule>
    <cfRule type="expression" dxfId="1025" priority="1056" stopIfTrue="1">
      <formula>OR($C163=0,$C163=2,$C163=3,$C163=4)</formula>
    </cfRule>
  </conditionalFormatting>
  <conditionalFormatting sqref="T163:T164 AG163:AH164 Y163:Y164 Y166:Y168 AG166:AH168 T166:T168">
    <cfRule type="expression" dxfId="1024" priority="1060" stopIfTrue="1">
      <formula>$C163=1</formula>
    </cfRule>
    <cfRule type="expression" dxfId="1023" priority="1061" stopIfTrue="1">
      <formula>OR($C163=0,$C163=2,$C163=3,$C163=4)</formula>
    </cfRule>
  </conditionalFormatting>
  <conditionalFormatting sqref="AJ163:AJ164 AJ166:AJ168">
    <cfRule type="expression" dxfId="1022" priority="1062" stopIfTrue="1">
      <formula>OR(ACOMPANHAMENTO&lt;&gt;"BM",TIPOORCAMENTO="Licitado")</formula>
    </cfRule>
    <cfRule type="expression" dxfId="1021" priority="1063" stopIfTrue="1">
      <formula>$C163=1</formula>
    </cfRule>
    <cfRule type="expression" dxfId="1020" priority="1064" stopIfTrue="1">
      <formula>OR(AND(ISNUMBER($C163),$C163=0),$C163=2,$C163=3,$C163=4)</formula>
    </cfRule>
  </conditionalFormatting>
  <conditionalFormatting sqref="AL163:AL164 AL166:AL168">
    <cfRule type="expression" dxfId="1019" priority="1065" stopIfTrue="1">
      <formula>TIPOORCAMENTO="PROPOSTO"</formula>
    </cfRule>
    <cfRule type="expression" dxfId="1018" priority="1066" stopIfTrue="1">
      <formula>$C163=1</formula>
    </cfRule>
    <cfRule type="expression" dxfId="1017" priority="1067" stopIfTrue="1">
      <formula>OR(AND(ISNUMBER($C163),$C163=0),$C163=2,$C163=3,$C163=4)</formula>
    </cfRule>
  </conditionalFormatting>
  <conditionalFormatting sqref="AM163:AN164 AM166:AN168">
    <cfRule type="expression" dxfId="1016" priority="1068" stopIfTrue="1">
      <formula>TIPOORCAMENTO="PROPOSTO"</formula>
    </cfRule>
    <cfRule type="expression" dxfId="1015" priority="1069" stopIfTrue="1">
      <formula>$C163=1</formula>
    </cfRule>
    <cfRule type="expression" dxfId="1014" priority="1070" stopIfTrue="1">
      <formula>OR(AND(ISNUMBER($C163),$C163=0),$C163=2,$C163=3,$C163=4)</formula>
    </cfRule>
  </conditionalFormatting>
  <conditionalFormatting sqref="X163:X164 X166:X168">
    <cfRule type="expression" dxfId="1013" priority="1052" stopIfTrue="1">
      <formula>$C163=1</formula>
    </cfRule>
    <cfRule type="expression" dxfId="1012" priority="1053" stopIfTrue="1">
      <formula>OR($C163=0,$C163=2,$C163=3,$C163=4)</formula>
    </cfRule>
  </conditionalFormatting>
  <conditionalFormatting sqref="M178:M182 M184 M186:M188">
    <cfRule type="cellIs" dxfId="1011" priority="1010" stopIfTrue="1" operator="notEqual">
      <formula>$N178</formula>
    </cfRule>
  </conditionalFormatting>
  <conditionalFormatting sqref="N178:O182 W178:W182 W184 N184:O184 N186:O188 W186:W188">
    <cfRule type="expression" dxfId="1010" priority="1011" stopIfTrue="1">
      <formula>$C178=1</formula>
    </cfRule>
    <cfRule type="expression" dxfId="1009" priority="1012" stopIfTrue="1">
      <formula>OR($C178=0,$C178=2,$C178=3,$C178=4)</formula>
    </cfRule>
  </conditionalFormatting>
  <conditionalFormatting sqref="Y178:Y182 AG178:AH182 T178:T182 T184 AG184:AH184 Y184 Y186:Y188 AG186:AH188 T186:T188">
    <cfRule type="expression" dxfId="1008" priority="1016" stopIfTrue="1">
      <formula>$C178=1</formula>
    </cfRule>
    <cfRule type="expression" dxfId="1007" priority="1017" stopIfTrue="1">
      <formula>OR($C178=0,$C178=2,$C178=3,$C178=4)</formula>
    </cfRule>
  </conditionalFormatting>
  <conditionalFormatting sqref="AJ178:AJ182 AJ184 AJ186:AJ188">
    <cfRule type="expression" dxfId="1006" priority="1018" stopIfTrue="1">
      <formula>OR(ACOMPANHAMENTO&lt;&gt;"BM",TIPOORCAMENTO="Licitado")</formula>
    </cfRule>
    <cfRule type="expression" dxfId="1005" priority="1019" stopIfTrue="1">
      <formula>$C178=1</formula>
    </cfRule>
    <cfRule type="expression" dxfId="1004" priority="1020" stopIfTrue="1">
      <formula>OR(AND(ISNUMBER($C178),$C178=0),$C178=2,$C178=3,$C178=4)</formula>
    </cfRule>
  </conditionalFormatting>
  <conditionalFormatting sqref="AL178:AL182 AL184 AL186:AL188">
    <cfRule type="expression" dxfId="1003" priority="1021" stopIfTrue="1">
      <formula>TIPOORCAMENTO="PROPOSTO"</formula>
    </cfRule>
    <cfRule type="expression" dxfId="1002" priority="1022" stopIfTrue="1">
      <formula>$C178=1</formula>
    </cfRule>
    <cfRule type="expression" dxfId="1001" priority="1023" stopIfTrue="1">
      <formula>OR(AND(ISNUMBER($C178),$C178=0),$C178=2,$C178=3,$C178=4)</formula>
    </cfRule>
  </conditionalFormatting>
  <conditionalFormatting sqref="AM178:AN182 AM184:AN184 AM186:AN188">
    <cfRule type="expression" dxfId="1000" priority="1024" stopIfTrue="1">
      <formula>TIPOORCAMENTO="PROPOSTO"</formula>
    </cfRule>
    <cfRule type="expression" dxfId="999" priority="1025" stopIfTrue="1">
      <formula>$C178=1</formula>
    </cfRule>
    <cfRule type="expression" dxfId="998" priority="1026" stopIfTrue="1">
      <formula>OR(AND(ISNUMBER($C178),$C178=0),$C178=2,$C178=3,$C178=4)</formula>
    </cfRule>
  </conditionalFormatting>
  <conditionalFormatting sqref="X178:X182 X184 X186:X188">
    <cfRule type="expression" dxfId="997" priority="1008" stopIfTrue="1">
      <formula>$C178=1</formula>
    </cfRule>
    <cfRule type="expression" dxfId="996" priority="1009" stopIfTrue="1">
      <formula>OR($C178=0,$C178=2,$C178=3,$C178=4)</formula>
    </cfRule>
  </conditionalFormatting>
  <conditionalFormatting sqref="M75">
    <cfRule type="cellIs" dxfId="995" priority="500" stopIfTrue="1" operator="notEqual">
      <formula>$N75</formula>
    </cfRule>
  </conditionalFormatting>
  <conditionalFormatting sqref="N75:O75 W75">
    <cfRule type="expression" dxfId="994" priority="501" stopIfTrue="1">
      <formula>$C75=1</formula>
    </cfRule>
    <cfRule type="expression" dxfId="993" priority="502" stopIfTrue="1">
      <formula>OR($C75=0,$C75=2,$C75=3,$C75=4)</formula>
    </cfRule>
  </conditionalFormatting>
  <conditionalFormatting sqref="T75 Y75 AG75:AH75">
    <cfRule type="expression" dxfId="992" priority="506" stopIfTrue="1">
      <formula>$C75=1</formula>
    </cfRule>
    <cfRule type="expression" dxfId="991" priority="507" stopIfTrue="1">
      <formula>OR($C75=0,$C75=2,$C75=3,$C75=4)</formula>
    </cfRule>
  </conditionalFormatting>
  <conditionalFormatting sqref="AJ75">
    <cfRule type="expression" dxfId="990" priority="508" stopIfTrue="1">
      <formula>OR(ACOMPANHAMENTO&lt;&gt;"BM",TIPOORCAMENTO="Licitado")</formula>
    </cfRule>
    <cfRule type="expression" dxfId="989" priority="509" stopIfTrue="1">
      <formula>$C75=1</formula>
    </cfRule>
    <cfRule type="expression" dxfId="988" priority="510" stopIfTrue="1">
      <formula>OR(AND(ISNUMBER($C75),$C75=0),$C75=2,$C75=3,$C75=4)</formula>
    </cfRule>
  </conditionalFormatting>
  <conditionalFormatting sqref="AL75">
    <cfRule type="expression" dxfId="987" priority="511" stopIfTrue="1">
      <formula>TIPOORCAMENTO="PROPOSTO"</formula>
    </cfRule>
    <cfRule type="expression" dxfId="986" priority="512" stopIfTrue="1">
      <formula>$C75=1</formula>
    </cfRule>
    <cfRule type="expression" dxfId="985" priority="513" stopIfTrue="1">
      <formula>OR(AND(ISNUMBER($C75),$C75=0),$C75=2,$C75=3,$C75=4)</formula>
    </cfRule>
  </conditionalFormatting>
  <conditionalFormatting sqref="AM75:AN75">
    <cfRule type="expression" dxfId="984" priority="514" stopIfTrue="1">
      <formula>TIPOORCAMENTO="PROPOSTO"</formula>
    </cfRule>
    <cfRule type="expression" dxfId="983" priority="515" stopIfTrue="1">
      <formula>$C75=1</formula>
    </cfRule>
    <cfRule type="expression" dxfId="982" priority="516" stopIfTrue="1">
      <formula>OR(AND(ISNUMBER($C75),$C75=0),$C75=2,$C75=3,$C75=4)</formula>
    </cfRule>
  </conditionalFormatting>
  <conditionalFormatting sqref="X75">
    <cfRule type="expression" dxfId="981" priority="498" stopIfTrue="1">
      <formula>$C75=1</formula>
    </cfRule>
    <cfRule type="expression" dxfId="980" priority="499" stopIfTrue="1">
      <formula>OR($C75=0,$C75=2,$C75=3,$C75=4)</formula>
    </cfRule>
  </conditionalFormatting>
  <conditionalFormatting sqref="M80">
    <cfRule type="cellIs" dxfId="979" priority="478" stopIfTrue="1" operator="notEqual">
      <formula>$N80</formula>
    </cfRule>
  </conditionalFormatting>
  <conditionalFormatting sqref="N80:O80 W80">
    <cfRule type="expression" dxfId="978" priority="479" stopIfTrue="1">
      <formula>$C80=1</formula>
    </cfRule>
    <cfRule type="expression" dxfId="977" priority="480" stopIfTrue="1">
      <formula>OR($C80=0,$C80=2,$C80=3,$C80=4)</formula>
    </cfRule>
  </conditionalFormatting>
  <conditionalFormatting sqref="T80 Y80 AG80:AH80">
    <cfRule type="expression" dxfId="976" priority="484" stopIfTrue="1">
      <formula>$C80=1</formula>
    </cfRule>
    <cfRule type="expression" dxfId="975" priority="485" stopIfTrue="1">
      <formula>OR($C80=0,$C80=2,$C80=3,$C80=4)</formula>
    </cfRule>
  </conditionalFormatting>
  <conditionalFormatting sqref="AJ80">
    <cfRule type="expression" dxfId="974" priority="486" stopIfTrue="1">
      <formula>OR(ACOMPANHAMENTO&lt;&gt;"BM",TIPOORCAMENTO="Licitado")</formula>
    </cfRule>
    <cfRule type="expression" dxfId="973" priority="487" stopIfTrue="1">
      <formula>$C80=1</formula>
    </cfRule>
    <cfRule type="expression" dxfId="972" priority="488" stopIfTrue="1">
      <formula>OR(AND(ISNUMBER($C80),$C80=0),$C80=2,$C80=3,$C80=4)</formula>
    </cfRule>
  </conditionalFormatting>
  <conditionalFormatting sqref="AL80">
    <cfRule type="expression" dxfId="971" priority="489" stopIfTrue="1">
      <formula>TIPOORCAMENTO="PROPOSTO"</formula>
    </cfRule>
    <cfRule type="expression" dxfId="970" priority="490" stopIfTrue="1">
      <formula>$C80=1</formula>
    </cfRule>
    <cfRule type="expression" dxfId="969" priority="491" stopIfTrue="1">
      <formula>OR(AND(ISNUMBER($C80),$C80=0),$C80=2,$C80=3,$C80=4)</formula>
    </cfRule>
  </conditionalFormatting>
  <conditionalFormatting sqref="AM80:AN80">
    <cfRule type="expression" dxfId="968" priority="492" stopIfTrue="1">
      <formula>TIPOORCAMENTO="PROPOSTO"</formula>
    </cfRule>
    <cfRule type="expression" dxfId="967" priority="493" stopIfTrue="1">
      <formula>$C80=1</formula>
    </cfRule>
    <cfRule type="expression" dxfId="966" priority="494" stopIfTrue="1">
      <formula>OR(AND(ISNUMBER($C80),$C80=0),$C80=2,$C80=3,$C80=4)</formula>
    </cfRule>
  </conditionalFormatting>
  <conditionalFormatting sqref="X80">
    <cfRule type="expression" dxfId="965" priority="476" stopIfTrue="1">
      <formula>$C80=1</formula>
    </cfRule>
    <cfRule type="expression" dxfId="964" priority="477" stopIfTrue="1">
      <formula>OR($C80=0,$C80=2,$C80=3,$C80=4)</formula>
    </cfRule>
  </conditionalFormatting>
  <conditionalFormatting sqref="M82">
    <cfRule type="cellIs" dxfId="963" priority="456" stopIfTrue="1" operator="notEqual">
      <formula>$N82</formula>
    </cfRule>
  </conditionalFormatting>
  <conditionalFormatting sqref="N82:O82 W82">
    <cfRule type="expression" dxfId="962" priority="457" stopIfTrue="1">
      <formula>$C82=1</formula>
    </cfRule>
    <cfRule type="expression" dxfId="961" priority="458" stopIfTrue="1">
      <formula>OR($C82=0,$C82=2,$C82=3,$C82=4)</formula>
    </cfRule>
  </conditionalFormatting>
  <conditionalFormatting sqref="T82 Y82 AG82:AH82">
    <cfRule type="expression" dxfId="960" priority="462" stopIfTrue="1">
      <formula>$C82=1</formula>
    </cfRule>
    <cfRule type="expression" dxfId="959" priority="463" stopIfTrue="1">
      <formula>OR($C82=0,$C82=2,$C82=3,$C82=4)</formula>
    </cfRule>
  </conditionalFormatting>
  <conditionalFormatting sqref="AJ82">
    <cfRule type="expression" dxfId="958" priority="464" stopIfTrue="1">
      <formula>OR(ACOMPANHAMENTO&lt;&gt;"BM",TIPOORCAMENTO="Licitado")</formula>
    </cfRule>
    <cfRule type="expression" dxfId="957" priority="465" stopIfTrue="1">
      <formula>$C82=1</formula>
    </cfRule>
    <cfRule type="expression" dxfId="956" priority="466" stopIfTrue="1">
      <formula>OR(AND(ISNUMBER($C82),$C82=0),$C82=2,$C82=3,$C82=4)</formula>
    </cfRule>
  </conditionalFormatting>
  <conditionalFormatting sqref="AL82">
    <cfRule type="expression" dxfId="955" priority="467" stopIfTrue="1">
      <formula>TIPOORCAMENTO="PROPOSTO"</formula>
    </cfRule>
    <cfRule type="expression" dxfId="954" priority="468" stopIfTrue="1">
      <formula>$C82=1</formula>
    </cfRule>
    <cfRule type="expression" dxfId="953" priority="469" stopIfTrue="1">
      <formula>OR(AND(ISNUMBER($C82),$C82=0),$C82=2,$C82=3,$C82=4)</formula>
    </cfRule>
  </conditionalFormatting>
  <conditionalFormatting sqref="AM82:AN82">
    <cfRule type="expression" dxfId="952" priority="470" stopIfTrue="1">
      <formula>TIPOORCAMENTO="PROPOSTO"</formula>
    </cfRule>
    <cfRule type="expression" dxfId="951" priority="471" stopIfTrue="1">
      <formula>$C82=1</formula>
    </cfRule>
    <cfRule type="expression" dxfId="950" priority="472" stopIfTrue="1">
      <formula>OR(AND(ISNUMBER($C82),$C82=0),$C82=2,$C82=3,$C82=4)</formula>
    </cfRule>
  </conditionalFormatting>
  <conditionalFormatting sqref="X82">
    <cfRule type="expression" dxfId="949" priority="454" stopIfTrue="1">
      <formula>$C82=1</formula>
    </cfRule>
    <cfRule type="expression" dxfId="948" priority="455" stopIfTrue="1">
      <formula>OR($C82=0,$C82=2,$C82=3,$C82=4)</formula>
    </cfRule>
  </conditionalFormatting>
  <conditionalFormatting sqref="M81">
    <cfRule type="cellIs" dxfId="947" priority="434" stopIfTrue="1" operator="notEqual">
      <formula>$N81</formula>
    </cfRule>
  </conditionalFormatting>
  <conditionalFormatting sqref="N81:O81 W81">
    <cfRule type="expression" dxfId="946" priority="435" stopIfTrue="1">
      <formula>$C81=1</formula>
    </cfRule>
    <cfRule type="expression" dxfId="945" priority="436" stopIfTrue="1">
      <formula>OR($C81=0,$C81=2,$C81=3,$C81=4)</formula>
    </cfRule>
  </conditionalFormatting>
  <conditionalFormatting sqref="T81 Y81 AG81:AH81">
    <cfRule type="expression" dxfId="944" priority="440" stopIfTrue="1">
      <formula>$C81=1</formula>
    </cfRule>
    <cfRule type="expression" dxfId="943" priority="441" stopIfTrue="1">
      <formula>OR($C81=0,$C81=2,$C81=3,$C81=4)</formula>
    </cfRule>
  </conditionalFormatting>
  <conditionalFormatting sqref="AJ81">
    <cfRule type="expression" dxfId="942" priority="442" stopIfTrue="1">
      <formula>OR(ACOMPANHAMENTO&lt;&gt;"BM",TIPOORCAMENTO="Licitado")</formula>
    </cfRule>
    <cfRule type="expression" dxfId="941" priority="443" stopIfTrue="1">
      <formula>$C81=1</formula>
    </cfRule>
    <cfRule type="expression" dxfId="940" priority="444" stopIfTrue="1">
      <formula>OR(AND(ISNUMBER($C81),$C81=0),$C81=2,$C81=3,$C81=4)</formula>
    </cfRule>
  </conditionalFormatting>
  <conditionalFormatting sqref="AL81">
    <cfRule type="expression" dxfId="939" priority="445" stopIfTrue="1">
      <formula>TIPOORCAMENTO="PROPOSTO"</formula>
    </cfRule>
    <cfRule type="expression" dxfId="938" priority="446" stopIfTrue="1">
      <formula>$C81=1</formula>
    </cfRule>
    <cfRule type="expression" dxfId="937" priority="447" stopIfTrue="1">
      <formula>OR(AND(ISNUMBER($C81),$C81=0),$C81=2,$C81=3,$C81=4)</formula>
    </cfRule>
  </conditionalFormatting>
  <conditionalFormatting sqref="AM81:AN81">
    <cfRule type="expression" dxfId="936" priority="448" stopIfTrue="1">
      <formula>TIPOORCAMENTO="PROPOSTO"</formula>
    </cfRule>
    <cfRule type="expression" dxfId="935" priority="449" stopIfTrue="1">
      <formula>$C81=1</formula>
    </cfRule>
    <cfRule type="expression" dxfId="934" priority="450" stopIfTrue="1">
      <formula>OR(AND(ISNUMBER($C81),$C81=0),$C81=2,$C81=3,$C81=4)</formula>
    </cfRule>
  </conditionalFormatting>
  <conditionalFormatting sqref="X81">
    <cfRule type="expression" dxfId="933" priority="432" stopIfTrue="1">
      <formula>$C81=1</formula>
    </cfRule>
    <cfRule type="expression" dxfId="932" priority="433" stopIfTrue="1">
      <formula>OR($C81=0,$C81=2,$C81=3,$C81=4)</formula>
    </cfRule>
  </conditionalFormatting>
  <conditionalFormatting sqref="M169">
    <cfRule type="cellIs" dxfId="931" priority="302" stopIfTrue="1" operator="notEqual">
      <formula>$N169</formula>
    </cfRule>
  </conditionalFormatting>
  <conditionalFormatting sqref="N169:O169 W169">
    <cfRule type="expression" dxfId="930" priority="303" stopIfTrue="1">
      <formula>$C169=1</formula>
    </cfRule>
    <cfRule type="expression" dxfId="929" priority="304" stopIfTrue="1">
      <formula>OR($C169=0,$C169=2,$C169=3,$C169=4)</formula>
    </cfRule>
  </conditionalFormatting>
  <conditionalFormatting sqref="T169 Y169 AG169:AH169">
    <cfRule type="expression" dxfId="928" priority="308" stopIfTrue="1">
      <formula>$C169=1</formula>
    </cfRule>
    <cfRule type="expression" dxfId="927" priority="309" stopIfTrue="1">
      <formula>OR($C169=0,$C169=2,$C169=3,$C169=4)</formula>
    </cfRule>
  </conditionalFormatting>
  <conditionalFormatting sqref="AJ169">
    <cfRule type="expression" dxfId="926" priority="310" stopIfTrue="1">
      <formula>OR(ACOMPANHAMENTO&lt;&gt;"BM",TIPOORCAMENTO="Licitado")</formula>
    </cfRule>
    <cfRule type="expression" dxfId="925" priority="311" stopIfTrue="1">
      <formula>$C169=1</formula>
    </cfRule>
    <cfRule type="expression" dxfId="924" priority="312" stopIfTrue="1">
      <formula>OR(AND(ISNUMBER($C169),$C169=0),$C169=2,$C169=3,$C169=4)</formula>
    </cfRule>
  </conditionalFormatting>
  <conditionalFormatting sqref="AL169">
    <cfRule type="expression" dxfId="923" priority="313" stopIfTrue="1">
      <formula>TIPOORCAMENTO="PROPOSTO"</formula>
    </cfRule>
    <cfRule type="expression" dxfId="922" priority="314" stopIfTrue="1">
      <formula>$C169=1</formula>
    </cfRule>
    <cfRule type="expression" dxfId="921" priority="315" stopIfTrue="1">
      <formula>OR(AND(ISNUMBER($C169),$C169=0),$C169=2,$C169=3,$C169=4)</formula>
    </cfRule>
  </conditionalFormatting>
  <conditionalFormatting sqref="AM169:AN169">
    <cfRule type="expression" dxfId="920" priority="316" stopIfTrue="1">
      <formula>TIPOORCAMENTO="PROPOSTO"</formula>
    </cfRule>
    <cfRule type="expression" dxfId="919" priority="317" stopIfTrue="1">
      <formula>$C169=1</formula>
    </cfRule>
    <cfRule type="expression" dxfId="918" priority="318" stopIfTrue="1">
      <formula>OR(AND(ISNUMBER($C169),$C169=0),$C169=2,$C169=3,$C169=4)</formula>
    </cfRule>
  </conditionalFormatting>
  <conditionalFormatting sqref="X169">
    <cfRule type="expression" dxfId="917" priority="300" stopIfTrue="1">
      <formula>$C169=1</formula>
    </cfRule>
    <cfRule type="expression" dxfId="916" priority="301" stopIfTrue="1">
      <formula>OR($C169=0,$C169=2,$C169=3,$C169=4)</formula>
    </cfRule>
  </conditionalFormatting>
  <conditionalFormatting sqref="M35">
    <cfRule type="cellIs" dxfId="915" priority="258" stopIfTrue="1" operator="notEqual">
      <formula>$N35</formula>
    </cfRule>
  </conditionalFormatting>
  <conditionalFormatting sqref="N35:O35 W35">
    <cfRule type="expression" dxfId="914" priority="259" stopIfTrue="1">
      <formula>$C35=1</formula>
    </cfRule>
    <cfRule type="expression" dxfId="913" priority="260" stopIfTrue="1">
      <formula>OR($C35=0,$C35=2,$C35=3,$C35=4)</formula>
    </cfRule>
  </conditionalFormatting>
  <conditionalFormatting sqref="T35 Y35 AG35:AH35">
    <cfRule type="expression" dxfId="912" priority="264" stopIfTrue="1">
      <formula>$C35=1</formula>
    </cfRule>
    <cfRule type="expression" dxfId="911" priority="265" stopIfTrue="1">
      <formula>OR($C35=0,$C35=2,$C35=3,$C35=4)</formula>
    </cfRule>
  </conditionalFormatting>
  <conditionalFormatting sqref="AJ35">
    <cfRule type="expression" dxfId="910" priority="266" stopIfTrue="1">
      <formula>OR(ACOMPANHAMENTO&lt;&gt;"BM",TIPOORCAMENTO="Licitado")</formula>
    </cfRule>
    <cfRule type="expression" dxfId="909" priority="267" stopIfTrue="1">
      <formula>$C35=1</formula>
    </cfRule>
    <cfRule type="expression" dxfId="908" priority="268" stopIfTrue="1">
      <formula>OR(AND(ISNUMBER($C35),$C35=0),$C35=2,$C35=3,$C35=4)</formula>
    </cfRule>
  </conditionalFormatting>
  <conditionalFormatting sqref="AL35">
    <cfRule type="expression" dxfId="907" priority="269" stopIfTrue="1">
      <formula>TIPOORCAMENTO="PROPOSTO"</formula>
    </cfRule>
    <cfRule type="expression" dxfId="906" priority="270" stopIfTrue="1">
      <formula>$C35=1</formula>
    </cfRule>
    <cfRule type="expression" dxfId="905" priority="271" stopIfTrue="1">
      <formula>OR(AND(ISNUMBER($C35),$C35=0),$C35=2,$C35=3,$C35=4)</formula>
    </cfRule>
  </conditionalFormatting>
  <conditionalFormatting sqref="AM35:AN35">
    <cfRule type="expression" dxfId="904" priority="272" stopIfTrue="1">
      <formula>TIPOORCAMENTO="PROPOSTO"</formula>
    </cfRule>
    <cfRule type="expression" dxfId="903" priority="273" stopIfTrue="1">
      <formula>$C35=1</formula>
    </cfRule>
    <cfRule type="expression" dxfId="902" priority="274" stopIfTrue="1">
      <formula>OR(AND(ISNUMBER($C35),$C35=0),$C35=2,$C35=3,$C35=4)</formula>
    </cfRule>
  </conditionalFormatting>
  <conditionalFormatting sqref="X35">
    <cfRule type="expression" dxfId="901" priority="256" stopIfTrue="1">
      <formula>$C35=1</formula>
    </cfRule>
    <cfRule type="expression" dxfId="900" priority="257" stopIfTrue="1">
      <formula>OR($C35=0,$C35=2,$C35=3,$C35=4)</formula>
    </cfRule>
  </conditionalFormatting>
  <conditionalFormatting sqref="M50">
    <cfRule type="cellIs" dxfId="899" priority="229" stopIfTrue="1" operator="notEqual">
      <formula>$N50</formula>
    </cfRule>
  </conditionalFormatting>
  <conditionalFormatting sqref="N50:O50 W50">
    <cfRule type="expression" dxfId="898" priority="230" stopIfTrue="1">
      <formula>$C50=1</formula>
    </cfRule>
    <cfRule type="expression" dxfId="897" priority="231" stopIfTrue="1">
      <formula>OR($C50=0,$C50=2,$C50=3,$C50=4)</formula>
    </cfRule>
  </conditionalFormatting>
  <conditionalFormatting sqref="AJ50">
    <cfRule type="expression" dxfId="896" priority="232" stopIfTrue="1">
      <formula>OR(ACOMPANHAMENTO&lt;&gt;"BM",TIPOORCAMENTO="Licitado")</formula>
    </cfRule>
    <cfRule type="expression" dxfId="895" priority="233" stopIfTrue="1">
      <formula>$C50=1</formula>
    </cfRule>
    <cfRule type="expression" dxfId="894" priority="234" stopIfTrue="1">
      <formula>OR(AND(ISNUMBER($C50),$C50=0),$C50=2,$C50=3,$C50=4)</formula>
    </cfRule>
  </conditionalFormatting>
  <conditionalFormatting sqref="AL50">
    <cfRule type="expression" dxfId="893" priority="235" stopIfTrue="1">
      <formula>TIPOORCAMENTO="PROPOSTO"</formula>
    </cfRule>
    <cfRule type="expression" dxfId="892" priority="236" stopIfTrue="1">
      <formula>$C50=1</formula>
    </cfRule>
    <cfRule type="expression" dxfId="891" priority="237" stopIfTrue="1">
      <formula>OR(AND(ISNUMBER($C50),$C50=0),$C50=2,$C50=3,$C50=4)</formula>
    </cfRule>
  </conditionalFormatting>
  <conditionalFormatting sqref="AM50:AN50">
    <cfRule type="expression" dxfId="890" priority="238" stopIfTrue="1">
      <formula>TIPOORCAMENTO="PROPOSTO"</formula>
    </cfRule>
    <cfRule type="expression" dxfId="889" priority="239" stopIfTrue="1">
      <formula>$C50=1</formula>
    </cfRule>
    <cfRule type="expression" dxfId="888" priority="240" stopIfTrue="1">
      <formula>OR(AND(ISNUMBER($C50),$C50=0),$C50=2,$C50=3,$C50=4)</formula>
    </cfRule>
  </conditionalFormatting>
  <conditionalFormatting sqref="X50">
    <cfRule type="expression" dxfId="887" priority="227" stopIfTrue="1">
      <formula>$C50=1</formula>
    </cfRule>
    <cfRule type="expression" dxfId="886" priority="228" stopIfTrue="1">
      <formula>OR($C50=0,$C50=2,$C50=3,$C50=4)</formula>
    </cfRule>
  </conditionalFormatting>
  <conditionalFormatting sqref="M165">
    <cfRule type="cellIs" dxfId="885" priority="213" stopIfTrue="1" operator="notEqual">
      <formula>$N165</formula>
    </cfRule>
  </conditionalFormatting>
  <conditionalFormatting sqref="N165:O165 W165">
    <cfRule type="expression" dxfId="884" priority="214" stopIfTrue="1">
      <formula>$C165=1</formula>
    </cfRule>
    <cfRule type="expression" dxfId="883" priority="215" stopIfTrue="1">
      <formula>OR($C165=0,$C165=2,$C165=3,$C165=4)</formula>
    </cfRule>
  </conditionalFormatting>
  <conditionalFormatting sqref="AJ165">
    <cfRule type="expression" dxfId="882" priority="216" stopIfTrue="1">
      <formula>OR(ACOMPANHAMENTO&lt;&gt;"BM",TIPOORCAMENTO="Licitado")</formula>
    </cfRule>
    <cfRule type="expression" dxfId="881" priority="217" stopIfTrue="1">
      <formula>$C165=1</formula>
    </cfRule>
    <cfRule type="expression" dxfId="880" priority="218" stopIfTrue="1">
      <formula>OR(AND(ISNUMBER($C165),$C165=0),$C165=2,$C165=3,$C165=4)</formula>
    </cfRule>
  </conditionalFormatting>
  <conditionalFormatting sqref="AL165">
    <cfRule type="expression" dxfId="879" priority="219" stopIfTrue="1">
      <formula>TIPOORCAMENTO="PROPOSTO"</formula>
    </cfRule>
    <cfRule type="expression" dxfId="878" priority="220" stopIfTrue="1">
      <formula>$C165=1</formula>
    </cfRule>
    <cfRule type="expression" dxfId="877" priority="221" stopIfTrue="1">
      <formula>OR(AND(ISNUMBER($C165),$C165=0),$C165=2,$C165=3,$C165=4)</formula>
    </cfRule>
  </conditionalFormatting>
  <conditionalFormatting sqref="AM165:AN165">
    <cfRule type="expression" dxfId="876" priority="222" stopIfTrue="1">
      <formula>TIPOORCAMENTO="PROPOSTO"</formula>
    </cfRule>
    <cfRule type="expression" dxfId="875" priority="223" stopIfTrue="1">
      <formula>$C165=1</formula>
    </cfRule>
    <cfRule type="expression" dxfId="874" priority="224" stopIfTrue="1">
      <formula>OR(AND(ISNUMBER($C165),$C165=0),$C165=2,$C165=3,$C165=4)</formula>
    </cfRule>
  </conditionalFormatting>
  <conditionalFormatting sqref="X165">
    <cfRule type="expression" dxfId="873" priority="211" stopIfTrue="1">
      <formula>$C165=1</formula>
    </cfRule>
    <cfRule type="expression" dxfId="872" priority="212" stopIfTrue="1">
      <formula>OR($C165=0,$C165=2,$C165=3,$C165=4)</formula>
    </cfRule>
  </conditionalFormatting>
  <conditionalFormatting sqref="M58">
    <cfRule type="cellIs" dxfId="871" priority="197" stopIfTrue="1" operator="notEqual">
      <formula>$N58</formula>
    </cfRule>
  </conditionalFormatting>
  <conditionalFormatting sqref="N58:O58 W58">
    <cfRule type="expression" dxfId="870" priority="198" stopIfTrue="1">
      <formula>$C58=1</formula>
    </cfRule>
    <cfRule type="expression" dxfId="869" priority="199" stopIfTrue="1">
      <formula>OR($C58=0,$C58=2,$C58=3,$C58=4)</formula>
    </cfRule>
  </conditionalFormatting>
  <conditionalFormatting sqref="AJ58">
    <cfRule type="expression" dxfId="868" priority="200" stopIfTrue="1">
      <formula>OR(ACOMPANHAMENTO&lt;&gt;"BM",TIPOORCAMENTO="Licitado")</formula>
    </cfRule>
    <cfRule type="expression" dxfId="867" priority="201" stopIfTrue="1">
      <formula>$C58=1</formula>
    </cfRule>
    <cfRule type="expression" dxfId="866" priority="202" stopIfTrue="1">
      <formula>OR(AND(ISNUMBER($C58),$C58=0),$C58=2,$C58=3,$C58=4)</formula>
    </cfRule>
  </conditionalFormatting>
  <conditionalFormatting sqref="AL58">
    <cfRule type="expression" dxfId="865" priority="203" stopIfTrue="1">
      <formula>TIPOORCAMENTO="PROPOSTO"</formula>
    </cfRule>
    <cfRule type="expression" dxfId="864" priority="204" stopIfTrue="1">
      <formula>$C58=1</formula>
    </cfRule>
    <cfRule type="expression" dxfId="863" priority="205" stopIfTrue="1">
      <formula>OR(AND(ISNUMBER($C58),$C58=0),$C58=2,$C58=3,$C58=4)</formula>
    </cfRule>
  </conditionalFormatting>
  <conditionalFormatting sqref="AM58:AN58">
    <cfRule type="expression" dxfId="862" priority="206" stopIfTrue="1">
      <formula>TIPOORCAMENTO="PROPOSTO"</formula>
    </cfRule>
    <cfRule type="expression" dxfId="861" priority="207" stopIfTrue="1">
      <formula>$C58=1</formula>
    </cfRule>
    <cfRule type="expression" dxfId="860" priority="208" stopIfTrue="1">
      <formula>OR(AND(ISNUMBER($C58),$C58=0),$C58=2,$C58=3,$C58=4)</formula>
    </cfRule>
  </conditionalFormatting>
  <conditionalFormatting sqref="X58">
    <cfRule type="expression" dxfId="859" priority="195" stopIfTrue="1">
      <formula>$C58=1</formula>
    </cfRule>
    <cfRule type="expression" dxfId="858" priority="196" stopIfTrue="1">
      <formula>OR($C58=0,$C58=2,$C58=3,$C58=4)</formula>
    </cfRule>
  </conditionalFormatting>
  <conditionalFormatting sqref="M85">
    <cfRule type="cellIs" dxfId="857" priority="181" stopIfTrue="1" operator="notEqual">
      <formula>$N85</formula>
    </cfRule>
  </conditionalFormatting>
  <conditionalFormatting sqref="N85:O85 W85">
    <cfRule type="expression" dxfId="856" priority="182" stopIfTrue="1">
      <formula>$C85=1</formula>
    </cfRule>
    <cfRule type="expression" dxfId="855" priority="183" stopIfTrue="1">
      <formula>OR($C85=0,$C85=2,$C85=3,$C85=4)</formula>
    </cfRule>
  </conditionalFormatting>
  <conditionalFormatting sqref="AJ85">
    <cfRule type="expression" dxfId="854" priority="184" stopIfTrue="1">
      <formula>OR(ACOMPANHAMENTO&lt;&gt;"BM",TIPOORCAMENTO="Licitado")</formula>
    </cfRule>
    <cfRule type="expression" dxfId="853" priority="185" stopIfTrue="1">
      <formula>$C85=1</formula>
    </cfRule>
    <cfRule type="expression" dxfId="852" priority="186" stopIfTrue="1">
      <formula>OR(AND(ISNUMBER($C85),$C85=0),$C85=2,$C85=3,$C85=4)</formula>
    </cfRule>
  </conditionalFormatting>
  <conditionalFormatting sqref="AL85">
    <cfRule type="expression" dxfId="851" priority="187" stopIfTrue="1">
      <formula>TIPOORCAMENTO="PROPOSTO"</formula>
    </cfRule>
    <cfRule type="expression" dxfId="850" priority="188" stopIfTrue="1">
      <formula>$C85=1</formula>
    </cfRule>
    <cfRule type="expression" dxfId="849" priority="189" stopIfTrue="1">
      <formula>OR(AND(ISNUMBER($C85),$C85=0),$C85=2,$C85=3,$C85=4)</formula>
    </cfRule>
  </conditionalFormatting>
  <conditionalFormatting sqref="AM85:AN85">
    <cfRule type="expression" dxfId="848" priority="190" stopIfTrue="1">
      <formula>TIPOORCAMENTO="PROPOSTO"</formula>
    </cfRule>
    <cfRule type="expression" dxfId="847" priority="191" stopIfTrue="1">
      <formula>$C85=1</formula>
    </cfRule>
    <cfRule type="expression" dxfId="846" priority="192" stopIfTrue="1">
      <formula>OR(AND(ISNUMBER($C85),$C85=0),$C85=2,$C85=3,$C85=4)</formula>
    </cfRule>
  </conditionalFormatting>
  <conditionalFormatting sqref="X85">
    <cfRule type="expression" dxfId="845" priority="179" stopIfTrue="1">
      <formula>$C85=1</formula>
    </cfRule>
    <cfRule type="expression" dxfId="844" priority="180" stopIfTrue="1">
      <formula>OR($C85=0,$C85=2,$C85=3,$C85=4)</formula>
    </cfRule>
  </conditionalFormatting>
  <conditionalFormatting sqref="M108">
    <cfRule type="cellIs" dxfId="843" priority="165" stopIfTrue="1" operator="notEqual">
      <formula>$N108</formula>
    </cfRule>
  </conditionalFormatting>
  <conditionalFormatting sqref="N108:O108 W108">
    <cfRule type="expression" dxfId="842" priority="166" stopIfTrue="1">
      <formula>$C108=1</formula>
    </cfRule>
    <cfRule type="expression" dxfId="841" priority="167" stopIfTrue="1">
      <formula>OR($C108=0,$C108=2,$C108=3,$C108=4)</formula>
    </cfRule>
  </conditionalFormatting>
  <conditionalFormatting sqref="AJ108">
    <cfRule type="expression" dxfId="840" priority="168" stopIfTrue="1">
      <formula>OR(ACOMPANHAMENTO&lt;&gt;"BM",TIPOORCAMENTO="Licitado")</formula>
    </cfRule>
    <cfRule type="expression" dxfId="839" priority="169" stopIfTrue="1">
      <formula>$C108=1</formula>
    </cfRule>
    <cfRule type="expression" dxfId="838" priority="170" stopIfTrue="1">
      <formula>OR(AND(ISNUMBER($C108),$C108=0),$C108=2,$C108=3,$C108=4)</formula>
    </cfRule>
  </conditionalFormatting>
  <conditionalFormatting sqref="AL108">
    <cfRule type="expression" dxfId="837" priority="171" stopIfTrue="1">
      <formula>TIPOORCAMENTO="PROPOSTO"</formula>
    </cfRule>
    <cfRule type="expression" dxfId="836" priority="172" stopIfTrue="1">
      <formula>$C108=1</formula>
    </cfRule>
    <cfRule type="expression" dxfId="835" priority="173" stopIfTrue="1">
      <formula>OR(AND(ISNUMBER($C108),$C108=0),$C108=2,$C108=3,$C108=4)</formula>
    </cfRule>
  </conditionalFormatting>
  <conditionalFormatting sqref="AM108:AN108">
    <cfRule type="expression" dxfId="834" priority="174" stopIfTrue="1">
      <formula>TIPOORCAMENTO="PROPOSTO"</formula>
    </cfRule>
    <cfRule type="expression" dxfId="833" priority="175" stopIfTrue="1">
      <formula>$C108=1</formula>
    </cfRule>
    <cfRule type="expression" dxfId="832" priority="176" stopIfTrue="1">
      <formula>OR(AND(ISNUMBER($C108),$C108=0),$C108=2,$C108=3,$C108=4)</formula>
    </cfRule>
  </conditionalFormatting>
  <conditionalFormatting sqref="X108">
    <cfRule type="expression" dxfId="831" priority="163" stopIfTrue="1">
      <formula>$C108=1</formula>
    </cfRule>
    <cfRule type="expression" dxfId="830" priority="164" stopIfTrue="1">
      <formula>OR($C108=0,$C108=2,$C108=3,$C108=4)</formula>
    </cfRule>
  </conditionalFormatting>
  <conditionalFormatting sqref="M104">
    <cfRule type="cellIs" dxfId="829" priority="149" stopIfTrue="1" operator="notEqual">
      <formula>$N104</formula>
    </cfRule>
  </conditionalFormatting>
  <conditionalFormatting sqref="N104:O104 W104">
    <cfRule type="expression" dxfId="828" priority="150" stopIfTrue="1">
      <formula>$C104=1</formula>
    </cfRule>
    <cfRule type="expression" dxfId="827" priority="151" stopIfTrue="1">
      <formula>OR($C104=0,$C104=2,$C104=3,$C104=4)</formula>
    </cfRule>
  </conditionalFormatting>
  <conditionalFormatting sqref="AJ104">
    <cfRule type="expression" dxfId="826" priority="152" stopIfTrue="1">
      <formula>OR(ACOMPANHAMENTO&lt;&gt;"BM",TIPOORCAMENTO="Licitado")</formula>
    </cfRule>
    <cfRule type="expression" dxfId="825" priority="153" stopIfTrue="1">
      <formula>$C104=1</formula>
    </cfRule>
    <cfRule type="expression" dxfId="824" priority="154" stopIfTrue="1">
      <formula>OR(AND(ISNUMBER($C104),$C104=0),$C104=2,$C104=3,$C104=4)</formula>
    </cfRule>
  </conditionalFormatting>
  <conditionalFormatting sqref="AL104">
    <cfRule type="expression" dxfId="823" priority="155" stopIfTrue="1">
      <formula>TIPOORCAMENTO="PROPOSTO"</formula>
    </cfRule>
    <cfRule type="expression" dxfId="822" priority="156" stopIfTrue="1">
      <formula>$C104=1</formula>
    </cfRule>
    <cfRule type="expression" dxfId="821" priority="157" stopIfTrue="1">
      <formula>OR(AND(ISNUMBER($C104),$C104=0),$C104=2,$C104=3,$C104=4)</formula>
    </cfRule>
  </conditionalFormatting>
  <conditionalFormatting sqref="AM104:AN104">
    <cfRule type="expression" dxfId="820" priority="158" stopIfTrue="1">
      <formula>TIPOORCAMENTO="PROPOSTO"</formula>
    </cfRule>
    <cfRule type="expression" dxfId="819" priority="159" stopIfTrue="1">
      <formula>$C104=1</formula>
    </cfRule>
    <cfRule type="expression" dxfId="818" priority="160" stopIfTrue="1">
      <formula>OR(AND(ISNUMBER($C104),$C104=0),$C104=2,$C104=3,$C104=4)</formula>
    </cfRule>
  </conditionalFormatting>
  <conditionalFormatting sqref="X104">
    <cfRule type="expression" dxfId="817" priority="147" stopIfTrue="1">
      <formula>$C104=1</formula>
    </cfRule>
    <cfRule type="expression" dxfId="816" priority="148" stopIfTrue="1">
      <formula>OR($C104=0,$C104=2,$C104=3,$C104=4)</formula>
    </cfRule>
  </conditionalFormatting>
  <conditionalFormatting sqref="M62">
    <cfRule type="cellIs" dxfId="815" priority="133" stopIfTrue="1" operator="notEqual">
      <formula>$N62</formula>
    </cfRule>
  </conditionalFormatting>
  <conditionalFormatting sqref="N62:O62 W62">
    <cfRule type="expression" dxfId="814" priority="134" stopIfTrue="1">
      <formula>$C62=1</formula>
    </cfRule>
    <cfRule type="expression" dxfId="813" priority="135" stopIfTrue="1">
      <formula>OR($C62=0,$C62=2,$C62=3,$C62=4)</formula>
    </cfRule>
  </conditionalFormatting>
  <conditionalFormatting sqref="AJ62">
    <cfRule type="expression" dxfId="812" priority="136" stopIfTrue="1">
      <formula>OR(ACOMPANHAMENTO&lt;&gt;"BM",TIPOORCAMENTO="Licitado")</formula>
    </cfRule>
    <cfRule type="expression" dxfId="811" priority="137" stopIfTrue="1">
      <formula>$C62=1</formula>
    </cfRule>
    <cfRule type="expression" dxfId="810" priority="138" stopIfTrue="1">
      <formula>OR(AND(ISNUMBER($C62),$C62=0),$C62=2,$C62=3,$C62=4)</formula>
    </cfRule>
  </conditionalFormatting>
  <conditionalFormatting sqref="AL62">
    <cfRule type="expression" dxfId="809" priority="139" stopIfTrue="1">
      <formula>TIPOORCAMENTO="PROPOSTO"</formula>
    </cfRule>
    <cfRule type="expression" dxfId="808" priority="140" stopIfTrue="1">
      <formula>$C62=1</formula>
    </cfRule>
    <cfRule type="expression" dxfId="807" priority="141" stopIfTrue="1">
      <formula>OR(AND(ISNUMBER($C62),$C62=0),$C62=2,$C62=3,$C62=4)</formula>
    </cfRule>
  </conditionalFormatting>
  <conditionalFormatting sqref="AM62:AN62">
    <cfRule type="expression" dxfId="806" priority="142" stopIfTrue="1">
      <formula>TIPOORCAMENTO="PROPOSTO"</formula>
    </cfRule>
    <cfRule type="expression" dxfId="805" priority="143" stopIfTrue="1">
      <formula>$C62=1</formula>
    </cfRule>
    <cfRule type="expression" dxfId="804" priority="144" stopIfTrue="1">
      <formula>OR(AND(ISNUMBER($C62),$C62=0),$C62=2,$C62=3,$C62=4)</formula>
    </cfRule>
  </conditionalFormatting>
  <conditionalFormatting sqref="X62">
    <cfRule type="expression" dxfId="803" priority="131" stopIfTrue="1">
      <formula>$C62=1</formula>
    </cfRule>
    <cfRule type="expression" dxfId="802" priority="132" stopIfTrue="1">
      <formula>OR($C62=0,$C62=2,$C62=3,$C62=4)</formula>
    </cfRule>
  </conditionalFormatting>
  <conditionalFormatting sqref="X37">
    <cfRule type="expression" dxfId="801" priority="127" stopIfTrue="1">
      <formula>$C37=1</formula>
    </cfRule>
    <cfRule type="expression" dxfId="800" priority="128" stopIfTrue="1">
      <formula>OR($C37=0,$C37=2,$C37=3,$C37=4)</formula>
    </cfRule>
  </conditionalFormatting>
  <conditionalFormatting sqref="M46">
    <cfRule type="cellIs" dxfId="799" priority="101" stopIfTrue="1" operator="notEqual">
      <formula>$N46</formula>
    </cfRule>
  </conditionalFormatting>
  <conditionalFormatting sqref="N46:O46 W46">
    <cfRule type="expression" dxfId="798" priority="102" stopIfTrue="1">
      <formula>$C46=1</formula>
    </cfRule>
    <cfRule type="expression" dxfId="797" priority="103" stopIfTrue="1">
      <formula>OR($C46=0,$C46=2,$C46=3,$C46=4)</formula>
    </cfRule>
  </conditionalFormatting>
  <conditionalFormatting sqref="AJ46">
    <cfRule type="expression" dxfId="796" priority="104" stopIfTrue="1">
      <formula>OR(ACOMPANHAMENTO&lt;&gt;"BM",TIPOORCAMENTO="Licitado")</formula>
    </cfRule>
    <cfRule type="expression" dxfId="795" priority="105" stopIfTrue="1">
      <formula>$C46=1</formula>
    </cfRule>
    <cfRule type="expression" dxfId="794" priority="106" stopIfTrue="1">
      <formula>OR(AND(ISNUMBER($C46),$C46=0),$C46=2,$C46=3,$C46=4)</formula>
    </cfRule>
  </conditionalFormatting>
  <conditionalFormatting sqref="AL46">
    <cfRule type="expression" dxfId="793" priority="107" stopIfTrue="1">
      <formula>TIPOORCAMENTO="PROPOSTO"</formula>
    </cfRule>
    <cfRule type="expression" dxfId="792" priority="108" stopIfTrue="1">
      <formula>$C46=1</formula>
    </cfRule>
    <cfRule type="expression" dxfId="791" priority="109" stopIfTrue="1">
      <formula>OR(AND(ISNUMBER($C46),$C46=0),$C46=2,$C46=3,$C46=4)</formula>
    </cfRule>
  </conditionalFormatting>
  <conditionalFormatting sqref="AM46:AN46">
    <cfRule type="expression" dxfId="790" priority="110" stopIfTrue="1">
      <formula>TIPOORCAMENTO="PROPOSTO"</formula>
    </cfRule>
    <cfRule type="expression" dxfId="789" priority="111" stopIfTrue="1">
      <formula>$C46=1</formula>
    </cfRule>
    <cfRule type="expression" dxfId="788" priority="112" stopIfTrue="1">
      <formula>OR(AND(ISNUMBER($C46),$C46=0),$C46=2,$C46=3,$C46=4)</formula>
    </cfRule>
  </conditionalFormatting>
  <conditionalFormatting sqref="X46">
    <cfRule type="expression" dxfId="787" priority="99" stopIfTrue="1">
      <formula>$C46=1</formula>
    </cfRule>
    <cfRule type="expression" dxfId="786" priority="100" stopIfTrue="1">
      <formula>OR($C46=0,$C46=2,$C46=3,$C46=4)</formula>
    </cfRule>
  </conditionalFormatting>
  <conditionalFormatting sqref="M74">
    <cfRule type="cellIs" dxfId="785" priority="69" stopIfTrue="1" operator="notEqual">
      <formula>$N74</formula>
    </cfRule>
  </conditionalFormatting>
  <conditionalFormatting sqref="N74:O74 W74">
    <cfRule type="expression" dxfId="784" priority="70" stopIfTrue="1">
      <formula>$C74=1</formula>
    </cfRule>
    <cfRule type="expression" dxfId="783" priority="71" stopIfTrue="1">
      <formula>OR($C74=0,$C74=2,$C74=3,$C74=4)</formula>
    </cfRule>
  </conditionalFormatting>
  <conditionalFormatting sqref="AJ74">
    <cfRule type="expression" dxfId="782" priority="72" stopIfTrue="1">
      <formula>OR(ACOMPANHAMENTO&lt;&gt;"BM",TIPOORCAMENTO="Licitado")</formula>
    </cfRule>
    <cfRule type="expression" dxfId="781" priority="73" stopIfTrue="1">
      <formula>$C74=1</formula>
    </cfRule>
    <cfRule type="expression" dxfId="780" priority="74" stopIfTrue="1">
      <formula>OR(AND(ISNUMBER($C74),$C74=0),$C74=2,$C74=3,$C74=4)</formula>
    </cfRule>
  </conditionalFormatting>
  <conditionalFormatting sqref="AL74">
    <cfRule type="expression" dxfId="779" priority="75" stopIfTrue="1">
      <formula>TIPOORCAMENTO="PROPOSTO"</formula>
    </cfRule>
    <cfRule type="expression" dxfId="778" priority="76" stopIfTrue="1">
      <formula>$C74=1</formula>
    </cfRule>
    <cfRule type="expression" dxfId="777" priority="77" stopIfTrue="1">
      <formula>OR(AND(ISNUMBER($C74),$C74=0),$C74=2,$C74=3,$C74=4)</formula>
    </cfRule>
  </conditionalFormatting>
  <conditionalFormatting sqref="AM74:AN74">
    <cfRule type="expression" dxfId="776" priority="78" stopIfTrue="1">
      <formula>TIPOORCAMENTO="PROPOSTO"</formula>
    </cfRule>
    <cfRule type="expression" dxfId="775" priority="79" stopIfTrue="1">
      <formula>$C74=1</formula>
    </cfRule>
    <cfRule type="expression" dxfId="774" priority="80" stopIfTrue="1">
      <formula>OR(AND(ISNUMBER($C74),$C74=0),$C74=2,$C74=3,$C74=4)</formula>
    </cfRule>
  </conditionalFormatting>
  <conditionalFormatting sqref="X74">
    <cfRule type="expression" dxfId="773" priority="67" stopIfTrue="1">
      <formula>$C74=1</formula>
    </cfRule>
    <cfRule type="expression" dxfId="772" priority="68" stopIfTrue="1">
      <formula>OR($C74=0,$C74=2,$C74=3,$C74=4)</formula>
    </cfRule>
  </conditionalFormatting>
  <conditionalFormatting sqref="X66">
    <cfRule type="expression" dxfId="771" priority="63" stopIfTrue="1">
      <formula>$C66=1</formula>
    </cfRule>
    <cfRule type="expression" dxfId="770" priority="64" stopIfTrue="1">
      <formula>OR($C66=0,$C66=2,$C66=3,$C66=4)</formula>
    </cfRule>
  </conditionalFormatting>
  <conditionalFormatting sqref="M183">
    <cfRule type="cellIs" dxfId="769" priority="49" stopIfTrue="1" operator="notEqual">
      <formula>$N183</formula>
    </cfRule>
  </conditionalFormatting>
  <conditionalFormatting sqref="N183:O183 W183">
    <cfRule type="expression" dxfId="768" priority="50" stopIfTrue="1">
      <formula>$C183=1</formula>
    </cfRule>
    <cfRule type="expression" dxfId="767" priority="51" stopIfTrue="1">
      <formula>OR($C183=0,$C183=2,$C183=3,$C183=4)</formula>
    </cfRule>
  </conditionalFormatting>
  <conditionalFormatting sqref="AJ183">
    <cfRule type="expression" dxfId="766" priority="52" stopIfTrue="1">
      <formula>OR(ACOMPANHAMENTO&lt;&gt;"BM",TIPOORCAMENTO="Licitado")</formula>
    </cfRule>
    <cfRule type="expression" dxfId="765" priority="53" stopIfTrue="1">
      <formula>$C183=1</formula>
    </cfRule>
    <cfRule type="expression" dxfId="764" priority="54" stopIfTrue="1">
      <formula>OR(AND(ISNUMBER($C183),$C183=0),$C183=2,$C183=3,$C183=4)</formula>
    </cfRule>
  </conditionalFormatting>
  <conditionalFormatting sqref="AL183">
    <cfRule type="expression" dxfId="763" priority="55" stopIfTrue="1">
      <formula>TIPOORCAMENTO="PROPOSTO"</formula>
    </cfRule>
    <cfRule type="expression" dxfId="762" priority="56" stopIfTrue="1">
      <formula>$C183=1</formula>
    </cfRule>
    <cfRule type="expression" dxfId="761" priority="57" stopIfTrue="1">
      <formula>OR(AND(ISNUMBER($C183),$C183=0),$C183=2,$C183=3,$C183=4)</formula>
    </cfRule>
  </conditionalFormatting>
  <conditionalFormatting sqref="AM183:AN183">
    <cfRule type="expression" dxfId="760" priority="58" stopIfTrue="1">
      <formula>TIPOORCAMENTO="PROPOSTO"</formula>
    </cfRule>
    <cfRule type="expression" dxfId="759" priority="59" stopIfTrue="1">
      <formula>$C183=1</formula>
    </cfRule>
    <cfRule type="expression" dxfId="758" priority="60" stopIfTrue="1">
      <formula>OR(AND(ISNUMBER($C183),$C183=0),$C183=2,$C183=3,$C183=4)</formula>
    </cfRule>
  </conditionalFormatting>
  <conditionalFormatting sqref="X183">
    <cfRule type="expression" dxfId="757" priority="47" stopIfTrue="1">
      <formula>$C183=1</formula>
    </cfRule>
    <cfRule type="expression" dxfId="756" priority="48" stopIfTrue="1">
      <formula>OR($C183=0,$C183=2,$C183=3,$C183=4)</formula>
    </cfRule>
  </conditionalFormatting>
  <conditionalFormatting sqref="M185">
    <cfRule type="cellIs" dxfId="755" priority="33" stopIfTrue="1" operator="notEqual">
      <formula>$N185</formula>
    </cfRule>
  </conditionalFormatting>
  <conditionalFormatting sqref="N185:O185 W185">
    <cfRule type="expression" dxfId="754" priority="34" stopIfTrue="1">
      <formula>$C185=1</formula>
    </cfRule>
    <cfRule type="expression" dxfId="753" priority="35" stopIfTrue="1">
      <formula>OR($C185=0,$C185=2,$C185=3,$C185=4)</formula>
    </cfRule>
  </conditionalFormatting>
  <conditionalFormatting sqref="AJ185">
    <cfRule type="expression" dxfId="752" priority="36" stopIfTrue="1">
      <formula>OR(ACOMPANHAMENTO&lt;&gt;"BM",TIPOORCAMENTO="Licitado")</formula>
    </cfRule>
    <cfRule type="expression" dxfId="751" priority="37" stopIfTrue="1">
      <formula>$C185=1</formula>
    </cfRule>
    <cfRule type="expression" dxfId="750" priority="38" stopIfTrue="1">
      <formula>OR(AND(ISNUMBER($C185),$C185=0),$C185=2,$C185=3,$C185=4)</formula>
    </cfRule>
  </conditionalFormatting>
  <conditionalFormatting sqref="AL185">
    <cfRule type="expression" dxfId="749" priority="39" stopIfTrue="1">
      <formula>TIPOORCAMENTO="PROPOSTO"</formula>
    </cfRule>
    <cfRule type="expression" dxfId="748" priority="40" stopIfTrue="1">
      <formula>$C185=1</formula>
    </cfRule>
    <cfRule type="expression" dxfId="747" priority="41" stopIfTrue="1">
      <formula>OR(AND(ISNUMBER($C185),$C185=0),$C185=2,$C185=3,$C185=4)</formula>
    </cfRule>
  </conditionalFormatting>
  <conditionalFormatting sqref="AM185:AN185">
    <cfRule type="expression" dxfId="746" priority="42" stopIfTrue="1">
      <formula>TIPOORCAMENTO="PROPOSTO"</formula>
    </cfRule>
    <cfRule type="expression" dxfId="745" priority="43" stopIfTrue="1">
      <formula>$C185=1</formula>
    </cfRule>
    <cfRule type="expression" dxfId="744" priority="44" stopIfTrue="1">
      <formula>OR(AND(ISNUMBER($C185),$C185=0),$C185=2,$C185=3,$C185=4)</formula>
    </cfRule>
  </conditionalFormatting>
  <conditionalFormatting sqref="X185">
    <cfRule type="expression" dxfId="743" priority="31" stopIfTrue="1">
      <formula>$C185=1</formula>
    </cfRule>
    <cfRule type="expression" dxfId="742" priority="32" stopIfTrue="1">
      <formula>OR($C185=0,$C185=2,$C185=3,$C185=4)</formula>
    </cfRule>
  </conditionalFormatting>
  <conditionalFormatting sqref="M22">
    <cfRule type="cellIs" dxfId="741" priority="17" stopIfTrue="1" operator="notEqual">
      <formula>$N22</formula>
    </cfRule>
  </conditionalFormatting>
  <conditionalFormatting sqref="N22:O22 W22">
    <cfRule type="expression" dxfId="740" priority="18" stopIfTrue="1">
      <formula>$C22=1</formula>
    </cfRule>
    <cfRule type="expression" dxfId="739" priority="19" stopIfTrue="1">
      <formula>OR($C22=0,$C22=2,$C22=3,$C22=4)</formula>
    </cfRule>
  </conditionalFormatting>
  <conditionalFormatting sqref="AJ22">
    <cfRule type="expression" dxfId="738" priority="20" stopIfTrue="1">
      <formula>OR(ACOMPANHAMENTO&lt;&gt;"BM",TIPOORCAMENTO="Licitado")</formula>
    </cfRule>
    <cfRule type="expression" dxfId="737" priority="21" stopIfTrue="1">
      <formula>$C22=1</formula>
    </cfRule>
    <cfRule type="expression" dxfId="736" priority="22" stopIfTrue="1">
      <formula>OR(AND(ISNUMBER($C22),$C22=0),$C22=2,$C22=3,$C22=4)</formula>
    </cfRule>
  </conditionalFormatting>
  <conditionalFormatting sqref="AL22">
    <cfRule type="expression" dxfId="735" priority="23" stopIfTrue="1">
      <formula>TIPOORCAMENTO="PROPOSTO"</formula>
    </cfRule>
    <cfRule type="expression" dxfId="734" priority="24" stopIfTrue="1">
      <formula>$C22=1</formula>
    </cfRule>
    <cfRule type="expression" dxfId="733" priority="25" stopIfTrue="1">
      <formula>OR(AND(ISNUMBER($C22),$C22=0),$C22=2,$C22=3,$C22=4)</formula>
    </cfRule>
  </conditionalFormatting>
  <conditionalFormatting sqref="AM22:AN22">
    <cfRule type="expression" dxfId="732" priority="26" stopIfTrue="1">
      <formula>TIPOORCAMENTO="PROPOSTO"</formula>
    </cfRule>
    <cfRule type="expression" dxfId="731" priority="27" stopIfTrue="1">
      <formula>$C22=1</formula>
    </cfRule>
    <cfRule type="expression" dxfId="730" priority="28" stopIfTrue="1">
      <formula>OR(AND(ISNUMBER($C22),$C22=0),$C22=2,$C22=3,$C22=4)</formula>
    </cfRule>
  </conditionalFormatting>
  <conditionalFormatting sqref="X22">
    <cfRule type="expression" dxfId="729" priority="15" stopIfTrue="1">
      <formula>$C22=1</formula>
    </cfRule>
    <cfRule type="expression" dxfId="728" priority="16" stopIfTrue="1">
      <formula>OR($C22=0,$C22=2,$C22=3,$C22=4)</formula>
    </cfRule>
  </conditionalFormatting>
  <conditionalFormatting sqref="R16:R190">
    <cfRule type="expression" dxfId="727" priority="1" stopIfTrue="1">
      <formula>$C16=1</formula>
    </cfRule>
    <cfRule type="expression" dxfId="726" priority="2" stopIfTrue="1">
      <formula>OR($C16=0,$C16=2,$C16=3,$C16=4)</formula>
    </cfRule>
  </conditionalFormatting>
  <dataValidations xWindow="929" yWindow="568" count="8">
    <dataValidation type="decimal" operator="greaterThan" allowBlank="1" showErrorMessage="1" error="Apenas números decimais maiores que zero." sqref="U14 AL14 AJ14 U16:U190 AJ16:AJ190 AL16:AL190"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190"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190" xr:uid="{00000000-0002-0000-0400-000006000000}"/>
    <dataValidation type="list" errorStyle="information" allowBlank="1" showInputMessage="1" prompt="Selecione uma sigla de unidade na lista suspensa." sqref="S14 S16:S190"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190"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190"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190"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190"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53"/>
  <sheetViews>
    <sheetView showGridLines="0" zoomScale="70" zoomScaleNormal="7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t="e" cm="1">
        <f t="array" aca="1" ref="E1" ca="1">IF(AUTOEVENTO="Manual",ROUND(SUMPRODUCT((CÁLCULO!$M$15:$M$191=EVENTOS!$C1)*(OFFSET(CÁLCULO!$AI$15:$AI$191,0,E$13))),2),0)</f>
        <v>#REF!</v>
      </c>
      <c r="F1" s="183" t="e">
        <f ca="1">IF(AUTOEVENTO="Manual",ROUND(SUMPRODUCT((CÁLCULO!$M$15:$M$191=EVENTOS!$C1)*(OFFSET(CÁLCULO!$AI$15,0,1):OFFSET(CÁLCULO!$BB$191,0,-1))),2),0)</f>
        <v>#REF!</v>
      </c>
      <c r="G1" s="621" t="e">
        <f ca="1">IF(AND(D1=0,F1&gt;0),"NOME",
 IF(AND(D1&lt;&gt;0,$F$14&gt;0,F1=0),"VALOR",
 IF(AND(Import.TipoArredondamento="TransfereGOV",$A1="F",LEN(D1)&gt;100),"Nome &gt;100","")))</f>
        <v>#REF!</v>
      </c>
      <c r="H1" s="620" t="e" cm="1">
        <f t="array" aca="1" ref="H1" ca="1">IF(AUTOEVENTO="Manual",ROUND(SUMPRODUCT((CÁLCULO!$M$15:$M$191=EVENTOS!$C1)*(OFFSET(CÁLCULO!$AI$15:$AI$191,0,H$13))),2),0)</f>
        <v>#REF!</v>
      </c>
      <c r="I1" s="620" t="e" cm="1">
        <f t="array" aca="1" ref="I1" ca="1">IF(AUTOEVENTO="Manual",ROUND(SUMPRODUCT((CÁLCULO!$M$15:$M$191=EVENTOS!$C1)*(OFFSET(CÁLCULO!$AI$15:$AI$191,0,I$13))),2),0)</f>
        <v>#REF!</v>
      </c>
      <c r="J1" s="620" t="e" cm="1">
        <f t="array" aca="1" ref="J1" ca="1">IF(AUTOEVENTO="Manual",ROUND(SUMPRODUCT((CÁLCULO!$M$15:$M$191=EVENTOS!$C1)*(OFFSET(CÁLCULO!$AI$15:$AI$191,0,J$13))),2),0)</f>
        <v>#REF!</v>
      </c>
      <c r="K1" s="620" t="e" cm="1">
        <f t="array" aca="1" ref="K1" ca="1">IF(AUTOEVENTO="Manual",ROUND(SUMPRODUCT((CÁLCULO!$M$15:$M$191=EVENTOS!$C1)*(OFFSET(CÁLCULO!$AI$15:$AI$191,0,K$13))),2),0)</f>
        <v>#REF!</v>
      </c>
      <c r="L1" s="620" t="e" cm="1">
        <f t="array" aca="1" ref="L1" ca="1">IF(AUTOEVENTO="Manual",ROUND(SUMPRODUCT((CÁLCULO!$M$15:$M$191=EVENTOS!$C1)*(OFFSET(CÁLCULO!$AI$15:$AI$191,0,L$13))),2),0)</f>
        <v>#REF!</v>
      </c>
      <c r="M1" s="620" t="e" cm="1">
        <f t="array" aca="1" ref="M1" ca="1">IF(AUTOEVENTO="Manual",ROUND(SUMPRODUCT((CÁLCULO!$M$15:$M$191=EVENTOS!$C1)*(OFFSET(CÁLCULO!$AI$15:$AI$191,0,M$13))),2),0)</f>
        <v>#REF!</v>
      </c>
      <c r="N1" s="620" t="e" cm="1">
        <f t="array" aca="1" ref="N1" ca="1">IF(AUTOEVENTO="Manual",ROUND(SUMPRODUCT((CÁLCULO!$M$15:$M$191=EVENTOS!$C1)*(OFFSET(CÁLCULO!$AI$15:$AI$191,0,N$13))),2),0)</f>
        <v>#REF!</v>
      </c>
      <c r="O1" s="620" t="e" cm="1">
        <f t="array" aca="1" ref="O1" ca="1">IF(AUTOEVENTO="Manual",ROUND(SUMPRODUCT((CÁLCULO!$M$15:$M$191=EVENTOS!$C1)*(OFFSET(CÁLCULO!$AI$15:$AI$191,0,O$13))),2),0)</f>
        <v>#REF!</v>
      </c>
      <c r="P1" s="620" t="e" cm="1">
        <f t="array" aca="1" ref="P1" ca="1">IF(AUTOEVENTO="Manual",ROUND(SUMPRODUCT((CÁLCULO!$M$15:$M$191=EVENTOS!$C1)*(OFFSET(CÁLCULO!$AI$15:$AI$191,0,P$13))),2),0)</f>
        <v>#REF!</v>
      </c>
      <c r="Q1" s="620" t="e" cm="1">
        <f t="array" aca="1" ref="Q1" ca="1">IF(AUTOEVENTO="Manual",ROUND(SUMPRODUCT((CÁLCULO!$M$15:$M$191=EVENTOS!$C1)*(OFFSET(CÁLCULO!$AI$15:$AI$191,0,Q$13))),2),0)</f>
        <v>#REF!</v>
      </c>
      <c r="R1" s="620" t="e" cm="1">
        <f t="array" aca="1" ref="R1" ca="1">IF(AUTOEVENTO="Manual",ROUND(SUMPRODUCT((CÁLCULO!$M$15:$M$191=EVENTOS!$C1)*(OFFSET(CÁLCULO!$AI$15:$AI$191,0,R$13))),2),0)</f>
        <v>#REF!</v>
      </c>
      <c r="S1" s="620" t="e" cm="1">
        <f t="array" aca="1" ref="S1" ca="1">IF(AUTOEVENTO="Manual",ROUND(SUMPRODUCT((CÁLCULO!$M$15:$M$191=EVENTOS!$C1)*(OFFSET(CÁLCULO!$AI$15:$AI$191,0,S$13))),2),0)</f>
        <v>#REF!</v>
      </c>
      <c r="T1" s="620" t="e" cm="1">
        <f t="array" aca="1" ref="T1" ca="1">IF(AUTOEVENTO="Manual",ROUND(SUMPRODUCT((CÁLCULO!$M$15:$M$191=EVENTOS!$C1)*(OFFSET(CÁLCULO!$AI$15:$AI$191,0,T$13))),2),0)</f>
        <v>#REF!</v>
      </c>
      <c r="U1" s="620" t="e" cm="1">
        <f t="array" aca="1" ref="U1" ca="1">IF(AUTOEVENTO="Manual",ROUND(SUMPRODUCT((CÁLCULO!$M$15:$M$191=EVENTOS!$C1)*(OFFSET(CÁLCULO!$AI$15:$AI$191,0,U$13))),2),0)</f>
        <v>#REF!</v>
      </c>
      <c r="V1" s="620" t="e" cm="1">
        <f t="array" aca="1" ref="V1" ca="1">IF(AUTOEVENTO="Manual",ROUND(SUMPRODUCT((CÁLCULO!$M$15:$M$191=EVENTOS!$C1)*(OFFSET(CÁLCULO!$AI$15:$AI$191,0,V$13))),2),0)</f>
        <v>#REF!</v>
      </c>
      <c r="W1" s="620" t="e" cm="1">
        <f t="array" aca="1" ref="W1" ca="1">IF(AUTOEVENTO="Manual",ROUND(SUMPRODUCT((CÁLCULO!$M$15:$M$191=EVENTOS!$C1)*(OFFSET(CÁLCULO!$AI$15:$AI$191,0,W$13))),2),0)</f>
        <v>#REF!</v>
      </c>
      <c r="X1" s="620" t="e" cm="1">
        <f t="array" aca="1" ref="X1" ca="1">IF(AUTOEVENTO="Manual",ROUND(SUMPRODUCT((CÁLCULO!$M$15:$M$191=EVENTOS!$C1)*(OFFSET(CÁLCULO!$AI$15:$AI$191,0,X$13))),2),0)</f>
        <v>#REF!</v>
      </c>
      <c r="Y1" s="620" t="e" cm="1">
        <f t="array" aca="1" ref="Y1" ca="1">IF(AUTOEVENTO="Manual",ROUND(SUMPRODUCT((CÁLCULO!$M$15:$M$191=EVENTOS!$C1)*(OFFSET(CÁLCULO!$AI$15:$AI$191,0,Y$13))),2),0)</f>
        <v>#REF!</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t="str">
        <f>Import.Proponente</f>
        <v>MUNICIPIO DE BOA ESPERANCA</v>
      </c>
      <c r="D5" s="503"/>
      <c r="E5" s="503"/>
      <c r="F5" s="802" t="str">
        <f>Import.Apelido</f>
        <v>AMPLIAÇÃO NO SISTEMA DE ÁGUA- BAIRRO NOVA ESPERANÇA</v>
      </c>
      <c r="G5" s="803"/>
      <c r="H5" s="803"/>
      <c r="I5" s="803"/>
      <c r="J5" s="803"/>
      <c r="K5" s="803"/>
      <c r="L5" s="803"/>
      <c r="M5" s="804"/>
      <c r="N5" s="56" t="str">
        <f>Import.CR</f>
        <v>56000000966/2023</v>
      </c>
      <c r="O5" s="56" t="str">
        <f>Import.SICONV</f>
        <v>27488/2025</v>
      </c>
      <c r="P5" s="802" t="str">
        <f>Import.Apelido</f>
        <v>AMPLIAÇÃO NO SISTEMA DE ÁGUA- BAIRRO NOVA ESPERANÇA</v>
      </c>
      <c r="Q5" s="803"/>
      <c r="R5" s="803"/>
      <c r="S5" s="803"/>
      <c r="T5" s="803"/>
      <c r="U5" s="803"/>
      <c r="V5" s="803"/>
      <c r="W5" s="804"/>
      <c r="X5" s="56" t="str">
        <f>Import.CR</f>
        <v>56000000966/2023</v>
      </c>
      <c r="Y5" s="56" t="str">
        <f>Import.SICONV</f>
        <v>27488/2025</v>
      </c>
      <c r="Z5" t="s">
        <v>752</v>
      </c>
    </row>
    <row r="6" spans="1:26" ht="24.95" customHeight="1" x14ac:dyDescent="0.25">
      <c r="B6" t="s">
        <v>937</v>
      </c>
      <c r="C6" t="s">
        <v>759</v>
      </c>
      <c r="F6" s="521" t="str">
        <f ca="1">IF(AUTOEVENTO="MANUAL",
  IF(COUNTIF($G$15:$G$46,"NOME")&gt;0,"Falta preencher o nome do Título do Evento nº "&amp;INDEX($C$15:$C$46,MATCH("NOME",$G$15:$G$46,0)),
  IF(COUNTIF($G$15:$G$46,"VALOR")&gt;0,"Falta atribuir serviços ao Evento nº "&amp;INDEX($C$15:$C$46,MATCH("VALOR",$G$15:$G$46,0))&amp;". Corrigir a atribuição dos eventos na aba CÁLCULO. Ou excluir linhas dos eventos não utilizados.",
  IF(ROUND($F$14,2)&lt;&gt;ROUND(ORÇAMENTO!$X$15,2),"O valor total dos Eventos é diferente do valor total do Orçamento. Corrigir a atribuição dos eventos na aba CÁLCULO",
  IF(COUNTIF($G$15:$G$46,"Nome &gt;100")&gt;0,"O tamanho do Título do Evento no TransfereGOV é limitado a 100 caracteres. Resuma o nome do Título do Evento nº "&amp;INDEX($C$15:$C$46,MATCH("Nome &gt;100",$G$15:$G$46,0)),"")))),"")</f>
        <v/>
      </c>
    </row>
    <row r="7" spans="1:26" ht="3.95" customHeight="1" thickBot="1" x14ac:dyDescent="0.25">
      <c r="B7" t="s">
        <v>940</v>
      </c>
    </row>
    <row r="8" spans="1:26" ht="16.5" thickBot="1" x14ac:dyDescent="0.3">
      <c r="B8" t="s">
        <v>941</v>
      </c>
      <c r="C8" s="809" t="s">
        <v>939</v>
      </c>
      <c r="D8" s="810"/>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COUNTIF($C$15:$C$46,"&gt;0")-1</f>
        <v>29</v>
      </c>
      <c r="D10" t="s">
        <v>752</v>
      </c>
      <c r="E10" s="805" t="str">
        <f ca="1">OFFSET(CÁLCULO!$P$12,0,EVENTOS!E$13)</f>
        <v>Projetos</v>
      </c>
      <c r="F10" t="s">
        <v>752</v>
      </c>
      <c r="G10" s="806"/>
      <c r="H10" s="805" t="str">
        <f ca="1">OFFSET(CÁLCULO!$P$12,0,EVENTOS!H$13)</f>
        <v>Projetos</v>
      </c>
      <c r="I10" s="805" t="str">
        <f ca="1">OFFSET(CÁLCULO!$P$12,0,EVENTOS!I$13)</f>
        <v>Geral</v>
      </c>
      <c r="J10" s="805" t="str">
        <f ca="1">OFFSET(CÁLCULO!$P$12,0,EVENTOS!J$13)</f>
        <v>Reservatório 320m³</v>
      </c>
      <c r="K10" s="806" t="str">
        <f ca="1">OFFSET(CÁLCULO!$P$12,0,EVENTOS!K$13)</f>
        <v>Muro de divisa</v>
      </c>
      <c r="L10" s="806" t="str">
        <f ca="1">OFFSET(CÁLCULO!$P$12,0,EVENTOS!L$13)</f>
        <v>Adutora de água tratada</v>
      </c>
      <c r="M10" s="806" t="str">
        <f ca="1">OFFSET(CÁLCULO!$P$12,0,EVENTOS!M$13)</f>
        <v>Estação Elevatória de água tratada</v>
      </c>
      <c r="N10" s="806" t="str">
        <f ca="1">OFFSET(CÁLCULO!$P$12,0,EVENTOS!N$13)</f>
        <v>Distribuição de água tratada</v>
      </c>
      <c r="O10" s="806" t="str">
        <f ca="1">OFFSET(CÁLCULO!$P$12,0,EVENTOS!O$13)</f>
        <v>Mês 7 de obra</v>
      </c>
      <c r="P10" s="806" t="str">
        <f ca="1">OFFSET(CÁLCULO!$P$12,0,EVENTOS!P$13)</f>
        <v>Mês 8 de obra</v>
      </c>
      <c r="Q10" s="806" t="str">
        <f ca="1">OFFSET(CÁLCULO!$P$12,0,EVENTOS!Q$13)</f>
        <v>Mês 9 de obra</v>
      </c>
      <c r="R10" s="806" t="str">
        <f ca="1">OFFSET(CÁLCULO!$P$12,0,EVENTOS!R$13)</f>
        <v>Mês 10 de obra</v>
      </c>
      <c r="S10" s="806" t="str">
        <f ca="1">OFFSET(CÁLCULO!$P$12,0,EVENTOS!S$13)</f>
        <v>.</v>
      </c>
      <c r="T10" s="806" t="str">
        <f ca="1">OFFSET(CÁLCULO!$P$12,0,EVENTOS!T$13)</f>
        <v>.</v>
      </c>
      <c r="U10" s="806" t="str">
        <f ca="1">OFFSET(CÁLCULO!$P$12,0,EVENTOS!U$13)</f>
        <v>.</v>
      </c>
      <c r="V10" s="806" t="str">
        <f ca="1">OFFSET(CÁLCULO!$P$12,0,EVENTOS!V$13)</f>
        <v>.</v>
      </c>
      <c r="W10" s="806" t="str">
        <f ca="1">OFFSET(CÁLCULO!$P$12,0,EVENTOS!W$13)</f>
        <v>.</v>
      </c>
      <c r="X10" s="806" t="str">
        <f ca="1">OFFSET(CÁLCULO!$P$12,0,EVENTOS!X$13)</f>
        <v>.</v>
      </c>
      <c r="Y10" s="806" t="str">
        <f ca="1">OFFSET(CÁLCULO!$P$12,0,EVENTOS!Y$13)</f>
        <v>.</v>
      </c>
    </row>
    <row r="11" spans="1:26" ht="35.1" customHeight="1" x14ac:dyDescent="0.2">
      <c r="A11" s="507" t="s">
        <v>655</v>
      </c>
      <c r="C11" s="811"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
      </c>
      <c r="D11" s="811"/>
      <c r="E11" s="805"/>
      <c r="F11" s="497"/>
      <c r="G11" s="807"/>
      <c r="H11" s="805"/>
      <c r="I11" s="805"/>
      <c r="J11" s="805"/>
      <c r="K11" s="807"/>
      <c r="L11" s="807"/>
      <c r="M11" s="807"/>
      <c r="N11" s="807"/>
      <c r="O11" s="807"/>
      <c r="P11" s="807"/>
      <c r="Q11" s="807"/>
      <c r="R11" s="807"/>
      <c r="S11" s="807"/>
      <c r="T11" s="807"/>
      <c r="U11" s="807"/>
      <c r="V11" s="807"/>
      <c r="W11" s="807"/>
      <c r="X11" s="807"/>
      <c r="Y11" s="807"/>
    </row>
    <row r="12" spans="1:26" ht="12" customHeight="1" x14ac:dyDescent="0.2">
      <c r="A12" s="508" t="s">
        <v>660</v>
      </c>
      <c r="E12" s="805"/>
      <c r="G12" s="808"/>
      <c r="H12" s="805"/>
      <c r="I12" s="805"/>
      <c r="J12" s="805"/>
      <c r="K12" s="808"/>
      <c r="L12" s="808"/>
      <c r="M12" s="808"/>
      <c r="N12" s="808"/>
      <c r="O12" s="808"/>
      <c r="P12" s="808"/>
      <c r="Q12" s="808"/>
      <c r="R12" s="808"/>
      <c r="S12" s="808"/>
      <c r="T12" s="808"/>
      <c r="U12" s="808"/>
      <c r="V12" s="808"/>
      <c r="W12" s="808"/>
      <c r="X12" s="808"/>
      <c r="Y12" s="808"/>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2</v>
      </c>
      <c r="J13" s="624">
        <f t="shared" ca="1" si="1"/>
        <v>3</v>
      </c>
      <c r="K13" s="624">
        <f t="shared" ca="1" si="1"/>
        <v>4</v>
      </c>
      <c r="L13" s="624">
        <f t="shared" ca="1" si="1"/>
        <v>5</v>
      </c>
      <c r="M13" s="624">
        <f t="shared" ca="1" si="1"/>
        <v>6</v>
      </c>
      <c r="N13" s="624">
        <f t="shared" ca="1" si="1"/>
        <v>7</v>
      </c>
      <c r="O13" s="624">
        <f t="shared" ca="1" si="1"/>
        <v>8</v>
      </c>
      <c r="P13" s="624">
        <f t="shared" ca="1" si="1"/>
        <v>9</v>
      </c>
      <c r="Q13" s="624">
        <f t="shared" ca="1" si="1"/>
        <v>10</v>
      </c>
      <c r="R13" s="624">
        <f t="shared" ca="1" si="1"/>
        <v>11</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SUM(E$15:E$46)</f>
        <v>135179.56</v>
      </c>
      <c r="F14" s="543">
        <f ca="1">SUM(F$15:F$46)</f>
        <v>4985084.83</v>
      </c>
      <c r="H14" s="625">
        <f t="shared" ref="H14:Y14" ca="1" si="2">SUM(H$15:H$46)</f>
        <v>135179.56</v>
      </c>
      <c r="I14" s="625">
        <f t="shared" ca="1" si="2"/>
        <v>48169.7</v>
      </c>
      <c r="J14" s="625">
        <f t="shared" ca="1" si="2"/>
        <v>974556.95</v>
      </c>
      <c r="K14" s="625">
        <f t="shared" ca="1" si="2"/>
        <v>216222.1</v>
      </c>
      <c r="L14" s="625">
        <f t="shared" ca="1" si="2"/>
        <v>2177748.17</v>
      </c>
      <c r="M14" s="625">
        <f t="shared" ca="1" si="2"/>
        <v>582010.7699999999</v>
      </c>
      <c r="N14" s="625">
        <f t="shared" ca="1" si="2"/>
        <v>743528.55</v>
      </c>
      <c r="O14" s="625">
        <f t="shared" ca="1" si="2"/>
        <v>35889.68</v>
      </c>
      <c r="P14" s="625">
        <f t="shared" ca="1" si="2"/>
        <v>23926.45</v>
      </c>
      <c r="Q14" s="625">
        <f t="shared" ca="1" si="2"/>
        <v>11963.22</v>
      </c>
      <c r="R14" s="625">
        <f t="shared" ca="1" si="2"/>
        <v>35889.68</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45" si="3">IF(D15="","","F")</f>
        <v/>
      </c>
      <c r="B15" t="str">
        <f>IF(OR(C15=" ",D15=""),"",CONCATENATE(C15,". ",D15))</f>
        <v/>
      </c>
      <c r="C15" s="546" cm="1">
        <f t="array" ref="C15">IF(AdmLocal="Automática",1,0)</f>
        <v>0</v>
      </c>
      <c r="D15" s="626" t="str">
        <f>IF(C15=1,"Administração Local","")</f>
        <v/>
      </c>
      <c r="E15" s="627">
        <f ca="1">IF($F$15=0,0,IF(E13=1,$F$15-SUM($I$15:$Z$15),ROUND(SUM(OFFSET(E15,1,0):OFFSET(E$46,-1,0))/SUM(OFFSET($F15,1,0):OFFSET($F$46,-1,0))*$F$15,2)))</f>
        <v>0</v>
      </c>
      <c r="F15" s="547" cm="1">
        <f t="array" ref="F15">IF($C$15=0,0,ROUND(SUMPRODUCT((CÁLCULO!$M$15:$M$191=EVENTOS!$C15)*(ORÇAMENTO!$X$15:'ORÇAMENTO'!$X$191)),2))</f>
        <v>0</v>
      </c>
      <c r="G15" s="628"/>
      <c r="H15" s="627">
        <f ca="1">IF($F$15=0,0,IF(H13=1,$F$15-SUM($I$15:$Z$15),ROUND(SUM(OFFSET(H15,1,0):OFFSET(H$46,-1,0))/SUM(OFFSET($F15,1,0):OFFSET($F$46,-1,0))*$F$15,2)))</f>
        <v>0</v>
      </c>
      <c r="I15" s="627">
        <f ca="1">IF($F$15=0,0,IF(I13=1,$F$15-SUM($I$15:$Z$15),ROUND(SUM(OFFSET(I15,1,0):OFFSET(I$46,-1,0))/SUM(OFFSET($F15,1,0):OFFSET($F$46,-1,0))*$F$15,2)))</f>
        <v>0</v>
      </c>
      <c r="J15" s="627">
        <f ca="1">IF($F$15=0,0,IF(J13=1,$F$15-SUM($I$15:$Z$15),ROUND(SUM(OFFSET(J15,1,0):OFFSET(J$46,-1,0))/SUM(OFFSET($F15,1,0):OFFSET($F$46,-1,0))*$F$15,2)))</f>
        <v>0</v>
      </c>
      <c r="K15" s="627">
        <f ca="1">IF($F$15=0,0,IF(K13=1,$F$15-SUM($I$15:$Z$15),ROUND(SUM(OFFSET(K15,1,0):OFFSET(K$46,-1,0))/SUM(OFFSET($F15,1,0):OFFSET($F$46,-1,0))*$F$15,2)))</f>
        <v>0</v>
      </c>
      <c r="L15" s="627">
        <f ca="1">IF($F$15=0,0,IF(L13=1,$F$15-SUM($I$15:$Z$15),ROUND(SUM(OFFSET(L15,1,0):OFFSET(L$46,-1,0))/SUM(OFFSET($F15,1,0):OFFSET($F$46,-1,0))*$F$15,2)))</f>
        <v>0</v>
      </c>
      <c r="M15" s="627">
        <f ca="1">IF($F$15=0,0,IF(M13=1,$F$15-SUM($I$15:$Z$15),ROUND(SUM(OFFSET(M15,1,0):OFFSET(M$46,-1,0))/SUM(OFFSET($F15,1,0):OFFSET($F$46,-1,0))*$F$15,2)))</f>
        <v>0</v>
      </c>
      <c r="N15" s="627">
        <f ca="1">IF($F$15=0,0,IF(N13=1,$F$15-SUM($I$15:$Z$15),ROUND(SUM(OFFSET(N15,1,0):OFFSET(N$46,-1,0))/SUM(OFFSET($F15,1,0):OFFSET($F$46,-1,0))*$F$15,2)))</f>
        <v>0</v>
      </c>
      <c r="O15" s="627">
        <f ca="1">IF($F$15=0,0,IF(O13=1,$F$15-SUM($I$15:$Z$15),ROUND(SUM(OFFSET(O15,1,0):OFFSET(O$46,-1,0))/SUM(OFFSET($F15,1,0):OFFSET($F$46,-1,0))*$F$15,2)))</f>
        <v>0</v>
      </c>
      <c r="P15" s="627">
        <f ca="1">IF($F$15=0,0,IF(P13=1,$F$15-SUM($I$15:$Z$15),ROUND(SUM(OFFSET(P15,1,0):OFFSET(P$46,-1,0))/SUM(OFFSET($F15,1,0):OFFSET($F$46,-1,0))*$F$15,2)))</f>
        <v>0</v>
      </c>
      <c r="Q15" s="627">
        <f ca="1">IF($F$15=0,0,IF(Q13=1,$F$15-SUM($I$15:$Z$15),ROUND(SUM(OFFSET(Q15,1,0):OFFSET(Q$46,-1,0))/SUM(OFFSET($F15,1,0):OFFSET($F$46,-1,0))*$F$15,2)))</f>
        <v>0</v>
      </c>
      <c r="R15" s="627">
        <f ca="1">IF($F$15=0,0,IF(R13=1,$F$15-SUM($I$15:$Z$15),ROUND(SUM(OFFSET(R15,1,0):OFFSET(R$46,-1,0))/SUM(OFFSET($F15,1,0):OFFSET($F$46,-1,0))*$F$15,2)))</f>
        <v>0</v>
      </c>
      <c r="S15" s="627">
        <f ca="1">IF($F$15=0,0,IF(S13=1,$F$15-SUM($I$15:$Z$15),ROUND(SUM(OFFSET(S15,1,0):OFFSET(S$46,-1,0))/SUM(OFFSET($F15,1,0):OFFSET($F$46,-1,0))*$F$15,2)))</f>
        <v>0</v>
      </c>
      <c r="T15" s="627">
        <f ca="1">IF($F$15=0,0,IF(T13=1,$F$15-SUM($I$15:$Z$15),ROUND(SUM(OFFSET(T15,1,0):OFFSET(T$46,-1,0))/SUM(OFFSET($F15,1,0):OFFSET($F$46,-1,0))*$F$15,2)))</f>
        <v>0</v>
      </c>
      <c r="U15" s="627">
        <f ca="1">IF($F$15=0,0,IF(U13=1,$F$15-SUM($I$15:$Z$15),ROUND(SUM(OFFSET(U15,1,0):OFFSET(U$46,-1,0))/SUM(OFFSET($F15,1,0):OFFSET($F$46,-1,0))*$F$15,2)))</f>
        <v>0</v>
      </c>
      <c r="V15" s="627">
        <f ca="1">IF($F$15=0,0,IF(V13=1,$F$15-SUM($I$15:$Z$15),ROUND(SUM(OFFSET(V15,1,0):OFFSET(V$46,-1,0))/SUM(OFFSET($F15,1,0):OFFSET($F$46,-1,0))*$F$15,2)))</f>
        <v>0</v>
      </c>
      <c r="W15" s="627">
        <f ca="1">IF($F$15=0,0,IF(W13=1,$F$15-SUM($I$15:$Z$15),ROUND(SUM(OFFSET(W15,1,0):OFFSET(W$46,-1,0))/SUM(OFFSET($F15,1,0):OFFSET($F$46,-1,0))*$F$15,2)))</f>
        <v>0</v>
      </c>
      <c r="X15" s="627">
        <f ca="1">IF($F$15=0,0,IF(X13=1,$F$15-SUM($I$15:$Z$15),ROUND(SUM(OFFSET(X15,1,0):OFFSET(X$46,-1,0))/SUM(OFFSET($F15,1,0):OFFSET($F$46,-1,0))*$F$15,2)))</f>
        <v>0</v>
      </c>
      <c r="Y15" s="627">
        <f ca="1">IF($F$15=0,0,IF(Y13=1,$F$15-SUM($I$15:$Z$15),ROUND(SUM(OFFSET(Y15,1,0):OFFSET(Y$46,-1,0))/SUM(OFFSET($F15,1,0):OFFSET($F$46,-1,0))*$F$15,2)))</f>
        <v>0</v>
      </c>
    </row>
    <row r="16" spans="1:26" s="670" customFormat="1" x14ac:dyDescent="0.2">
      <c r="A16" s="506" t="str">
        <f t="shared" si="3"/>
        <v>F</v>
      </c>
      <c r="B16" s="670" t="str">
        <f t="shared" ref="B16:B45" ca="1" si="4">IF(OR(C16=" ",D16=""),"",CONCATENATE(C16,". ",D16))</f>
        <v>1. Projetos 1</v>
      </c>
      <c r="C16" s="182" cm="1">
        <f t="array" aca="1" ref="C16" ca="1">IF(OR(ROW(C16)=ROW(EVENTOS.firstrow)+1,AND(OFFSET(C16,-1,0)&lt;&gt;" ",OFFSET(C16,-1,1)&lt;&gt;"")),OFFSET(C16,-1,0)+1," ")</f>
        <v>1</v>
      </c>
      <c r="D16" s="496" t="s">
        <v>1332</v>
      </c>
      <c r="E16" s="620" cm="1">
        <f t="array" aca="1" ref="E16" ca="1">IF(AUTOEVENTO="Manual",ROUND(SUMPRODUCT((CÁLCULO!$M$15:$M$191=EVENTOS!$C16)*(OFFSET(CÁLCULO!$AI$15:$AI$191,0,E$13))),2),0)</f>
        <v>66460.92</v>
      </c>
      <c r="F16" s="183">
        <f ca="1">IF(AUTOEVENTO="Manual",ROUND(SUMPRODUCT((CÁLCULO!$M$15:$M$191=EVENTOS!$C16)*(OFFSET(CÁLCULO!$AI$15,0,1):OFFSET(CÁLCULO!$BB$191,0,-1))),2),0)</f>
        <v>66460.92</v>
      </c>
      <c r="G16" s="621" t="str">
        <f t="shared" ref="G16:G45" ca="1" si="5">IF(AND(D16=0,F16&gt;0),"NOME",
 IF(AND(D16&lt;&gt;0,$F$14&gt;0,F16=0),"VALOR",
 IF(AND(Import.TipoArredondamento="TransfereGOV",$A16="F",LEN(D16)&gt;100),"Nome &gt;100","")))</f>
        <v/>
      </c>
      <c r="H16" s="620" cm="1">
        <f t="array" aca="1" ref="H16" ca="1">IF(AUTOEVENTO="Manual",ROUND(SUMPRODUCT((CÁLCULO!$M$15:$M$191=EVENTOS!$C16)*(OFFSET(CÁLCULO!$AI$15:$AI$191,0,H$13))),2),0)</f>
        <v>66460.92</v>
      </c>
      <c r="I16" s="620" cm="1">
        <f t="array" aca="1" ref="I16" ca="1">IF(AUTOEVENTO="Manual",ROUND(SUMPRODUCT((CÁLCULO!$M$15:$M$191=EVENTOS!$C16)*(OFFSET(CÁLCULO!$AI$15:$AI$191,0,I$13))),2),0)</f>
        <v>0</v>
      </c>
      <c r="J16" s="620" cm="1">
        <f t="array" aca="1" ref="J16" ca="1">IF(AUTOEVENTO="Manual",ROUND(SUMPRODUCT((CÁLCULO!$M$15:$M$191=EVENTOS!$C16)*(OFFSET(CÁLCULO!$AI$15:$AI$191,0,J$13))),2),0)</f>
        <v>0</v>
      </c>
      <c r="K16" s="620" cm="1">
        <f t="array" aca="1" ref="K16" ca="1">IF(AUTOEVENTO="Manual",ROUND(SUMPRODUCT((CÁLCULO!$M$15:$M$191=EVENTOS!$C16)*(OFFSET(CÁLCULO!$AI$15:$AI$191,0,K$13))),2),0)</f>
        <v>0</v>
      </c>
      <c r="L16" s="620" cm="1">
        <f t="array" aca="1" ref="L16" ca="1">IF(AUTOEVENTO="Manual",ROUND(SUMPRODUCT((CÁLCULO!$M$15:$M$191=EVENTOS!$C16)*(OFFSET(CÁLCULO!$AI$15:$AI$191,0,L$13))),2),0)</f>
        <v>0</v>
      </c>
      <c r="M16" s="620" cm="1">
        <f t="array" aca="1" ref="M16" ca="1">IF(AUTOEVENTO="Manual",ROUND(SUMPRODUCT((CÁLCULO!$M$15:$M$191=EVENTOS!$C16)*(OFFSET(CÁLCULO!$AI$15:$AI$191,0,M$13))),2),0)</f>
        <v>0</v>
      </c>
      <c r="N16" s="620" cm="1">
        <f t="array" aca="1" ref="N16" ca="1">IF(AUTOEVENTO="Manual",ROUND(SUMPRODUCT((CÁLCULO!$M$15:$M$191=EVENTOS!$C16)*(OFFSET(CÁLCULO!$AI$15:$AI$191,0,N$13))),2),0)</f>
        <v>0</v>
      </c>
      <c r="O16" s="620" cm="1">
        <f t="array" aca="1" ref="O16" ca="1">IF(AUTOEVENTO="Manual",ROUND(SUMPRODUCT((CÁLCULO!$M$15:$M$191=EVENTOS!$C16)*(OFFSET(CÁLCULO!$AI$15:$AI$191,0,O$13))),2),0)</f>
        <v>0</v>
      </c>
      <c r="P16" s="620" cm="1">
        <f t="array" aca="1" ref="P16" ca="1">IF(AUTOEVENTO="Manual",ROUND(SUMPRODUCT((CÁLCULO!$M$15:$M$191=EVENTOS!$C16)*(OFFSET(CÁLCULO!$AI$15:$AI$191,0,P$13))),2),0)</f>
        <v>0</v>
      </c>
      <c r="Q16" s="620" cm="1">
        <f t="array" aca="1" ref="Q16" ca="1">IF(AUTOEVENTO="Manual",ROUND(SUMPRODUCT((CÁLCULO!$M$15:$M$191=EVENTOS!$C16)*(OFFSET(CÁLCULO!$AI$15:$AI$191,0,Q$13))),2),0)</f>
        <v>0</v>
      </c>
      <c r="R16" s="620" cm="1">
        <f t="array" aca="1" ref="R16" ca="1">IF(AUTOEVENTO="Manual",ROUND(SUMPRODUCT((CÁLCULO!$M$15:$M$191=EVENTOS!$C16)*(OFFSET(CÁLCULO!$AI$15:$AI$191,0,R$13))),2),0)</f>
        <v>0</v>
      </c>
      <c r="S16" s="620" cm="1">
        <f t="array" aca="1" ref="S16" ca="1">IF(AUTOEVENTO="Manual",ROUND(SUMPRODUCT((CÁLCULO!$M$15:$M$191=EVENTOS!$C16)*(OFFSET(CÁLCULO!$AI$15:$AI$191,0,S$13))),2),0)</f>
        <v>0</v>
      </c>
      <c r="T16" s="620" cm="1">
        <f t="array" aca="1" ref="T16" ca="1">IF(AUTOEVENTO="Manual",ROUND(SUMPRODUCT((CÁLCULO!$M$15:$M$191=EVENTOS!$C16)*(OFFSET(CÁLCULO!$AI$15:$AI$191,0,T$13))),2),0)</f>
        <v>0</v>
      </c>
      <c r="U16" s="620" cm="1">
        <f t="array" aca="1" ref="U16" ca="1">IF(AUTOEVENTO="Manual",ROUND(SUMPRODUCT((CÁLCULO!$M$15:$M$191=EVENTOS!$C16)*(OFFSET(CÁLCULO!$AI$15:$AI$191,0,U$13))),2),0)</f>
        <v>0</v>
      </c>
      <c r="V16" s="620" cm="1">
        <f t="array" aca="1" ref="V16" ca="1">IF(AUTOEVENTO="Manual",ROUND(SUMPRODUCT((CÁLCULO!$M$15:$M$191=EVENTOS!$C16)*(OFFSET(CÁLCULO!$AI$15:$AI$191,0,V$13))),2),0)</f>
        <v>0</v>
      </c>
      <c r="W16" s="620" cm="1">
        <f t="array" aca="1" ref="W16" ca="1">IF(AUTOEVENTO="Manual",ROUND(SUMPRODUCT((CÁLCULO!$M$15:$M$191=EVENTOS!$C16)*(OFFSET(CÁLCULO!$AI$15:$AI$191,0,W$13))),2),0)</f>
        <v>0</v>
      </c>
      <c r="X16" s="620" cm="1">
        <f t="array" aca="1" ref="X16" ca="1">IF(AUTOEVENTO="Manual",ROUND(SUMPRODUCT((CÁLCULO!$M$15:$M$191=EVENTOS!$C16)*(OFFSET(CÁLCULO!$AI$15:$AI$191,0,X$13))),2),0)</f>
        <v>0</v>
      </c>
      <c r="Y16" s="620" cm="1">
        <f t="array" aca="1" ref="Y16" ca="1">IF(AUTOEVENTO="Manual",ROUND(SUMPRODUCT((CÁLCULO!$M$15:$M$191=EVENTOS!$C16)*(OFFSET(CÁLCULO!$AI$15:$AI$191,0,Y$13))),2),0)</f>
        <v>0</v>
      </c>
    </row>
    <row r="17" spans="1:25" s="739" customFormat="1" x14ac:dyDescent="0.2">
      <c r="A17" s="506" t="str">
        <f t="shared" si="3"/>
        <v>F</v>
      </c>
      <c r="B17" s="739" t="str">
        <f ca="1">IF(OR(C17=" ",D17=""),"",CONCATENATE(C17,". ",D17))</f>
        <v>2. Projetos 2</v>
      </c>
      <c r="C17" s="182" cm="1">
        <f t="array" aca="1" ref="C17" ca="1">IF(OR(ROW(C17)=ROW(EVENTOS.firstrow)+1,AND(OFFSET(C17,-1,0)&lt;&gt;" ",OFFSET(C17,-1,1)&lt;&gt;"")),OFFSET(C17,-1,0)+1," ")</f>
        <v>2</v>
      </c>
      <c r="D17" s="496" t="s">
        <v>1365</v>
      </c>
      <c r="E17" s="620" cm="1">
        <f t="array" aca="1" ref="E17" ca="1">IF(AUTOEVENTO="Manual",ROUND(SUMPRODUCT((CÁLCULO!$M$15:$M$191=EVENTOS!$C17)*(OFFSET(CÁLCULO!$AI$15:$AI$191,0,E$13))),2),0)</f>
        <v>68718.64</v>
      </c>
      <c r="F17" s="183">
        <f ca="1">IF(AUTOEVENTO="Manual",ROUND(SUMPRODUCT((CÁLCULO!$M$15:$M$191=EVENTOS!$C17)*(OFFSET(CÁLCULO!$AI$15,0,1):OFFSET(CÁLCULO!$BB$191,0,-1))),2),0)</f>
        <v>68718.64</v>
      </c>
      <c r="G17" s="621" t="str">
        <f ca="1">IF(AND(D17=0,F17&gt;0),"NOME",
 IF(AND(D17&lt;&gt;0,$F$14&gt;0,F17=0),"VALOR",
 IF(AND(Import.TipoArredondamento="TransfereGOV",$A17="F",LEN(D17)&gt;100),"Nome &gt;100","")))</f>
        <v/>
      </c>
      <c r="H17" s="620" cm="1">
        <f t="array" aca="1" ref="H17" ca="1">IF(AUTOEVENTO="Manual",ROUND(SUMPRODUCT((CÁLCULO!$M$15:$M$191=EVENTOS!$C17)*(OFFSET(CÁLCULO!$AI$15:$AI$191,0,H$13))),2),0)</f>
        <v>68718.64</v>
      </c>
      <c r="I17" s="620" cm="1">
        <f t="array" aca="1" ref="I17" ca="1">IF(AUTOEVENTO="Manual",ROUND(SUMPRODUCT((CÁLCULO!$M$15:$M$191=EVENTOS!$C17)*(OFFSET(CÁLCULO!$AI$15:$AI$191,0,I$13))),2),0)</f>
        <v>0</v>
      </c>
      <c r="J17" s="620" cm="1">
        <f t="array" aca="1" ref="J17" ca="1">IF(AUTOEVENTO="Manual",ROUND(SUMPRODUCT((CÁLCULO!$M$15:$M$191=EVENTOS!$C17)*(OFFSET(CÁLCULO!$AI$15:$AI$191,0,J$13))),2),0)</f>
        <v>0</v>
      </c>
      <c r="K17" s="620" cm="1">
        <f t="array" aca="1" ref="K17" ca="1">IF(AUTOEVENTO="Manual",ROUND(SUMPRODUCT((CÁLCULO!$M$15:$M$191=EVENTOS!$C17)*(OFFSET(CÁLCULO!$AI$15:$AI$191,0,K$13))),2),0)</f>
        <v>0</v>
      </c>
      <c r="L17" s="620" cm="1">
        <f t="array" aca="1" ref="L17" ca="1">IF(AUTOEVENTO="Manual",ROUND(SUMPRODUCT((CÁLCULO!$M$15:$M$191=EVENTOS!$C17)*(OFFSET(CÁLCULO!$AI$15:$AI$191,0,L$13))),2),0)</f>
        <v>0</v>
      </c>
      <c r="M17" s="620" cm="1">
        <f t="array" aca="1" ref="M17" ca="1">IF(AUTOEVENTO="Manual",ROUND(SUMPRODUCT((CÁLCULO!$M$15:$M$191=EVENTOS!$C17)*(OFFSET(CÁLCULO!$AI$15:$AI$191,0,M$13))),2),0)</f>
        <v>0</v>
      </c>
      <c r="N17" s="620" cm="1">
        <f t="array" aca="1" ref="N17" ca="1">IF(AUTOEVENTO="Manual",ROUND(SUMPRODUCT((CÁLCULO!$M$15:$M$191=EVENTOS!$C17)*(OFFSET(CÁLCULO!$AI$15:$AI$191,0,N$13))),2),0)</f>
        <v>0</v>
      </c>
      <c r="O17" s="620" cm="1">
        <f t="array" aca="1" ref="O17" ca="1">IF(AUTOEVENTO="Manual",ROUND(SUMPRODUCT((CÁLCULO!$M$15:$M$191=EVENTOS!$C17)*(OFFSET(CÁLCULO!$AI$15:$AI$191,0,O$13))),2),0)</f>
        <v>0</v>
      </c>
      <c r="P17" s="620" cm="1">
        <f t="array" aca="1" ref="P17" ca="1">IF(AUTOEVENTO="Manual",ROUND(SUMPRODUCT((CÁLCULO!$M$15:$M$191=EVENTOS!$C17)*(OFFSET(CÁLCULO!$AI$15:$AI$191,0,P$13))),2),0)</f>
        <v>0</v>
      </c>
      <c r="Q17" s="620" cm="1">
        <f t="array" aca="1" ref="Q17" ca="1">IF(AUTOEVENTO="Manual",ROUND(SUMPRODUCT((CÁLCULO!$M$15:$M$191=EVENTOS!$C17)*(OFFSET(CÁLCULO!$AI$15:$AI$191,0,Q$13))),2),0)</f>
        <v>0</v>
      </c>
      <c r="R17" s="620" cm="1">
        <f t="array" aca="1" ref="R17" ca="1">IF(AUTOEVENTO="Manual",ROUND(SUMPRODUCT((CÁLCULO!$M$15:$M$191=EVENTOS!$C17)*(OFFSET(CÁLCULO!$AI$15:$AI$191,0,R$13))),2),0)</f>
        <v>0</v>
      </c>
      <c r="S17" s="620" cm="1">
        <f t="array" aca="1" ref="S17" ca="1">IF(AUTOEVENTO="Manual",ROUND(SUMPRODUCT((CÁLCULO!$M$15:$M$191=EVENTOS!$C17)*(OFFSET(CÁLCULO!$AI$15:$AI$191,0,S$13))),2),0)</f>
        <v>0</v>
      </c>
      <c r="T17" s="620" cm="1">
        <f t="array" aca="1" ref="T17" ca="1">IF(AUTOEVENTO="Manual",ROUND(SUMPRODUCT((CÁLCULO!$M$15:$M$191=EVENTOS!$C17)*(OFFSET(CÁLCULO!$AI$15:$AI$191,0,T$13))),2),0)</f>
        <v>0</v>
      </c>
      <c r="U17" s="620" cm="1">
        <f t="array" aca="1" ref="U17" ca="1">IF(AUTOEVENTO="Manual",ROUND(SUMPRODUCT((CÁLCULO!$M$15:$M$191=EVENTOS!$C17)*(OFFSET(CÁLCULO!$AI$15:$AI$191,0,U$13))),2),0)</f>
        <v>0</v>
      </c>
      <c r="V17" s="620" cm="1">
        <f t="array" aca="1" ref="V17" ca="1">IF(AUTOEVENTO="Manual",ROUND(SUMPRODUCT((CÁLCULO!$M$15:$M$191=EVENTOS!$C17)*(OFFSET(CÁLCULO!$AI$15:$AI$191,0,V$13))),2),0)</f>
        <v>0</v>
      </c>
      <c r="W17" s="620" cm="1">
        <f t="array" aca="1" ref="W17" ca="1">IF(AUTOEVENTO="Manual",ROUND(SUMPRODUCT((CÁLCULO!$M$15:$M$191=EVENTOS!$C17)*(OFFSET(CÁLCULO!$AI$15:$AI$191,0,W$13))),2),0)</f>
        <v>0</v>
      </c>
      <c r="X17" s="620" cm="1">
        <f t="array" aca="1" ref="X17" ca="1">IF(AUTOEVENTO="Manual",ROUND(SUMPRODUCT((CÁLCULO!$M$15:$M$191=EVENTOS!$C17)*(OFFSET(CÁLCULO!$AI$15:$AI$191,0,X$13))),2),0)</f>
        <v>0</v>
      </c>
      <c r="Y17" s="620" cm="1">
        <f t="array" aca="1" ref="Y17" ca="1">IF(AUTOEVENTO="Manual",ROUND(SUMPRODUCT((CÁLCULO!$M$15:$M$191=EVENTOS!$C17)*(OFFSET(CÁLCULO!$AI$15:$AI$191,0,Y$13))),2),0)</f>
        <v>0</v>
      </c>
    </row>
    <row r="18" spans="1:25" s="670" customFormat="1" x14ac:dyDescent="0.2">
      <c r="A18" s="506" t="str">
        <f t="shared" si="3"/>
        <v>F</v>
      </c>
      <c r="B18" s="670" t="str">
        <f t="shared" ca="1" si="4"/>
        <v>3. Canteiro de Obras</v>
      </c>
      <c r="C18" s="182" cm="1">
        <f t="array" aca="1" ref="C18" ca="1">IF(OR(ROW(C18)=ROW(EVENTOS.firstrow)+1,AND(OFFSET(C18,-1,0)&lt;&gt;" ",OFFSET(C18,-1,1)&lt;&gt;"")),OFFSET(C18,-1,0)+1," ")</f>
        <v>3</v>
      </c>
      <c r="D18" s="496" t="s">
        <v>1269</v>
      </c>
      <c r="E18" s="620" cm="1">
        <f t="array" aca="1" ref="E18" ca="1">IF(AUTOEVENTO="Manual",ROUND(SUMPRODUCT((CÁLCULO!$M$15:$M$191=EVENTOS!$C18)*(OFFSET(CÁLCULO!$AI$15:$AI$191,0,E$13))),2),0)</f>
        <v>0</v>
      </c>
      <c r="F18" s="183">
        <f ca="1">IF(AUTOEVENTO="Manual",ROUND(SUMPRODUCT((CÁLCULO!$M$15:$M$191=EVENTOS!$C18)*(OFFSET(CÁLCULO!$AI$15,0,1):OFFSET(CÁLCULO!$BB$191,0,-1))),2),0)</f>
        <v>17998.599999999999</v>
      </c>
      <c r="G18" s="621" t="str">
        <f t="shared" ca="1" si="5"/>
        <v/>
      </c>
      <c r="H18" s="620" cm="1">
        <f t="array" aca="1" ref="H18" ca="1">IF(AUTOEVENTO="Manual",ROUND(SUMPRODUCT((CÁLCULO!$M$15:$M$191=EVENTOS!$C18)*(OFFSET(CÁLCULO!$AI$15:$AI$191,0,H$13))),2),0)</f>
        <v>0</v>
      </c>
      <c r="I18" s="620" cm="1">
        <f t="array" aca="1" ref="I18" ca="1">IF(AUTOEVENTO="Manual",ROUND(SUMPRODUCT((CÁLCULO!$M$15:$M$191=EVENTOS!$C18)*(OFFSET(CÁLCULO!$AI$15:$AI$191,0,I$13))),2),0)</f>
        <v>17998.599999999999</v>
      </c>
      <c r="J18" s="620" cm="1">
        <f t="array" aca="1" ref="J18" ca="1">IF(AUTOEVENTO="Manual",ROUND(SUMPRODUCT((CÁLCULO!$M$15:$M$191=EVENTOS!$C18)*(OFFSET(CÁLCULO!$AI$15:$AI$191,0,J$13))),2),0)</f>
        <v>0</v>
      </c>
      <c r="K18" s="620" cm="1">
        <f t="array" aca="1" ref="K18" ca="1">IF(AUTOEVENTO="Manual",ROUND(SUMPRODUCT((CÁLCULO!$M$15:$M$191=EVENTOS!$C18)*(OFFSET(CÁLCULO!$AI$15:$AI$191,0,K$13))),2),0)</f>
        <v>0</v>
      </c>
      <c r="L18" s="620" cm="1">
        <f t="array" aca="1" ref="L18" ca="1">IF(AUTOEVENTO="Manual",ROUND(SUMPRODUCT((CÁLCULO!$M$15:$M$191=EVENTOS!$C18)*(OFFSET(CÁLCULO!$AI$15:$AI$191,0,L$13))),2),0)</f>
        <v>0</v>
      </c>
      <c r="M18" s="620" cm="1">
        <f t="array" aca="1" ref="M18" ca="1">IF(AUTOEVENTO="Manual",ROUND(SUMPRODUCT((CÁLCULO!$M$15:$M$191=EVENTOS!$C18)*(OFFSET(CÁLCULO!$AI$15:$AI$191,0,M$13))),2),0)</f>
        <v>0</v>
      </c>
      <c r="N18" s="620" cm="1">
        <f t="array" aca="1" ref="N18" ca="1">IF(AUTOEVENTO="Manual",ROUND(SUMPRODUCT((CÁLCULO!$M$15:$M$191=EVENTOS!$C18)*(OFFSET(CÁLCULO!$AI$15:$AI$191,0,N$13))),2),0)</f>
        <v>0</v>
      </c>
      <c r="O18" s="620" cm="1">
        <f t="array" aca="1" ref="O18" ca="1">IF(AUTOEVENTO="Manual",ROUND(SUMPRODUCT((CÁLCULO!$M$15:$M$191=EVENTOS!$C18)*(OFFSET(CÁLCULO!$AI$15:$AI$191,0,O$13))),2),0)</f>
        <v>0</v>
      </c>
      <c r="P18" s="620" cm="1">
        <f t="array" aca="1" ref="P18" ca="1">IF(AUTOEVENTO="Manual",ROUND(SUMPRODUCT((CÁLCULO!$M$15:$M$191=EVENTOS!$C18)*(OFFSET(CÁLCULO!$AI$15:$AI$191,0,P$13))),2),0)</f>
        <v>0</v>
      </c>
      <c r="Q18" s="620" cm="1">
        <f t="array" aca="1" ref="Q18" ca="1">IF(AUTOEVENTO="Manual",ROUND(SUMPRODUCT((CÁLCULO!$M$15:$M$191=EVENTOS!$C18)*(OFFSET(CÁLCULO!$AI$15:$AI$191,0,Q$13))),2),0)</f>
        <v>0</v>
      </c>
      <c r="R18" s="620" cm="1">
        <f t="array" aca="1" ref="R18" ca="1">IF(AUTOEVENTO="Manual",ROUND(SUMPRODUCT((CÁLCULO!$M$15:$M$191=EVENTOS!$C18)*(OFFSET(CÁLCULO!$AI$15:$AI$191,0,R$13))),2),0)</f>
        <v>0</v>
      </c>
      <c r="S18" s="620" cm="1">
        <f t="array" aca="1" ref="S18" ca="1">IF(AUTOEVENTO="Manual",ROUND(SUMPRODUCT((CÁLCULO!$M$15:$M$191=EVENTOS!$C18)*(OFFSET(CÁLCULO!$AI$15:$AI$191,0,S$13))),2),0)</f>
        <v>0</v>
      </c>
      <c r="T18" s="620" cm="1">
        <f t="array" aca="1" ref="T18" ca="1">IF(AUTOEVENTO="Manual",ROUND(SUMPRODUCT((CÁLCULO!$M$15:$M$191=EVENTOS!$C18)*(OFFSET(CÁLCULO!$AI$15:$AI$191,0,T$13))),2),0)</f>
        <v>0</v>
      </c>
      <c r="U18" s="620" cm="1">
        <f t="array" aca="1" ref="U18" ca="1">IF(AUTOEVENTO="Manual",ROUND(SUMPRODUCT((CÁLCULO!$M$15:$M$191=EVENTOS!$C18)*(OFFSET(CÁLCULO!$AI$15:$AI$191,0,U$13))),2),0)</f>
        <v>0</v>
      </c>
      <c r="V18" s="620" cm="1">
        <f t="array" aca="1" ref="V18" ca="1">IF(AUTOEVENTO="Manual",ROUND(SUMPRODUCT((CÁLCULO!$M$15:$M$191=EVENTOS!$C18)*(OFFSET(CÁLCULO!$AI$15:$AI$191,0,V$13))),2),0)</f>
        <v>0</v>
      </c>
      <c r="W18" s="620" cm="1">
        <f t="array" aca="1" ref="W18" ca="1">IF(AUTOEVENTO="Manual",ROUND(SUMPRODUCT((CÁLCULO!$M$15:$M$191=EVENTOS!$C18)*(OFFSET(CÁLCULO!$AI$15:$AI$191,0,W$13))),2),0)</f>
        <v>0</v>
      </c>
      <c r="X18" s="620" cm="1">
        <f t="array" aca="1" ref="X18" ca="1">IF(AUTOEVENTO="Manual",ROUND(SUMPRODUCT((CÁLCULO!$M$15:$M$191=EVENTOS!$C18)*(OFFSET(CÁLCULO!$AI$15:$AI$191,0,X$13))),2),0)</f>
        <v>0</v>
      </c>
      <c r="Y18" s="620" cm="1">
        <f t="array" aca="1" ref="Y18" ca="1">IF(AUTOEVENTO="Manual",ROUND(SUMPRODUCT((CÁLCULO!$M$15:$M$191=EVENTOS!$C18)*(OFFSET(CÁLCULO!$AI$15:$AI$191,0,Y$13))),2),0)</f>
        <v>0</v>
      </c>
    </row>
    <row r="19" spans="1:25" s="670" customFormat="1" x14ac:dyDescent="0.2">
      <c r="A19" s="506" t="str">
        <f t="shared" si="3"/>
        <v>F</v>
      </c>
      <c r="B19" s="670" t="str">
        <f t="shared" ca="1" si="4"/>
        <v>4. Serviços Preliminares</v>
      </c>
      <c r="C19" s="182" cm="1">
        <f t="array" aca="1" ref="C19" ca="1">IF(OR(ROW(C19)=ROW(EVENTOS.firstrow)+1,AND(OFFSET(C19,-1,0)&lt;&gt;" ",OFFSET(C19,-1,1)&lt;&gt;"")),OFFSET(C19,-1,0)+1," ")</f>
        <v>4</v>
      </c>
      <c r="D19" s="496" t="s">
        <v>1268</v>
      </c>
      <c r="E19" s="620" cm="1">
        <f t="array" aca="1" ref="E19" ca="1">IF(AUTOEVENTO="Manual",ROUND(SUMPRODUCT((CÁLCULO!$M$15:$M$191=EVENTOS!$C19)*(OFFSET(CÁLCULO!$AI$15:$AI$191,0,E$13))),2),0)</f>
        <v>0</v>
      </c>
      <c r="F19" s="183">
        <f ca="1">IF(AUTOEVENTO="Manual",ROUND(SUMPRODUCT((CÁLCULO!$M$15:$M$191=EVENTOS!$C19)*(OFFSET(CÁLCULO!$AI$15,0,1):OFFSET(CÁLCULO!$BB$191,0,-1))),2),0)</f>
        <v>13759.44</v>
      </c>
      <c r="G19" s="621" t="str">
        <f t="shared" ca="1" si="5"/>
        <v/>
      </c>
      <c r="H19" s="620" cm="1">
        <f t="array" aca="1" ref="H19" ca="1">IF(AUTOEVENTO="Manual",ROUND(SUMPRODUCT((CÁLCULO!$M$15:$M$191=EVENTOS!$C19)*(OFFSET(CÁLCULO!$AI$15:$AI$191,0,H$13))),2),0)</f>
        <v>0</v>
      </c>
      <c r="I19" s="620" cm="1">
        <f t="array" aca="1" ref="I19" ca="1">IF(AUTOEVENTO="Manual",ROUND(SUMPRODUCT((CÁLCULO!$M$15:$M$191=EVENTOS!$C19)*(OFFSET(CÁLCULO!$AI$15:$AI$191,0,I$13))),2),0)</f>
        <v>9601</v>
      </c>
      <c r="J19" s="620" cm="1">
        <f t="array" aca="1" ref="J19" ca="1">IF(AUTOEVENTO="Manual",ROUND(SUMPRODUCT((CÁLCULO!$M$15:$M$191=EVENTOS!$C19)*(OFFSET(CÁLCULO!$AI$15:$AI$191,0,J$13))),2),0)</f>
        <v>3996.11</v>
      </c>
      <c r="K19" s="620" cm="1">
        <f t="array" aca="1" ref="K19" ca="1">IF(AUTOEVENTO="Manual",ROUND(SUMPRODUCT((CÁLCULO!$M$15:$M$191=EVENTOS!$C19)*(OFFSET(CÁLCULO!$AI$15:$AI$191,0,K$13))),2),0)</f>
        <v>0</v>
      </c>
      <c r="L19" s="620" cm="1">
        <f t="array" aca="1" ref="L19" ca="1">IF(AUTOEVENTO="Manual",ROUND(SUMPRODUCT((CÁLCULO!$M$15:$M$191=EVENTOS!$C19)*(OFFSET(CÁLCULO!$AI$15:$AI$191,0,L$13))),2),0)</f>
        <v>54.11</v>
      </c>
      <c r="M19" s="620" cm="1">
        <f t="array" aca="1" ref="M19" ca="1">IF(AUTOEVENTO="Manual",ROUND(SUMPRODUCT((CÁLCULO!$M$15:$M$191=EVENTOS!$C19)*(OFFSET(CÁLCULO!$AI$15:$AI$191,0,M$13))),2),0)</f>
        <v>54.11</v>
      </c>
      <c r="N19" s="620" cm="1">
        <f t="array" aca="1" ref="N19" ca="1">IF(AUTOEVENTO="Manual",ROUND(SUMPRODUCT((CÁLCULO!$M$15:$M$191=EVENTOS!$C19)*(OFFSET(CÁLCULO!$AI$15:$AI$191,0,N$13))),2),0)</f>
        <v>54.11</v>
      </c>
      <c r="O19" s="620" cm="1">
        <f t="array" aca="1" ref="O19" ca="1">IF(AUTOEVENTO="Manual",ROUND(SUMPRODUCT((CÁLCULO!$M$15:$M$191=EVENTOS!$C19)*(OFFSET(CÁLCULO!$AI$15:$AI$191,0,O$13))),2),0)</f>
        <v>0</v>
      </c>
      <c r="P19" s="620" cm="1">
        <f t="array" aca="1" ref="P19" ca="1">IF(AUTOEVENTO="Manual",ROUND(SUMPRODUCT((CÁLCULO!$M$15:$M$191=EVENTOS!$C19)*(OFFSET(CÁLCULO!$AI$15:$AI$191,0,P$13))),2),0)</f>
        <v>0</v>
      </c>
      <c r="Q19" s="620" cm="1">
        <f t="array" aca="1" ref="Q19" ca="1">IF(AUTOEVENTO="Manual",ROUND(SUMPRODUCT((CÁLCULO!$M$15:$M$191=EVENTOS!$C19)*(OFFSET(CÁLCULO!$AI$15:$AI$191,0,Q$13))),2),0)</f>
        <v>0</v>
      </c>
      <c r="R19" s="620" cm="1">
        <f t="array" aca="1" ref="R19" ca="1">IF(AUTOEVENTO="Manual",ROUND(SUMPRODUCT((CÁLCULO!$M$15:$M$191=EVENTOS!$C19)*(OFFSET(CÁLCULO!$AI$15:$AI$191,0,R$13))),2),0)</f>
        <v>0</v>
      </c>
      <c r="S19" s="620" cm="1">
        <f t="array" aca="1" ref="S19" ca="1">IF(AUTOEVENTO="Manual",ROUND(SUMPRODUCT((CÁLCULO!$M$15:$M$191=EVENTOS!$C19)*(OFFSET(CÁLCULO!$AI$15:$AI$191,0,S$13))),2),0)</f>
        <v>0</v>
      </c>
      <c r="T19" s="620" cm="1">
        <f t="array" aca="1" ref="T19" ca="1">IF(AUTOEVENTO="Manual",ROUND(SUMPRODUCT((CÁLCULO!$M$15:$M$191=EVENTOS!$C19)*(OFFSET(CÁLCULO!$AI$15:$AI$191,0,T$13))),2),0)</f>
        <v>0</v>
      </c>
      <c r="U19" s="620" cm="1">
        <f t="array" aca="1" ref="U19" ca="1">IF(AUTOEVENTO="Manual",ROUND(SUMPRODUCT((CÁLCULO!$M$15:$M$191=EVENTOS!$C19)*(OFFSET(CÁLCULO!$AI$15:$AI$191,0,U$13))),2),0)</f>
        <v>0</v>
      </c>
      <c r="V19" s="620" cm="1">
        <f t="array" aca="1" ref="V19" ca="1">IF(AUTOEVENTO="Manual",ROUND(SUMPRODUCT((CÁLCULO!$M$15:$M$191=EVENTOS!$C19)*(OFFSET(CÁLCULO!$AI$15:$AI$191,0,V$13))),2),0)</f>
        <v>0</v>
      </c>
      <c r="W19" s="620" cm="1">
        <f t="array" aca="1" ref="W19" ca="1">IF(AUTOEVENTO="Manual",ROUND(SUMPRODUCT((CÁLCULO!$M$15:$M$191=EVENTOS!$C19)*(OFFSET(CÁLCULO!$AI$15:$AI$191,0,W$13))),2),0)</f>
        <v>0</v>
      </c>
      <c r="X19" s="620" cm="1">
        <f t="array" aca="1" ref="X19" ca="1">IF(AUTOEVENTO="Manual",ROUND(SUMPRODUCT((CÁLCULO!$M$15:$M$191=EVENTOS!$C19)*(OFFSET(CÁLCULO!$AI$15:$AI$191,0,X$13))),2),0)</f>
        <v>0</v>
      </c>
      <c r="Y19" s="620" cm="1">
        <f t="array" aca="1" ref="Y19" ca="1">IF(AUTOEVENTO="Manual",ROUND(SUMPRODUCT((CÁLCULO!$M$15:$M$191=EVENTOS!$C19)*(OFFSET(CÁLCULO!$AI$15:$AI$191,0,Y$13))),2),0)</f>
        <v>0</v>
      </c>
    </row>
    <row r="20" spans="1:25" s="670" customFormat="1" x14ac:dyDescent="0.2">
      <c r="A20" s="506" t="str">
        <f t="shared" si="3"/>
        <v>F</v>
      </c>
      <c r="B20" s="670" t="str">
        <f t="shared" ca="1" si="4"/>
        <v>5. Administração Local</v>
      </c>
      <c r="C20" s="182" cm="1">
        <f t="array" aca="1" ref="C20" ca="1">IF(OR(ROW(C20)=ROW(EVENTOS.firstrow)+1,AND(OFFSET(C20,-1,0)&lt;&gt;" ",OFFSET(C20,-1,1)&lt;&gt;"")),OFFSET(C20,-1,0)+1," ")</f>
        <v>5</v>
      </c>
      <c r="D20" s="496" t="s">
        <v>784</v>
      </c>
      <c r="E20" s="620" cm="1">
        <f t="array" aca="1" ref="E20" ca="1">IF(AUTOEVENTO="Manual",ROUND(SUMPRODUCT((CÁLCULO!$M$15:$M$191=EVENTOS!$C20)*(OFFSET(CÁLCULO!$AI$15:$AI$191,0,E$13))),2),0)</f>
        <v>0</v>
      </c>
      <c r="F20" s="183">
        <f ca="1">IF(AUTOEVENTO="Manual",ROUND(SUMPRODUCT((CÁLCULO!$M$15:$M$191=EVENTOS!$C20)*(OFFSET(CÁLCULO!$AI$15,0,1):OFFSET(CÁLCULO!$BB$191,0,-1))),2),0)</f>
        <v>239264.48</v>
      </c>
      <c r="G20" s="621" t="str">
        <f t="shared" ca="1" si="5"/>
        <v/>
      </c>
      <c r="H20" s="620" cm="1">
        <f t="array" aca="1" ref="H20" ca="1">IF(AUTOEVENTO="Manual",ROUND(SUMPRODUCT((CÁLCULO!$M$15:$M$191=EVENTOS!$C20)*(OFFSET(CÁLCULO!$AI$15:$AI$191,0,H$13))),2),0)</f>
        <v>0</v>
      </c>
      <c r="I20" s="620" cm="1">
        <f t="array" aca="1" ref="I20" ca="1">IF(AUTOEVENTO="Manual",ROUND(SUMPRODUCT((CÁLCULO!$M$15:$M$191=EVENTOS!$C20)*(OFFSET(CÁLCULO!$AI$15:$AI$191,0,I$13))),2),0)</f>
        <v>11963.22</v>
      </c>
      <c r="J20" s="620" cm="1">
        <f t="array" aca="1" ref="J20" ca="1">IF(AUTOEVENTO="Manual",ROUND(SUMPRODUCT((CÁLCULO!$M$15:$M$191=EVENTOS!$C20)*(OFFSET(CÁLCULO!$AI$15:$AI$191,0,J$13))),2),0)</f>
        <v>0</v>
      </c>
      <c r="K20" s="620" cm="1">
        <f t="array" aca="1" ref="K20" ca="1">IF(AUTOEVENTO="Manual",ROUND(SUMPRODUCT((CÁLCULO!$M$15:$M$191=EVENTOS!$C20)*(OFFSET(CÁLCULO!$AI$15:$AI$191,0,K$13))),2),0)</f>
        <v>23926.45</v>
      </c>
      <c r="L20" s="620" cm="1">
        <f t="array" aca="1" ref="L20" ca="1">IF(AUTOEVENTO="Manual",ROUND(SUMPRODUCT((CÁLCULO!$M$15:$M$191=EVENTOS!$C20)*(OFFSET(CÁLCULO!$AI$15:$AI$191,0,L$13))),2),0)</f>
        <v>11963.22</v>
      </c>
      <c r="M20" s="620" cm="1">
        <f t="array" aca="1" ref="M20" ca="1">IF(AUTOEVENTO="Manual",ROUND(SUMPRODUCT((CÁLCULO!$M$15:$M$191=EVENTOS!$C20)*(OFFSET(CÁLCULO!$AI$15:$AI$191,0,M$13))),2),0)</f>
        <v>71779.34</v>
      </c>
      <c r="N20" s="620" cm="1">
        <f t="array" aca="1" ref="N20" ca="1">IF(AUTOEVENTO="Manual",ROUND(SUMPRODUCT((CÁLCULO!$M$15:$M$191=EVENTOS!$C20)*(OFFSET(CÁLCULO!$AI$15:$AI$191,0,N$13))),2),0)</f>
        <v>11963.22</v>
      </c>
      <c r="O20" s="620" cm="1">
        <f t="array" aca="1" ref="O20" ca="1">IF(AUTOEVENTO="Manual",ROUND(SUMPRODUCT((CÁLCULO!$M$15:$M$191=EVENTOS!$C20)*(OFFSET(CÁLCULO!$AI$15:$AI$191,0,O$13))),2),0)</f>
        <v>35889.68</v>
      </c>
      <c r="P20" s="620" cm="1">
        <f t="array" aca="1" ref="P20" ca="1">IF(AUTOEVENTO="Manual",ROUND(SUMPRODUCT((CÁLCULO!$M$15:$M$191=EVENTOS!$C20)*(OFFSET(CÁLCULO!$AI$15:$AI$191,0,P$13))),2),0)</f>
        <v>23926.45</v>
      </c>
      <c r="Q20" s="620" cm="1">
        <f t="array" aca="1" ref="Q20" ca="1">IF(AUTOEVENTO="Manual",ROUND(SUMPRODUCT((CÁLCULO!$M$15:$M$191=EVENTOS!$C20)*(OFFSET(CÁLCULO!$AI$15:$AI$191,0,Q$13))),2),0)</f>
        <v>11963.22</v>
      </c>
      <c r="R20" s="620" cm="1">
        <f t="array" aca="1" ref="R20" ca="1">IF(AUTOEVENTO="Manual",ROUND(SUMPRODUCT((CÁLCULO!$M$15:$M$191=EVENTOS!$C20)*(OFFSET(CÁLCULO!$AI$15:$AI$191,0,R$13))),2),0)</f>
        <v>35889.68</v>
      </c>
      <c r="S20" s="620" cm="1">
        <f t="array" aca="1" ref="S20" ca="1">IF(AUTOEVENTO="Manual",ROUND(SUMPRODUCT((CÁLCULO!$M$15:$M$191=EVENTOS!$C20)*(OFFSET(CÁLCULO!$AI$15:$AI$191,0,S$13))),2),0)</f>
        <v>0</v>
      </c>
      <c r="T20" s="620" cm="1">
        <f t="array" aca="1" ref="T20" ca="1">IF(AUTOEVENTO="Manual",ROUND(SUMPRODUCT((CÁLCULO!$M$15:$M$191=EVENTOS!$C20)*(OFFSET(CÁLCULO!$AI$15:$AI$191,0,T$13))),2),0)</f>
        <v>0</v>
      </c>
      <c r="U20" s="620" cm="1">
        <f t="array" aca="1" ref="U20" ca="1">IF(AUTOEVENTO="Manual",ROUND(SUMPRODUCT((CÁLCULO!$M$15:$M$191=EVENTOS!$C20)*(OFFSET(CÁLCULO!$AI$15:$AI$191,0,U$13))),2),0)</f>
        <v>0</v>
      </c>
      <c r="V20" s="620" cm="1">
        <f t="array" aca="1" ref="V20" ca="1">IF(AUTOEVENTO="Manual",ROUND(SUMPRODUCT((CÁLCULO!$M$15:$M$191=EVENTOS!$C20)*(OFFSET(CÁLCULO!$AI$15:$AI$191,0,V$13))),2),0)</f>
        <v>0</v>
      </c>
      <c r="W20" s="620" cm="1">
        <f t="array" aca="1" ref="W20" ca="1">IF(AUTOEVENTO="Manual",ROUND(SUMPRODUCT((CÁLCULO!$M$15:$M$191=EVENTOS!$C20)*(OFFSET(CÁLCULO!$AI$15:$AI$191,0,W$13))),2),0)</f>
        <v>0</v>
      </c>
      <c r="X20" s="620" cm="1">
        <f t="array" aca="1" ref="X20" ca="1">IF(AUTOEVENTO="Manual",ROUND(SUMPRODUCT((CÁLCULO!$M$15:$M$191=EVENTOS!$C20)*(OFFSET(CÁLCULO!$AI$15:$AI$191,0,X$13))),2),0)</f>
        <v>0</v>
      </c>
      <c r="Y20" s="620" cm="1">
        <f t="array" aca="1" ref="Y20" ca="1">IF(AUTOEVENTO="Manual",ROUND(SUMPRODUCT((CÁLCULO!$M$15:$M$191=EVENTOS!$C20)*(OFFSET(CÁLCULO!$AI$15:$AI$191,0,Y$13))),2),0)</f>
        <v>0</v>
      </c>
    </row>
    <row r="21" spans="1:25" s="670" customFormat="1" x14ac:dyDescent="0.2">
      <c r="A21" s="506" t="str">
        <f t="shared" si="3"/>
        <v>F</v>
      </c>
      <c r="B21" s="670" t="str">
        <f t="shared" ca="1" si="4"/>
        <v>6. Demolições / Remoções</v>
      </c>
      <c r="C21" s="182" cm="1">
        <f t="array" aca="1" ref="C21" ca="1">IF(OR(ROW(C21)=ROW(EVENTOS.firstrow)+1,AND(OFFSET(C21,-1,0)&lt;&gt;" ",OFFSET(C21,-1,1)&lt;&gt;"")),OFFSET(C21,-1,0)+1," ")</f>
        <v>6</v>
      </c>
      <c r="D21" s="496" t="s">
        <v>1277</v>
      </c>
      <c r="E21" s="620" cm="1">
        <f t="array" aca="1" ref="E21" ca="1">IF(AUTOEVENTO="Manual",ROUND(SUMPRODUCT((CÁLCULO!$M$15:$M$191=EVENTOS!$C21)*(OFFSET(CÁLCULO!$AI$15:$AI$191,0,E$13))),2),0)</f>
        <v>0</v>
      </c>
      <c r="F21" s="183">
        <f ca="1">IF(AUTOEVENTO="Manual",ROUND(SUMPRODUCT((CÁLCULO!$M$15:$M$191=EVENTOS!$C21)*(OFFSET(CÁLCULO!$AI$15,0,1):OFFSET(CÁLCULO!$BB$191,0,-1))),2),0)</f>
        <v>9412.48</v>
      </c>
      <c r="G21" s="621" t="str">
        <f t="shared" ca="1" si="5"/>
        <v/>
      </c>
      <c r="H21" s="620" cm="1">
        <f t="array" aca="1" ref="H21" ca="1">IF(AUTOEVENTO="Manual",ROUND(SUMPRODUCT((CÁLCULO!$M$15:$M$191=EVENTOS!$C21)*(OFFSET(CÁLCULO!$AI$15:$AI$191,0,H$13))),2),0)</f>
        <v>0</v>
      </c>
      <c r="I21" s="620" cm="1">
        <f t="array" aca="1" ref="I21" ca="1">IF(AUTOEVENTO="Manual",ROUND(SUMPRODUCT((CÁLCULO!$M$15:$M$191=EVENTOS!$C21)*(OFFSET(CÁLCULO!$AI$15:$AI$191,0,I$13))),2),0)</f>
        <v>0</v>
      </c>
      <c r="J21" s="620" cm="1">
        <f t="array" aca="1" ref="J21" ca="1">IF(AUTOEVENTO="Manual",ROUND(SUMPRODUCT((CÁLCULO!$M$15:$M$191=EVENTOS!$C21)*(OFFSET(CÁLCULO!$AI$15:$AI$191,0,J$13))),2),0)</f>
        <v>0</v>
      </c>
      <c r="K21" s="620" cm="1">
        <f t="array" aca="1" ref="K21" ca="1">IF(AUTOEVENTO="Manual",ROUND(SUMPRODUCT((CÁLCULO!$M$15:$M$191=EVENTOS!$C21)*(OFFSET(CÁLCULO!$AI$15:$AI$191,0,K$13))),2),0)</f>
        <v>9412.48</v>
      </c>
      <c r="L21" s="620" cm="1">
        <f t="array" aca="1" ref="L21" ca="1">IF(AUTOEVENTO="Manual",ROUND(SUMPRODUCT((CÁLCULO!$M$15:$M$191=EVENTOS!$C21)*(OFFSET(CÁLCULO!$AI$15:$AI$191,0,L$13))),2),0)</f>
        <v>0</v>
      </c>
      <c r="M21" s="620" cm="1">
        <f t="array" aca="1" ref="M21" ca="1">IF(AUTOEVENTO="Manual",ROUND(SUMPRODUCT((CÁLCULO!$M$15:$M$191=EVENTOS!$C21)*(OFFSET(CÁLCULO!$AI$15:$AI$191,0,M$13))),2),0)</f>
        <v>0</v>
      </c>
      <c r="N21" s="620" cm="1">
        <f t="array" aca="1" ref="N21" ca="1">IF(AUTOEVENTO="Manual",ROUND(SUMPRODUCT((CÁLCULO!$M$15:$M$191=EVENTOS!$C21)*(OFFSET(CÁLCULO!$AI$15:$AI$191,0,N$13))),2),0)</f>
        <v>0</v>
      </c>
      <c r="O21" s="620" cm="1">
        <f t="array" aca="1" ref="O21" ca="1">IF(AUTOEVENTO="Manual",ROUND(SUMPRODUCT((CÁLCULO!$M$15:$M$191=EVENTOS!$C21)*(OFFSET(CÁLCULO!$AI$15:$AI$191,0,O$13))),2),0)</f>
        <v>0</v>
      </c>
      <c r="P21" s="620" cm="1">
        <f t="array" aca="1" ref="P21" ca="1">IF(AUTOEVENTO="Manual",ROUND(SUMPRODUCT((CÁLCULO!$M$15:$M$191=EVENTOS!$C21)*(OFFSET(CÁLCULO!$AI$15:$AI$191,0,P$13))),2),0)</f>
        <v>0</v>
      </c>
      <c r="Q21" s="620" cm="1">
        <f t="array" aca="1" ref="Q21" ca="1">IF(AUTOEVENTO="Manual",ROUND(SUMPRODUCT((CÁLCULO!$M$15:$M$191=EVENTOS!$C21)*(OFFSET(CÁLCULO!$AI$15:$AI$191,0,Q$13))),2),0)</f>
        <v>0</v>
      </c>
      <c r="R21" s="620" cm="1">
        <f t="array" aca="1" ref="R21" ca="1">IF(AUTOEVENTO="Manual",ROUND(SUMPRODUCT((CÁLCULO!$M$15:$M$191=EVENTOS!$C21)*(OFFSET(CÁLCULO!$AI$15:$AI$191,0,R$13))),2),0)</f>
        <v>0</v>
      </c>
      <c r="S21" s="620" cm="1">
        <f t="array" aca="1" ref="S21" ca="1">IF(AUTOEVENTO="Manual",ROUND(SUMPRODUCT((CÁLCULO!$M$15:$M$191=EVENTOS!$C21)*(OFFSET(CÁLCULO!$AI$15:$AI$191,0,S$13))),2),0)</f>
        <v>0</v>
      </c>
      <c r="T21" s="620" cm="1">
        <f t="array" aca="1" ref="T21" ca="1">IF(AUTOEVENTO="Manual",ROUND(SUMPRODUCT((CÁLCULO!$M$15:$M$191=EVENTOS!$C21)*(OFFSET(CÁLCULO!$AI$15:$AI$191,0,T$13))),2),0)</f>
        <v>0</v>
      </c>
      <c r="U21" s="620" cm="1">
        <f t="array" aca="1" ref="U21" ca="1">IF(AUTOEVENTO="Manual",ROUND(SUMPRODUCT((CÁLCULO!$M$15:$M$191=EVENTOS!$C21)*(OFFSET(CÁLCULO!$AI$15:$AI$191,0,U$13))),2),0)</f>
        <v>0</v>
      </c>
      <c r="V21" s="620" cm="1">
        <f t="array" aca="1" ref="V21" ca="1">IF(AUTOEVENTO="Manual",ROUND(SUMPRODUCT((CÁLCULO!$M$15:$M$191=EVENTOS!$C21)*(OFFSET(CÁLCULO!$AI$15:$AI$191,0,V$13))),2),0)</f>
        <v>0</v>
      </c>
      <c r="W21" s="620" cm="1">
        <f t="array" aca="1" ref="W21" ca="1">IF(AUTOEVENTO="Manual",ROUND(SUMPRODUCT((CÁLCULO!$M$15:$M$191=EVENTOS!$C21)*(OFFSET(CÁLCULO!$AI$15:$AI$191,0,W$13))),2),0)</f>
        <v>0</v>
      </c>
      <c r="X21" s="620" cm="1">
        <f t="array" aca="1" ref="X21" ca="1">IF(AUTOEVENTO="Manual",ROUND(SUMPRODUCT((CÁLCULO!$M$15:$M$191=EVENTOS!$C21)*(OFFSET(CÁLCULO!$AI$15:$AI$191,0,X$13))),2),0)</f>
        <v>0</v>
      </c>
      <c r="Y21" s="620" cm="1">
        <f t="array" aca="1" ref="Y21" ca="1">IF(AUTOEVENTO="Manual",ROUND(SUMPRODUCT((CÁLCULO!$M$15:$M$191=EVENTOS!$C21)*(OFFSET(CÁLCULO!$AI$15:$AI$191,0,Y$13))),2),0)</f>
        <v>0</v>
      </c>
    </row>
    <row r="22" spans="1:25" s="670" customFormat="1" x14ac:dyDescent="0.2">
      <c r="A22" s="506" t="str">
        <f t="shared" si="3"/>
        <v>F</v>
      </c>
      <c r="B22" s="670" t="str">
        <f t="shared" ca="1" si="4"/>
        <v>7. Escavação - preparo de fundo de vala</v>
      </c>
      <c r="C22" s="182" cm="1">
        <f t="array" aca="1" ref="C22" ca="1">IF(OR(ROW(C22)=ROW(EVENTOS.firstrow)+1,AND(OFFSET(C22,-1,0)&lt;&gt;" ",OFFSET(C22,-1,1)&lt;&gt;"")),OFFSET(C22,-1,0)+1," ")</f>
        <v>7</v>
      </c>
      <c r="D22" s="496" t="s">
        <v>1280</v>
      </c>
      <c r="E22" s="620" cm="1">
        <f t="array" aca="1" ref="E22" ca="1">IF(AUTOEVENTO="Manual",ROUND(SUMPRODUCT((CÁLCULO!$M$15:$M$191=EVENTOS!$C22)*(OFFSET(CÁLCULO!$AI$15:$AI$191,0,E$13))),2),0)</f>
        <v>0</v>
      </c>
      <c r="F22" s="183">
        <f ca="1">IF(AUTOEVENTO="Manual",ROUND(SUMPRODUCT((CÁLCULO!$M$15:$M$191=EVENTOS!$C22)*(OFFSET(CÁLCULO!$AI$15,0,1):OFFSET(CÁLCULO!$BB$191,0,-1))),2),0)</f>
        <v>378485.88</v>
      </c>
      <c r="G22" s="621" t="str">
        <f t="shared" ca="1" si="5"/>
        <v/>
      </c>
      <c r="H22" s="620" cm="1">
        <f t="array" aca="1" ref="H22" ca="1">IF(AUTOEVENTO="Manual",ROUND(SUMPRODUCT((CÁLCULO!$M$15:$M$191=EVENTOS!$C22)*(OFFSET(CÁLCULO!$AI$15:$AI$191,0,H$13))),2),0)</f>
        <v>0</v>
      </c>
      <c r="I22" s="620" cm="1">
        <f t="array" aca="1" ref="I22" ca="1">IF(AUTOEVENTO="Manual",ROUND(SUMPRODUCT((CÁLCULO!$M$15:$M$191=EVENTOS!$C22)*(OFFSET(CÁLCULO!$AI$15:$AI$191,0,I$13))),2),0)</f>
        <v>0</v>
      </c>
      <c r="J22" s="620" cm="1">
        <f t="array" aca="1" ref="J22" ca="1">IF(AUTOEVENTO="Manual",ROUND(SUMPRODUCT((CÁLCULO!$M$15:$M$191=EVENTOS!$C22)*(OFFSET(CÁLCULO!$AI$15:$AI$191,0,J$13))),2),0)</f>
        <v>24860.400000000001</v>
      </c>
      <c r="K22" s="620" cm="1">
        <f t="array" aca="1" ref="K22" ca="1">IF(AUTOEVENTO="Manual",ROUND(SUMPRODUCT((CÁLCULO!$M$15:$M$191=EVENTOS!$C22)*(OFFSET(CÁLCULO!$AI$15:$AI$191,0,K$13))),2),0)</f>
        <v>7264.45</v>
      </c>
      <c r="L22" s="620" cm="1">
        <f t="array" aca="1" ref="L22" ca="1">IF(AUTOEVENTO="Manual",ROUND(SUMPRODUCT((CÁLCULO!$M$15:$M$191=EVENTOS!$C22)*(OFFSET(CÁLCULO!$AI$15:$AI$191,0,L$13))),2),0)</f>
        <v>192000.32</v>
      </c>
      <c r="M22" s="620" cm="1">
        <f t="array" aca="1" ref="M22" ca="1">IF(AUTOEVENTO="Manual",ROUND(SUMPRODUCT((CÁLCULO!$M$15:$M$191=EVENTOS!$C22)*(OFFSET(CÁLCULO!$AI$15:$AI$191,0,M$13))),2),0)</f>
        <v>1060.71</v>
      </c>
      <c r="N22" s="620" cm="1">
        <f t="array" aca="1" ref="N22" ca="1">IF(AUTOEVENTO="Manual",ROUND(SUMPRODUCT((CÁLCULO!$M$15:$M$191=EVENTOS!$C22)*(OFFSET(CÁLCULO!$AI$15:$AI$191,0,N$13))),2),0)</f>
        <v>153300</v>
      </c>
      <c r="O22" s="620" cm="1">
        <f t="array" aca="1" ref="O22" ca="1">IF(AUTOEVENTO="Manual",ROUND(SUMPRODUCT((CÁLCULO!$M$15:$M$191=EVENTOS!$C22)*(OFFSET(CÁLCULO!$AI$15:$AI$191,0,O$13))),2),0)</f>
        <v>0</v>
      </c>
      <c r="P22" s="620" cm="1">
        <f t="array" aca="1" ref="P22" ca="1">IF(AUTOEVENTO="Manual",ROUND(SUMPRODUCT((CÁLCULO!$M$15:$M$191=EVENTOS!$C22)*(OFFSET(CÁLCULO!$AI$15:$AI$191,0,P$13))),2),0)</f>
        <v>0</v>
      </c>
      <c r="Q22" s="620" cm="1">
        <f t="array" aca="1" ref="Q22" ca="1">IF(AUTOEVENTO="Manual",ROUND(SUMPRODUCT((CÁLCULO!$M$15:$M$191=EVENTOS!$C22)*(OFFSET(CÁLCULO!$AI$15:$AI$191,0,Q$13))),2),0)</f>
        <v>0</v>
      </c>
      <c r="R22" s="620" cm="1">
        <f t="array" aca="1" ref="R22" ca="1">IF(AUTOEVENTO="Manual",ROUND(SUMPRODUCT((CÁLCULO!$M$15:$M$191=EVENTOS!$C22)*(OFFSET(CÁLCULO!$AI$15:$AI$191,0,R$13))),2),0)</f>
        <v>0</v>
      </c>
      <c r="S22" s="620" cm="1">
        <f t="array" aca="1" ref="S22" ca="1">IF(AUTOEVENTO="Manual",ROUND(SUMPRODUCT((CÁLCULO!$M$15:$M$191=EVENTOS!$C22)*(OFFSET(CÁLCULO!$AI$15:$AI$191,0,S$13))),2),0)</f>
        <v>0</v>
      </c>
      <c r="T22" s="620" cm="1">
        <f t="array" aca="1" ref="T22" ca="1">IF(AUTOEVENTO="Manual",ROUND(SUMPRODUCT((CÁLCULO!$M$15:$M$191=EVENTOS!$C22)*(OFFSET(CÁLCULO!$AI$15:$AI$191,0,T$13))),2),0)</f>
        <v>0</v>
      </c>
      <c r="U22" s="620" cm="1">
        <f t="array" aca="1" ref="U22" ca="1">IF(AUTOEVENTO="Manual",ROUND(SUMPRODUCT((CÁLCULO!$M$15:$M$191=EVENTOS!$C22)*(OFFSET(CÁLCULO!$AI$15:$AI$191,0,U$13))),2),0)</f>
        <v>0</v>
      </c>
      <c r="V22" s="620" cm="1">
        <f t="array" aca="1" ref="V22" ca="1">IF(AUTOEVENTO="Manual",ROUND(SUMPRODUCT((CÁLCULO!$M$15:$M$191=EVENTOS!$C22)*(OFFSET(CÁLCULO!$AI$15:$AI$191,0,V$13))),2),0)</f>
        <v>0</v>
      </c>
      <c r="W22" s="620" cm="1">
        <f t="array" aca="1" ref="W22" ca="1">IF(AUTOEVENTO="Manual",ROUND(SUMPRODUCT((CÁLCULO!$M$15:$M$191=EVENTOS!$C22)*(OFFSET(CÁLCULO!$AI$15:$AI$191,0,W$13))),2),0)</f>
        <v>0</v>
      </c>
      <c r="X22" s="620" cm="1">
        <f t="array" aca="1" ref="X22" ca="1">IF(AUTOEVENTO="Manual",ROUND(SUMPRODUCT((CÁLCULO!$M$15:$M$191=EVENTOS!$C22)*(OFFSET(CÁLCULO!$AI$15:$AI$191,0,X$13))),2),0)</f>
        <v>0</v>
      </c>
      <c r="Y22" s="620" cm="1">
        <f t="array" aca="1" ref="Y22" ca="1">IF(AUTOEVENTO="Manual",ROUND(SUMPRODUCT((CÁLCULO!$M$15:$M$191=EVENTOS!$C22)*(OFFSET(CÁLCULO!$AI$15:$AI$191,0,Y$13))),2),0)</f>
        <v>0</v>
      </c>
    </row>
    <row r="23" spans="1:25" s="731" customFormat="1" x14ac:dyDescent="0.2">
      <c r="A23" s="506" t="str">
        <f t="shared" si="3"/>
        <v>F</v>
      </c>
      <c r="B23" s="731" t="str">
        <f t="shared" ca="1" si="4"/>
        <v>8. Assentamento de tubulação</v>
      </c>
      <c r="C23" s="182" cm="1">
        <f t="array" aca="1" ref="C23" ca="1">IF(OR(ROW(C23)=ROW(EVENTOS.firstrow)+1,AND(OFFSET(C23,-1,0)&lt;&gt;" ",OFFSET(C23,-1,1)&lt;&gt;"")),OFFSET(C23,-1,0)+1," ")</f>
        <v>8</v>
      </c>
      <c r="D23" s="496" t="s">
        <v>1281</v>
      </c>
      <c r="E23" s="620" cm="1">
        <f t="array" aca="1" ref="E23" ca="1">IF(AUTOEVENTO="Manual",ROUND(SUMPRODUCT((CÁLCULO!$M$15:$M$191=EVENTOS!$C23)*(OFFSET(CÁLCULO!$AI$15:$AI$191,0,E$13))),2),0)</f>
        <v>0</v>
      </c>
      <c r="F23" s="183">
        <f ca="1">IF(AUTOEVENTO="Manual",ROUND(SUMPRODUCT((CÁLCULO!$M$15:$M$191=EVENTOS!$C23)*(OFFSET(CÁLCULO!$AI$15,0,1):OFFSET(CÁLCULO!$BB$191,0,-1))),2),0)</f>
        <v>291421.48</v>
      </c>
      <c r="G23" s="621" t="str">
        <f t="shared" ca="1" si="5"/>
        <v/>
      </c>
      <c r="H23" s="620" cm="1">
        <f t="array" aca="1" ref="H23" ca="1">IF(AUTOEVENTO="Manual",ROUND(SUMPRODUCT((CÁLCULO!$M$15:$M$191=EVENTOS!$C23)*(OFFSET(CÁLCULO!$AI$15:$AI$191,0,H$13))),2),0)</f>
        <v>0</v>
      </c>
      <c r="I23" s="620" cm="1">
        <f t="array" aca="1" ref="I23" ca="1">IF(AUTOEVENTO="Manual",ROUND(SUMPRODUCT((CÁLCULO!$M$15:$M$191=EVENTOS!$C23)*(OFFSET(CÁLCULO!$AI$15:$AI$191,0,I$13))),2),0)</f>
        <v>0</v>
      </c>
      <c r="J23" s="620" cm="1">
        <f t="array" aca="1" ref="J23" ca="1">IF(AUTOEVENTO="Manual",ROUND(SUMPRODUCT((CÁLCULO!$M$15:$M$191=EVENTOS!$C23)*(OFFSET(CÁLCULO!$AI$15:$AI$191,0,J$13))),2),0)</f>
        <v>0</v>
      </c>
      <c r="K23" s="620" cm="1">
        <f t="array" aca="1" ref="K23" ca="1">IF(AUTOEVENTO="Manual",ROUND(SUMPRODUCT((CÁLCULO!$M$15:$M$191=EVENTOS!$C23)*(OFFSET(CÁLCULO!$AI$15:$AI$191,0,K$13))),2),0)</f>
        <v>0</v>
      </c>
      <c r="L23" s="620" cm="1">
        <f t="array" aca="1" ref="L23" ca="1">IF(AUTOEVENTO="Manual",ROUND(SUMPRODUCT((CÁLCULO!$M$15:$M$191=EVENTOS!$C23)*(OFFSET(CÁLCULO!$AI$15:$AI$191,0,L$13))),2),0)</f>
        <v>47799</v>
      </c>
      <c r="M23" s="620" cm="1">
        <f t="array" aca="1" ref="M23" ca="1">IF(AUTOEVENTO="Manual",ROUND(SUMPRODUCT((CÁLCULO!$M$15:$M$191=EVENTOS!$C23)*(OFFSET(CÁLCULO!$AI$15:$AI$191,0,M$13))),2),0)</f>
        <v>0</v>
      </c>
      <c r="N23" s="620" cm="1">
        <f t="array" aca="1" ref="N23" ca="1">IF(AUTOEVENTO="Manual",ROUND(SUMPRODUCT((CÁLCULO!$M$15:$M$191=EVENTOS!$C23)*(OFFSET(CÁLCULO!$AI$15:$AI$191,0,N$13))),2),0)</f>
        <v>243622.48</v>
      </c>
      <c r="O23" s="620" cm="1">
        <f t="array" aca="1" ref="O23" ca="1">IF(AUTOEVENTO="Manual",ROUND(SUMPRODUCT((CÁLCULO!$M$15:$M$191=EVENTOS!$C23)*(OFFSET(CÁLCULO!$AI$15:$AI$191,0,O$13))),2),0)</f>
        <v>0</v>
      </c>
      <c r="P23" s="620" cm="1">
        <f t="array" aca="1" ref="P23" ca="1">IF(AUTOEVENTO="Manual",ROUND(SUMPRODUCT((CÁLCULO!$M$15:$M$191=EVENTOS!$C23)*(OFFSET(CÁLCULO!$AI$15:$AI$191,0,P$13))),2),0)</f>
        <v>0</v>
      </c>
      <c r="Q23" s="620" cm="1">
        <f t="array" aca="1" ref="Q23" ca="1">IF(AUTOEVENTO="Manual",ROUND(SUMPRODUCT((CÁLCULO!$M$15:$M$191=EVENTOS!$C23)*(OFFSET(CÁLCULO!$AI$15:$AI$191,0,Q$13))),2),0)</f>
        <v>0</v>
      </c>
      <c r="R23" s="620" cm="1">
        <f t="array" aca="1" ref="R23" ca="1">IF(AUTOEVENTO="Manual",ROUND(SUMPRODUCT((CÁLCULO!$M$15:$M$191=EVENTOS!$C23)*(OFFSET(CÁLCULO!$AI$15:$AI$191,0,R$13))),2),0)</f>
        <v>0</v>
      </c>
      <c r="S23" s="620" cm="1">
        <f t="array" aca="1" ref="S23" ca="1">IF(AUTOEVENTO="Manual",ROUND(SUMPRODUCT((CÁLCULO!$M$15:$M$191=EVENTOS!$C23)*(OFFSET(CÁLCULO!$AI$15:$AI$191,0,S$13))),2),0)</f>
        <v>0</v>
      </c>
      <c r="T23" s="620" cm="1">
        <f t="array" aca="1" ref="T23" ca="1">IF(AUTOEVENTO="Manual",ROUND(SUMPRODUCT((CÁLCULO!$M$15:$M$191=EVENTOS!$C23)*(OFFSET(CÁLCULO!$AI$15:$AI$191,0,T$13))),2),0)</f>
        <v>0</v>
      </c>
      <c r="U23" s="620" cm="1">
        <f t="array" aca="1" ref="U23" ca="1">IF(AUTOEVENTO="Manual",ROUND(SUMPRODUCT((CÁLCULO!$M$15:$M$191=EVENTOS!$C23)*(OFFSET(CÁLCULO!$AI$15:$AI$191,0,U$13))),2),0)</f>
        <v>0</v>
      </c>
      <c r="V23" s="620" cm="1">
        <f t="array" aca="1" ref="V23" ca="1">IF(AUTOEVENTO="Manual",ROUND(SUMPRODUCT((CÁLCULO!$M$15:$M$191=EVENTOS!$C23)*(OFFSET(CÁLCULO!$AI$15:$AI$191,0,V$13))),2),0)</f>
        <v>0</v>
      </c>
      <c r="W23" s="620" cm="1">
        <f t="array" aca="1" ref="W23" ca="1">IF(AUTOEVENTO="Manual",ROUND(SUMPRODUCT((CÁLCULO!$M$15:$M$191=EVENTOS!$C23)*(OFFSET(CÁLCULO!$AI$15:$AI$191,0,W$13))),2),0)</f>
        <v>0</v>
      </c>
      <c r="X23" s="620" cm="1">
        <f t="array" aca="1" ref="X23" ca="1">IF(AUTOEVENTO="Manual",ROUND(SUMPRODUCT((CÁLCULO!$M$15:$M$191=EVENTOS!$C23)*(OFFSET(CÁLCULO!$AI$15:$AI$191,0,X$13))),2),0)</f>
        <v>0</v>
      </c>
      <c r="Y23" s="620" cm="1">
        <f t="array" aca="1" ref="Y23" ca="1">IF(AUTOEVENTO="Manual",ROUND(SUMPRODUCT((CÁLCULO!$M$15:$M$191=EVENTOS!$C23)*(OFFSET(CÁLCULO!$AI$15:$AI$191,0,Y$13))),2),0)</f>
        <v>0</v>
      </c>
    </row>
    <row r="24" spans="1:25" s="731" customFormat="1" x14ac:dyDescent="0.2">
      <c r="A24" s="506" t="str">
        <f t="shared" si="3"/>
        <v>F</v>
      </c>
      <c r="B24" s="731" t="str">
        <f t="shared" ca="1" si="4"/>
        <v>9. Reaterro</v>
      </c>
      <c r="C24" s="182" cm="1">
        <f t="array" aca="1" ref="C24" ca="1">IF(OR(ROW(C24)=ROW(EVENTOS.firstrow)+1,AND(OFFSET(C24,-1,0)&lt;&gt;" ",OFFSET(C24,-1,1)&lt;&gt;"")),OFFSET(C24,-1,0)+1," ")</f>
        <v>9</v>
      </c>
      <c r="D24" s="496" t="s">
        <v>1278</v>
      </c>
      <c r="E24" s="620" cm="1">
        <f t="array" aca="1" ref="E24" ca="1">IF(AUTOEVENTO="Manual",ROUND(SUMPRODUCT((CÁLCULO!$M$15:$M$191=EVENTOS!$C24)*(OFFSET(CÁLCULO!$AI$15:$AI$191,0,E$13))),2),0)</f>
        <v>0</v>
      </c>
      <c r="F24" s="183">
        <f ca="1">IF(AUTOEVENTO="Manual",ROUND(SUMPRODUCT((CÁLCULO!$M$15:$M$191=EVENTOS!$C24)*(OFFSET(CÁLCULO!$AI$15,0,1):OFFSET(CÁLCULO!$BB$191,0,-1))),2),0)</f>
        <v>502201.97</v>
      </c>
      <c r="G24" s="621" t="str">
        <f t="shared" ca="1" si="5"/>
        <v/>
      </c>
      <c r="H24" s="620" cm="1">
        <f t="array" aca="1" ref="H24" ca="1">IF(AUTOEVENTO="Manual",ROUND(SUMPRODUCT((CÁLCULO!$M$15:$M$191=EVENTOS!$C24)*(OFFSET(CÁLCULO!$AI$15:$AI$191,0,H$13))),2),0)</f>
        <v>0</v>
      </c>
      <c r="I24" s="620" cm="1">
        <f t="array" aca="1" ref="I24" ca="1">IF(AUTOEVENTO="Manual",ROUND(SUMPRODUCT((CÁLCULO!$M$15:$M$191=EVENTOS!$C24)*(OFFSET(CÁLCULO!$AI$15:$AI$191,0,I$13))),2),0)</f>
        <v>0</v>
      </c>
      <c r="J24" s="620" cm="1">
        <f t="array" aca="1" ref="J24" ca="1">IF(AUTOEVENTO="Manual",ROUND(SUMPRODUCT((CÁLCULO!$M$15:$M$191=EVENTOS!$C24)*(OFFSET(CÁLCULO!$AI$15:$AI$191,0,J$13))),2),0)</f>
        <v>0</v>
      </c>
      <c r="K24" s="620" cm="1">
        <f t="array" aca="1" ref="K24" ca="1">IF(AUTOEVENTO="Manual",ROUND(SUMPRODUCT((CÁLCULO!$M$15:$M$191=EVENTOS!$C24)*(OFFSET(CÁLCULO!$AI$15:$AI$191,0,K$13))),2),0)</f>
        <v>4141.25</v>
      </c>
      <c r="L24" s="620" cm="1">
        <f t="array" aca="1" ref="L24" ca="1">IF(AUTOEVENTO="Manual",ROUND(SUMPRODUCT((CÁLCULO!$M$15:$M$191=EVENTOS!$C24)*(OFFSET(CÁLCULO!$AI$15:$AI$191,0,L$13))),2),0)</f>
        <v>187290.72</v>
      </c>
      <c r="M24" s="620" cm="1">
        <f t="array" aca="1" ref="M24" ca="1">IF(AUTOEVENTO="Manual",ROUND(SUMPRODUCT((CÁLCULO!$M$15:$M$191=EVENTOS!$C24)*(OFFSET(CÁLCULO!$AI$15:$AI$191,0,M$13))),2),0)</f>
        <v>0</v>
      </c>
      <c r="N24" s="620" cm="1">
        <f t="array" aca="1" ref="N24" ca="1">IF(AUTOEVENTO="Manual",ROUND(SUMPRODUCT((CÁLCULO!$M$15:$M$191=EVENTOS!$C24)*(OFFSET(CÁLCULO!$AI$15:$AI$191,0,N$13))),2),0)</f>
        <v>310770</v>
      </c>
      <c r="O24" s="620" cm="1">
        <f t="array" aca="1" ref="O24" ca="1">IF(AUTOEVENTO="Manual",ROUND(SUMPRODUCT((CÁLCULO!$M$15:$M$191=EVENTOS!$C24)*(OFFSET(CÁLCULO!$AI$15:$AI$191,0,O$13))),2),0)</f>
        <v>0</v>
      </c>
      <c r="P24" s="620" cm="1">
        <f t="array" aca="1" ref="P24" ca="1">IF(AUTOEVENTO="Manual",ROUND(SUMPRODUCT((CÁLCULO!$M$15:$M$191=EVENTOS!$C24)*(OFFSET(CÁLCULO!$AI$15:$AI$191,0,P$13))),2),0)</f>
        <v>0</v>
      </c>
      <c r="Q24" s="620" cm="1">
        <f t="array" aca="1" ref="Q24" ca="1">IF(AUTOEVENTO="Manual",ROUND(SUMPRODUCT((CÁLCULO!$M$15:$M$191=EVENTOS!$C24)*(OFFSET(CÁLCULO!$AI$15:$AI$191,0,Q$13))),2),0)</f>
        <v>0</v>
      </c>
      <c r="R24" s="620" cm="1">
        <f t="array" aca="1" ref="R24" ca="1">IF(AUTOEVENTO="Manual",ROUND(SUMPRODUCT((CÁLCULO!$M$15:$M$191=EVENTOS!$C24)*(OFFSET(CÁLCULO!$AI$15:$AI$191,0,R$13))),2),0)</f>
        <v>0</v>
      </c>
      <c r="S24" s="620" cm="1">
        <f t="array" aca="1" ref="S24" ca="1">IF(AUTOEVENTO="Manual",ROUND(SUMPRODUCT((CÁLCULO!$M$15:$M$191=EVENTOS!$C24)*(OFFSET(CÁLCULO!$AI$15:$AI$191,0,S$13))),2),0)</f>
        <v>0</v>
      </c>
      <c r="T24" s="620" cm="1">
        <f t="array" aca="1" ref="T24" ca="1">IF(AUTOEVENTO="Manual",ROUND(SUMPRODUCT((CÁLCULO!$M$15:$M$191=EVENTOS!$C24)*(OFFSET(CÁLCULO!$AI$15:$AI$191,0,T$13))),2),0)</f>
        <v>0</v>
      </c>
      <c r="U24" s="620" cm="1">
        <f t="array" aca="1" ref="U24" ca="1">IF(AUTOEVENTO="Manual",ROUND(SUMPRODUCT((CÁLCULO!$M$15:$M$191=EVENTOS!$C24)*(OFFSET(CÁLCULO!$AI$15:$AI$191,0,U$13))),2),0)</f>
        <v>0</v>
      </c>
      <c r="V24" s="620" cm="1">
        <f t="array" aca="1" ref="V24" ca="1">IF(AUTOEVENTO="Manual",ROUND(SUMPRODUCT((CÁLCULO!$M$15:$M$191=EVENTOS!$C24)*(OFFSET(CÁLCULO!$AI$15:$AI$191,0,V$13))),2),0)</f>
        <v>0</v>
      </c>
      <c r="W24" s="620" cm="1">
        <f t="array" aca="1" ref="W24" ca="1">IF(AUTOEVENTO="Manual",ROUND(SUMPRODUCT((CÁLCULO!$M$15:$M$191=EVENTOS!$C24)*(OFFSET(CÁLCULO!$AI$15:$AI$191,0,W$13))),2),0)</f>
        <v>0</v>
      </c>
      <c r="X24" s="620" cm="1">
        <f t="array" aca="1" ref="X24" ca="1">IF(AUTOEVENTO="Manual",ROUND(SUMPRODUCT((CÁLCULO!$M$15:$M$191=EVENTOS!$C24)*(OFFSET(CÁLCULO!$AI$15:$AI$191,0,X$13))),2),0)</f>
        <v>0</v>
      </c>
      <c r="Y24" s="620" cm="1">
        <f t="array" aca="1" ref="Y24" ca="1">IF(AUTOEVENTO="Manual",ROUND(SUMPRODUCT((CÁLCULO!$M$15:$M$191=EVENTOS!$C24)*(OFFSET(CÁLCULO!$AI$15:$AI$191,0,Y$13))),2),0)</f>
        <v>0</v>
      </c>
    </row>
    <row r="25" spans="1:25" s="731" customFormat="1" x14ac:dyDescent="0.2">
      <c r="A25" s="506" t="str">
        <f t="shared" si="3"/>
        <v>F</v>
      </c>
      <c r="B25" s="731" t="str">
        <f t="shared" ca="1" si="4"/>
        <v>10. Fundação - Forma</v>
      </c>
      <c r="C25" s="182" cm="1">
        <f t="array" aca="1" ref="C25" ca="1">IF(OR(ROW(C25)=ROW(EVENTOS.firstrow)+1,AND(OFFSET(C25,-1,0)&lt;&gt;" ",OFFSET(C25,-1,1)&lt;&gt;"")),OFFSET(C25,-1,0)+1," ")</f>
        <v>10</v>
      </c>
      <c r="D25" s="496" t="s">
        <v>1282</v>
      </c>
      <c r="E25" s="620" cm="1">
        <f t="array" aca="1" ref="E25" ca="1">IF(AUTOEVENTO="Manual",ROUND(SUMPRODUCT((CÁLCULO!$M$15:$M$191=EVENTOS!$C25)*(OFFSET(CÁLCULO!$AI$15:$AI$191,0,E$13))),2),0)</f>
        <v>0</v>
      </c>
      <c r="F25" s="183">
        <f ca="1">IF(AUTOEVENTO="Manual",ROUND(SUMPRODUCT((CÁLCULO!$M$15:$M$191=EVENTOS!$C25)*(OFFSET(CÁLCULO!$AI$15,0,1):OFFSET(CÁLCULO!$BB$191,0,-1))),2),0)</f>
        <v>125246.83</v>
      </c>
      <c r="G25" s="621" t="str">
        <f t="shared" ca="1" si="5"/>
        <v/>
      </c>
      <c r="H25" s="620" cm="1">
        <f t="array" aca="1" ref="H25" ca="1">IF(AUTOEVENTO="Manual",ROUND(SUMPRODUCT((CÁLCULO!$M$15:$M$191=EVENTOS!$C25)*(OFFSET(CÁLCULO!$AI$15:$AI$191,0,H$13))),2),0)</f>
        <v>0</v>
      </c>
      <c r="I25" s="620" cm="1">
        <f t="array" aca="1" ref="I25" ca="1">IF(AUTOEVENTO="Manual",ROUND(SUMPRODUCT((CÁLCULO!$M$15:$M$191=EVENTOS!$C25)*(OFFSET(CÁLCULO!$AI$15:$AI$191,0,I$13))),2),0)</f>
        <v>0</v>
      </c>
      <c r="J25" s="620" cm="1">
        <f t="array" aca="1" ref="J25" ca="1">IF(AUTOEVENTO="Manual",ROUND(SUMPRODUCT((CÁLCULO!$M$15:$M$191=EVENTOS!$C25)*(OFFSET(CÁLCULO!$AI$15:$AI$191,0,J$13))),2),0)</f>
        <v>0</v>
      </c>
      <c r="K25" s="620" cm="1">
        <f t="array" aca="1" ref="K25" ca="1">IF(AUTOEVENTO="Manual",ROUND(SUMPRODUCT((CÁLCULO!$M$15:$M$191=EVENTOS!$C25)*(OFFSET(CÁLCULO!$AI$15:$AI$191,0,K$13))),2),0)</f>
        <v>0</v>
      </c>
      <c r="L25" s="620" cm="1">
        <f t="array" aca="1" ref="L25" ca="1">IF(AUTOEVENTO="Manual",ROUND(SUMPRODUCT((CÁLCULO!$M$15:$M$191=EVENTOS!$C25)*(OFFSET(CÁLCULO!$AI$15:$AI$191,0,L$13))),2),0)</f>
        <v>125246.83</v>
      </c>
      <c r="M25" s="620" cm="1">
        <f t="array" aca="1" ref="M25" ca="1">IF(AUTOEVENTO="Manual",ROUND(SUMPRODUCT((CÁLCULO!$M$15:$M$191=EVENTOS!$C25)*(OFFSET(CÁLCULO!$AI$15:$AI$191,0,M$13))),2),0)</f>
        <v>0</v>
      </c>
      <c r="N25" s="620" cm="1">
        <f t="array" aca="1" ref="N25" ca="1">IF(AUTOEVENTO="Manual",ROUND(SUMPRODUCT((CÁLCULO!$M$15:$M$191=EVENTOS!$C25)*(OFFSET(CÁLCULO!$AI$15:$AI$191,0,N$13))),2),0)</f>
        <v>0</v>
      </c>
      <c r="O25" s="620" cm="1">
        <f t="array" aca="1" ref="O25" ca="1">IF(AUTOEVENTO="Manual",ROUND(SUMPRODUCT((CÁLCULO!$M$15:$M$191=EVENTOS!$C25)*(OFFSET(CÁLCULO!$AI$15:$AI$191,0,O$13))),2),0)</f>
        <v>0</v>
      </c>
      <c r="P25" s="620" cm="1">
        <f t="array" aca="1" ref="P25" ca="1">IF(AUTOEVENTO="Manual",ROUND(SUMPRODUCT((CÁLCULO!$M$15:$M$191=EVENTOS!$C25)*(OFFSET(CÁLCULO!$AI$15:$AI$191,0,P$13))),2),0)</f>
        <v>0</v>
      </c>
      <c r="Q25" s="620" cm="1">
        <f t="array" aca="1" ref="Q25" ca="1">IF(AUTOEVENTO="Manual",ROUND(SUMPRODUCT((CÁLCULO!$M$15:$M$191=EVENTOS!$C25)*(OFFSET(CÁLCULO!$AI$15:$AI$191,0,Q$13))),2),0)</f>
        <v>0</v>
      </c>
      <c r="R25" s="620" cm="1">
        <f t="array" aca="1" ref="R25" ca="1">IF(AUTOEVENTO="Manual",ROUND(SUMPRODUCT((CÁLCULO!$M$15:$M$191=EVENTOS!$C25)*(OFFSET(CÁLCULO!$AI$15:$AI$191,0,R$13))),2),0)</f>
        <v>0</v>
      </c>
      <c r="S25" s="620" cm="1">
        <f t="array" aca="1" ref="S25" ca="1">IF(AUTOEVENTO="Manual",ROUND(SUMPRODUCT((CÁLCULO!$M$15:$M$191=EVENTOS!$C25)*(OFFSET(CÁLCULO!$AI$15:$AI$191,0,S$13))),2),0)</f>
        <v>0</v>
      </c>
      <c r="T25" s="620" cm="1">
        <f t="array" aca="1" ref="T25" ca="1">IF(AUTOEVENTO="Manual",ROUND(SUMPRODUCT((CÁLCULO!$M$15:$M$191=EVENTOS!$C25)*(OFFSET(CÁLCULO!$AI$15:$AI$191,0,T$13))),2),0)</f>
        <v>0</v>
      </c>
      <c r="U25" s="620" cm="1">
        <f t="array" aca="1" ref="U25" ca="1">IF(AUTOEVENTO="Manual",ROUND(SUMPRODUCT((CÁLCULO!$M$15:$M$191=EVENTOS!$C25)*(OFFSET(CÁLCULO!$AI$15:$AI$191,0,U$13))),2),0)</f>
        <v>0</v>
      </c>
      <c r="V25" s="620" cm="1">
        <f t="array" aca="1" ref="V25" ca="1">IF(AUTOEVENTO="Manual",ROUND(SUMPRODUCT((CÁLCULO!$M$15:$M$191=EVENTOS!$C25)*(OFFSET(CÁLCULO!$AI$15:$AI$191,0,V$13))),2),0)</f>
        <v>0</v>
      </c>
      <c r="W25" s="620" cm="1">
        <f t="array" aca="1" ref="W25" ca="1">IF(AUTOEVENTO="Manual",ROUND(SUMPRODUCT((CÁLCULO!$M$15:$M$191=EVENTOS!$C25)*(OFFSET(CÁLCULO!$AI$15:$AI$191,0,W$13))),2),0)</f>
        <v>0</v>
      </c>
      <c r="X25" s="620" cm="1">
        <f t="array" aca="1" ref="X25" ca="1">IF(AUTOEVENTO="Manual",ROUND(SUMPRODUCT((CÁLCULO!$M$15:$M$191=EVENTOS!$C25)*(OFFSET(CÁLCULO!$AI$15:$AI$191,0,X$13))),2),0)</f>
        <v>0</v>
      </c>
      <c r="Y25" s="620" cm="1">
        <f t="array" aca="1" ref="Y25" ca="1">IF(AUTOEVENTO="Manual",ROUND(SUMPRODUCT((CÁLCULO!$M$15:$M$191=EVENTOS!$C25)*(OFFSET(CÁLCULO!$AI$15:$AI$191,0,Y$13))),2),0)</f>
        <v>0</v>
      </c>
    </row>
    <row r="26" spans="1:25" s="731" customFormat="1" x14ac:dyDescent="0.2">
      <c r="A26" s="506" t="str">
        <f t="shared" si="3"/>
        <v>F</v>
      </c>
      <c r="B26" s="731" t="str">
        <f t="shared" ca="1" si="4"/>
        <v>11. Fundação - Armação</v>
      </c>
      <c r="C26" s="182" cm="1">
        <f t="array" aca="1" ref="C26" ca="1">IF(OR(ROW(C26)=ROW(EVENTOS.firstrow)+1,AND(OFFSET(C26,-1,0)&lt;&gt;" ",OFFSET(C26,-1,1)&lt;&gt;"")),OFFSET(C26,-1,0)+1," ")</f>
        <v>11</v>
      </c>
      <c r="D26" s="496" t="s">
        <v>1283</v>
      </c>
      <c r="E26" s="620" cm="1">
        <f t="array" aca="1" ref="E26" ca="1">IF(AUTOEVENTO="Manual",ROUND(SUMPRODUCT((CÁLCULO!$M$15:$M$191=EVENTOS!$C26)*(OFFSET(CÁLCULO!$AI$15:$AI$191,0,E$13))),2),0)</f>
        <v>0</v>
      </c>
      <c r="F26" s="183">
        <f ca="1">IF(AUTOEVENTO="Manual",ROUND(SUMPRODUCT((CÁLCULO!$M$15:$M$191=EVENTOS!$C26)*(OFFSET(CÁLCULO!$AI$15,0,1):OFFSET(CÁLCULO!$BB$191,0,-1))),2),0)</f>
        <v>184068.82</v>
      </c>
      <c r="G26" s="621" t="str">
        <f t="shared" ca="1" si="5"/>
        <v/>
      </c>
      <c r="H26" s="620" cm="1">
        <f t="array" aca="1" ref="H26" ca="1">IF(AUTOEVENTO="Manual",ROUND(SUMPRODUCT((CÁLCULO!$M$15:$M$191=EVENTOS!$C26)*(OFFSET(CÁLCULO!$AI$15:$AI$191,0,H$13))),2),0)</f>
        <v>0</v>
      </c>
      <c r="I26" s="620" cm="1">
        <f t="array" aca="1" ref="I26" ca="1">IF(AUTOEVENTO="Manual",ROUND(SUMPRODUCT((CÁLCULO!$M$15:$M$191=EVENTOS!$C26)*(OFFSET(CÁLCULO!$AI$15:$AI$191,0,I$13))),2),0)</f>
        <v>0</v>
      </c>
      <c r="J26" s="620" cm="1">
        <f t="array" aca="1" ref="J26" ca="1">IF(AUTOEVENTO="Manual",ROUND(SUMPRODUCT((CÁLCULO!$M$15:$M$191=EVENTOS!$C26)*(OFFSET(CÁLCULO!$AI$15:$AI$191,0,J$13))),2),0)</f>
        <v>104060</v>
      </c>
      <c r="K26" s="620" cm="1">
        <f t="array" aca="1" ref="K26" ca="1">IF(AUTOEVENTO="Manual",ROUND(SUMPRODUCT((CÁLCULO!$M$15:$M$191=EVENTOS!$C26)*(OFFSET(CÁLCULO!$AI$15:$AI$191,0,K$13))),2),0)</f>
        <v>42376.07</v>
      </c>
      <c r="L26" s="620" cm="1">
        <f t="array" aca="1" ref="L26" ca="1">IF(AUTOEVENTO="Manual",ROUND(SUMPRODUCT((CÁLCULO!$M$15:$M$191=EVENTOS!$C26)*(OFFSET(CÁLCULO!$AI$15:$AI$191,0,L$13))),2),0)</f>
        <v>17412</v>
      </c>
      <c r="M26" s="620" cm="1">
        <f t="array" aca="1" ref="M26" ca="1">IF(AUTOEVENTO="Manual",ROUND(SUMPRODUCT((CÁLCULO!$M$15:$M$191=EVENTOS!$C26)*(OFFSET(CÁLCULO!$AI$15:$AI$191,0,M$13))),2),0)</f>
        <v>4611.75</v>
      </c>
      <c r="N26" s="620" cm="1">
        <f t="array" aca="1" ref="N26" ca="1">IF(AUTOEVENTO="Manual",ROUND(SUMPRODUCT((CÁLCULO!$M$15:$M$191=EVENTOS!$C26)*(OFFSET(CÁLCULO!$AI$15:$AI$191,0,N$13))),2),0)</f>
        <v>15609</v>
      </c>
      <c r="O26" s="620" cm="1">
        <f t="array" aca="1" ref="O26" ca="1">IF(AUTOEVENTO="Manual",ROUND(SUMPRODUCT((CÁLCULO!$M$15:$M$191=EVENTOS!$C26)*(OFFSET(CÁLCULO!$AI$15:$AI$191,0,O$13))),2),0)</f>
        <v>0</v>
      </c>
      <c r="P26" s="620" cm="1">
        <f t="array" aca="1" ref="P26" ca="1">IF(AUTOEVENTO="Manual",ROUND(SUMPRODUCT((CÁLCULO!$M$15:$M$191=EVENTOS!$C26)*(OFFSET(CÁLCULO!$AI$15:$AI$191,0,P$13))),2),0)</f>
        <v>0</v>
      </c>
      <c r="Q26" s="620" cm="1">
        <f t="array" aca="1" ref="Q26" ca="1">IF(AUTOEVENTO="Manual",ROUND(SUMPRODUCT((CÁLCULO!$M$15:$M$191=EVENTOS!$C26)*(OFFSET(CÁLCULO!$AI$15:$AI$191,0,Q$13))),2),0)</f>
        <v>0</v>
      </c>
      <c r="R26" s="620" cm="1">
        <f t="array" aca="1" ref="R26" ca="1">IF(AUTOEVENTO="Manual",ROUND(SUMPRODUCT((CÁLCULO!$M$15:$M$191=EVENTOS!$C26)*(OFFSET(CÁLCULO!$AI$15:$AI$191,0,R$13))),2),0)</f>
        <v>0</v>
      </c>
      <c r="S26" s="620" cm="1">
        <f t="array" aca="1" ref="S26" ca="1">IF(AUTOEVENTO="Manual",ROUND(SUMPRODUCT((CÁLCULO!$M$15:$M$191=EVENTOS!$C26)*(OFFSET(CÁLCULO!$AI$15:$AI$191,0,S$13))),2),0)</f>
        <v>0</v>
      </c>
      <c r="T26" s="620" cm="1">
        <f t="array" aca="1" ref="T26" ca="1">IF(AUTOEVENTO="Manual",ROUND(SUMPRODUCT((CÁLCULO!$M$15:$M$191=EVENTOS!$C26)*(OFFSET(CÁLCULO!$AI$15:$AI$191,0,T$13))),2),0)</f>
        <v>0</v>
      </c>
      <c r="U26" s="620" cm="1">
        <f t="array" aca="1" ref="U26" ca="1">IF(AUTOEVENTO="Manual",ROUND(SUMPRODUCT((CÁLCULO!$M$15:$M$191=EVENTOS!$C26)*(OFFSET(CÁLCULO!$AI$15:$AI$191,0,U$13))),2),0)</f>
        <v>0</v>
      </c>
      <c r="V26" s="620" cm="1">
        <f t="array" aca="1" ref="V26" ca="1">IF(AUTOEVENTO="Manual",ROUND(SUMPRODUCT((CÁLCULO!$M$15:$M$191=EVENTOS!$C26)*(OFFSET(CÁLCULO!$AI$15:$AI$191,0,V$13))),2),0)</f>
        <v>0</v>
      </c>
      <c r="W26" s="620" cm="1">
        <f t="array" aca="1" ref="W26" ca="1">IF(AUTOEVENTO="Manual",ROUND(SUMPRODUCT((CÁLCULO!$M$15:$M$191=EVENTOS!$C26)*(OFFSET(CÁLCULO!$AI$15:$AI$191,0,W$13))),2),0)</f>
        <v>0</v>
      </c>
      <c r="X26" s="620" cm="1">
        <f t="array" aca="1" ref="X26" ca="1">IF(AUTOEVENTO="Manual",ROUND(SUMPRODUCT((CÁLCULO!$M$15:$M$191=EVENTOS!$C26)*(OFFSET(CÁLCULO!$AI$15:$AI$191,0,X$13))),2),0)</f>
        <v>0</v>
      </c>
      <c r="Y26" s="620" cm="1">
        <f t="array" aca="1" ref="Y26" ca="1">IF(AUTOEVENTO="Manual",ROUND(SUMPRODUCT((CÁLCULO!$M$15:$M$191=EVENTOS!$C26)*(OFFSET(CÁLCULO!$AI$15:$AI$191,0,Y$13))),2),0)</f>
        <v>0</v>
      </c>
    </row>
    <row r="27" spans="1:25" s="731" customFormat="1" x14ac:dyDescent="0.2">
      <c r="A27" s="506" t="str">
        <f t="shared" si="3"/>
        <v>F</v>
      </c>
      <c r="B27" s="731" t="str">
        <f t="shared" ca="1" si="4"/>
        <v>12. Fundação - Concretagem</v>
      </c>
      <c r="C27" s="182" cm="1">
        <f t="array" aca="1" ref="C27" ca="1">IF(OR(ROW(C27)=ROW(EVENTOS.firstrow)+1,AND(OFFSET(C27,-1,0)&lt;&gt;" ",OFFSET(C27,-1,1)&lt;&gt;"")),OFFSET(C27,-1,0)+1," ")</f>
        <v>12</v>
      </c>
      <c r="D27" s="496" t="s">
        <v>1284</v>
      </c>
      <c r="E27" s="620" cm="1">
        <f t="array" aca="1" ref="E27" ca="1">IF(AUTOEVENTO="Manual",ROUND(SUMPRODUCT((CÁLCULO!$M$15:$M$191=EVENTOS!$C27)*(OFFSET(CÁLCULO!$AI$15:$AI$191,0,E$13))),2),0)</f>
        <v>0</v>
      </c>
      <c r="F27" s="183">
        <f ca="1">IF(AUTOEVENTO="Manual",ROUND(SUMPRODUCT((CÁLCULO!$M$15:$M$191=EVENTOS!$C27)*(OFFSET(CÁLCULO!$AI$15,0,1):OFFSET(CÁLCULO!$BB$191,0,-1))),2),0)</f>
        <v>63080.11</v>
      </c>
      <c r="G27" s="621" t="str">
        <f t="shared" ca="1" si="5"/>
        <v/>
      </c>
      <c r="H27" s="620" cm="1">
        <f t="array" aca="1" ref="H27" ca="1">IF(AUTOEVENTO="Manual",ROUND(SUMPRODUCT((CÁLCULO!$M$15:$M$191=EVENTOS!$C27)*(OFFSET(CÁLCULO!$AI$15:$AI$191,0,H$13))),2),0)</f>
        <v>0</v>
      </c>
      <c r="I27" s="620" cm="1">
        <f t="array" aca="1" ref="I27" ca="1">IF(AUTOEVENTO="Manual",ROUND(SUMPRODUCT((CÁLCULO!$M$15:$M$191=EVENTOS!$C27)*(OFFSET(CÁLCULO!$AI$15:$AI$191,0,I$13))),2),0)</f>
        <v>0</v>
      </c>
      <c r="J27" s="620" cm="1">
        <f t="array" aca="1" ref="J27" ca="1">IF(AUTOEVENTO="Manual",ROUND(SUMPRODUCT((CÁLCULO!$M$15:$M$191=EVENTOS!$C27)*(OFFSET(CÁLCULO!$AI$15:$AI$191,0,J$13))),2),0)</f>
        <v>37921.599999999999</v>
      </c>
      <c r="K27" s="620" cm="1">
        <f t="array" aca="1" ref="K27" ca="1">IF(AUTOEVENTO="Manual",ROUND(SUMPRODUCT((CÁLCULO!$M$15:$M$191=EVENTOS!$C27)*(OFFSET(CÁLCULO!$AI$15:$AI$191,0,K$13))),2),0)</f>
        <v>0</v>
      </c>
      <c r="L27" s="620" cm="1">
        <f t="array" aca="1" ref="L27" ca="1">IF(AUTOEVENTO="Manual",ROUND(SUMPRODUCT((CÁLCULO!$M$15:$M$191=EVENTOS!$C27)*(OFFSET(CÁLCULO!$AI$15:$AI$191,0,L$13))),2),0)</f>
        <v>12687.78</v>
      </c>
      <c r="M27" s="620" cm="1">
        <f t="array" aca="1" ref="M27" ca="1">IF(AUTOEVENTO="Manual",ROUND(SUMPRODUCT((CÁLCULO!$M$15:$M$191=EVENTOS!$C27)*(OFFSET(CÁLCULO!$AI$15:$AI$191,0,M$13))),2),0)</f>
        <v>4260.99</v>
      </c>
      <c r="N27" s="620" cm="1">
        <f t="array" aca="1" ref="N27" ca="1">IF(AUTOEVENTO="Manual",ROUND(SUMPRODUCT((CÁLCULO!$M$15:$M$191=EVENTOS!$C27)*(OFFSET(CÁLCULO!$AI$15:$AI$191,0,N$13))),2),0)</f>
        <v>8209.74</v>
      </c>
      <c r="O27" s="620" cm="1">
        <f t="array" aca="1" ref="O27" ca="1">IF(AUTOEVENTO="Manual",ROUND(SUMPRODUCT((CÁLCULO!$M$15:$M$191=EVENTOS!$C27)*(OFFSET(CÁLCULO!$AI$15:$AI$191,0,O$13))),2),0)</f>
        <v>0</v>
      </c>
      <c r="P27" s="620" cm="1">
        <f t="array" aca="1" ref="P27" ca="1">IF(AUTOEVENTO="Manual",ROUND(SUMPRODUCT((CÁLCULO!$M$15:$M$191=EVENTOS!$C27)*(OFFSET(CÁLCULO!$AI$15:$AI$191,0,P$13))),2),0)</f>
        <v>0</v>
      </c>
      <c r="Q27" s="620" cm="1">
        <f t="array" aca="1" ref="Q27" ca="1">IF(AUTOEVENTO="Manual",ROUND(SUMPRODUCT((CÁLCULO!$M$15:$M$191=EVENTOS!$C27)*(OFFSET(CÁLCULO!$AI$15:$AI$191,0,Q$13))),2),0)</f>
        <v>0</v>
      </c>
      <c r="R27" s="620" cm="1">
        <f t="array" aca="1" ref="R27" ca="1">IF(AUTOEVENTO="Manual",ROUND(SUMPRODUCT((CÁLCULO!$M$15:$M$191=EVENTOS!$C27)*(OFFSET(CÁLCULO!$AI$15:$AI$191,0,R$13))),2),0)</f>
        <v>0</v>
      </c>
      <c r="S27" s="620" cm="1">
        <f t="array" aca="1" ref="S27" ca="1">IF(AUTOEVENTO="Manual",ROUND(SUMPRODUCT((CÁLCULO!$M$15:$M$191=EVENTOS!$C27)*(OFFSET(CÁLCULO!$AI$15:$AI$191,0,S$13))),2),0)</f>
        <v>0</v>
      </c>
      <c r="T27" s="620" cm="1">
        <f t="array" aca="1" ref="T27" ca="1">IF(AUTOEVENTO="Manual",ROUND(SUMPRODUCT((CÁLCULO!$M$15:$M$191=EVENTOS!$C27)*(OFFSET(CÁLCULO!$AI$15:$AI$191,0,T$13))),2),0)</f>
        <v>0</v>
      </c>
      <c r="U27" s="620" cm="1">
        <f t="array" aca="1" ref="U27" ca="1">IF(AUTOEVENTO="Manual",ROUND(SUMPRODUCT((CÁLCULO!$M$15:$M$191=EVENTOS!$C27)*(OFFSET(CÁLCULO!$AI$15:$AI$191,0,U$13))),2),0)</f>
        <v>0</v>
      </c>
      <c r="V27" s="620" cm="1">
        <f t="array" aca="1" ref="V27" ca="1">IF(AUTOEVENTO="Manual",ROUND(SUMPRODUCT((CÁLCULO!$M$15:$M$191=EVENTOS!$C27)*(OFFSET(CÁLCULO!$AI$15:$AI$191,0,V$13))),2),0)</f>
        <v>0</v>
      </c>
      <c r="W27" s="620" cm="1">
        <f t="array" aca="1" ref="W27" ca="1">IF(AUTOEVENTO="Manual",ROUND(SUMPRODUCT((CÁLCULO!$M$15:$M$191=EVENTOS!$C27)*(OFFSET(CÁLCULO!$AI$15:$AI$191,0,W$13))),2),0)</f>
        <v>0</v>
      </c>
      <c r="X27" s="620" cm="1">
        <f t="array" aca="1" ref="X27" ca="1">IF(AUTOEVENTO="Manual",ROUND(SUMPRODUCT((CÁLCULO!$M$15:$M$191=EVENTOS!$C27)*(OFFSET(CÁLCULO!$AI$15:$AI$191,0,X$13))),2),0)</f>
        <v>0</v>
      </c>
      <c r="Y27" s="620" cm="1">
        <f t="array" aca="1" ref="Y27" ca="1">IF(AUTOEVENTO="Manual",ROUND(SUMPRODUCT((CÁLCULO!$M$15:$M$191=EVENTOS!$C27)*(OFFSET(CÁLCULO!$AI$15:$AI$191,0,Y$13))),2),0)</f>
        <v>0</v>
      </c>
    </row>
    <row r="28" spans="1:25" s="728" customFormat="1" x14ac:dyDescent="0.2">
      <c r="A28" s="506" t="str">
        <f t="shared" si="3"/>
        <v>F</v>
      </c>
      <c r="B28" s="728" t="str">
        <f t="shared" ca="1" si="4"/>
        <v>13. Fundação - Estacas / Tubulões</v>
      </c>
      <c r="C28" s="182" cm="1">
        <f t="array" aca="1" ref="C28" ca="1">IF(OR(ROW(C28)=ROW(EVENTOS.firstrow)+1,AND(OFFSET(C28,-1,0)&lt;&gt;" ",OFFSET(C28,-1,1)&lt;&gt;"")),OFFSET(C28,-1,0)+1," ")</f>
        <v>13</v>
      </c>
      <c r="D28" s="496" t="s">
        <v>1296</v>
      </c>
      <c r="E28" s="620" cm="1">
        <f t="array" aca="1" ref="E28" ca="1">IF(AUTOEVENTO="Manual",ROUND(SUMPRODUCT((CÁLCULO!$M$15:$M$191=EVENTOS!$C28)*(OFFSET(CÁLCULO!$AI$15:$AI$191,0,E$13))),2),0)</f>
        <v>0</v>
      </c>
      <c r="F28" s="183">
        <f ca="1">IF(AUTOEVENTO="Manual",ROUND(SUMPRODUCT((CÁLCULO!$M$15:$M$191=EVENTOS!$C28)*(OFFSET(CÁLCULO!$AI$15,0,1):OFFSET(CÁLCULO!$BB$191,0,-1))),2),0)</f>
        <v>121579.36</v>
      </c>
      <c r="G28" s="621" t="str">
        <f t="shared" ca="1" si="5"/>
        <v/>
      </c>
      <c r="H28" s="620" cm="1">
        <f t="array" aca="1" ref="H28" ca="1">IF(AUTOEVENTO="Manual",ROUND(SUMPRODUCT((CÁLCULO!$M$15:$M$191=EVENTOS!$C28)*(OFFSET(CÁLCULO!$AI$15:$AI$191,0,H$13))),2),0)</f>
        <v>0</v>
      </c>
      <c r="I28" s="620" cm="1">
        <f t="array" aca="1" ref="I28" ca="1">IF(AUTOEVENTO="Manual",ROUND(SUMPRODUCT((CÁLCULO!$M$15:$M$191=EVENTOS!$C28)*(OFFSET(CÁLCULO!$AI$15:$AI$191,0,I$13))),2),0)</f>
        <v>0</v>
      </c>
      <c r="J28" s="620" cm="1">
        <f t="array" aca="1" ref="J28" ca="1">IF(AUTOEVENTO="Manual",ROUND(SUMPRODUCT((CÁLCULO!$M$15:$M$191=EVENTOS!$C28)*(OFFSET(CÁLCULO!$AI$15:$AI$191,0,J$13))),2),0)</f>
        <v>82723.41</v>
      </c>
      <c r="K28" s="620" cm="1">
        <f t="array" aca="1" ref="K28" ca="1">IF(AUTOEVENTO="Manual",ROUND(SUMPRODUCT((CÁLCULO!$M$15:$M$191=EVENTOS!$C28)*(OFFSET(CÁLCULO!$AI$15:$AI$191,0,K$13))),2),0)</f>
        <v>0</v>
      </c>
      <c r="L28" s="620" cm="1">
        <f t="array" aca="1" ref="L28" ca="1">IF(AUTOEVENTO="Manual",ROUND(SUMPRODUCT((CÁLCULO!$M$15:$M$191=EVENTOS!$C28)*(OFFSET(CÁLCULO!$AI$15:$AI$191,0,L$13))),2),0)</f>
        <v>1435.15</v>
      </c>
      <c r="M28" s="620" cm="1">
        <f t="array" aca="1" ref="M28" ca="1">IF(AUTOEVENTO="Manual",ROUND(SUMPRODUCT((CÁLCULO!$M$15:$M$191=EVENTOS!$C28)*(OFFSET(CÁLCULO!$AI$15:$AI$191,0,M$13))),2),0)</f>
        <v>37420.800000000003</v>
      </c>
      <c r="N28" s="620" cm="1">
        <f t="array" aca="1" ref="N28" ca="1">IF(AUTOEVENTO="Manual",ROUND(SUMPRODUCT((CÁLCULO!$M$15:$M$191=EVENTOS!$C28)*(OFFSET(CÁLCULO!$AI$15:$AI$191,0,N$13))),2),0)</f>
        <v>0</v>
      </c>
      <c r="O28" s="620" cm="1">
        <f t="array" aca="1" ref="O28" ca="1">IF(AUTOEVENTO="Manual",ROUND(SUMPRODUCT((CÁLCULO!$M$15:$M$191=EVENTOS!$C28)*(OFFSET(CÁLCULO!$AI$15:$AI$191,0,O$13))),2),0)</f>
        <v>0</v>
      </c>
      <c r="P28" s="620" cm="1">
        <f t="array" aca="1" ref="P28" ca="1">IF(AUTOEVENTO="Manual",ROUND(SUMPRODUCT((CÁLCULO!$M$15:$M$191=EVENTOS!$C28)*(OFFSET(CÁLCULO!$AI$15:$AI$191,0,P$13))),2),0)</f>
        <v>0</v>
      </c>
      <c r="Q28" s="620" cm="1">
        <f t="array" aca="1" ref="Q28" ca="1">IF(AUTOEVENTO="Manual",ROUND(SUMPRODUCT((CÁLCULO!$M$15:$M$191=EVENTOS!$C28)*(OFFSET(CÁLCULO!$AI$15:$AI$191,0,Q$13))),2),0)</f>
        <v>0</v>
      </c>
      <c r="R28" s="620" cm="1">
        <f t="array" aca="1" ref="R28" ca="1">IF(AUTOEVENTO="Manual",ROUND(SUMPRODUCT((CÁLCULO!$M$15:$M$191=EVENTOS!$C28)*(OFFSET(CÁLCULO!$AI$15:$AI$191,0,R$13))),2),0)</f>
        <v>0</v>
      </c>
      <c r="S28" s="620" cm="1">
        <f t="array" aca="1" ref="S28" ca="1">IF(AUTOEVENTO="Manual",ROUND(SUMPRODUCT((CÁLCULO!$M$15:$M$191=EVENTOS!$C28)*(OFFSET(CÁLCULO!$AI$15:$AI$191,0,S$13))),2),0)</f>
        <v>0</v>
      </c>
      <c r="T28" s="620" cm="1">
        <f t="array" aca="1" ref="T28" ca="1">IF(AUTOEVENTO="Manual",ROUND(SUMPRODUCT((CÁLCULO!$M$15:$M$191=EVENTOS!$C28)*(OFFSET(CÁLCULO!$AI$15:$AI$191,0,T$13))),2),0)</f>
        <v>0</v>
      </c>
      <c r="U28" s="620" cm="1">
        <f t="array" aca="1" ref="U28" ca="1">IF(AUTOEVENTO="Manual",ROUND(SUMPRODUCT((CÁLCULO!$M$15:$M$191=EVENTOS!$C28)*(OFFSET(CÁLCULO!$AI$15:$AI$191,0,U$13))),2),0)</f>
        <v>0</v>
      </c>
      <c r="V28" s="620" cm="1">
        <f t="array" aca="1" ref="V28" ca="1">IF(AUTOEVENTO="Manual",ROUND(SUMPRODUCT((CÁLCULO!$M$15:$M$191=EVENTOS!$C28)*(OFFSET(CÁLCULO!$AI$15:$AI$191,0,V$13))),2),0)</f>
        <v>0</v>
      </c>
      <c r="W28" s="620" cm="1">
        <f t="array" aca="1" ref="W28" ca="1">IF(AUTOEVENTO="Manual",ROUND(SUMPRODUCT((CÁLCULO!$M$15:$M$191=EVENTOS!$C28)*(OFFSET(CÁLCULO!$AI$15:$AI$191,0,W$13))),2),0)</f>
        <v>0</v>
      </c>
      <c r="X28" s="620" cm="1">
        <f t="array" aca="1" ref="X28" ca="1">IF(AUTOEVENTO="Manual",ROUND(SUMPRODUCT((CÁLCULO!$M$15:$M$191=EVENTOS!$C28)*(OFFSET(CÁLCULO!$AI$15:$AI$191,0,X$13))),2),0)</f>
        <v>0</v>
      </c>
      <c r="Y28" s="620" cm="1">
        <f t="array" aca="1" ref="Y28" ca="1">IF(AUTOEVENTO="Manual",ROUND(SUMPRODUCT((CÁLCULO!$M$15:$M$191=EVENTOS!$C28)*(OFFSET(CÁLCULO!$AI$15:$AI$191,0,Y$13))),2),0)</f>
        <v>0</v>
      </c>
    </row>
    <row r="29" spans="1:25" s="728" customFormat="1" x14ac:dyDescent="0.2">
      <c r="A29" s="506" t="str">
        <f t="shared" si="3"/>
        <v>F</v>
      </c>
      <c r="B29" s="728" t="str">
        <f t="shared" ca="1" si="4"/>
        <v>14. Estrutura - Forma</v>
      </c>
      <c r="C29" s="182" cm="1">
        <f t="array" aca="1" ref="C29" ca="1">IF(OR(ROW(C29)=ROW(EVENTOS.firstrow)+1,AND(OFFSET(C29,-1,0)&lt;&gt;" ",OFFSET(C29,-1,1)&lt;&gt;"")),OFFSET(C29,-1,0)+1," ")</f>
        <v>14</v>
      </c>
      <c r="D29" s="496" t="s">
        <v>1273</v>
      </c>
      <c r="E29" s="620" cm="1">
        <f t="array" aca="1" ref="E29" ca="1">IF(AUTOEVENTO="Manual",ROUND(SUMPRODUCT((CÁLCULO!$M$15:$M$191=EVENTOS!$C29)*(OFFSET(CÁLCULO!$AI$15:$AI$191,0,E$13))),2),0)</f>
        <v>0</v>
      </c>
      <c r="F29" s="183">
        <f ca="1">IF(AUTOEVENTO="Manual",ROUND(SUMPRODUCT((CÁLCULO!$M$15:$M$191=EVENTOS!$C29)*(OFFSET(CÁLCULO!$AI$15,0,1):OFFSET(CÁLCULO!$BB$191,0,-1))),2),0)</f>
        <v>115325.72</v>
      </c>
      <c r="G29" s="621" t="str">
        <f t="shared" ca="1" si="5"/>
        <v/>
      </c>
      <c r="H29" s="620" cm="1">
        <f t="array" aca="1" ref="H29" ca="1">IF(AUTOEVENTO="Manual",ROUND(SUMPRODUCT((CÁLCULO!$M$15:$M$191=EVENTOS!$C29)*(OFFSET(CÁLCULO!$AI$15:$AI$191,0,H$13))),2),0)</f>
        <v>0</v>
      </c>
      <c r="I29" s="620" cm="1">
        <f t="array" aca="1" ref="I29" ca="1">IF(AUTOEVENTO="Manual",ROUND(SUMPRODUCT((CÁLCULO!$M$15:$M$191=EVENTOS!$C29)*(OFFSET(CÁLCULO!$AI$15:$AI$191,0,I$13))),2),0)</f>
        <v>0</v>
      </c>
      <c r="J29" s="620" cm="1">
        <f t="array" aca="1" ref="J29" ca="1">IF(AUTOEVENTO="Manual",ROUND(SUMPRODUCT((CÁLCULO!$M$15:$M$191=EVENTOS!$C29)*(OFFSET(CÁLCULO!$AI$15:$AI$191,0,J$13))),2),0)</f>
        <v>1953.8</v>
      </c>
      <c r="K29" s="620" cm="1">
        <f t="array" aca="1" ref="K29" ca="1">IF(AUTOEVENTO="Manual",ROUND(SUMPRODUCT((CÁLCULO!$M$15:$M$191=EVENTOS!$C29)*(OFFSET(CÁLCULO!$AI$15:$AI$191,0,K$13))),2),0)</f>
        <v>60783.44</v>
      </c>
      <c r="L29" s="620" cm="1">
        <f t="array" aca="1" ref="L29" ca="1">IF(AUTOEVENTO="Manual",ROUND(SUMPRODUCT((CÁLCULO!$M$15:$M$191=EVENTOS!$C29)*(OFFSET(CÁLCULO!$AI$15:$AI$191,0,L$13))),2),0)</f>
        <v>52588.480000000003</v>
      </c>
      <c r="M29" s="620" cm="1">
        <f t="array" aca="1" ref="M29" ca="1">IF(AUTOEVENTO="Manual",ROUND(SUMPRODUCT((CÁLCULO!$M$15:$M$191=EVENTOS!$C29)*(OFFSET(CÁLCULO!$AI$15:$AI$191,0,M$13))),2),0)</f>
        <v>0</v>
      </c>
      <c r="N29" s="620" cm="1">
        <f t="array" aca="1" ref="N29" ca="1">IF(AUTOEVENTO="Manual",ROUND(SUMPRODUCT((CÁLCULO!$M$15:$M$191=EVENTOS!$C29)*(OFFSET(CÁLCULO!$AI$15:$AI$191,0,N$13))),2),0)</f>
        <v>0</v>
      </c>
      <c r="O29" s="620" cm="1">
        <f t="array" aca="1" ref="O29" ca="1">IF(AUTOEVENTO="Manual",ROUND(SUMPRODUCT((CÁLCULO!$M$15:$M$191=EVENTOS!$C29)*(OFFSET(CÁLCULO!$AI$15:$AI$191,0,O$13))),2),0)</f>
        <v>0</v>
      </c>
      <c r="P29" s="620" cm="1">
        <f t="array" aca="1" ref="P29" ca="1">IF(AUTOEVENTO="Manual",ROUND(SUMPRODUCT((CÁLCULO!$M$15:$M$191=EVENTOS!$C29)*(OFFSET(CÁLCULO!$AI$15:$AI$191,0,P$13))),2),0)</f>
        <v>0</v>
      </c>
      <c r="Q29" s="620" cm="1">
        <f t="array" aca="1" ref="Q29" ca="1">IF(AUTOEVENTO="Manual",ROUND(SUMPRODUCT((CÁLCULO!$M$15:$M$191=EVENTOS!$C29)*(OFFSET(CÁLCULO!$AI$15:$AI$191,0,Q$13))),2),0)</f>
        <v>0</v>
      </c>
      <c r="R29" s="620" cm="1">
        <f t="array" aca="1" ref="R29" ca="1">IF(AUTOEVENTO="Manual",ROUND(SUMPRODUCT((CÁLCULO!$M$15:$M$191=EVENTOS!$C29)*(OFFSET(CÁLCULO!$AI$15:$AI$191,0,R$13))),2),0)</f>
        <v>0</v>
      </c>
      <c r="S29" s="620" cm="1">
        <f t="array" aca="1" ref="S29" ca="1">IF(AUTOEVENTO="Manual",ROUND(SUMPRODUCT((CÁLCULO!$M$15:$M$191=EVENTOS!$C29)*(OFFSET(CÁLCULO!$AI$15:$AI$191,0,S$13))),2),0)</f>
        <v>0</v>
      </c>
      <c r="T29" s="620" cm="1">
        <f t="array" aca="1" ref="T29" ca="1">IF(AUTOEVENTO="Manual",ROUND(SUMPRODUCT((CÁLCULO!$M$15:$M$191=EVENTOS!$C29)*(OFFSET(CÁLCULO!$AI$15:$AI$191,0,T$13))),2),0)</f>
        <v>0</v>
      </c>
      <c r="U29" s="620" cm="1">
        <f t="array" aca="1" ref="U29" ca="1">IF(AUTOEVENTO="Manual",ROUND(SUMPRODUCT((CÁLCULO!$M$15:$M$191=EVENTOS!$C29)*(OFFSET(CÁLCULO!$AI$15:$AI$191,0,U$13))),2),0)</f>
        <v>0</v>
      </c>
      <c r="V29" s="620" cm="1">
        <f t="array" aca="1" ref="V29" ca="1">IF(AUTOEVENTO="Manual",ROUND(SUMPRODUCT((CÁLCULO!$M$15:$M$191=EVENTOS!$C29)*(OFFSET(CÁLCULO!$AI$15:$AI$191,0,V$13))),2),0)</f>
        <v>0</v>
      </c>
      <c r="W29" s="620" cm="1">
        <f t="array" aca="1" ref="W29" ca="1">IF(AUTOEVENTO="Manual",ROUND(SUMPRODUCT((CÁLCULO!$M$15:$M$191=EVENTOS!$C29)*(OFFSET(CÁLCULO!$AI$15:$AI$191,0,W$13))),2),0)</f>
        <v>0</v>
      </c>
      <c r="X29" s="620" cm="1">
        <f t="array" aca="1" ref="X29" ca="1">IF(AUTOEVENTO="Manual",ROUND(SUMPRODUCT((CÁLCULO!$M$15:$M$191=EVENTOS!$C29)*(OFFSET(CÁLCULO!$AI$15:$AI$191,0,X$13))),2),0)</f>
        <v>0</v>
      </c>
      <c r="Y29" s="620" cm="1">
        <f t="array" aca="1" ref="Y29" ca="1">IF(AUTOEVENTO="Manual",ROUND(SUMPRODUCT((CÁLCULO!$M$15:$M$191=EVENTOS!$C29)*(OFFSET(CÁLCULO!$AI$15:$AI$191,0,Y$13))),2),0)</f>
        <v>0</v>
      </c>
    </row>
    <row r="30" spans="1:25" s="728" customFormat="1" x14ac:dyDescent="0.2">
      <c r="A30" s="506" t="str">
        <f t="shared" si="3"/>
        <v>F</v>
      </c>
      <c r="B30" s="728" t="str">
        <f t="shared" ca="1" si="4"/>
        <v>15. Estrutura - Armadura</v>
      </c>
      <c r="C30" s="182" cm="1">
        <f t="array" aca="1" ref="C30" ca="1">IF(OR(ROW(C30)=ROW(EVENTOS.firstrow)+1,AND(OFFSET(C30,-1,0)&lt;&gt;" ",OFFSET(C30,-1,1)&lt;&gt;"")),OFFSET(C30,-1,0)+1," ")</f>
        <v>15</v>
      </c>
      <c r="D30" s="496" t="s">
        <v>1274</v>
      </c>
      <c r="E30" s="620" cm="1">
        <f t="array" aca="1" ref="E30" ca="1">IF(AUTOEVENTO="Manual",ROUND(SUMPRODUCT((CÁLCULO!$M$15:$M$191=EVENTOS!$C30)*(OFFSET(CÁLCULO!$AI$15:$AI$191,0,E$13))),2),0)</f>
        <v>0</v>
      </c>
      <c r="F30" s="183">
        <f ca="1">IF(AUTOEVENTO="Manual",ROUND(SUMPRODUCT((CÁLCULO!$M$15:$M$191=EVENTOS!$C30)*(OFFSET(CÁLCULO!$AI$15,0,1):OFFSET(CÁLCULO!$BB$191,0,-1))),2),0)</f>
        <v>17028</v>
      </c>
      <c r="G30" s="621" t="str">
        <f t="shared" ca="1" si="5"/>
        <v/>
      </c>
      <c r="H30" s="620" cm="1">
        <f t="array" aca="1" ref="H30" ca="1">IF(AUTOEVENTO="Manual",ROUND(SUMPRODUCT((CÁLCULO!$M$15:$M$191=EVENTOS!$C30)*(OFFSET(CÁLCULO!$AI$15:$AI$191,0,H$13))),2),0)</f>
        <v>0</v>
      </c>
      <c r="I30" s="620" cm="1">
        <f t="array" aca="1" ref="I30" ca="1">IF(AUTOEVENTO="Manual",ROUND(SUMPRODUCT((CÁLCULO!$M$15:$M$191=EVENTOS!$C30)*(OFFSET(CÁLCULO!$AI$15:$AI$191,0,I$13))),2),0)</f>
        <v>0</v>
      </c>
      <c r="J30" s="620" cm="1">
        <f t="array" aca="1" ref="J30" ca="1">IF(AUTOEVENTO="Manual",ROUND(SUMPRODUCT((CÁLCULO!$M$15:$M$191=EVENTOS!$C30)*(OFFSET(CÁLCULO!$AI$15:$AI$191,0,J$13))),2),0)</f>
        <v>0</v>
      </c>
      <c r="K30" s="620" cm="1">
        <f t="array" aca="1" ref="K30" ca="1">IF(AUTOEVENTO="Manual",ROUND(SUMPRODUCT((CÁLCULO!$M$15:$M$191=EVENTOS!$C30)*(OFFSET(CÁLCULO!$AI$15:$AI$191,0,K$13))),2),0)</f>
        <v>0</v>
      </c>
      <c r="L30" s="620" cm="1">
        <f t="array" aca="1" ref="L30" ca="1">IF(AUTOEVENTO="Manual",ROUND(SUMPRODUCT((CÁLCULO!$M$15:$M$191=EVENTOS!$C30)*(OFFSET(CÁLCULO!$AI$15:$AI$191,0,L$13))),2),0)</f>
        <v>0</v>
      </c>
      <c r="M30" s="620" cm="1">
        <f t="array" aca="1" ref="M30" ca="1">IF(AUTOEVENTO="Manual",ROUND(SUMPRODUCT((CÁLCULO!$M$15:$M$191=EVENTOS!$C30)*(OFFSET(CÁLCULO!$AI$15:$AI$191,0,M$13))),2),0)</f>
        <v>17028</v>
      </c>
      <c r="N30" s="620" cm="1">
        <f t="array" aca="1" ref="N30" ca="1">IF(AUTOEVENTO="Manual",ROUND(SUMPRODUCT((CÁLCULO!$M$15:$M$191=EVENTOS!$C30)*(OFFSET(CÁLCULO!$AI$15:$AI$191,0,N$13))),2),0)</f>
        <v>0</v>
      </c>
      <c r="O30" s="620" cm="1">
        <f t="array" aca="1" ref="O30" ca="1">IF(AUTOEVENTO="Manual",ROUND(SUMPRODUCT((CÁLCULO!$M$15:$M$191=EVENTOS!$C30)*(OFFSET(CÁLCULO!$AI$15:$AI$191,0,O$13))),2),0)</f>
        <v>0</v>
      </c>
      <c r="P30" s="620" cm="1">
        <f t="array" aca="1" ref="P30" ca="1">IF(AUTOEVENTO="Manual",ROUND(SUMPRODUCT((CÁLCULO!$M$15:$M$191=EVENTOS!$C30)*(OFFSET(CÁLCULO!$AI$15:$AI$191,0,P$13))),2),0)</f>
        <v>0</v>
      </c>
      <c r="Q30" s="620" cm="1">
        <f t="array" aca="1" ref="Q30" ca="1">IF(AUTOEVENTO="Manual",ROUND(SUMPRODUCT((CÁLCULO!$M$15:$M$191=EVENTOS!$C30)*(OFFSET(CÁLCULO!$AI$15:$AI$191,0,Q$13))),2),0)</f>
        <v>0</v>
      </c>
      <c r="R30" s="620" cm="1">
        <f t="array" aca="1" ref="R30" ca="1">IF(AUTOEVENTO="Manual",ROUND(SUMPRODUCT((CÁLCULO!$M$15:$M$191=EVENTOS!$C30)*(OFFSET(CÁLCULO!$AI$15:$AI$191,0,R$13))),2),0)</f>
        <v>0</v>
      </c>
      <c r="S30" s="620" cm="1">
        <f t="array" aca="1" ref="S30" ca="1">IF(AUTOEVENTO="Manual",ROUND(SUMPRODUCT((CÁLCULO!$M$15:$M$191=EVENTOS!$C30)*(OFFSET(CÁLCULO!$AI$15:$AI$191,0,S$13))),2),0)</f>
        <v>0</v>
      </c>
      <c r="T30" s="620" cm="1">
        <f t="array" aca="1" ref="T30" ca="1">IF(AUTOEVENTO="Manual",ROUND(SUMPRODUCT((CÁLCULO!$M$15:$M$191=EVENTOS!$C30)*(OFFSET(CÁLCULO!$AI$15:$AI$191,0,T$13))),2),0)</f>
        <v>0</v>
      </c>
      <c r="U30" s="620" cm="1">
        <f t="array" aca="1" ref="U30" ca="1">IF(AUTOEVENTO="Manual",ROUND(SUMPRODUCT((CÁLCULO!$M$15:$M$191=EVENTOS!$C30)*(OFFSET(CÁLCULO!$AI$15:$AI$191,0,U$13))),2),0)</f>
        <v>0</v>
      </c>
      <c r="V30" s="620" cm="1">
        <f t="array" aca="1" ref="V30" ca="1">IF(AUTOEVENTO="Manual",ROUND(SUMPRODUCT((CÁLCULO!$M$15:$M$191=EVENTOS!$C30)*(OFFSET(CÁLCULO!$AI$15:$AI$191,0,V$13))),2),0)</f>
        <v>0</v>
      </c>
      <c r="W30" s="620" cm="1">
        <f t="array" aca="1" ref="W30" ca="1">IF(AUTOEVENTO="Manual",ROUND(SUMPRODUCT((CÁLCULO!$M$15:$M$191=EVENTOS!$C30)*(OFFSET(CÁLCULO!$AI$15:$AI$191,0,W$13))),2),0)</f>
        <v>0</v>
      </c>
      <c r="X30" s="620" cm="1">
        <f t="array" aca="1" ref="X30" ca="1">IF(AUTOEVENTO="Manual",ROUND(SUMPRODUCT((CÁLCULO!$M$15:$M$191=EVENTOS!$C30)*(OFFSET(CÁLCULO!$AI$15:$AI$191,0,X$13))),2),0)</f>
        <v>0</v>
      </c>
      <c r="Y30" s="620" cm="1">
        <f t="array" aca="1" ref="Y30" ca="1">IF(AUTOEVENTO="Manual",ROUND(SUMPRODUCT((CÁLCULO!$M$15:$M$191=EVENTOS!$C30)*(OFFSET(CÁLCULO!$AI$15:$AI$191,0,Y$13))),2),0)</f>
        <v>0</v>
      </c>
    </row>
    <row r="31" spans="1:25" s="728" customFormat="1" x14ac:dyDescent="0.2">
      <c r="A31" s="506" t="str">
        <f t="shared" si="3"/>
        <v>F</v>
      </c>
      <c r="B31" s="728" t="str">
        <f t="shared" ca="1" si="4"/>
        <v>16. Estrutura - Concretagem</v>
      </c>
      <c r="C31" s="182" cm="1">
        <f t="array" aca="1" ref="C31" ca="1">IF(OR(ROW(C31)=ROW(EVENTOS.firstrow)+1,AND(OFFSET(C31,-1,0)&lt;&gt;" ",OFFSET(C31,-1,1)&lt;&gt;"")),OFFSET(C31,-1,0)+1," ")</f>
        <v>16</v>
      </c>
      <c r="D31" s="496" t="s">
        <v>1275</v>
      </c>
      <c r="E31" s="620" cm="1">
        <f t="array" aca="1" ref="E31" ca="1">IF(AUTOEVENTO="Manual",ROUND(SUMPRODUCT((CÁLCULO!$M$15:$M$191=EVENTOS!$C31)*(OFFSET(CÁLCULO!$AI$15:$AI$191,0,E$13))),2),0)</f>
        <v>0</v>
      </c>
      <c r="F31" s="183">
        <f ca="1">IF(AUTOEVENTO="Manual",ROUND(SUMPRODUCT((CÁLCULO!$M$15:$M$191=EVENTOS!$C31)*(OFFSET(CÁLCULO!$AI$15,0,1):OFFSET(CÁLCULO!$BB$191,0,-1))),2),0)</f>
        <v>132953.65</v>
      </c>
      <c r="G31" s="621" t="str">
        <f t="shared" ca="1" si="5"/>
        <v/>
      </c>
      <c r="H31" s="620" cm="1">
        <f t="array" aca="1" ref="H31" ca="1">IF(AUTOEVENTO="Manual",ROUND(SUMPRODUCT((CÁLCULO!$M$15:$M$191=EVENTOS!$C31)*(OFFSET(CÁLCULO!$AI$15:$AI$191,0,H$13))),2),0)</f>
        <v>0</v>
      </c>
      <c r="I31" s="620" cm="1">
        <f t="array" aca="1" ref="I31" ca="1">IF(AUTOEVENTO="Manual",ROUND(SUMPRODUCT((CÁLCULO!$M$15:$M$191=EVENTOS!$C31)*(OFFSET(CÁLCULO!$AI$15:$AI$191,0,I$13))),2),0)</f>
        <v>0</v>
      </c>
      <c r="J31" s="620" cm="1">
        <f t="array" aca="1" ref="J31" ca="1">IF(AUTOEVENTO="Manual",ROUND(SUMPRODUCT((CÁLCULO!$M$15:$M$191=EVENTOS!$C31)*(OFFSET(CÁLCULO!$AI$15:$AI$191,0,J$13))),2),0)</f>
        <v>100896.22</v>
      </c>
      <c r="K31" s="620" cm="1">
        <f t="array" aca="1" ref="K31" ca="1">IF(AUTOEVENTO="Manual",ROUND(SUMPRODUCT((CÁLCULO!$M$15:$M$191=EVENTOS!$C31)*(OFFSET(CÁLCULO!$AI$15:$AI$191,0,K$13))),2),0)</f>
        <v>27940.59</v>
      </c>
      <c r="L31" s="620" cm="1">
        <f t="array" aca="1" ref="L31" ca="1">IF(AUTOEVENTO="Manual",ROUND(SUMPRODUCT((CÁLCULO!$M$15:$M$191=EVENTOS!$C31)*(OFFSET(CÁLCULO!$AI$15:$AI$191,0,L$13))),2),0)</f>
        <v>0</v>
      </c>
      <c r="M31" s="620" cm="1">
        <f t="array" aca="1" ref="M31" ca="1">IF(AUTOEVENTO="Manual",ROUND(SUMPRODUCT((CÁLCULO!$M$15:$M$191=EVENTOS!$C31)*(OFFSET(CÁLCULO!$AI$15:$AI$191,0,M$13))),2),0)</f>
        <v>4116.84</v>
      </c>
      <c r="N31" s="620" cm="1">
        <f t="array" aca="1" ref="N31" ca="1">IF(AUTOEVENTO="Manual",ROUND(SUMPRODUCT((CÁLCULO!$M$15:$M$191=EVENTOS!$C31)*(OFFSET(CÁLCULO!$AI$15:$AI$191,0,N$13))),2),0)</f>
        <v>0</v>
      </c>
      <c r="O31" s="620" cm="1">
        <f t="array" aca="1" ref="O31" ca="1">IF(AUTOEVENTO="Manual",ROUND(SUMPRODUCT((CÁLCULO!$M$15:$M$191=EVENTOS!$C31)*(OFFSET(CÁLCULO!$AI$15:$AI$191,0,O$13))),2),0)</f>
        <v>0</v>
      </c>
      <c r="P31" s="620" cm="1">
        <f t="array" aca="1" ref="P31" ca="1">IF(AUTOEVENTO="Manual",ROUND(SUMPRODUCT((CÁLCULO!$M$15:$M$191=EVENTOS!$C31)*(OFFSET(CÁLCULO!$AI$15:$AI$191,0,P$13))),2),0)</f>
        <v>0</v>
      </c>
      <c r="Q31" s="620" cm="1">
        <f t="array" aca="1" ref="Q31" ca="1">IF(AUTOEVENTO="Manual",ROUND(SUMPRODUCT((CÁLCULO!$M$15:$M$191=EVENTOS!$C31)*(OFFSET(CÁLCULO!$AI$15:$AI$191,0,Q$13))),2),0)</f>
        <v>0</v>
      </c>
      <c r="R31" s="620" cm="1">
        <f t="array" aca="1" ref="R31" ca="1">IF(AUTOEVENTO="Manual",ROUND(SUMPRODUCT((CÁLCULO!$M$15:$M$191=EVENTOS!$C31)*(OFFSET(CÁLCULO!$AI$15:$AI$191,0,R$13))),2),0)</f>
        <v>0</v>
      </c>
      <c r="S31" s="620" cm="1">
        <f t="array" aca="1" ref="S31" ca="1">IF(AUTOEVENTO="Manual",ROUND(SUMPRODUCT((CÁLCULO!$M$15:$M$191=EVENTOS!$C31)*(OFFSET(CÁLCULO!$AI$15:$AI$191,0,S$13))),2),0)</f>
        <v>0</v>
      </c>
      <c r="T31" s="620" cm="1">
        <f t="array" aca="1" ref="T31" ca="1">IF(AUTOEVENTO="Manual",ROUND(SUMPRODUCT((CÁLCULO!$M$15:$M$191=EVENTOS!$C31)*(OFFSET(CÁLCULO!$AI$15:$AI$191,0,T$13))),2),0)</f>
        <v>0</v>
      </c>
      <c r="U31" s="620" cm="1">
        <f t="array" aca="1" ref="U31" ca="1">IF(AUTOEVENTO="Manual",ROUND(SUMPRODUCT((CÁLCULO!$M$15:$M$191=EVENTOS!$C31)*(OFFSET(CÁLCULO!$AI$15:$AI$191,0,U$13))),2),0)</f>
        <v>0</v>
      </c>
      <c r="V31" s="620" cm="1">
        <f t="array" aca="1" ref="V31" ca="1">IF(AUTOEVENTO="Manual",ROUND(SUMPRODUCT((CÁLCULO!$M$15:$M$191=EVENTOS!$C31)*(OFFSET(CÁLCULO!$AI$15:$AI$191,0,V$13))),2),0)</f>
        <v>0</v>
      </c>
      <c r="W31" s="620" cm="1">
        <f t="array" aca="1" ref="W31" ca="1">IF(AUTOEVENTO="Manual",ROUND(SUMPRODUCT((CÁLCULO!$M$15:$M$191=EVENTOS!$C31)*(OFFSET(CÁLCULO!$AI$15:$AI$191,0,W$13))),2),0)</f>
        <v>0</v>
      </c>
      <c r="X31" s="620" cm="1">
        <f t="array" aca="1" ref="X31" ca="1">IF(AUTOEVENTO="Manual",ROUND(SUMPRODUCT((CÁLCULO!$M$15:$M$191=EVENTOS!$C31)*(OFFSET(CÁLCULO!$AI$15:$AI$191,0,X$13))),2),0)</f>
        <v>0</v>
      </c>
      <c r="Y31" s="620" cm="1">
        <f t="array" aca="1" ref="Y31" ca="1">IF(AUTOEVENTO="Manual",ROUND(SUMPRODUCT((CÁLCULO!$M$15:$M$191=EVENTOS!$C31)*(OFFSET(CÁLCULO!$AI$15:$AI$191,0,Y$13))),2),0)</f>
        <v>0</v>
      </c>
    </row>
    <row r="32" spans="1:25" s="728" customFormat="1" x14ac:dyDescent="0.2">
      <c r="A32" s="506" t="str">
        <f t="shared" si="3"/>
        <v>F</v>
      </c>
      <c r="B32" s="728" t="str">
        <f t="shared" ca="1" si="4"/>
        <v>17. Alvenaria estrutural</v>
      </c>
      <c r="C32" s="182" cm="1">
        <f t="array" aca="1" ref="C32" ca="1">IF(OR(ROW(C32)=ROW(EVENTOS.firstrow)+1,AND(OFFSET(C32,-1,0)&lt;&gt;" ",OFFSET(C32,-1,1)&lt;&gt;"")),OFFSET(C32,-1,0)+1," ")</f>
        <v>17</v>
      </c>
      <c r="D32" s="496" t="s">
        <v>1290</v>
      </c>
      <c r="E32" s="620" cm="1">
        <f t="array" aca="1" ref="E32" ca="1">IF(AUTOEVENTO="Manual",ROUND(SUMPRODUCT((CÁLCULO!$M$15:$M$191=EVENTOS!$C32)*(OFFSET(CÁLCULO!$AI$15:$AI$191,0,E$13))),2),0)</f>
        <v>0</v>
      </c>
      <c r="F32" s="183">
        <f ca="1">IF(AUTOEVENTO="Manual",ROUND(SUMPRODUCT((CÁLCULO!$M$15:$M$191=EVENTOS!$C32)*(OFFSET(CÁLCULO!$AI$15,0,1):OFFSET(CÁLCULO!$BB$191,0,-1))),2),0)</f>
        <v>32301</v>
      </c>
      <c r="G32" s="621" t="str">
        <f t="shared" ca="1" si="5"/>
        <v/>
      </c>
      <c r="H32" s="620" cm="1">
        <f t="array" aca="1" ref="H32" ca="1">IF(AUTOEVENTO="Manual",ROUND(SUMPRODUCT((CÁLCULO!$M$15:$M$191=EVENTOS!$C32)*(OFFSET(CÁLCULO!$AI$15:$AI$191,0,H$13))),2),0)</f>
        <v>0</v>
      </c>
      <c r="I32" s="620" cm="1">
        <f t="array" aca="1" ref="I32" ca="1">IF(AUTOEVENTO="Manual",ROUND(SUMPRODUCT((CÁLCULO!$M$15:$M$191=EVENTOS!$C32)*(OFFSET(CÁLCULO!$AI$15:$AI$191,0,I$13))),2),0)</f>
        <v>0</v>
      </c>
      <c r="J32" s="620" cm="1">
        <f t="array" aca="1" ref="J32" ca="1">IF(AUTOEVENTO="Manual",ROUND(SUMPRODUCT((CÁLCULO!$M$15:$M$191=EVENTOS!$C32)*(OFFSET(CÁLCULO!$AI$15:$AI$191,0,J$13))),2),0)</f>
        <v>0</v>
      </c>
      <c r="K32" s="620" cm="1">
        <f t="array" aca="1" ref="K32" ca="1">IF(AUTOEVENTO="Manual",ROUND(SUMPRODUCT((CÁLCULO!$M$15:$M$191=EVENTOS!$C32)*(OFFSET(CÁLCULO!$AI$15:$AI$191,0,K$13))),2),0)</f>
        <v>32301</v>
      </c>
      <c r="L32" s="620" cm="1">
        <f t="array" aca="1" ref="L32" ca="1">IF(AUTOEVENTO="Manual",ROUND(SUMPRODUCT((CÁLCULO!$M$15:$M$191=EVENTOS!$C32)*(OFFSET(CÁLCULO!$AI$15:$AI$191,0,L$13))),2),0)</f>
        <v>0</v>
      </c>
      <c r="M32" s="620" cm="1">
        <f t="array" aca="1" ref="M32" ca="1">IF(AUTOEVENTO="Manual",ROUND(SUMPRODUCT((CÁLCULO!$M$15:$M$191=EVENTOS!$C32)*(OFFSET(CÁLCULO!$AI$15:$AI$191,0,M$13))),2),0)</f>
        <v>0</v>
      </c>
      <c r="N32" s="620" cm="1">
        <f t="array" aca="1" ref="N32" ca="1">IF(AUTOEVENTO="Manual",ROUND(SUMPRODUCT((CÁLCULO!$M$15:$M$191=EVENTOS!$C32)*(OFFSET(CÁLCULO!$AI$15:$AI$191,0,N$13))),2),0)</f>
        <v>0</v>
      </c>
      <c r="O32" s="620" cm="1">
        <f t="array" aca="1" ref="O32" ca="1">IF(AUTOEVENTO="Manual",ROUND(SUMPRODUCT((CÁLCULO!$M$15:$M$191=EVENTOS!$C32)*(OFFSET(CÁLCULO!$AI$15:$AI$191,0,O$13))),2),0)</f>
        <v>0</v>
      </c>
      <c r="P32" s="620" cm="1">
        <f t="array" aca="1" ref="P32" ca="1">IF(AUTOEVENTO="Manual",ROUND(SUMPRODUCT((CÁLCULO!$M$15:$M$191=EVENTOS!$C32)*(OFFSET(CÁLCULO!$AI$15:$AI$191,0,P$13))),2),0)</f>
        <v>0</v>
      </c>
      <c r="Q32" s="620" cm="1">
        <f t="array" aca="1" ref="Q32" ca="1">IF(AUTOEVENTO="Manual",ROUND(SUMPRODUCT((CÁLCULO!$M$15:$M$191=EVENTOS!$C32)*(OFFSET(CÁLCULO!$AI$15:$AI$191,0,Q$13))),2),0)</f>
        <v>0</v>
      </c>
      <c r="R32" s="620" cm="1">
        <f t="array" aca="1" ref="R32" ca="1">IF(AUTOEVENTO="Manual",ROUND(SUMPRODUCT((CÁLCULO!$M$15:$M$191=EVENTOS!$C32)*(OFFSET(CÁLCULO!$AI$15:$AI$191,0,R$13))),2),0)</f>
        <v>0</v>
      </c>
      <c r="S32" s="620" cm="1">
        <f t="array" aca="1" ref="S32" ca="1">IF(AUTOEVENTO="Manual",ROUND(SUMPRODUCT((CÁLCULO!$M$15:$M$191=EVENTOS!$C32)*(OFFSET(CÁLCULO!$AI$15:$AI$191,0,S$13))),2),0)</f>
        <v>0</v>
      </c>
      <c r="T32" s="620" cm="1">
        <f t="array" aca="1" ref="T32" ca="1">IF(AUTOEVENTO="Manual",ROUND(SUMPRODUCT((CÁLCULO!$M$15:$M$191=EVENTOS!$C32)*(OFFSET(CÁLCULO!$AI$15:$AI$191,0,T$13))),2),0)</f>
        <v>0</v>
      </c>
      <c r="U32" s="620" cm="1">
        <f t="array" aca="1" ref="U32" ca="1">IF(AUTOEVENTO="Manual",ROUND(SUMPRODUCT((CÁLCULO!$M$15:$M$191=EVENTOS!$C32)*(OFFSET(CÁLCULO!$AI$15:$AI$191,0,U$13))),2),0)</f>
        <v>0</v>
      </c>
      <c r="V32" s="620" cm="1">
        <f t="array" aca="1" ref="V32" ca="1">IF(AUTOEVENTO="Manual",ROUND(SUMPRODUCT((CÁLCULO!$M$15:$M$191=EVENTOS!$C32)*(OFFSET(CÁLCULO!$AI$15:$AI$191,0,V$13))),2),0)</f>
        <v>0</v>
      </c>
      <c r="W32" s="620" cm="1">
        <f t="array" aca="1" ref="W32" ca="1">IF(AUTOEVENTO="Manual",ROUND(SUMPRODUCT((CÁLCULO!$M$15:$M$191=EVENTOS!$C32)*(OFFSET(CÁLCULO!$AI$15:$AI$191,0,W$13))),2),0)</f>
        <v>0</v>
      </c>
      <c r="X32" s="620" cm="1">
        <f t="array" aca="1" ref="X32" ca="1">IF(AUTOEVENTO="Manual",ROUND(SUMPRODUCT((CÁLCULO!$M$15:$M$191=EVENTOS!$C32)*(OFFSET(CÁLCULO!$AI$15:$AI$191,0,X$13))),2),0)</f>
        <v>0</v>
      </c>
      <c r="Y32" s="620" cm="1">
        <f t="array" aca="1" ref="Y32" ca="1">IF(AUTOEVENTO="Manual",ROUND(SUMPRODUCT((CÁLCULO!$M$15:$M$191=EVENTOS!$C32)*(OFFSET(CÁLCULO!$AI$15:$AI$191,0,Y$13))),2),0)</f>
        <v>0</v>
      </c>
    </row>
    <row r="33" spans="1:25" s="728" customFormat="1" x14ac:dyDescent="0.2">
      <c r="A33" s="506" t="str">
        <f t="shared" si="3"/>
        <v>F</v>
      </c>
      <c r="B33" s="728" t="str">
        <f t="shared" ca="1" si="4"/>
        <v>18. Reservatório metálico</v>
      </c>
      <c r="C33" s="182" cm="1">
        <f t="array" aca="1" ref="C33" ca="1">IF(OR(ROW(C33)=ROW(EVENTOS.firstrow)+1,AND(OFFSET(C33,-1,0)&lt;&gt;" ",OFFSET(C33,-1,1)&lt;&gt;"")),OFFSET(C33,-1,0)+1," ")</f>
        <v>18</v>
      </c>
      <c r="D33" s="496" t="s">
        <v>1270</v>
      </c>
      <c r="E33" s="620" cm="1">
        <f t="array" aca="1" ref="E33" ca="1">IF(AUTOEVENTO="Manual",ROUND(SUMPRODUCT((CÁLCULO!$M$15:$M$191=EVENTOS!$C33)*(OFFSET(CÁLCULO!$AI$15:$AI$191,0,E$13))),2),0)</f>
        <v>0</v>
      </c>
      <c r="F33" s="183">
        <f ca="1">IF(AUTOEVENTO="Manual",ROUND(SUMPRODUCT((CÁLCULO!$M$15:$M$191=EVENTOS!$C33)*(OFFSET(CÁLCULO!$AI$15,0,1):OFFSET(CÁLCULO!$BB$191,0,-1))),2),0)</f>
        <v>513137.44</v>
      </c>
      <c r="G33" s="621" t="str">
        <f t="shared" ca="1" si="5"/>
        <v/>
      </c>
      <c r="H33" s="620" cm="1">
        <f t="array" aca="1" ref="H33" ca="1">IF(AUTOEVENTO="Manual",ROUND(SUMPRODUCT((CÁLCULO!$M$15:$M$191=EVENTOS!$C33)*(OFFSET(CÁLCULO!$AI$15:$AI$191,0,H$13))),2),0)</f>
        <v>0</v>
      </c>
      <c r="I33" s="620" cm="1">
        <f t="array" aca="1" ref="I33" ca="1">IF(AUTOEVENTO="Manual",ROUND(SUMPRODUCT((CÁLCULO!$M$15:$M$191=EVENTOS!$C33)*(OFFSET(CÁLCULO!$AI$15:$AI$191,0,I$13))),2),0)</f>
        <v>0</v>
      </c>
      <c r="J33" s="620" cm="1">
        <f t="array" aca="1" ref="J33" ca="1">IF(AUTOEVENTO="Manual",ROUND(SUMPRODUCT((CÁLCULO!$M$15:$M$191=EVENTOS!$C33)*(OFFSET(CÁLCULO!$AI$15:$AI$191,0,J$13))),2),0)</f>
        <v>513137.44</v>
      </c>
      <c r="K33" s="620" cm="1">
        <f t="array" aca="1" ref="K33" ca="1">IF(AUTOEVENTO="Manual",ROUND(SUMPRODUCT((CÁLCULO!$M$15:$M$191=EVENTOS!$C33)*(OFFSET(CÁLCULO!$AI$15:$AI$191,0,K$13))),2),0)</f>
        <v>0</v>
      </c>
      <c r="L33" s="620" cm="1">
        <f t="array" aca="1" ref="L33" ca="1">IF(AUTOEVENTO="Manual",ROUND(SUMPRODUCT((CÁLCULO!$M$15:$M$191=EVENTOS!$C33)*(OFFSET(CÁLCULO!$AI$15:$AI$191,0,L$13))),2),0)</f>
        <v>0</v>
      </c>
      <c r="M33" s="620" cm="1">
        <f t="array" aca="1" ref="M33" ca="1">IF(AUTOEVENTO="Manual",ROUND(SUMPRODUCT((CÁLCULO!$M$15:$M$191=EVENTOS!$C33)*(OFFSET(CÁLCULO!$AI$15:$AI$191,0,M$13))),2),0)</f>
        <v>0</v>
      </c>
      <c r="N33" s="620" cm="1">
        <f t="array" aca="1" ref="N33" ca="1">IF(AUTOEVENTO="Manual",ROUND(SUMPRODUCT((CÁLCULO!$M$15:$M$191=EVENTOS!$C33)*(OFFSET(CÁLCULO!$AI$15:$AI$191,0,N$13))),2),0)</f>
        <v>0</v>
      </c>
      <c r="O33" s="620" cm="1">
        <f t="array" aca="1" ref="O33" ca="1">IF(AUTOEVENTO="Manual",ROUND(SUMPRODUCT((CÁLCULO!$M$15:$M$191=EVENTOS!$C33)*(OFFSET(CÁLCULO!$AI$15:$AI$191,0,O$13))),2),0)</f>
        <v>0</v>
      </c>
      <c r="P33" s="620" cm="1">
        <f t="array" aca="1" ref="P33" ca="1">IF(AUTOEVENTO="Manual",ROUND(SUMPRODUCT((CÁLCULO!$M$15:$M$191=EVENTOS!$C33)*(OFFSET(CÁLCULO!$AI$15:$AI$191,0,P$13))),2),0)</f>
        <v>0</v>
      </c>
      <c r="Q33" s="620" cm="1">
        <f t="array" aca="1" ref="Q33" ca="1">IF(AUTOEVENTO="Manual",ROUND(SUMPRODUCT((CÁLCULO!$M$15:$M$191=EVENTOS!$C33)*(OFFSET(CÁLCULO!$AI$15:$AI$191,0,Q$13))),2),0)</f>
        <v>0</v>
      </c>
      <c r="R33" s="620" cm="1">
        <f t="array" aca="1" ref="R33" ca="1">IF(AUTOEVENTO="Manual",ROUND(SUMPRODUCT((CÁLCULO!$M$15:$M$191=EVENTOS!$C33)*(OFFSET(CÁLCULO!$AI$15:$AI$191,0,R$13))),2),0)</f>
        <v>0</v>
      </c>
      <c r="S33" s="620" cm="1">
        <f t="array" aca="1" ref="S33" ca="1">IF(AUTOEVENTO="Manual",ROUND(SUMPRODUCT((CÁLCULO!$M$15:$M$191=EVENTOS!$C33)*(OFFSET(CÁLCULO!$AI$15:$AI$191,0,S$13))),2),0)</f>
        <v>0</v>
      </c>
      <c r="T33" s="620" cm="1">
        <f t="array" aca="1" ref="T33" ca="1">IF(AUTOEVENTO="Manual",ROUND(SUMPRODUCT((CÁLCULO!$M$15:$M$191=EVENTOS!$C33)*(OFFSET(CÁLCULO!$AI$15:$AI$191,0,T$13))),2),0)</f>
        <v>0</v>
      </c>
      <c r="U33" s="620" cm="1">
        <f t="array" aca="1" ref="U33" ca="1">IF(AUTOEVENTO="Manual",ROUND(SUMPRODUCT((CÁLCULO!$M$15:$M$191=EVENTOS!$C33)*(OFFSET(CÁLCULO!$AI$15:$AI$191,0,U$13))),2),0)</f>
        <v>0</v>
      </c>
      <c r="V33" s="620" cm="1">
        <f t="array" aca="1" ref="V33" ca="1">IF(AUTOEVENTO="Manual",ROUND(SUMPRODUCT((CÁLCULO!$M$15:$M$191=EVENTOS!$C33)*(OFFSET(CÁLCULO!$AI$15:$AI$191,0,V$13))),2),0)</f>
        <v>0</v>
      </c>
      <c r="W33" s="620" cm="1">
        <f t="array" aca="1" ref="W33" ca="1">IF(AUTOEVENTO="Manual",ROUND(SUMPRODUCT((CÁLCULO!$M$15:$M$191=EVENTOS!$C33)*(OFFSET(CÁLCULO!$AI$15:$AI$191,0,W$13))),2),0)</f>
        <v>0</v>
      </c>
      <c r="X33" s="620" cm="1">
        <f t="array" aca="1" ref="X33" ca="1">IF(AUTOEVENTO="Manual",ROUND(SUMPRODUCT((CÁLCULO!$M$15:$M$191=EVENTOS!$C33)*(OFFSET(CÁLCULO!$AI$15:$AI$191,0,X$13))),2),0)</f>
        <v>0</v>
      </c>
      <c r="Y33" s="620" cm="1">
        <f t="array" aca="1" ref="Y33" ca="1">IF(AUTOEVENTO="Manual",ROUND(SUMPRODUCT((CÁLCULO!$M$15:$M$191=EVENTOS!$C33)*(OFFSET(CÁLCULO!$AI$15:$AI$191,0,Y$13))),2),0)</f>
        <v>0</v>
      </c>
    </row>
    <row r="34" spans="1:25" s="728" customFormat="1" x14ac:dyDescent="0.2">
      <c r="A34" s="506" t="str">
        <f t="shared" si="3"/>
        <v>F</v>
      </c>
      <c r="B34" s="728" t="str">
        <f t="shared" ca="1" si="4"/>
        <v>19. Rede de água - assentamento de tubos</v>
      </c>
      <c r="C34" s="182" cm="1">
        <f t="array" aca="1" ref="C34" ca="1">IF(OR(ROW(C34)=ROW(EVENTOS.firstrow)+1,AND(OFFSET(C34,-1,0)&lt;&gt;" ",OFFSET(C34,-1,1)&lt;&gt;"")),OFFSET(C34,-1,0)+1," ")</f>
        <v>19</v>
      </c>
      <c r="D34" s="496" t="s">
        <v>1286</v>
      </c>
      <c r="E34" s="620" cm="1">
        <f t="array" aca="1" ref="E34" ca="1">IF(AUTOEVENTO="Manual",ROUND(SUMPRODUCT((CÁLCULO!$M$15:$M$191=EVENTOS!$C34)*(OFFSET(CÁLCULO!$AI$15:$AI$191,0,E$13))),2),0)</f>
        <v>0</v>
      </c>
      <c r="F34" s="183">
        <f ca="1">IF(AUTOEVENTO="Manual",ROUND(SUMPRODUCT((CÁLCULO!$M$15:$M$191=EVENTOS!$C34)*(OFFSET(CÁLCULO!$AI$15,0,1):OFFSET(CÁLCULO!$BB$191,0,-1))),2),0)</f>
        <v>1126964.55</v>
      </c>
      <c r="G34" s="621" t="str">
        <f t="shared" ca="1" si="5"/>
        <v/>
      </c>
      <c r="H34" s="620" cm="1">
        <f t="array" aca="1" ref="H34" ca="1">IF(AUTOEVENTO="Manual",ROUND(SUMPRODUCT((CÁLCULO!$M$15:$M$191=EVENTOS!$C34)*(OFFSET(CÁLCULO!$AI$15:$AI$191,0,H$13))),2),0)</f>
        <v>0</v>
      </c>
      <c r="I34" s="620" cm="1">
        <f t="array" aca="1" ref="I34" ca="1">IF(AUTOEVENTO="Manual",ROUND(SUMPRODUCT((CÁLCULO!$M$15:$M$191=EVENTOS!$C34)*(OFFSET(CÁLCULO!$AI$15:$AI$191,0,I$13))),2),0)</f>
        <v>0</v>
      </c>
      <c r="J34" s="620" cm="1">
        <f t="array" aca="1" ref="J34" ca="1">IF(AUTOEVENTO="Manual",ROUND(SUMPRODUCT((CÁLCULO!$M$15:$M$191=EVENTOS!$C34)*(OFFSET(CÁLCULO!$AI$15:$AI$191,0,J$13))),2),0)</f>
        <v>0</v>
      </c>
      <c r="K34" s="620" cm="1">
        <f t="array" aca="1" ref="K34" ca="1">IF(AUTOEVENTO="Manual",ROUND(SUMPRODUCT((CÁLCULO!$M$15:$M$191=EVENTOS!$C34)*(OFFSET(CÁLCULO!$AI$15:$AI$191,0,K$13))),2),0)</f>
        <v>0</v>
      </c>
      <c r="L34" s="620" cm="1">
        <f t="array" aca="1" ref="L34" ca="1">IF(AUTOEVENTO="Manual",ROUND(SUMPRODUCT((CÁLCULO!$M$15:$M$191=EVENTOS!$C34)*(OFFSET(CÁLCULO!$AI$15:$AI$191,0,L$13))),2),0)</f>
        <v>1126964.55</v>
      </c>
      <c r="M34" s="620" cm="1">
        <f t="array" aca="1" ref="M34" ca="1">IF(AUTOEVENTO="Manual",ROUND(SUMPRODUCT((CÁLCULO!$M$15:$M$191=EVENTOS!$C34)*(OFFSET(CÁLCULO!$AI$15:$AI$191,0,M$13))),2),0)</f>
        <v>0</v>
      </c>
      <c r="N34" s="620" cm="1">
        <f t="array" aca="1" ref="N34" ca="1">IF(AUTOEVENTO="Manual",ROUND(SUMPRODUCT((CÁLCULO!$M$15:$M$191=EVENTOS!$C34)*(OFFSET(CÁLCULO!$AI$15:$AI$191,0,N$13))),2),0)</f>
        <v>0</v>
      </c>
      <c r="O34" s="620" cm="1">
        <f t="array" aca="1" ref="O34" ca="1">IF(AUTOEVENTO="Manual",ROUND(SUMPRODUCT((CÁLCULO!$M$15:$M$191=EVENTOS!$C34)*(OFFSET(CÁLCULO!$AI$15:$AI$191,0,O$13))),2),0)</f>
        <v>0</v>
      </c>
      <c r="P34" s="620" cm="1">
        <f t="array" aca="1" ref="P34" ca="1">IF(AUTOEVENTO="Manual",ROUND(SUMPRODUCT((CÁLCULO!$M$15:$M$191=EVENTOS!$C34)*(OFFSET(CÁLCULO!$AI$15:$AI$191,0,P$13))),2),0)</f>
        <v>0</v>
      </c>
      <c r="Q34" s="620" cm="1">
        <f t="array" aca="1" ref="Q34" ca="1">IF(AUTOEVENTO="Manual",ROUND(SUMPRODUCT((CÁLCULO!$M$15:$M$191=EVENTOS!$C34)*(OFFSET(CÁLCULO!$AI$15:$AI$191,0,Q$13))),2),0)</f>
        <v>0</v>
      </c>
      <c r="R34" s="620" cm="1">
        <f t="array" aca="1" ref="R34" ca="1">IF(AUTOEVENTO="Manual",ROUND(SUMPRODUCT((CÁLCULO!$M$15:$M$191=EVENTOS!$C34)*(OFFSET(CÁLCULO!$AI$15:$AI$191,0,R$13))),2),0)</f>
        <v>0</v>
      </c>
      <c r="S34" s="620" cm="1">
        <f t="array" aca="1" ref="S34" ca="1">IF(AUTOEVENTO="Manual",ROUND(SUMPRODUCT((CÁLCULO!$M$15:$M$191=EVENTOS!$C34)*(OFFSET(CÁLCULO!$AI$15:$AI$191,0,S$13))),2),0)</f>
        <v>0</v>
      </c>
      <c r="T34" s="620" cm="1">
        <f t="array" aca="1" ref="T34" ca="1">IF(AUTOEVENTO="Manual",ROUND(SUMPRODUCT((CÁLCULO!$M$15:$M$191=EVENTOS!$C34)*(OFFSET(CÁLCULO!$AI$15:$AI$191,0,T$13))),2),0)</f>
        <v>0</v>
      </c>
      <c r="U34" s="620" cm="1">
        <f t="array" aca="1" ref="U34" ca="1">IF(AUTOEVENTO="Manual",ROUND(SUMPRODUCT((CÁLCULO!$M$15:$M$191=EVENTOS!$C34)*(OFFSET(CÁLCULO!$AI$15:$AI$191,0,U$13))),2),0)</f>
        <v>0</v>
      </c>
      <c r="V34" s="620" cm="1">
        <f t="array" aca="1" ref="V34" ca="1">IF(AUTOEVENTO="Manual",ROUND(SUMPRODUCT((CÁLCULO!$M$15:$M$191=EVENTOS!$C34)*(OFFSET(CÁLCULO!$AI$15:$AI$191,0,V$13))),2),0)</f>
        <v>0</v>
      </c>
      <c r="W34" s="620" cm="1">
        <f t="array" aca="1" ref="W34" ca="1">IF(AUTOEVENTO="Manual",ROUND(SUMPRODUCT((CÁLCULO!$M$15:$M$191=EVENTOS!$C34)*(OFFSET(CÁLCULO!$AI$15:$AI$191,0,W$13))),2),0)</f>
        <v>0</v>
      </c>
      <c r="X34" s="620" cm="1">
        <f t="array" aca="1" ref="X34" ca="1">IF(AUTOEVENTO="Manual",ROUND(SUMPRODUCT((CÁLCULO!$M$15:$M$191=EVENTOS!$C34)*(OFFSET(CÁLCULO!$AI$15:$AI$191,0,X$13))),2),0)</f>
        <v>0</v>
      </c>
      <c r="Y34" s="620" cm="1">
        <f t="array" aca="1" ref="Y34" ca="1">IF(AUTOEVENTO="Manual",ROUND(SUMPRODUCT((CÁLCULO!$M$15:$M$191=EVENTOS!$C34)*(OFFSET(CÁLCULO!$AI$15:$AI$191,0,Y$13))),2),0)</f>
        <v>0</v>
      </c>
    </row>
    <row r="35" spans="1:25" s="728" customFormat="1" x14ac:dyDescent="0.2">
      <c r="A35" s="506" t="str">
        <f t="shared" si="3"/>
        <v>F</v>
      </c>
      <c r="B35" s="728" t="str">
        <f t="shared" ca="1" si="4"/>
        <v>20. Alvenaria</v>
      </c>
      <c r="C35" s="182" cm="1">
        <f t="array" aca="1" ref="C35" ca="1">IF(OR(ROW(C35)=ROW(EVENTOS.firstrow)+1,AND(OFFSET(C35,-1,0)&lt;&gt;" ",OFFSET(C35,-1,1)&lt;&gt;"")),OFFSET(C35,-1,0)+1," ")</f>
        <v>20</v>
      </c>
      <c r="D35" s="496" t="s">
        <v>1287</v>
      </c>
      <c r="E35" s="620" cm="1">
        <f t="array" aca="1" ref="E35" ca="1">IF(AUTOEVENTO="Manual",ROUND(SUMPRODUCT((CÁLCULO!$M$15:$M$191=EVENTOS!$C35)*(OFFSET(CÁLCULO!$AI$15:$AI$191,0,E$13))),2),0)</f>
        <v>0</v>
      </c>
      <c r="F35" s="183">
        <f ca="1">IF(AUTOEVENTO="Manual",ROUND(SUMPRODUCT((CÁLCULO!$M$15:$M$191=EVENTOS!$C35)*(OFFSET(CÁLCULO!$AI$15,0,1):OFFSET(CÁLCULO!$BB$191,0,-1))),2),0)</f>
        <v>30663.74</v>
      </c>
      <c r="G35" s="621" t="str">
        <f t="shared" ca="1" si="5"/>
        <v/>
      </c>
      <c r="H35" s="620" cm="1">
        <f t="array" aca="1" ref="H35" ca="1">IF(AUTOEVENTO="Manual",ROUND(SUMPRODUCT((CÁLCULO!$M$15:$M$191=EVENTOS!$C35)*(OFFSET(CÁLCULO!$AI$15:$AI$191,0,H$13))),2),0)</f>
        <v>0</v>
      </c>
      <c r="I35" s="620" cm="1">
        <f t="array" aca="1" ref="I35" ca="1">IF(AUTOEVENTO="Manual",ROUND(SUMPRODUCT((CÁLCULO!$M$15:$M$191=EVENTOS!$C35)*(OFFSET(CÁLCULO!$AI$15:$AI$191,0,I$13))),2),0)</f>
        <v>0</v>
      </c>
      <c r="J35" s="620" cm="1">
        <f t="array" aca="1" ref="J35" ca="1">IF(AUTOEVENTO="Manual",ROUND(SUMPRODUCT((CÁLCULO!$M$15:$M$191=EVENTOS!$C35)*(OFFSET(CÁLCULO!$AI$15:$AI$191,0,J$13))),2),0)</f>
        <v>0</v>
      </c>
      <c r="K35" s="620" cm="1">
        <f t="array" aca="1" ref="K35" ca="1">IF(AUTOEVENTO="Manual",ROUND(SUMPRODUCT((CÁLCULO!$M$15:$M$191=EVENTOS!$C35)*(OFFSET(CÁLCULO!$AI$15:$AI$191,0,K$13))),2),0)</f>
        <v>0</v>
      </c>
      <c r="L35" s="620" cm="1">
        <f t="array" aca="1" ref="L35" ca="1">IF(AUTOEVENTO="Manual",ROUND(SUMPRODUCT((CÁLCULO!$M$15:$M$191=EVENTOS!$C35)*(OFFSET(CÁLCULO!$AI$15:$AI$191,0,L$13))),2),0)</f>
        <v>0</v>
      </c>
      <c r="M35" s="620" cm="1">
        <f t="array" aca="1" ref="M35" ca="1">IF(AUTOEVENTO="Manual",ROUND(SUMPRODUCT((CÁLCULO!$M$15:$M$191=EVENTOS!$C35)*(OFFSET(CÁLCULO!$AI$15:$AI$191,0,M$13))),2),0)</f>
        <v>30663.74</v>
      </c>
      <c r="N35" s="620" cm="1">
        <f t="array" aca="1" ref="N35" ca="1">IF(AUTOEVENTO="Manual",ROUND(SUMPRODUCT((CÁLCULO!$M$15:$M$191=EVENTOS!$C35)*(OFFSET(CÁLCULO!$AI$15:$AI$191,0,N$13))),2),0)</f>
        <v>0</v>
      </c>
      <c r="O35" s="620" cm="1">
        <f t="array" aca="1" ref="O35" ca="1">IF(AUTOEVENTO="Manual",ROUND(SUMPRODUCT((CÁLCULO!$M$15:$M$191=EVENTOS!$C35)*(OFFSET(CÁLCULO!$AI$15:$AI$191,0,O$13))),2),0)</f>
        <v>0</v>
      </c>
      <c r="P35" s="620" cm="1">
        <f t="array" aca="1" ref="P35" ca="1">IF(AUTOEVENTO="Manual",ROUND(SUMPRODUCT((CÁLCULO!$M$15:$M$191=EVENTOS!$C35)*(OFFSET(CÁLCULO!$AI$15:$AI$191,0,P$13))),2),0)</f>
        <v>0</v>
      </c>
      <c r="Q35" s="620" cm="1">
        <f t="array" aca="1" ref="Q35" ca="1">IF(AUTOEVENTO="Manual",ROUND(SUMPRODUCT((CÁLCULO!$M$15:$M$191=EVENTOS!$C35)*(OFFSET(CÁLCULO!$AI$15:$AI$191,0,Q$13))),2),0)</f>
        <v>0</v>
      </c>
      <c r="R35" s="620" cm="1">
        <f t="array" aca="1" ref="R35" ca="1">IF(AUTOEVENTO="Manual",ROUND(SUMPRODUCT((CÁLCULO!$M$15:$M$191=EVENTOS!$C35)*(OFFSET(CÁLCULO!$AI$15:$AI$191,0,R$13))),2),0)</f>
        <v>0</v>
      </c>
      <c r="S35" s="620" cm="1">
        <f t="array" aca="1" ref="S35" ca="1">IF(AUTOEVENTO="Manual",ROUND(SUMPRODUCT((CÁLCULO!$M$15:$M$191=EVENTOS!$C35)*(OFFSET(CÁLCULO!$AI$15:$AI$191,0,S$13))),2),0)</f>
        <v>0</v>
      </c>
      <c r="T35" s="620" cm="1">
        <f t="array" aca="1" ref="T35" ca="1">IF(AUTOEVENTO="Manual",ROUND(SUMPRODUCT((CÁLCULO!$M$15:$M$191=EVENTOS!$C35)*(OFFSET(CÁLCULO!$AI$15:$AI$191,0,T$13))),2),0)</f>
        <v>0</v>
      </c>
      <c r="U35" s="620" cm="1">
        <f t="array" aca="1" ref="U35" ca="1">IF(AUTOEVENTO="Manual",ROUND(SUMPRODUCT((CÁLCULO!$M$15:$M$191=EVENTOS!$C35)*(OFFSET(CÁLCULO!$AI$15:$AI$191,0,U$13))),2),0)</f>
        <v>0</v>
      </c>
      <c r="V35" s="620" cm="1">
        <f t="array" aca="1" ref="V35" ca="1">IF(AUTOEVENTO="Manual",ROUND(SUMPRODUCT((CÁLCULO!$M$15:$M$191=EVENTOS!$C35)*(OFFSET(CÁLCULO!$AI$15:$AI$191,0,V$13))),2),0)</f>
        <v>0</v>
      </c>
      <c r="W35" s="620" cm="1">
        <f t="array" aca="1" ref="W35" ca="1">IF(AUTOEVENTO="Manual",ROUND(SUMPRODUCT((CÁLCULO!$M$15:$M$191=EVENTOS!$C35)*(OFFSET(CÁLCULO!$AI$15:$AI$191,0,W$13))),2),0)</f>
        <v>0</v>
      </c>
      <c r="X35" s="620" cm="1">
        <f t="array" aca="1" ref="X35" ca="1">IF(AUTOEVENTO="Manual",ROUND(SUMPRODUCT((CÁLCULO!$M$15:$M$191=EVENTOS!$C35)*(OFFSET(CÁLCULO!$AI$15:$AI$191,0,X$13))),2),0)</f>
        <v>0</v>
      </c>
      <c r="Y35" s="620" cm="1">
        <f t="array" aca="1" ref="Y35" ca="1">IF(AUTOEVENTO="Manual",ROUND(SUMPRODUCT((CÁLCULO!$M$15:$M$191=EVENTOS!$C35)*(OFFSET(CÁLCULO!$AI$15:$AI$191,0,Y$13))),2),0)</f>
        <v>0</v>
      </c>
    </row>
    <row r="36" spans="1:25" s="728" customFormat="1" x14ac:dyDescent="0.2">
      <c r="A36" s="506" t="str">
        <f t="shared" si="3"/>
        <v>F</v>
      </c>
      <c r="B36" s="728" t="str">
        <f t="shared" ca="1" si="4"/>
        <v>21. Cobertura</v>
      </c>
      <c r="C36" s="182" cm="1">
        <f t="array" aca="1" ref="C36" ca="1">IF(OR(ROW(C36)=ROW(EVENTOS.firstrow)+1,AND(OFFSET(C36,-1,0)&lt;&gt;" ",OFFSET(C36,-1,1)&lt;&gt;"")),OFFSET(C36,-1,0)+1," ")</f>
        <v>21</v>
      </c>
      <c r="D36" s="496" t="s">
        <v>1289</v>
      </c>
      <c r="E36" s="620" cm="1">
        <f t="array" aca="1" ref="E36" ca="1">IF(AUTOEVENTO="Manual",ROUND(SUMPRODUCT((CÁLCULO!$M$15:$M$191=EVENTOS!$C36)*(OFFSET(CÁLCULO!$AI$15:$AI$191,0,E$13))),2),0)</f>
        <v>0</v>
      </c>
      <c r="F36" s="183">
        <f ca="1">IF(AUTOEVENTO="Manual",ROUND(SUMPRODUCT((CÁLCULO!$M$15:$M$191=EVENTOS!$C36)*(OFFSET(CÁLCULO!$AI$15,0,1):OFFSET(CÁLCULO!$BB$191,0,-1))),2),0)</f>
        <v>22241.98</v>
      </c>
      <c r="G36" s="621" t="str">
        <f t="shared" ca="1" si="5"/>
        <v/>
      </c>
      <c r="H36" s="620" cm="1">
        <f t="array" aca="1" ref="H36" ca="1">IF(AUTOEVENTO="Manual",ROUND(SUMPRODUCT((CÁLCULO!$M$15:$M$191=EVENTOS!$C36)*(OFFSET(CÁLCULO!$AI$15:$AI$191,0,H$13))),2),0)</f>
        <v>0</v>
      </c>
      <c r="I36" s="620" cm="1">
        <f t="array" aca="1" ref="I36" ca="1">IF(AUTOEVENTO="Manual",ROUND(SUMPRODUCT((CÁLCULO!$M$15:$M$191=EVENTOS!$C36)*(OFFSET(CÁLCULO!$AI$15:$AI$191,0,I$13))),2),0)</f>
        <v>0</v>
      </c>
      <c r="J36" s="620" cm="1">
        <f t="array" aca="1" ref="J36" ca="1">IF(AUTOEVENTO="Manual",ROUND(SUMPRODUCT((CÁLCULO!$M$15:$M$191=EVENTOS!$C36)*(OFFSET(CÁLCULO!$AI$15:$AI$191,0,J$13))),2),0)</f>
        <v>0</v>
      </c>
      <c r="K36" s="620" cm="1">
        <f t="array" aca="1" ref="K36" ca="1">IF(AUTOEVENTO="Manual",ROUND(SUMPRODUCT((CÁLCULO!$M$15:$M$191=EVENTOS!$C36)*(OFFSET(CÁLCULO!$AI$15:$AI$191,0,K$13))),2),0)</f>
        <v>0</v>
      </c>
      <c r="L36" s="620" cm="1">
        <f t="array" aca="1" ref="L36" ca="1">IF(AUTOEVENTO="Manual",ROUND(SUMPRODUCT((CÁLCULO!$M$15:$M$191=EVENTOS!$C36)*(OFFSET(CÁLCULO!$AI$15:$AI$191,0,L$13))),2),0)</f>
        <v>0</v>
      </c>
      <c r="M36" s="620" cm="1">
        <f t="array" aca="1" ref="M36" ca="1">IF(AUTOEVENTO="Manual",ROUND(SUMPRODUCT((CÁLCULO!$M$15:$M$191=EVENTOS!$C36)*(OFFSET(CÁLCULO!$AI$15:$AI$191,0,M$13))),2),0)</f>
        <v>22241.98</v>
      </c>
      <c r="N36" s="620" cm="1">
        <f t="array" aca="1" ref="N36" ca="1">IF(AUTOEVENTO="Manual",ROUND(SUMPRODUCT((CÁLCULO!$M$15:$M$191=EVENTOS!$C36)*(OFFSET(CÁLCULO!$AI$15:$AI$191,0,N$13))),2),0)</f>
        <v>0</v>
      </c>
      <c r="O36" s="620" cm="1">
        <f t="array" aca="1" ref="O36" ca="1">IF(AUTOEVENTO="Manual",ROUND(SUMPRODUCT((CÁLCULO!$M$15:$M$191=EVENTOS!$C36)*(OFFSET(CÁLCULO!$AI$15:$AI$191,0,O$13))),2),0)</f>
        <v>0</v>
      </c>
      <c r="P36" s="620" cm="1">
        <f t="array" aca="1" ref="P36" ca="1">IF(AUTOEVENTO="Manual",ROUND(SUMPRODUCT((CÁLCULO!$M$15:$M$191=EVENTOS!$C36)*(OFFSET(CÁLCULO!$AI$15:$AI$191,0,P$13))),2),0)</f>
        <v>0</v>
      </c>
      <c r="Q36" s="620" cm="1">
        <f t="array" aca="1" ref="Q36" ca="1">IF(AUTOEVENTO="Manual",ROUND(SUMPRODUCT((CÁLCULO!$M$15:$M$191=EVENTOS!$C36)*(OFFSET(CÁLCULO!$AI$15:$AI$191,0,Q$13))),2),0)</f>
        <v>0</v>
      </c>
      <c r="R36" s="620" cm="1">
        <f t="array" aca="1" ref="R36" ca="1">IF(AUTOEVENTO="Manual",ROUND(SUMPRODUCT((CÁLCULO!$M$15:$M$191=EVENTOS!$C36)*(OFFSET(CÁLCULO!$AI$15:$AI$191,0,R$13))),2),0)</f>
        <v>0</v>
      </c>
      <c r="S36" s="620" cm="1">
        <f t="array" aca="1" ref="S36" ca="1">IF(AUTOEVENTO="Manual",ROUND(SUMPRODUCT((CÁLCULO!$M$15:$M$191=EVENTOS!$C36)*(OFFSET(CÁLCULO!$AI$15:$AI$191,0,S$13))),2),0)</f>
        <v>0</v>
      </c>
      <c r="T36" s="620" cm="1">
        <f t="array" aca="1" ref="T36" ca="1">IF(AUTOEVENTO="Manual",ROUND(SUMPRODUCT((CÁLCULO!$M$15:$M$191=EVENTOS!$C36)*(OFFSET(CÁLCULO!$AI$15:$AI$191,0,T$13))),2),0)</f>
        <v>0</v>
      </c>
      <c r="U36" s="620" cm="1">
        <f t="array" aca="1" ref="U36" ca="1">IF(AUTOEVENTO="Manual",ROUND(SUMPRODUCT((CÁLCULO!$M$15:$M$191=EVENTOS!$C36)*(OFFSET(CÁLCULO!$AI$15:$AI$191,0,U$13))),2),0)</f>
        <v>0</v>
      </c>
      <c r="V36" s="620" cm="1">
        <f t="array" aca="1" ref="V36" ca="1">IF(AUTOEVENTO="Manual",ROUND(SUMPRODUCT((CÁLCULO!$M$15:$M$191=EVENTOS!$C36)*(OFFSET(CÁLCULO!$AI$15:$AI$191,0,V$13))),2),0)</f>
        <v>0</v>
      </c>
      <c r="W36" s="620" cm="1">
        <f t="array" aca="1" ref="W36" ca="1">IF(AUTOEVENTO="Manual",ROUND(SUMPRODUCT((CÁLCULO!$M$15:$M$191=EVENTOS!$C36)*(OFFSET(CÁLCULO!$AI$15:$AI$191,0,W$13))),2),0)</f>
        <v>0</v>
      </c>
      <c r="X36" s="620" cm="1">
        <f t="array" aca="1" ref="X36" ca="1">IF(AUTOEVENTO="Manual",ROUND(SUMPRODUCT((CÁLCULO!$M$15:$M$191=EVENTOS!$C36)*(OFFSET(CÁLCULO!$AI$15:$AI$191,0,X$13))),2),0)</f>
        <v>0</v>
      </c>
      <c r="Y36" s="620" cm="1">
        <f t="array" aca="1" ref="Y36" ca="1">IF(AUTOEVENTO="Manual",ROUND(SUMPRODUCT((CÁLCULO!$M$15:$M$191=EVENTOS!$C36)*(OFFSET(CÁLCULO!$AI$15:$AI$191,0,Y$13))),2),0)</f>
        <v>0</v>
      </c>
    </row>
    <row r="37" spans="1:25" s="728" customFormat="1" x14ac:dyDescent="0.2">
      <c r="A37" s="506" t="str">
        <f t="shared" si="3"/>
        <v>F</v>
      </c>
      <c r="B37" s="728" t="str">
        <f t="shared" ca="1" si="4"/>
        <v>22. Revestimento de parede</v>
      </c>
      <c r="C37" s="182" cm="1">
        <f t="array" aca="1" ref="C37" ca="1">IF(OR(ROW(C37)=ROW(EVENTOS.firstrow)+1,AND(OFFSET(C37,-1,0)&lt;&gt;" ",OFFSET(C37,-1,1)&lt;&gt;"")),OFFSET(C37,-1,0)+1," ")</f>
        <v>22</v>
      </c>
      <c r="D37" s="496" t="s">
        <v>1294</v>
      </c>
      <c r="E37" s="620" cm="1">
        <f t="array" aca="1" ref="E37" ca="1">IF(AUTOEVENTO="Manual",ROUND(SUMPRODUCT((CÁLCULO!$M$15:$M$191=EVENTOS!$C37)*(OFFSET(CÁLCULO!$AI$15:$AI$191,0,E$13))),2),0)</f>
        <v>0</v>
      </c>
      <c r="F37" s="183">
        <f ca="1">IF(AUTOEVENTO="Manual",ROUND(SUMPRODUCT((CÁLCULO!$M$15:$M$191=EVENTOS!$C37)*(OFFSET(CÁLCULO!$AI$15,0,1):OFFSET(CÁLCULO!$BB$191,0,-1))),2),0)</f>
        <v>8730.43</v>
      </c>
      <c r="G37" s="621" t="str">
        <f t="shared" ca="1" si="5"/>
        <v/>
      </c>
      <c r="H37" s="620" cm="1">
        <f t="array" aca="1" ref="H37" ca="1">IF(AUTOEVENTO="Manual",ROUND(SUMPRODUCT((CÁLCULO!$M$15:$M$191=EVENTOS!$C37)*(OFFSET(CÁLCULO!$AI$15:$AI$191,0,H$13))),2),0)</f>
        <v>0</v>
      </c>
      <c r="I37" s="620" cm="1">
        <f t="array" aca="1" ref="I37" ca="1">IF(AUTOEVENTO="Manual",ROUND(SUMPRODUCT((CÁLCULO!$M$15:$M$191=EVENTOS!$C37)*(OFFSET(CÁLCULO!$AI$15:$AI$191,0,I$13))),2),0)</f>
        <v>0</v>
      </c>
      <c r="J37" s="620" cm="1">
        <f t="array" aca="1" ref="J37" ca="1">IF(AUTOEVENTO="Manual",ROUND(SUMPRODUCT((CÁLCULO!$M$15:$M$191=EVENTOS!$C37)*(OFFSET(CÁLCULO!$AI$15:$AI$191,0,J$13))),2),0)</f>
        <v>0</v>
      </c>
      <c r="K37" s="620" cm="1">
        <f t="array" aca="1" ref="K37" ca="1">IF(AUTOEVENTO="Manual",ROUND(SUMPRODUCT((CÁLCULO!$M$15:$M$191=EVENTOS!$C37)*(OFFSET(CÁLCULO!$AI$15:$AI$191,0,K$13))),2),0)</f>
        <v>0</v>
      </c>
      <c r="L37" s="620" cm="1">
        <f t="array" aca="1" ref="L37" ca="1">IF(AUTOEVENTO="Manual",ROUND(SUMPRODUCT((CÁLCULO!$M$15:$M$191=EVENTOS!$C37)*(OFFSET(CÁLCULO!$AI$15:$AI$191,0,L$13))),2),0)</f>
        <v>0</v>
      </c>
      <c r="M37" s="620" cm="1">
        <f t="array" aca="1" ref="M37" ca="1">IF(AUTOEVENTO="Manual",ROUND(SUMPRODUCT((CÁLCULO!$M$15:$M$191=EVENTOS!$C37)*(OFFSET(CÁLCULO!$AI$15:$AI$191,0,M$13))),2),0)</f>
        <v>8730.43</v>
      </c>
      <c r="N37" s="620" cm="1">
        <f t="array" aca="1" ref="N37" ca="1">IF(AUTOEVENTO="Manual",ROUND(SUMPRODUCT((CÁLCULO!$M$15:$M$191=EVENTOS!$C37)*(OFFSET(CÁLCULO!$AI$15:$AI$191,0,N$13))),2),0)</f>
        <v>0</v>
      </c>
      <c r="O37" s="620" cm="1">
        <f t="array" aca="1" ref="O37" ca="1">IF(AUTOEVENTO="Manual",ROUND(SUMPRODUCT((CÁLCULO!$M$15:$M$191=EVENTOS!$C37)*(OFFSET(CÁLCULO!$AI$15:$AI$191,0,O$13))),2),0)</f>
        <v>0</v>
      </c>
      <c r="P37" s="620" cm="1">
        <f t="array" aca="1" ref="P37" ca="1">IF(AUTOEVENTO="Manual",ROUND(SUMPRODUCT((CÁLCULO!$M$15:$M$191=EVENTOS!$C37)*(OFFSET(CÁLCULO!$AI$15:$AI$191,0,P$13))),2),0)</f>
        <v>0</v>
      </c>
      <c r="Q37" s="620" cm="1">
        <f t="array" aca="1" ref="Q37" ca="1">IF(AUTOEVENTO="Manual",ROUND(SUMPRODUCT((CÁLCULO!$M$15:$M$191=EVENTOS!$C37)*(OFFSET(CÁLCULO!$AI$15:$AI$191,0,Q$13))),2),0)</f>
        <v>0</v>
      </c>
      <c r="R37" s="620" cm="1">
        <f t="array" aca="1" ref="R37" ca="1">IF(AUTOEVENTO="Manual",ROUND(SUMPRODUCT((CÁLCULO!$M$15:$M$191=EVENTOS!$C37)*(OFFSET(CÁLCULO!$AI$15:$AI$191,0,R$13))),2),0)</f>
        <v>0</v>
      </c>
      <c r="S37" s="620" cm="1">
        <f t="array" aca="1" ref="S37" ca="1">IF(AUTOEVENTO="Manual",ROUND(SUMPRODUCT((CÁLCULO!$M$15:$M$191=EVENTOS!$C37)*(OFFSET(CÁLCULO!$AI$15:$AI$191,0,S$13))),2),0)</f>
        <v>0</v>
      </c>
      <c r="T37" s="620" cm="1">
        <f t="array" aca="1" ref="T37" ca="1">IF(AUTOEVENTO="Manual",ROUND(SUMPRODUCT((CÁLCULO!$M$15:$M$191=EVENTOS!$C37)*(OFFSET(CÁLCULO!$AI$15:$AI$191,0,T$13))),2),0)</f>
        <v>0</v>
      </c>
      <c r="U37" s="620" cm="1">
        <f t="array" aca="1" ref="U37" ca="1">IF(AUTOEVENTO="Manual",ROUND(SUMPRODUCT((CÁLCULO!$M$15:$M$191=EVENTOS!$C37)*(OFFSET(CÁLCULO!$AI$15:$AI$191,0,U$13))),2),0)</f>
        <v>0</v>
      </c>
      <c r="V37" s="620" cm="1">
        <f t="array" aca="1" ref="V37" ca="1">IF(AUTOEVENTO="Manual",ROUND(SUMPRODUCT((CÁLCULO!$M$15:$M$191=EVENTOS!$C37)*(OFFSET(CÁLCULO!$AI$15:$AI$191,0,V$13))),2),0)</f>
        <v>0</v>
      </c>
      <c r="W37" s="620" cm="1">
        <f t="array" aca="1" ref="W37" ca="1">IF(AUTOEVENTO="Manual",ROUND(SUMPRODUCT((CÁLCULO!$M$15:$M$191=EVENTOS!$C37)*(OFFSET(CÁLCULO!$AI$15:$AI$191,0,W$13))),2),0)</f>
        <v>0</v>
      </c>
      <c r="X37" s="620" cm="1">
        <f t="array" aca="1" ref="X37" ca="1">IF(AUTOEVENTO="Manual",ROUND(SUMPRODUCT((CÁLCULO!$M$15:$M$191=EVENTOS!$C37)*(OFFSET(CÁLCULO!$AI$15:$AI$191,0,X$13))),2),0)</f>
        <v>0</v>
      </c>
      <c r="Y37" s="620" cm="1">
        <f t="array" aca="1" ref="Y37" ca="1">IF(AUTOEVENTO="Manual",ROUND(SUMPRODUCT((CÁLCULO!$M$15:$M$191=EVENTOS!$C37)*(OFFSET(CÁLCULO!$AI$15:$AI$191,0,Y$13))),2),0)</f>
        <v>0</v>
      </c>
    </row>
    <row r="38" spans="1:25" s="734" customFormat="1" x14ac:dyDescent="0.2">
      <c r="A38" s="506" t="str">
        <f t="shared" si="3"/>
        <v>F</v>
      </c>
      <c r="B38" s="734" t="str">
        <f t="shared" ca="1" si="4"/>
        <v>23. Revestimento de piso</v>
      </c>
      <c r="C38" s="182" cm="1">
        <f t="array" aca="1" ref="C38" ca="1">IF(OR(ROW(C38)=ROW(EVENTOS.firstrow)+1,AND(OFFSET(C38,-1,0)&lt;&gt;" ",OFFSET(C38,-1,1)&lt;&gt;"")),OFFSET(C38,-1,0)+1," ")</f>
        <v>23</v>
      </c>
      <c r="D38" s="496" t="s">
        <v>1295</v>
      </c>
      <c r="E38" s="620" cm="1">
        <f t="array" aca="1" ref="E38" ca="1">IF(AUTOEVENTO="Manual",ROUND(SUMPRODUCT((CÁLCULO!$M$15:$M$191=EVENTOS!$C38)*(OFFSET(CÁLCULO!$AI$15:$AI$191,0,E$13))),2),0)</f>
        <v>0</v>
      </c>
      <c r="F38" s="183">
        <f ca="1">IF(AUTOEVENTO="Manual",ROUND(SUMPRODUCT((CÁLCULO!$M$15:$M$191=EVENTOS!$C38)*(OFFSET(CÁLCULO!$AI$15,0,1):OFFSET(CÁLCULO!$BB$191,0,-1))),2),0)</f>
        <v>3375.96</v>
      </c>
      <c r="G38" s="621" t="str">
        <f t="shared" ca="1" si="5"/>
        <v/>
      </c>
      <c r="H38" s="620" cm="1">
        <f t="array" aca="1" ref="H38" ca="1">IF(AUTOEVENTO="Manual",ROUND(SUMPRODUCT((CÁLCULO!$M$15:$M$191=EVENTOS!$C38)*(OFFSET(CÁLCULO!$AI$15:$AI$191,0,H$13))),2),0)</f>
        <v>0</v>
      </c>
      <c r="I38" s="620" cm="1">
        <f t="array" aca="1" ref="I38" ca="1">IF(AUTOEVENTO="Manual",ROUND(SUMPRODUCT((CÁLCULO!$M$15:$M$191=EVENTOS!$C38)*(OFFSET(CÁLCULO!$AI$15:$AI$191,0,I$13))),2),0)</f>
        <v>0</v>
      </c>
      <c r="J38" s="620" cm="1">
        <f t="array" aca="1" ref="J38" ca="1">IF(AUTOEVENTO="Manual",ROUND(SUMPRODUCT((CÁLCULO!$M$15:$M$191=EVENTOS!$C38)*(OFFSET(CÁLCULO!$AI$15:$AI$191,0,J$13))),2),0)</f>
        <v>0</v>
      </c>
      <c r="K38" s="620" cm="1">
        <f t="array" aca="1" ref="K38" ca="1">IF(AUTOEVENTO="Manual",ROUND(SUMPRODUCT((CÁLCULO!$M$15:$M$191=EVENTOS!$C38)*(OFFSET(CÁLCULO!$AI$15:$AI$191,0,K$13))),2),0)</f>
        <v>0</v>
      </c>
      <c r="L38" s="620" cm="1">
        <f t="array" aca="1" ref="L38" ca="1">IF(AUTOEVENTO="Manual",ROUND(SUMPRODUCT((CÁLCULO!$M$15:$M$191=EVENTOS!$C38)*(OFFSET(CÁLCULO!$AI$15:$AI$191,0,L$13))),2),0)</f>
        <v>0</v>
      </c>
      <c r="M38" s="620" cm="1">
        <f t="array" aca="1" ref="M38" ca="1">IF(AUTOEVENTO="Manual",ROUND(SUMPRODUCT((CÁLCULO!$M$15:$M$191=EVENTOS!$C38)*(OFFSET(CÁLCULO!$AI$15:$AI$191,0,M$13))),2),0)</f>
        <v>3375.96</v>
      </c>
      <c r="N38" s="620" cm="1">
        <f t="array" aca="1" ref="N38" ca="1">IF(AUTOEVENTO="Manual",ROUND(SUMPRODUCT((CÁLCULO!$M$15:$M$191=EVENTOS!$C38)*(OFFSET(CÁLCULO!$AI$15:$AI$191,0,N$13))),2),0)</f>
        <v>0</v>
      </c>
      <c r="O38" s="620" cm="1">
        <f t="array" aca="1" ref="O38" ca="1">IF(AUTOEVENTO="Manual",ROUND(SUMPRODUCT((CÁLCULO!$M$15:$M$191=EVENTOS!$C38)*(OFFSET(CÁLCULO!$AI$15:$AI$191,0,O$13))),2),0)</f>
        <v>0</v>
      </c>
      <c r="P38" s="620" cm="1">
        <f t="array" aca="1" ref="P38" ca="1">IF(AUTOEVENTO="Manual",ROUND(SUMPRODUCT((CÁLCULO!$M$15:$M$191=EVENTOS!$C38)*(OFFSET(CÁLCULO!$AI$15:$AI$191,0,P$13))),2),0)</f>
        <v>0</v>
      </c>
      <c r="Q38" s="620" cm="1">
        <f t="array" aca="1" ref="Q38" ca="1">IF(AUTOEVENTO="Manual",ROUND(SUMPRODUCT((CÁLCULO!$M$15:$M$191=EVENTOS!$C38)*(OFFSET(CÁLCULO!$AI$15:$AI$191,0,Q$13))),2),0)</f>
        <v>0</v>
      </c>
      <c r="R38" s="620" cm="1">
        <f t="array" aca="1" ref="R38" ca="1">IF(AUTOEVENTO="Manual",ROUND(SUMPRODUCT((CÁLCULO!$M$15:$M$191=EVENTOS!$C38)*(OFFSET(CÁLCULO!$AI$15:$AI$191,0,R$13))),2),0)</f>
        <v>0</v>
      </c>
      <c r="S38" s="620" cm="1">
        <f t="array" aca="1" ref="S38" ca="1">IF(AUTOEVENTO="Manual",ROUND(SUMPRODUCT((CÁLCULO!$M$15:$M$191=EVENTOS!$C38)*(OFFSET(CÁLCULO!$AI$15:$AI$191,0,S$13))),2),0)</f>
        <v>0</v>
      </c>
      <c r="T38" s="620" cm="1">
        <f t="array" aca="1" ref="T38" ca="1">IF(AUTOEVENTO="Manual",ROUND(SUMPRODUCT((CÁLCULO!$M$15:$M$191=EVENTOS!$C38)*(OFFSET(CÁLCULO!$AI$15:$AI$191,0,T$13))),2),0)</f>
        <v>0</v>
      </c>
      <c r="U38" s="620" cm="1">
        <f t="array" aca="1" ref="U38" ca="1">IF(AUTOEVENTO="Manual",ROUND(SUMPRODUCT((CÁLCULO!$M$15:$M$191=EVENTOS!$C38)*(OFFSET(CÁLCULO!$AI$15:$AI$191,0,U$13))),2),0)</f>
        <v>0</v>
      </c>
      <c r="V38" s="620" cm="1">
        <f t="array" aca="1" ref="V38" ca="1">IF(AUTOEVENTO="Manual",ROUND(SUMPRODUCT((CÁLCULO!$M$15:$M$191=EVENTOS!$C38)*(OFFSET(CÁLCULO!$AI$15:$AI$191,0,V$13))),2),0)</f>
        <v>0</v>
      </c>
      <c r="W38" s="620" cm="1">
        <f t="array" aca="1" ref="W38" ca="1">IF(AUTOEVENTO="Manual",ROUND(SUMPRODUCT((CÁLCULO!$M$15:$M$191=EVENTOS!$C38)*(OFFSET(CÁLCULO!$AI$15:$AI$191,0,W$13))),2),0)</f>
        <v>0</v>
      </c>
      <c r="X38" s="620" cm="1">
        <f t="array" aca="1" ref="X38" ca="1">IF(AUTOEVENTO="Manual",ROUND(SUMPRODUCT((CÁLCULO!$M$15:$M$191=EVENTOS!$C38)*(OFFSET(CÁLCULO!$AI$15:$AI$191,0,X$13))),2),0)</f>
        <v>0</v>
      </c>
      <c r="Y38" s="620" cm="1">
        <f t="array" aca="1" ref="Y38" ca="1">IF(AUTOEVENTO="Manual",ROUND(SUMPRODUCT((CÁLCULO!$M$15:$M$191=EVENTOS!$C38)*(OFFSET(CÁLCULO!$AI$15:$AI$191,0,Y$13))),2),0)</f>
        <v>0</v>
      </c>
    </row>
    <row r="39" spans="1:25" s="734" customFormat="1" x14ac:dyDescent="0.2">
      <c r="A39" s="506" t="str">
        <f t="shared" si="3"/>
        <v>F</v>
      </c>
      <c r="B39" s="734" t="str">
        <f t="shared" ca="1" si="4"/>
        <v>24. Instalações hidrossanitárias</v>
      </c>
      <c r="C39" s="182" cm="1">
        <f t="array" aca="1" ref="C39" ca="1">IF(OR(ROW(C39)=ROW(EVENTOS.firstrow)+1,AND(OFFSET(C39,-1,0)&lt;&gt;" ",OFFSET(C39,-1,1)&lt;&gt;"")),OFFSET(C39,-1,0)+1," ")</f>
        <v>24</v>
      </c>
      <c r="D39" s="496" t="s">
        <v>1276</v>
      </c>
      <c r="E39" s="620" cm="1">
        <f t="array" aca="1" ref="E39" ca="1">IF(AUTOEVENTO="Manual",ROUND(SUMPRODUCT((CÁLCULO!$M$15:$M$191=EVENTOS!$C39)*(OFFSET(CÁLCULO!$AI$15:$AI$191,0,E$13))),2),0)</f>
        <v>0</v>
      </c>
      <c r="F39" s="183">
        <f ca="1">IF(AUTOEVENTO="Manual",ROUND(SUMPRODUCT((CÁLCULO!$M$15:$M$191=EVENTOS!$C39)*(OFFSET(CÁLCULO!$AI$15,0,1):OFFSET(CÁLCULO!$BB$191,0,-1))),2),0)</f>
        <v>145819.32</v>
      </c>
      <c r="G39" s="621" t="str">
        <f t="shared" ca="1" si="5"/>
        <v/>
      </c>
      <c r="H39" s="620" cm="1">
        <f t="array" aca="1" ref="H39" ca="1">IF(AUTOEVENTO="Manual",ROUND(SUMPRODUCT((CÁLCULO!$M$15:$M$191=EVENTOS!$C39)*(OFFSET(CÁLCULO!$AI$15:$AI$191,0,H$13))),2),0)</f>
        <v>0</v>
      </c>
      <c r="I39" s="620" cm="1">
        <f t="array" aca="1" ref="I39" ca="1">IF(AUTOEVENTO="Manual",ROUND(SUMPRODUCT((CÁLCULO!$M$15:$M$191=EVENTOS!$C39)*(OFFSET(CÁLCULO!$AI$15:$AI$191,0,I$13))),2),0)</f>
        <v>0</v>
      </c>
      <c r="J39" s="620" cm="1">
        <f t="array" aca="1" ref="J39" ca="1">IF(AUTOEVENTO="Manual",ROUND(SUMPRODUCT((CÁLCULO!$M$15:$M$191=EVENTOS!$C39)*(OFFSET(CÁLCULO!$AI$15:$AI$191,0,J$13))),2),0)</f>
        <v>105007.97</v>
      </c>
      <c r="K39" s="620" cm="1">
        <f t="array" aca="1" ref="K39" ca="1">IF(AUTOEVENTO="Manual",ROUND(SUMPRODUCT((CÁLCULO!$M$15:$M$191=EVENTOS!$C39)*(OFFSET(CÁLCULO!$AI$15:$AI$191,0,K$13))),2),0)</f>
        <v>0</v>
      </c>
      <c r="L39" s="620" cm="1">
        <f t="array" aca="1" ref="L39" ca="1">IF(AUTOEVENTO="Manual",ROUND(SUMPRODUCT((CÁLCULO!$M$15:$M$191=EVENTOS!$C39)*(OFFSET(CÁLCULO!$AI$15:$AI$191,0,L$13))),2),0)</f>
        <v>0</v>
      </c>
      <c r="M39" s="620" cm="1">
        <f t="array" aca="1" ref="M39" ca="1">IF(AUTOEVENTO="Manual",ROUND(SUMPRODUCT((CÁLCULO!$M$15:$M$191=EVENTOS!$C39)*(OFFSET(CÁLCULO!$AI$15:$AI$191,0,M$13))),2),0)</f>
        <v>40811.35</v>
      </c>
      <c r="N39" s="620" cm="1">
        <f t="array" aca="1" ref="N39" ca="1">IF(AUTOEVENTO="Manual",ROUND(SUMPRODUCT((CÁLCULO!$M$15:$M$191=EVENTOS!$C39)*(OFFSET(CÁLCULO!$AI$15:$AI$191,0,N$13))),2),0)</f>
        <v>0</v>
      </c>
      <c r="O39" s="620" cm="1">
        <f t="array" aca="1" ref="O39" ca="1">IF(AUTOEVENTO="Manual",ROUND(SUMPRODUCT((CÁLCULO!$M$15:$M$191=EVENTOS!$C39)*(OFFSET(CÁLCULO!$AI$15:$AI$191,0,O$13))),2),0)</f>
        <v>0</v>
      </c>
      <c r="P39" s="620" cm="1">
        <f t="array" aca="1" ref="P39" ca="1">IF(AUTOEVENTO="Manual",ROUND(SUMPRODUCT((CÁLCULO!$M$15:$M$191=EVENTOS!$C39)*(OFFSET(CÁLCULO!$AI$15:$AI$191,0,P$13))),2),0)</f>
        <v>0</v>
      </c>
      <c r="Q39" s="620" cm="1">
        <f t="array" aca="1" ref="Q39" ca="1">IF(AUTOEVENTO="Manual",ROUND(SUMPRODUCT((CÁLCULO!$M$15:$M$191=EVENTOS!$C39)*(OFFSET(CÁLCULO!$AI$15:$AI$191,0,Q$13))),2),0)</f>
        <v>0</v>
      </c>
      <c r="R39" s="620" cm="1">
        <f t="array" aca="1" ref="R39" ca="1">IF(AUTOEVENTO="Manual",ROUND(SUMPRODUCT((CÁLCULO!$M$15:$M$191=EVENTOS!$C39)*(OFFSET(CÁLCULO!$AI$15:$AI$191,0,R$13))),2),0)</f>
        <v>0</v>
      </c>
      <c r="S39" s="620" cm="1">
        <f t="array" aca="1" ref="S39" ca="1">IF(AUTOEVENTO="Manual",ROUND(SUMPRODUCT((CÁLCULO!$M$15:$M$191=EVENTOS!$C39)*(OFFSET(CÁLCULO!$AI$15:$AI$191,0,S$13))),2),0)</f>
        <v>0</v>
      </c>
      <c r="T39" s="620" cm="1">
        <f t="array" aca="1" ref="T39" ca="1">IF(AUTOEVENTO="Manual",ROUND(SUMPRODUCT((CÁLCULO!$M$15:$M$191=EVENTOS!$C39)*(OFFSET(CÁLCULO!$AI$15:$AI$191,0,T$13))),2),0)</f>
        <v>0</v>
      </c>
      <c r="U39" s="620" cm="1">
        <f t="array" aca="1" ref="U39" ca="1">IF(AUTOEVENTO="Manual",ROUND(SUMPRODUCT((CÁLCULO!$M$15:$M$191=EVENTOS!$C39)*(OFFSET(CÁLCULO!$AI$15:$AI$191,0,U$13))),2),0)</f>
        <v>0</v>
      </c>
      <c r="V39" s="620" cm="1">
        <f t="array" aca="1" ref="V39" ca="1">IF(AUTOEVENTO="Manual",ROUND(SUMPRODUCT((CÁLCULO!$M$15:$M$191=EVENTOS!$C39)*(OFFSET(CÁLCULO!$AI$15:$AI$191,0,V$13))),2),0)</f>
        <v>0</v>
      </c>
      <c r="W39" s="620" cm="1">
        <f t="array" aca="1" ref="W39" ca="1">IF(AUTOEVENTO="Manual",ROUND(SUMPRODUCT((CÁLCULO!$M$15:$M$191=EVENTOS!$C39)*(OFFSET(CÁLCULO!$AI$15:$AI$191,0,W$13))),2),0)</f>
        <v>0</v>
      </c>
      <c r="X39" s="620" cm="1">
        <f t="array" aca="1" ref="X39" ca="1">IF(AUTOEVENTO="Manual",ROUND(SUMPRODUCT((CÁLCULO!$M$15:$M$191=EVENTOS!$C39)*(OFFSET(CÁLCULO!$AI$15:$AI$191,0,X$13))),2),0)</f>
        <v>0</v>
      </c>
      <c r="Y39" s="620" cm="1">
        <f t="array" aca="1" ref="Y39" ca="1">IF(AUTOEVENTO="Manual",ROUND(SUMPRODUCT((CÁLCULO!$M$15:$M$191=EVENTOS!$C39)*(OFFSET(CÁLCULO!$AI$15:$AI$191,0,Y$13))),2),0)</f>
        <v>0</v>
      </c>
    </row>
    <row r="40" spans="1:25" s="734" customFormat="1" x14ac:dyDescent="0.2">
      <c r="A40" s="506" t="str">
        <f t="shared" si="3"/>
        <v>F</v>
      </c>
      <c r="B40" s="734" t="str">
        <f t="shared" ca="1" si="4"/>
        <v>25. Instalações elétricas</v>
      </c>
      <c r="C40" s="182" cm="1">
        <f t="array" aca="1" ref="C40" ca="1">IF(OR(ROW(C40)=ROW(EVENTOS.firstrow)+1,AND(OFFSET(C40,-1,0)&lt;&gt;" ",OFFSET(C40,-1,1)&lt;&gt;"")),OFFSET(C40,-1,0)+1," ")</f>
        <v>25</v>
      </c>
      <c r="D40" s="496" t="s">
        <v>1291</v>
      </c>
      <c r="E40" s="620" cm="1">
        <f t="array" aca="1" ref="E40" ca="1">IF(AUTOEVENTO="Manual",ROUND(SUMPRODUCT((CÁLCULO!$M$15:$M$191=EVENTOS!$C40)*(OFFSET(CÁLCULO!$AI$15:$AI$191,0,E$13))),2),0)</f>
        <v>0</v>
      </c>
      <c r="F40" s="183">
        <f ca="1">IF(AUTOEVENTO="Manual",ROUND(SUMPRODUCT((CÁLCULO!$M$15:$M$191=EVENTOS!$C40)*(OFFSET(CÁLCULO!$AI$15,0,1):OFFSET(CÁLCULO!$BB$191,0,-1))),2),0)</f>
        <v>136074.57</v>
      </c>
      <c r="G40" s="621" t="str">
        <f t="shared" ca="1" si="5"/>
        <v/>
      </c>
      <c r="H40" s="620" cm="1">
        <f t="array" aca="1" ref="H40" ca="1">IF(AUTOEVENTO="Manual",ROUND(SUMPRODUCT((CÁLCULO!$M$15:$M$191=EVENTOS!$C40)*(OFFSET(CÁLCULO!$AI$15:$AI$191,0,H$13))),2),0)</f>
        <v>0</v>
      </c>
      <c r="I40" s="620" cm="1">
        <f t="array" aca="1" ref="I40" ca="1">IF(AUTOEVENTO="Manual",ROUND(SUMPRODUCT((CÁLCULO!$M$15:$M$191=EVENTOS!$C40)*(OFFSET(CÁLCULO!$AI$15:$AI$191,0,I$13))),2),0)</f>
        <v>0</v>
      </c>
      <c r="J40" s="620" cm="1">
        <f t="array" aca="1" ref="J40" ca="1">IF(AUTOEVENTO="Manual",ROUND(SUMPRODUCT((CÁLCULO!$M$15:$M$191=EVENTOS!$C40)*(OFFSET(CÁLCULO!$AI$15:$AI$191,0,J$13))),2),0)</f>
        <v>0</v>
      </c>
      <c r="K40" s="620" cm="1">
        <f t="array" aca="1" ref="K40" ca="1">IF(AUTOEVENTO="Manual",ROUND(SUMPRODUCT((CÁLCULO!$M$15:$M$191=EVENTOS!$C40)*(OFFSET(CÁLCULO!$AI$15:$AI$191,0,K$13))),2),0)</f>
        <v>0</v>
      </c>
      <c r="L40" s="620" cm="1">
        <f t="array" aca="1" ref="L40" ca="1">IF(AUTOEVENTO="Manual",ROUND(SUMPRODUCT((CÁLCULO!$M$15:$M$191=EVENTOS!$C40)*(OFFSET(CÁLCULO!$AI$15:$AI$191,0,L$13))),2),0)</f>
        <v>0</v>
      </c>
      <c r="M40" s="620" cm="1">
        <f t="array" aca="1" ref="M40" ca="1">IF(AUTOEVENTO="Manual",ROUND(SUMPRODUCT((CÁLCULO!$M$15:$M$191=EVENTOS!$C40)*(OFFSET(CÁLCULO!$AI$15:$AI$191,0,M$13))),2),0)</f>
        <v>136074.57</v>
      </c>
      <c r="N40" s="620" cm="1">
        <f t="array" aca="1" ref="N40" ca="1">IF(AUTOEVENTO="Manual",ROUND(SUMPRODUCT((CÁLCULO!$M$15:$M$191=EVENTOS!$C40)*(OFFSET(CÁLCULO!$AI$15:$AI$191,0,N$13))),2),0)</f>
        <v>0</v>
      </c>
      <c r="O40" s="620" cm="1">
        <f t="array" aca="1" ref="O40" ca="1">IF(AUTOEVENTO="Manual",ROUND(SUMPRODUCT((CÁLCULO!$M$15:$M$191=EVENTOS!$C40)*(OFFSET(CÁLCULO!$AI$15:$AI$191,0,O$13))),2),0)</f>
        <v>0</v>
      </c>
      <c r="P40" s="620" cm="1">
        <f t="array" aca="1" ref="P40" ca="1">IF(AUTOEVENTO="Manual",ROUND(SUMPRODUCT((CÁLCULO!$M$15:$M$191=EVENTOS!$C40)*(OFFSET(CÁLCULO!$AI$15:$AI$191,0,P$13))),2),0)</f>
        <v>0</v>
      </c>
      <c r="Q40" s="620" cm="1">
        <f t="array" aca="1" ref="Q40" ca="1">IF(AUTOEVENTO="Manual",ROUND(SUMPRODUCT((CÁLCULO!$M$15:$M$191=EVENTOS!$C40)*(OFFSET(CÁLCULO!$AI$15:$AI$191,0,Q$13))),2),0)</f>
        <v>0</v>
      </c>
      <c r="R40" s="620" cm="1">
        <f t="array" aca="1" ref="R40" ca="1">IF(AUTOEVENTO="Manual",ROUND(SUMPRODUCT((CÁLCULO!$M$15:$M$191=EVENTOS!$C40)*(OFFSET(CÁLCULO!$AI$15:$AI$191,0,R$13))),2),0)</f>
        <v>0</v>
      </c>
      <c r="S40" s="620" cm="1">
        <f t="array" aca="1" ref="S40" ca="1">IF(AUTOEVENTO="Manual",ROUND(SUMPRODUCT((CÁLCULO!$M$15:$M$191=EVENTOS!$C40)*(OFFSET(CÁLCULO!$AI$15:$AI$191,0,S$13))),2),0)</f>
        <v>0</v>
      </c>
      <c r="T40" s="620" cm="1">
        <f t="array" aca="1" ref="T40" ca="1">IF(AUTOEVENTO="Manual",ROUND(SUMPRODUCT((CÁLCULO!$M$15:$M$191=EVENTOS!$C40)*(OFFSET(CÁLCULO!$AI$15:$AI$191,0,T$13))),2),0)</f>
        <v>0</v>
      </c>
      <c r="U40" s="620" cm="1">
        <f t="array" aca="1" ref="U40" ca="1">IF(AUTOEVENTO="Manual",ROUND(SUMPRODUCT((CÁLCULO!$M$15:$M$191=EVENTOS!$C40)*(OFFSET(CÁLCULO!$AI$15:$AI$191,0,U$13))),2),0)</f>
        <v>0</v>
      </c>
      <c r="V40" s="620" cm="1">
        <f t="array" aca="1" ref="V40" ca="1">IF(AUTOEVENTO="Manual",ROUND(SUMPRODUCT((CÁLCULO!$M$15:$M$191=EVENTOS!$C40)*(OFFSET(CÁLCULO!$AI$15:$AI$191,0,V$13))),2),0)</f>
        <v>0</v>
      </c>
      <c r="W40" s="620" cm="1">
        <f t="array" aca="1" ref="W40" ca="1">IF(AUTOEVENTO="Manual",ROUND(SUMPRODUCT((CÁLCULO!$M$15:$M$191=EVENTOS!$C40)*(OFFSET(CÁLCULO!$AI$15:$AI$191,0,W$13))),2),0)</f>
        <v>0</v>
      </c>
      <c r="X40" s="620" cm="1">
        <f t="array" aca="1" ref="X40" ca="1">IF(AUTOEVENTO="Manual",ROUND(SUMPRODUCT((CÁLCULO!$M$15:$M$191=EVENTOS!$C40)*(OFFSET(CÁLCULO!$AI$15:$AI$191,0,X$13))),2),0)</f>
        <v>0</v>
      </c>
      <c r="Y40" s="620" cm="1">
        <f t="array" aca="1" ref="Y40" ca="1">IF(AUTOEVENTO="Manual",ROUND(SUMPRODUCT((CÁLCULO!$M$15:$M$191=EVENTOS!$C40)*(OFFSET(CÁLCULO!$AI$15:$AI$191,0,Y$13))),2),0)</f>
        <v>0</v>
      </c>
    </row>
    <row r="41" spans="1:25" s="734" customFormat="1" x14ac:dyDescent="0.2">
      <c r="A41" s="506" t="str">
        <f t="shared" si="3"/>
        <v>F</v>
      </c>
      <c r="B41" s="734" t="str">
        <f t="shared" ca="1" si="4"/>
        <v>26. Instalações mecânicas</v>
      </c>
      <c r="C41" s="182" cm="1">
        <f t="array" aca="1" ref="C41" ca="1">IF(OR(ROW(C41)=ROW(EVENTOS.firstrow)+1,AND(OFFSET(C41,-1,0)&lt;&gt;" ",OFFSET(C41,-1,1)&lt;&gt;"")),OFFSET(C41,-1,0)+1," ")</f>
        <v>26</v>
      </c>
      <c r="D41" s="496" t="s">
        <v>1293</v>
      </c>
      <c r="E41" s="620" cm="1">
        <f t="array" aca="1" ref="E41" ca="1">IF(AUTOEVENTO="Manual",ROUND(SUMPRODUCT((CÁLCULO!$M$15:$M$191=EVENTOS!$C41)*(OFFSET(CÁLCULO!$AI$15:$AI$191,0,E$13))),2),0)</f>
        <v>0</v>
      </c>
      <c r="F41" s="183">
        <f ca="1">IF(AUTOEVENTO="Manual",ROUND(SUMPRODUCT((CÁLCULO!$M$15:$M$191=EVENTOS!$C41)*(OFFSET(CÁLCULO!$AI$15,0,1):OFFSET(CÁLCULO!$BB$191,0,-1))),2),0)</f>
        <v>191714.02</v>
      </c>
      <c r="G41" s="621" t="str">
        <f t="shared" ca="1" si="5"/>
        <v/>
      </c>
      <c r="H41" s="620" cm="1">
        <f t="array" aca="1" ref="H41" ca="1">IF(AUTOEVENTO="Manual",ROUND(SUMPRODUCT((CÁLCULO!$M$15:$M$191=EVENTOS!$C41)*(OFFSET(CÁLCULO!$AI$15:$AI$191,0,H$13))),2),0)</f>
        <v>0</v>
      </c>
      <c r="I41" s="620" cm="1">
        <f t="array" aca="1" ref="I41" ca="1">IF(AUTOEVENTO="Manual",ROUND(SUMPRODUCT((CÁLCULO!$M$15:$M$191=EVENTOS!$C41)*(OFFSET(CÁLCULO!$AI$15:$AI$191,0,I$13))),2),0)</f>
        <v>0</v>
      </c>
      <c r="J41" s="620" cm="1">
        <f t="array" aca="1" ref="J41" ca="1">IF(AUTOEVENTO="Manual",ROUND(SUMPRODUCT((CÁLCULO!$M$15:$M$191=EVENTOS!$C41)*(OFFSET(CÁLCULO!$AI$15:$AI$191,0,J$13))),2),0)</f>
        <v>0</v>
      </c>
      <c r="K41" s="620" cm="1">
        <f t="array" aca="1" ref="K41" ca="1">IF(AUTOEVENTO="Manual",ROUND(SUMPRODUCT((CÁLCULO!$M$15:$M$191=EVENTOS!$C41)*(OFFSET(CÁLCULO!$AI$15:$AI$191,0,K$13))),2),0)</f>
        <v>0</v>
      </c>
      <c r="L41" s="620" cm="1">
        <f t="array" aca="1" ref="L41" ca="1">IF(AUTOEVENTO="Manual",ROUND(SUMPRODUCT((CÁLCULO!$M$15:$M$191=EVENTOS!$C41)*(OFFSET(CÁLCULO!$AI$15:$AI$191,0,L$13))),2),0)</f>
        <v>0</v>
      </c>
      <c r="M41" s="620" cm="1">
        <f t="array" aca="1" ref="M41" ca="1">IF(AUTOEVENTO="Manual",ROUND(SUMPRODUCT((CÁLCULO!$M$15:$M$191=EVENTOS!$C41)*(OFFSET(CÁLCULO!$AI$15:$AI$191,0,M$13))),2),0)</f>
        <v>191714.02</v>
      </c>
      <c r="N41" s="620" cm="1">
        <f t="array" aca="1" ref="N41" ca="1">IF(AUTOEVENTO="Manual",ROUND(SUMPRODUCT((CÁLCULO!$M$15:$M$191=EVENTOS!$C41)*(OFFSET(CÁLCULO!$AI$15:$AI$191,0,N$13))),2),0)</f>
        <v>0</v>
      </c>
      <c r="O41" s="620" cm="1">
        <f t="array" aca="1" ref="O41" ca="1">IF(AUTOEVENTO="Manual",ROUND(SUMPRODUCT((CÁLCULO!$M$15:$M$191=EVENTOS!$C41)*(OFFSET(CÁLCULO!$AI$15:$AI$191,0,O$13))),2),0)</f>
        <v>0</v>
      </c>
      <c r="P41" s="620" cm="1">
        <f t="array" aca="1" ref="P41" ca="1">IF(AUTOEVENTO="Manual",ROUND(SUMPRODUCT((CÁLCULO!$M$15:$M$191=EVENTOS!$C41)*(OFFSET(CÁLCULO!$AI$15:$AI$191,0,P$13))),2),0)</f>
        <v>0</v>
      </c>
      <c r="Q41" s="620" cm="1">
        <f t="array" aca="1" ref="Q41" ca="1">IF(AUTOEVENTO="Manual",ROUND(SUMPRODUCT((CÁLCULO!$M$15:$M$191=EVENTOS!$C41)*(OFFSET(CÁLCULO!$AI$15:$AI$191,0,Q$13))),2),0)</f>
        <v>0</v>
      </c>
      <c r="R41" s="620" cm="1">
        <f t="array" aca="1" ref="R41" ca="1">IF(AUTOEVENTO="Manual",ROUND(SUMPRODUCT((CÁLCULO!$M$15:$M$191=EVENTOS!$C41)*(OFFSET(CÁLCULO!$AI$15:$AI$191,0,R$13))),2),0)</f>
        <v>0</v>
      </c>
      <c r="S41" s="620" cm="1">
        <f t="array" aca="1" ref="S41" ca="1">IF(AUTOEVENTO="Manual",ROUND(SUMPRODUCT((CÁLCULO!$M$15:$M$191=EVENTOS!$C41)*(OFFSET(CÁLCULO!$AI$15:$AI$191,0,S$13))),2),0)</f>
        <v>0</v>
      </c>
      <c r="T41" s="620" cm="1">
        <f t="array" aca="1" ref="T41" ca="1">IF(AUTOEVENTO="Manual",ROUND(SUMPRODUCT((CÁLCULO!$M$15:$M$191=EVENTOS!$C41)*(OFFSET(CÁLCULO!$AI$15:$AI$191,0,T$13))),2),0)</f>
        <v>0</v>
      </c>
      <c r="U41" s="620" cm="1">
        <f t="array" aca="1" ref="U41" ca="1">IF(AUTOEVENTO="Manual",ROUND(SUMPRODUCT((CÁLCULO!$M$15:$M$191=EVENTOS!$C41)*(OFFSET(CÁLCULO!$AI$15:$AI$191,0,U$13))),2),0)</f>
        <v>0</v>
      </c>
      <c r="V41" s="620" cm="1">
        <f t="array" aca="1" ref="V41" ca="1">IF(AUTOEVENTO="Manual",ROUND(SUMPRODUCT((CÁLCULO!$M$15:$M$191=EVENTOS!$C41)*(OFFSET(CÁLCULO!$AI$15:$AI$191,0,V$13))),2),0)</f>
        <v>0</v>
      </c>
      <c r="W41" s="620" cm="1">
        <f t="array" aca="1" ref="W41" ca="1">IF(AUTOEVENTO="Manual",ROUND(SUMPRODUCT((CÁLCULO!$M$15:$M$191=EVENTOS!$C41)*(OFFSET(CÁLCULO!$AI$15:$AI$191,0,W$13))),2),0)</f>
        <v>0</v>
      </c>
      <c r="X41" s="620" cm="1">
        <f t="array" aca="1" ref="X41" ca="1">IF(AUTOEVENTO="Manual",ROUND(SUMPRODUCT((CÁLCULO!$M$15:$M$191=EVENTOS!$C41)*(OFFSET(CÁLCULO!$AI$15:$AI$191,0,X$13))),2),0)</f>
        <v>0</v>
      </c>
      <c r="Y41" s="620" cm="1">
        <f t="array" aca="1" ref="Y41" ca="1">IF(AUTOEVENTO="Manual",ROUND(SUMPRODUCT((CÁLCULO!$M$15:$M$191=EVENTOS!$C41)*(OFFSET(CÁLCULO!$AI$15:$AI$191,0,Y$13))),2),0)</f>
        <v>0</v>
      </c>
    </row>
    <row r="42" spans="1:25" s="734" customFormat="1" x14ac:dyDescent="0.2">
      <c r="A42" s="506" t="str">
        <f t="shared" si="3"/>
        <v>F</v>
      </c>
      <c r="B42" s="734" t="str">
        <f t="shared" ca="1" si="4"/>
        <v>27. Esquadrias</v>
      </c>
      <c r="C42" s="182" cm="1">
        <f t="array" aca="1" ref="C42" ca="1">IF(OR(ROW(C42)=ROW(EVENTOS.firstrow)+1,AND(OFFSET(C42,-1,0)&lt;&gt;" ",OFFSET(C42,-1,1)&lt;&gt;"")),OFFSET(C42,-1,0)+1," ")</f>
        <v>27</v>
      </c>
      <c r="D42" s="496" t="s">
        <v>1292</v>
      </c>
      <c r="E42" s="620" cm="1">
        <f t="array" aca="1" ref="E42" ca="1">IF(AUTOEVENTO="Manual",ROUND(SUMPRODUCT((CÁLCULO!$M$15:$M$191=EVENTOS!$C42)*(OFFSET(CÁLCULO!$AI$15:$AI$191,0,E$13))),2),0)</f>
        <v>0</v>
      </c>
      <c r="F42" s="183">
        <f ca="1">IF(AUTOEVENTO="Manual",ROUND(SUMPRODUCT((CÁLCULO!$M$15:$M$191=EVENTOS!$C42)*(OFFSET(CÁLCULO!$AI$15,0,1):OFFSET(CÁLCULO!$BB$191,0,-1))),2),0)</f>
        <v>10598.08</v>
      </c>
      <c r="G42" s="621" t="str">
        <f t="shared" ca="1" si="5"/>
        <v/>
      </c>
      <c r="H42" s="620" cm="1">
        <f t="array" aca="1" ref="H42" ca="1">IF(AUTOEVENTO="Manual",ROUND(SUMPRODUCT((CÁLCULO!$M$15:$M$191=EVENTOS!$C42)*(OFFSET(CÁLCULO!$AI$15:$AI$191,0,H$13))),2),0)</f>
        <v>0</v>
      </c>
      <c r="I42" s="620" cm="1">
        <f t="array" aca="1" ref="I42" ca="1">IF(AUTOEVENTO="Manual",ROUND(SUMPRODUCT((CÁLCULO!$M$15:$M$191=EVENTOS!$C42)*(OFFSET(CÁLCULO!$AI$15:$AI$191,0,I$13))),2),0)</f>
        <v>0</v>
      </c>
      <c r="J42" s="620" cm="1">
        <f t="array" aca="1" ref="J42" ca="1">IF(AUTOEVENTO="Manual",ROUND(SUMPRODUCT((CÁLCULO!$M$15:$M$191=EVENTOS!$C42)*(OFFSET(CÁLCULO!$AI$15:$AI$191,0,J$13))),2),0)</f>
        <v>0</v>
      </c>
      <c r="K42" s="620" cm="1">
        <f t="array" aca="1" ref="K42" ca="1">IF(AUTOEVENTO="Manual",ROUND(SUMPRODUCT((CÁLCULO!$M$15:$M$191=EVENTOS!$C42)*(OFFSET(CÁLCULO!$AI$15:$AI$191,0,K$13))),2),0)</f>
        <v>8055.94</v>
      </c>
      <c r="L42" s="620" cm="1">
        <f t="array" aca="1" ref="L42" ca="1">IF(AUTOEVENTO="Manual",ROUND(SUMPRODUCT((CÁLCULO!$M$15:$M$191=EVENTOS!$C42)*(OFFSET(CÁLCULO!$AI$15:$AI$191,0,L$13))),2),0)</f>
        <v>0</v>
      </c>
      <c r="M42" s="620" cm="1">
        <f t="array" aca="1" ref="M42" ca="1">IF(AUTOEVENTO="Manual",ROUND(SUMPRODUCT((CÁLCULO!$M$15:$M$191=EVENTOS!$C42)*(OFFSET(CÁLCULO!$AI$15:$AI$191,0,M$13))),2),0)</f>
        <v>2542.14</v>
      </c>
      <c r="N42" s="620" cm="1">
        <f t="array" aca="1" ref="N42" ca="1">IF(AUTOEVENTO="Manual",ROUND(SUMPRODUCT((CÁLCULO!$M$15:$M$191=EVENTOS!$C42)*(OFFSET(CÁLCULO!$AI$15:$AI$191,0,N$13))),2),0)</f>
        <v>0</v>
      </c>
      <c r="O42" s="620" cm="1">
        <f t="array" aca="1" ref="O42" ca="1">IF(AUTOEVENTO="Manual",ROUND(SUMPRODUCT((CÁLCULO!$M$15:$M$191=EVENTOS!$C42)*(OFFSET(CÁLCULO!$AI$15:$AI$191,0,O$13))),2),0)</f>
        <v>0</v>
      </c>
      <c r="P42" s="620" cm="1">
        <f t="array" aca="1" ref="P42" ca="1">IF(AUTOEVENTO="Manual",ROUND(SUMPRODUCT((CÁLCULO!$M$15:$M$191=EVENTOS!$C42)*(OFFSET(CÁLCULO!$AI$15:$AI$191,0,P$13))),2),0)</f>
        <v>0</v>
      </c>
      <c r="Q42" s="620" cm="1">
        <f t="array" aca="1" ref="Q42" ca="1">IF(AUTOEVENTO="Manual",ROUND(SUMPRODUCT((CÁLCULO!$M$15:$M$191=EVENTOS!$C42)*(OFFSET(CÁLCULO!$AI$15:$AI$191,0,Q$13))),2),0)</f>
        <v>0</v>
      </c>
      <c r="R42" s="620" cm="1">
        <f t="array" aca="1" ref="R42" ca="1">IF(AUTOEVENTO="Manual",ROUND(SUMPRODUCT((CÁLCULO!$M$15:$M$191=EVENTOS!$C42)*(OFFSET(CÁLCULO!$AI$15:$AI$191,0,R$13))),2),0)</f>
        <v>0</v>
      </c>
      <c r="S42" s="620" cm="1">
        <f t="array" aca="1" ref="S42" ca="1">IF(AUTOEVENTO="Manual",ROUND(SUMPRODUCT((CÁLCULO!$M$15:$M$191=EVENTOS!$C42)*(OFFSET(CÁLCULO!$AI$15:$AI$191,0,S$13))),2),0)</f>
        <v>0</v>
      </c>
      <c r="T42" s="620" cm="1">
        <f t="array" aca="1" ref="T42" ca="1">IF(AUTOEVENTO="Manual",ROUND(SUMPRODUCT((CÁLCULO!$M$15:$M$191=EVENTOS!$C42)*(OFFSET(CÁLCULO!$AI$15:$AI$191,0,T$13))),2),0)</f>
        <v>0</v>
      </c>
      <c r="U42" s="620" cm="1">
        <f t="array" aca="1" ref="U42" ca="1">IF(AUTOEVENTO="Manual",ROUND(SUMPRODUCT((CÁLCULO!$M$15:$M$191=EVENTOS!$C42)*(OFFSET(CÁLCULO!$AI$15:$AI$191,0,U$13))),2),0)</f>
        <v>0</v>
      </c>
      <c r="V42" s="620" cm="1">
        <f t="array" aca="1" ref="V42" ca="1">IF(AUTOEVENTO="Manual",ROUND(SUMPRODUCT((CÁLCULO!$M$15:$M$191=EVENTOS!$C42)*(OFFSET(CÁLCULO!$AI$15:$AI$191,0,V$13))),2),0)</f>
        <v>0</v>
      </c>
      <c r="W42" s="620" cm="1">
        <f t="array" aca="1" ref="W42" ca="1">IF(AUTOEVENTO="Manual",ROUND(SUMPRODUCT((CÁLCULO!$M$15:$M$191=EVENTOS!$C42)*(OFFSET(CÁLCULO!$AI$15:$AI$191,0,W$13))),2),0)</f>
        <v>0</v>
      </c>
      <c r="X42" s="620" cm="1">
        <f t="array" aca="1" ref="X42" ca="1">IF(AUTOEVENTO="Manual",ROUND(SUMPRODUCT((CÁLCULO!$M$15:$M$191=EVENTOS!$C42)*(OFFSET(CÁLCULO!$AI$15:$AI$191,0,X$13))),2),0)</f>
        <v>0</v>
      </c>
      <c r="Y42" s="620" cm="1">
        <f t="array" aca="1" ref="Y42" ca="1">IF(AUTOEVENTO="Manual",ROUND(SUMPRODUCT((CÁLCULO!$M$15:$M$191=EVENTOS!$C42)*(OFFSET(CÁLCULO!$AI$15:$AI$191,0,Y$13))),2),0)</f>
        <v>0</v>
      </c>
    </row>
    <row r="43" spans="1:25" s="734" customFormat="1" x14ac:dyDescent="0.2">
      <c r="A43" s="506" t="str">
        <f t="shared" si="3"/>
        <v>F</v>
      </c>
      <c r="B43" s="734" t="str">
        <f t="shared" ca="1" si="4"/>
        <v>28. Pavimentação</v>
      </c>
      <c r="C43" s="182" cm="1">
        <f t="array" aca="1" ref="C43" ca="1">IF(OR(ROW(C43)=ROW(EVENTOS.firstrow)+1,AND(OFFSET(C43,-1,0)&lt;&gt;" ",OFFSET(C43,-1,1)&lt;&gt;"")),OFFSET(C43,-1,0)+1," ")</f>
        <v>28</v>
      </c>
      <c r="D43" s="496" t="s">
        <v>102</v>
      </c>
      <c r="E43" s="620" cm="1">
        <f t="array" aca="1" ref="E43" ca="1">IF(AUTOEVENTO="Manual",ROUND(SUMPRODUCT((CÁLCULO!$M$15:$M$191=EVENTOS!$C43)*(OFFSET(CÁLCULO!$AI$15:$AI$191,0,E$13))),2),0)</f>
        <v>0</v>
      </c>
      <c r="F43" s="183">
        <f ca="1">IF(AUTOEVENTO="Manual",ROUND(SUMPRODUCT((CÁLCULO!$M$15:$M$191=EVENTOS!$C43)*(OFFSET(CÁLCULO!$AI$15,0,1):OFFSET(CÁLCULO!$BB$191,0,-1))),2),0)</f>
        <v>407384.1</v>
      </c>
      <c r="G43" s="621" t="str">
        <f t="shared" ca="1" si="5"/>
        <v/>
      </c>
      <c r="H43" s="620" cm="1">
        <f t="array" aca="1" ref="H43" ca="1">IF(AUTOEVENTO="Manual",ROUND(SUMPRODUCT((CÁLCULO!$M$15:$M$191=EVENTOS!$C43)*(OFFSET(CÁLCULO!$AI$15:$AI$191,0,H$13))),2),0)</f>
        <v>0</v>
      </c>
      <c r="I43" s="620" cm="1">
        <f t="array" aca="1" ref="I43" ca="1">IF(AUTOEVENTO="Manual",ROUND(SUMPRODUCT((CÁLCULO!$M$15:$M$191=EVENTOS!$C43)*(OFFSET(CÁLCULO!$AI$15:$AI$191,0,I$13))),2),0)</f>
        <v>0</v>
      </c>
      <c r="J43" s="620" cm="1">
        <f t="array" aca="1" ref="J43" ca="1">IF(AUTOEVENTO="Manual",ROUND(SUMPRODUCT((CÁLCULO!$M$15:$M$191=EVENTOS!$C43)*(OFFSET(CÁLCULO!$AI$15:$AI$191,0,J$13))),2),0)</f>
        <v>0</v>
      </c>
      <c r="K43" s="620" cm="1">
        <f t="array" aca="1" ref="K43" ca="1">IF(AUTOEVENTO="Manual",ROUND(SUMPRODUCT((CÁLCULO!$M$15:$M$191=EVENTOS!$C43)*(OFFSET(CÁLCULO!$AI$15:$AI$191,0,K$13))),2),0)</f>
        <v>0</v>
      </c>
      <c r="L43" s="620" cm="1">
        <f t="array" aca="1" ref="L43" ca="1">IF(AUTOEVENTO="Manual",ROUND(SUMPRODUCT((CÁLCULO!$M$15:$M$191=EVENTOS!$C43)*(OFFSET(CÁLCULO!$AI$15:$AI$191,0,L$13))),2),0)</f>
        <v>402306.01</v>
      </c>
      <c r="M43" s="620" cm="1">
        <f t="array" aca="1" ref="M43" ca="1">IF(AUTOEVENTO="Manual",ROUND(SUMPRODUCT((CÁLCULO!$M$15:$M$191=EVENTOS!$C43)*(OFFSET(CÁLCULO!$AI$15:$AI$191,0,M$13))),2),0)</f>
        <v>5078.09</v>
      </c>
      <c r="N43" s="620" cm="1">
        <f t="array" aca="1" ref="N43" ca="1">IF(AUTOEVENTO="Manual",ROUND(SUMPRODUCT((CÁLCULO!$M$15:$M$191=EVENTOS!$C43)*(OFFSET(CÁLCULO!$AI$15:$AI$191,0,N$13))),2),0)</f>
        <v>0</v>
      </c>
      <c r="O43" s="620" cm="1">
        <f t="array" aca="1" ref="O43" ca="1">IF(AUTOEVENTO="Manual",ROUND(SUMPRODUCT((CÁLCULO!$M$15:$M$191=EVENTOS!$C43)*(OFFSET(CÁLCULO!$AI$15:$AI$191,0,O$13))),2),0)</f>
        <v>0</v>
      </c>
      <c r="P43" s="620" cm="1">
        <f t="array" aca="1" ref="P43" ca="1">IF(AUTOEVENTO="Manual",ROUND(SUMPRODUCT((CÁLCULO!$M$15:$M$191=EVENTOS!$C43)*(OFFSET(CÁLCULO!$AI$15:$AI$191,0,P$13))),2),0)</f>
        <v>0</v>
      </c>
      <c r="Q43" s="620" cm="1">
        <f t="array" aca="1" ref="Q43" ca="1">IF(AUTOEVENTO="Manual",ROUND(SUMPRODUCT((CÁLCULO!$M$15:$M$191=EVENTOS!$C43)*(OFFSET(CÁLCULO!$AI$15:$AI$191,0,Q$13))),2),0)</f>
        <v>0</v>
      </c>
      <c r="R43" s="620" cm="1">
        <f t="array" aca="1" ref="R43" ca="1">IF(AUTOEVENTO="Manual",ROUND(SUMPRODUCT((CÁLCULO!$M$15:$M$191=EVENTOS!$C43)*(OFFSET(CÁLCULO!$AI$15:$AI$191,0,R$13))),2),0)</f>
        <v>0</v>
      </c>
      <c r="S43" s="620" cm="1">
        <f t="array" aca="1" ref="S43" ca="1">IF(AUTOEVENTO="Manual",ROUND(SUMPRODUCT((CÁLCULO!$M$15:$M$191=EVENTOS!$C43)*(OFFSET(CÁLCULO!$AI$15:$AI$191,0,S$13))),2),0)</f>
        <v>0</v>
      </c>
      <c r="T43" s="620" cm="1">
        <f t="array" aca="1" ref="T43" ca="1">IF(AUTOEVENTO="Manual",ROUND(SUMPRODUCT((CÁLCULO!$M$15:$M$191=EVENTOS!$C43)*(OFFSET(CÁLCULO!$AI$15:$AI$191,0,T$13))),2),0)</f>
        <v>0</v>
      </c>
      <c r="U43" s="620" cm="1">
        <f t="array" aca="1" ref="U43" ca="1">IF(AUTOEVENTO="Manual",ROUND(SUMPRODUCT((CÁLCULO!$M$15:$M$191=EVENTOS!$C43)*(OFFSET(CÁLCULO!$AI$15:$AI$191,0,U$13))),2),0)</f>
        <v>0</v>
      </c>
      <c r="V43" s="620" cm="1">
        <f t="array" aca="1" ref="V43" ca="1">IF(AUTOEVENTO="Manual",ROUND(SUMPRODUCT((CÁLCULO!$M$15:$M$191=EVENTOS!$C43)*(OFFSET(CÁLCULO!$AI$15:$AI$191,0,V$13))),2),0)</f>
        <v>0</v>
      </c>
      <c r="W43" s="620" cm="1">
        <f t="array" aca="1" ref="W43" ca="1">IF(AUTOEVENTO="Manual",ROUND(SUMPRODUCT((CÁLCULO!$M$15:$M$191=EVENTOS!$C43)*(OFFSET(CÁLCULO!$AI$15:$AI$191,0,W$13))),2),0)</f>
        <v>0</v>
      </c>
      <c r="X43" s="620" cm="1">
        <f t="array" aca="1" ref="X43" ca="1">IF(AUTOEVENTO="Manual",ROUND(SUMPRODUCT((CÁLCULO!$M$15:$M$191=EVENTOS!$C43)*(OFFSET(CÁLCULO!$AI$15:$AI$191,0,X$13))),2),0)</f>
        <v>0</v>
      </c>
      <c r="Y43" s="620" cm="1">
        <f t="array" aca="1" ref="Y43" ca="1">IF(AUTOEVENTO="Manual",ROUND(SUMPRODUCT((CÁLCULO!$M$15:$M$191=EVENTOS!$C43)*(OFFSET(CÁLCULO!$AI$15:$AI$191,0,Y$13))),2),0)</f>
        <v>0</v>
      </c>
    </row>
    <row r="44" spans="1:25" s="734" customFormat="1" x14ac:dyDescent="0.2">
      <c r="A44" s="506" t="str">
        <f t="shared" si="3"/>
        <v>F</v>
      </c>
      <c r="B44" s="734" t="str">
        <f t="shared" ca="1" si="4"/>
        <v>29. Pintura</v>
      </c>
      <c r="C44" s="182" cm="1">
        <f t="array" aca="1" ref="C44" ca="1">IF(OR(ROW(C44)=ROW(EVENTOS.firstrow)+1,AND(OFFSET(C44,-1,0)&lt;&gt;" ",OFFSET(C44,-1,1)&lt;&gt;"")),OFFSET(C44,-1,0)+1," ")</f>
        <v>29</v>
      </c>
      <c r="D44" s="496" t="s">
        <v>1288</v>
      </c>
      <c r="E44" s="620" cm="1">
        <f t="array" aca="1" ref="E44" ca="1">IF(AUTOEVENTO="Manual",ROUND(SUMPRODUCT((CÁLCULO!$M$15:$M$191=EVENTOS!$C44)*(OFFSET(CÁLCULO!$AI$15:$AI$191,0,E$13))),2),0)</f>
        <v>0</v>
      </c>
      <c r="F44" s="183">
        <f ca="1">IF(AUTOEVENTO="Manual",ROUND(SUMPRODUCT((CÁLCULO!$M$15:$M$191=EVENTOS!$C44)*(OFFSET(CÁLCULO!$AI$15,0,1):OFFSET(CÁLCULO!$BB$191,0,-1))),2),0)</f>
        <v>445.95</v>
      </c>
      <c r="G44" s="621" t="str">
        <f t="shared" ca="1" si="5"/>
        <v/>
      </c>
      <c r="H44" s="620" cm="1">
        <f t="array" aca="1" ref="H44" ca="1">IF(AUTOEVENTO="Manual",ROUND(SUMPRODUCT((CÁLCULO!$M$15:$M$191=EVENTOS!$C44)*(OFFSET(CÁLCULO!$AI$15:$AI$191,0,H$13))),2),0)</f>
        <v>0</v>
      </c>
      <c r="I44" s="620" cm="1">
        <f t="array" aca="1" ref="I44" ca="1">IF(AUTOEVENTO="Manual",ROUND(SUMPRODUCT((CÁLCULO!$M$15:$M$191=EVENTOS!$C44)*(OFFSET(CÁLCULO!$AI$15:$AI$191,0,I$13))),2),0)</f>
        <v>0</v>
      </c>
      <c r="J44" s="620" cm="1">
        <f t="array" aca="1" ref="J44" ca="1">IF(AUTOEVENTO="Manual",ROUND(SUMPRODUCT((CÁLCULO!$M$15:$M$191=EVENTOS!$C44)*(OFFSET(CÁLCULO!$AI$15:$AI$191,0,J$13))),2),0)</f>
        <v>0</v>
      </c>
      <c r="K44" s="620" cm="1">
        <f t="array" aca="1" ref="K44" ca="1">IF(AUTOEVENTO="Manual",ROUND(SUMPRODUCT((CÁLCULO!$M$15:$M$191=EVENTOS!$C44)*(OFFSET(CÁLCULO!$AI$15:$AI$191,0,K$13))),2),0)</f>
        <v>0</v>
      </c>
      <c r="L44" s="620" cm="1">
        <f t="array" aca="1" ref="L44" ca="1">IF(AUTOEVENTO="Manual",ROUND(SUMPRODUCT((CÁLCULO!$M$15:$M$191=EVENTOS!$C44)*(OFFSET(CÁLCULO!$AI$15:$AI$191,0,L$13))),2),0)</f>
        <v>0</v>
      </c>
      <c r="M44" s="620" cm="1">
        <f t="array" aca="1" ref="M44" ca="1">IF(AUTOEVENTO="Manual",ROUND(SUMPRODUCT((CÁLCULO!$M$15:$M$191=EVENTOS!$C44)*(OFFSET(CÁLCULO!$AI$15:$AI$191,0,M$13))),2),0)</f>
        <v>445.95</v>
      </c>
      <c r="N44" s="620" cm="1">
        <f t="array" aca="1" ref="N44" ca="1">IF(AUTOEVENTO="Manual",ROUND(SUMPRODUCT((CÁLCULO!$M$15:$M$191=EVENTOS!$C44)*(OFFSET(CÁLCULO!$AI$15:$AI$191,0,N$13))),2),0)</f>
        <v>0</v>
      </c>
      <c r="O44" s="620" cm="1">
        <f t="array" aca="1" ref="O44" ca="1">IF(AUTOEVENTO="Manual",ROUND(SUMPRODUCT((CÁLCULO!$M$15:$M$191=EVENTOS!$C44)*(OFFSET(CÁLCULO!$AI$15:$AI$191,0,O$13))),2),0)</f>
        <v>0</v>
      </c>
      <c r="P44" s="620" cm="1">
        <f t="array" aca="1" ref="P44" ca="1">IF(AUTOEVENTO="Manual",ROUND(SUMPRODUCT((CÁLCULO!$M$15:$M$191=EVENTOS!$C44)*(OFFSET(CÁLCULO!$AI$15:$AI$191,0,P$13))),2),0)</f>
        <v>0</v>
      </c>
      <c r="Q44" s="620" cm="1">
        <f t="array" aca="1" ref="Q44" ca="1">IF(AUTOEVENTO="Manual",ROUND(SUMPRODUCT((CÁLCULO!$M$15:$M$191=EVENTOS!$C44)*(OFFSET(CÁLCULO!$AI$15:$AI$191,0,Q$13))),2),0)</f>
        <v>0</v>
      </c>
      <c r="R44" s="620" cm="1">
        <f t="array" aca="1" ref="R44" ca="1">IF(AUTOEVENTO="Manual",ROUND(SUMPRODUCT((CÁLCULO!$M$15:$M$191=EVENTOS!$C44)*(OFFSET(CÁLCULO!$AI$15:$AI$191,0,R$13))),2),0)</f>
        <v>0</v>
      </c>
      <c r="S44" s="620" cm="1">
        <f t="array" aca="1" ref="S44" ca="1">IF(AUTOEVENTO="Manual",ROUND(SUMPRODUCT((CÁLCULO!$M$15:$M$191=EVENTOS!$C44)*(OFFSET(CÁLCULO!$AI$15:$AI$191,0,S$13))),2),0)</f>
        <v>0</v>
      </c>
      <c r="T44" s="620" cm="1">
        <f t="array" aca="1" ref="T44" ca="1">IF(AUTOEVENTO="Manual",ROUND(SUMPRODUCT((CÁLCULO!$M$15:$M$191=EVENTOS!$C44)*(OFFSET(CÁLCULO!$AI$15:$AI$191,0,T$13))),2),0)</f>
        <v>0</v>
      </c>
      <c r="U44" s="620" cm="1">
        <f t="array" aca="1" ref="U44" ca="1">IF(AUTOEVENTO="Manual",ROUND(SUMPRODUCT((CÁLCULO!$M$15:$M$191=EVENTOS!$C44)*(OFFSET(CÁLCULO!$AI$15:$AI$191,0,U$13))),2),0)</f>
        <v>0</v>
      </c>
      <c r="V44" s="620" cm="1">
        <f t="array" aca="1" ref="V44" ca="1">IF(AUTOEVENTO="Manual",ROUND(SUMPRODUCT((CÁLCULO!$M$15:$M$191=EVENTOS!$C44)*(OFFSET(CÁLCULO!$AI$15:$AI$191,0,V$13))),2),0)</f>
        <v>0</v>
      </c>
      <c r="W44" s="620" cm="1">
        <f t="array" aca="1" ref="W44" ca="1">IF(AUTOEVENTO="Manual",ROUND(SUMPRODUCT((CÁLCULO!$M$15:$M$191=EVENTOS!$C44)*(OFFSET(CÁLCULO!$AI$15:$AI$191,0,W$13))),2),0)</f>
        <v>0</v>
      </c>
      <c r="X44" s="620" cm="1">
        <f t="array" aca="1" ref="X44" ca="1">IF(AUTOEVENTO="Manual",ROUND(SUMPRODUCT((CÁLCULO!$M$15:$M$191=EVENTOS!$C44)*(OFFSET(CÁLCULO!$AI$15:$AI$191,0,X$13))),2),0)</f>
        <v>0</v>
      </c>
      <c r="Y44" s="620" cm="1">
        <f t="array" aca="1" ref="Y44" ca="1">IF(AUTOEVENTO="Manual",ROUND(SUMPRODUCT((CÁLCULO!$M$15:$M$191=EVENTOS!$C44)*(OFFSET(CÁLCULO!$AI$15:$AI$191,0,Y$13))),2),0)</f>
        <v>0</v>
      </c>
    </row>
    <row r="45" spans="1:25" s="734" customFormat="1" x14ac:dyDescent="0.2">
      <c r="A45" s="506" t="str">
        <f t="shared" si="3"/>
        <v>F</v>
      </c>
      <c r="B45" s="734" t="str">
        <f t="shared" ca="1" si="4"/>
        <v>30. Limpeza Final</v>
      </c>
      <c r="C45" s="182" cm="1">
        <f t="array" aca="1" ref="C45" ca="1">IF(OR(ROW(C45)=ROW(EVENTOS.firstrow)+1,AND(OFFSET(C45,-1,0)&lt;&gt;" ",OFFSET(C45,-1,1)&lt;&gt;"")),OFFSET(C45,-1,0)+1," ")</f>
        <v>30</v>
      </c>
      <c r="D45" s="496" t="s">
        <v>1285</v>
      </c>
      <c r="E45" s="620" cm="1">
        <f t="array" aca="1" ref="E45" ca="1">IF(AUTOEVENTO="Manual",ROUND(SUMPRODUCT((CÁLCULO!$M$15:$M$191=EVENTOS!$C45)*(OFFSET(CÁLCULO!$AI$15:$AI$191,0,E$13))),2),0)</f>
        <v>0</v>
      </c>
      <c r="F45" s="183">
        <f ca="1">IF(AUTOEVENTO="Manual",ROUND(SUMPRODUCT((CÁLCULO!$M$15:$M$191=EVENTOS!$C45)*(OFFSET(CÁLCULO!$AI$15,0,1):OFFSET(CÁLCULO!$BB$191,0,-1))),2),0)</f>
        <v>8627.31</v>
      </c>
      <c r="G45" s="621" t="str">
        <f t="shared" ca="1" si="5"/>
        <v/>
      </c>
      <c r="H45" s="620" cm="1">
        <f t="array" aca="1" ref="H45" ca="1">IF(AUTOEVENTO="Manual",ROUND(SUMPRODUCT((CÁLCULO!$M$15:$M$191=EVENTOS!$C45)*(OFFSET(CÁLCULO!$AI$15:$AI$191,0,H$13))),2),0)</f>
        <v>0</v>
      </c>
      <c r="I45" s="620" cm="1">
        <f t="array" aca="1" ref="I45" ca="1">IF(AUTOEVENTO="Manual",ROUND(SUMPRODUCT((CÁLCULO!$M$15:$M$191=EVENTOS!$C45)*(OFFSET(CÁLCULO!$AI$15:$AI$191,0,I$13))),2),0)</f>
        <v>8606.8799999999992</v>
      </c>
      <c r="J45" s="620" cm="1">
        <f t="array" aca="1" ref="J45" ca="1">IF(AUTOEVENTO="Manual",ROUND(SUMPRODUCT((CÁLCULO!$M$15:$M$191=EVENTOS!$C45)*(OFFSET(CÁLCULO!$AI$15:$AI$191,0,J$13))),2),0)</f>
        <v>0</v>
      </c>
      <c r="K45" s="620" cm="1">
        <f t="array" aca="1" ref="K45" ca="1">IF(AUTOEVENTO="Manual",ROUND(SUMPRODUCT((CÁLCULO!$M$15:$M$191=EVENTOS!$C45)*(OFFSET(CÁLCULO!$AI$15:$AI$191,0,K$13))),2),0)</f>
        <v>20.43</v>
      </c>
      <c r="L45" s="620" cm="1">
        <f t="array" aca="1" ref="L45" ca="1">IF(AUTOEVENTO="Manual",ROUND(SUMPRODUCT((CÁLCULO!$M$15:$M$191=EVENTOS!$C45)*(OFFSET(CÁLCULO!$AI$15:$AI$191,0,L$13))),2),0)</f>
        <v>0</v>
      </c>
      <c r="M45" s="620" cm="1">
        <f t="array" aca="1" ref="M45" ca="1">IF(AUTOEVENTO="Manual",ROUND(SUMPRODUCT((CÁLCULO!$M$15:$M$191=EVENTOS!$C45)*(OFFSET(CÁLCULO!$AI$15:$AI$191,0,M$13))),2),0)</f>
        <v>0</v>
      </c>
      <c r="N45" s="620" cm="1">
        <f t="array" aca="1" ref="N45" ca="1">IF(AUTOEVENTO="Manual",ROUND(SUMPRODUCT((CÁLCULO!$M$15:$M$191=EVENTOS!$C45)*(OFFSET(CÁLCULO!$AI$15:$AI$191,0,N$13))),2),0)</f>
        <v>0</v>
      </c>
      <c r="O45" s="620" cm="1">
        <f t="array" aca="1" ref="O45" ca="1">IF(AUTOEVENTO="Manual",ROUND(SUMPRODUCT((CÁLCULO!$M$15:$M$191=EVENTOS!$C45)*(OFFSET(CÁLCULO!$AI$15:$AI$191,0,O$13))),2),0)</f>
        <v>0</v>
      </c>
      <c r="P45" s="620" cm="1">
        <f t="array" aca="1" ref="P45" ca="1">IF(AUTOEVENTO="Manual",ROUND(SUMPRODUCT((CÁLCULO!$M$15:$M$191=EVENTOS!$C45)*(OFFSET(CÁLCULO!$AI$15:$AI$191,0,P$13))),2),0)</f>
        <v>0</v>
      </c>
      <c r="Q45" s="620" cm="1">
        <f t="array" aca="1" ref="Q45" ca="1">IF(AUTOEVENTO="Manual",ROUND(SUMPRODUCT((CÁLCULO!$M$15:$M$191=EVENTOS!$C45)*(OFFSET(CÁLCULO!$AI$15:$AI$191,0,Q$13))),2),0)</f>
        <v>0</v>
      </c>
      <c r="R45" s="620" cm="1">
        <f t="array" aca="1" ref="R45" ca="1">IF(AUTOEVENTO="Manual",ROUND(SUMPRODUCT((CÁLCULO!$M$15:$M$191=EVENTOS!$C45)*(OFFSET(CÁLCULO!$AI$15:$AI$191,0,R$13))),2),0)</f>
        <v>0</v>
      </c>
      <c r="S45" s="620" cm="1">
        <f t="array" aca="1" ref="S45" ca="1">IF(AUTOEVENTO="Manual",ROUND(SUMPRODUCT((CÁLCULO!$M$15:$M$191=EVENTOS!$C45)*(OFFSET(CÁLCULO!$AI$15:$AI$191,0,S$13))),2),0)</f>
        <v>0</v>
      </c>
      <c r="T45" s="620" cm="1">
        <f t="array" aca="1" ref="T45" ca="1">IF(AUTOEVENTO="Manual",ROUND(SUMPRODUCT((CÁLCULO!$M$15:$M$191=EVENTOS!$C45)*(OFFSET(CÁLCULO!$AI$15:$AI$191,0,T$13))),2),0)</f>
        <v>0</v>
      </c>
      <c r="U45" s="620" cm="1">
        <f t="array" aca="1" ref="U45" ca="1">IF(AUTOEVENTO="Manual",ROUND(SUMPRODUCT((CÁLCULO!$M$15:$M$191=EVENTOS!$C45)*(OFFSET(CÁLCULO!$AI$15:$AI$191,0,U$13))),2),0)</f>
        <v>0</v>
      </c>
      <c r="V45" s="620" cm="1">
        <f t="array" aca="1" ref="V45" ca="1">IF(AUTOEVENTO="Manual",ROUND(SUMPRODUCT((CÁLCULO!$M$15:$M$191=EVENTOS!$C45)*(OFFSET(CÁLCULO!$AI$15:$AI$191,0,V$13))),2),0)</f>
        <v>0</v>
      </c>
      <c r="W45" s="620" cm="1">
        <f t="array" aca="1" ref="W45" ca="1">IF(AUTOEVENTO="Manual",ROUND(SUMPRODUCT((CÁLCULO!$M$15:$M$191=EVENTOS!$C45)*(OFFSET(CÁLCULO!$AI$15:$AI$191,0,W$13))),2),0)</f>
        <v>0</v>
      </c>
      <c r="X45" s="620" cm="1">
        <f t="array" aca="1" ref="X45" ca="1">IF(AUTOEVENTO="Manual",ROUND(SUMPRODUCT((CÁLCULO!$M$15:$M$191=EVENTOS!$C45)*(OFFSET(CÁLCULO!$AI$15:$AI$191,0,X$13))),2),0)</f>
        <v>0</v>
      </c>
      <c r="Y45" s="620" cm="1">
        <f t="array" aca="1" ref="Y45" ca="1">IF(AUTOEVENTO="Manual",ROUND(SUMPRODUCT((CÁLCULO!$M$15:$M$191=EVENTOS!$C45)*(OFFSET(CÁLCULO!$AI$15:$AI$191,0,Y$13))),2),0)</f>
        <v>0</v>
      </c>
    </row>
    <row r="46" spans="1:25" ht="5.0999999999999996" customHeight="1" x14ac:dyDescent="0.2">
      <c r="A46" s="506" t="s">
        <v>536</v>
      </c>
      <c r="C46" s="629"/>
      <c r="D46" s="630"/>
      <c r="E46" s="631"/>
      <c r="F46" s="184"/>
      <c r="G46" s="631"/>
      <c r="H46" s="631"/>
      <c r="I46" s="631"/>
      <c r="J46" s="631"/>
      <c r="K46" s="631"/>
      <c r="L46" s="631"/>
      <c r="M46" s="631"/>
      <c r="N46" s="631"/>
      <c r="O46" s="631"/>
      <c r="P46" s="631"/>
      <c r="Q46" s="631"/>
      <c r="R46" s="631"/>
      <c r="S46" s="631"/>
      <c r="T46" s="631"/>
      <c r="U46" s="631"/>
      <c r="V46" s="631"/>
      <c r="W46" s="631"/>
      <c r="X46" s="631"/>
      <c r="Y46" s="631"/>
    </row>
    <row r="47" spans="1:25" x14ac:dyDescent="0.2">
      <c r="A47" s="506" t="s">
        <v>536</v>
      </c>
    </row>
    <row r="48" spans="1:25" x14ac:dyDescent="0.2">
      <c r="A48" s="506" t="s">
        <v>536</v>
      </c>
    </row>
    <row r="49" spans="1:25" ht="15" x14ac:dyDescent="0.2">
      <c r="A49" s="506" t="s">
        <v>536</v>
      </c>
      <c r="D49" s="493" t="str">
        <f>Import.Município</f>
        <v>BOA ESPERANÇA</v>
      </c>
      <c r="L49" s="460"/>
      <c r="M49" s="417"/>
      <c r="N49" s="417"/>
      <c r="O49" s="417"/>
      <c r="V49" s="460"/>
      <c r="W49" s="417"/>
      <c r="X49" s="417"/>
      <c r="Y49" s="417"/>
    </row>
    <row r="50" spans="1:25" x14ac:dyDescent="0.2">
      <c r="A50" s="506" t="s">
        <v>536</v>
      </c>
      <c r="D50" s="9" t="s">
        <v>693</v>
      </c>
      <c r="H50" s="544"/>
      <c r="I50" s="544"/>
      <c r="J50" s="544"/>
      <c r="L50" s="181" t="s">
        <v>696</v>
      </c>
      <c r="V50" s="181" t="s">
        <v>696</v>
      </c>
    </row>
    <row r="51" spans="1:25" x14ac:dyDescent="0.2">
      <c r="A51" s="506" t="s">
        <v>536</v>
      </c>
      <c r="H51" s="544"/>
      <c r="I51" s="544"/>
      <c r="J51" s="544"/>
      <c r="L51" s="398" t="str">
        <f t="array" aca="1" ref="L51:L53" ca="1">OFFSET(Import.RespOrçamento,0,-1) &amp; " " &amp; Import.RespOrçamento</f>
        <v>Nome: LAIZ MOSCARDINI CRUZ NASCIMENTO</v>
      </c>
      <c r="V51" s="398" t="str">
        <f t="array" aca="1" ref="V51:V53" ca="1">OFFSET(Import.RespOrçamento,0,-1) &amp; " " &amp; Import.RespOrçamento</f>
        <v>Nome: LAIZ MOSCARDINI CRUZ NASCIMENTO</v>
      </c>
    </row>
    <row r="52" spans="1:25" x14ac:dyDescent="0.2">
      <c r="A52" s="506" t="s">
        <v>536</v>
      </c>
      <c r="D52" s="494">
        <f>DADOS!$C$25</f>
        <v>46106</v>
      </c>
      <c r="L52" s="398" t="str">
        <f ca="1"/>
        <v>CREA/CAU: 283596/D</v>
      </c>
      <c r="V52" s="398" t="str">
        <f ca="1"/>
        <v>CREA/CAU: 283596/D</v>
      </c>
    </row>
    <row r="53" spans="1:25" x14ac:dyDescent="0.2">
      <c r="A53" s="506" t="s">
        <v>536</v>
      </c>
      <c r="D53" s="9" t="s">
        <v>694</v>
      </c>
      <c r="L53" s="398" t="str">
        <f ca="1"/>
        <v>ART/RRT: MG20232488275</v>
      </c>
      <c r="V53" s="398" t="str">
        <f ca="1"/>
        <v>ART/RRT: MG20232488275</v>
      </c>
    </row>
  </sheetData>
  <sheetProtection algorithmName="SHA-512" hashValue="h+v474kp4nLj6vLTelCQbXuOh+IeA2u+9Vj8P3xaMP0mrSA+jPE4vYNeYDDXKIPWF+nZAPBUJlylUzt61PNUhA==" saltValue="DmHKukLPvDlgvucjwGUW2g==" spinCount="100000" sheet="1" objects="1" scenarios="1"/>
  <autoFilter ref="A13:A53" xr:uid="{00000000-0001-0000-0600-000000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46">
    <cfRule type="expression" dxfId="725" priority="7" stopIfTrue="1">
      <formula>OR(AUTOEVENTO&lt;&gt;"Manual",ACOMPANHAMENTO="BM",C$10=0,C$13=0,$C1=" ")</formula>
    </cfRule>
  </conditionalFormatting>
  <conditionalFormatting sqref="A15 C15:XFD15">
    <cfRule type="expression" dxfId="724" priority="157">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CN65459"/>
  <sheetViews>
    <sheetView showGridLines="0" zoomScale="80" zoomScaleNormal="80" zoomScaleSheetLayoutView="90" workbookViewId="0">
      <pane xSplit="8" ySplit="15" topLeftCell="N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34" width="11.5703125" style="739" customWidth="1"/>
    <col min="35" max="45" width="9.140625" hidden="1" customWidth="1"/>
    <col min="46" max="53" width="9.140625" style="739" hidden="1" customWidth="1"/>
    <col min="54" max="64" width="9.140625" hidden="1" customWidth="1"/>
    <col min="65" max="72" width="9.140625" style="739" hidden="1" customWidth="1"/>
    <col min="73" max="83" width="9.140625" hidden="1" customWidth="1"/>
    <col min="84" max="91" width="9.140625" style="739" hidden="1" customWidth="1"/>
    <col min="92" max="92" width="1.5703125" hidden="1" customWidth="1"/>
  </cols>
  <sheetData>
    <row r="1" spans="1:91" ht="12.75" hidden="1" customHeight="1" x14ac:dyDescent="0.2">
      <c r="M1" s="7">
        <f ca="1">SUM(OFFSET(CÁLCULO!$P$1,0,1):OFFSET(CÁLCULO!$AI$1,0,-1))</f>
        <v>11</v>
      </c>
      <c r="O1" s="632" cm="1">
        <f t="array" ref="O1">IF(OR(ACOMPANHAMENTO="BM",N1=0,O12=""),0,1)</f>
        <v>0</v>
      </c>
      <c r="P1" t="s">
        <v>764</v>
      </c>
      <c r="Q1" s="632" cm="1">
        <f t="array" ref="Q1">IF(OR(ACOMPANHAMENTO="BM",P1=0,Q12=""),0,1)</f>
        <v>1</v>
      </c>
      <c r="R1" s="632" cm="1">
        <f t="array" ref="R1">IF(OR(ACOMPANHAMENTO="BM",Q1=0,R12=""),0,1)</f>
        <v>1</v>
      </c>
      <c r="S1" s="632" cm="1">
        <f t="array" ref="S1">IF(OR(ACOMPANHAMENTO="BM",R1=0,S12=""),0,1)</f>
        <v>1</v>
      </c>
      <c r="T1" s="632" cm="1">
        <f t="array" ref="T1">IF(OR(ACOMPANHAMENTO="BM",S1=0,T12=""),0,1)</f>
        <v>1</v>
      </c>
      <c r="U1" s="632" cm="1">
        <f t="array" ref="U1">IF(OR(ACOMPANHAMENTO="BM",T1=0,U12=""),0,1)</f>
        <v>1</v>
      </c>
      <c r="V1" s="632" cm="1">
        <f t="array" ref="V1">IF(OR(ACOMPANHAMENTO="BM",U1=0,V12=""),0,1)</f>
        <v>1</v>
      </c>
      <c r="W1" s="632" cm="1">
        <f t="array" ref="W1">IF(OR(ACOMPANHAMENTO="BM",V1=0,W12=""),0,1)</f>
        <v>1</v>
      </c>
      <c r="X1" s="632" cm="1">
        <f t="array" ref="X1">IF(OR(ACOMPANHAMENTO="BM",W1=0,X12=""),0,1)</f>
        <v>1</v>
      </c>
      <c r="Y1" s="632" cm="1">
        <f t="array" ref="Y1">IF(OR(ACOMPANHAMENTO="BM",X1=0,Y12=""),0,1)</f>
        <v>1</v>
      </c>
      <c r="Z1" s="632" cm="1">
        <f t="array" ref="Z1">IF(OR(ACOMPANHAMENTO="BM",Y1=0,Z12=""),0,1)</f>
        <v>1</v>
      </c>
      <c r="AA1" s="632" cm="1">
        <f t="array" ref="AA1">IF(OR(ACOMPANHAMENTO="BM",Z1=0,AA12=""),0,1)</f>
        <v>1</v>
      </c>
      <c r="AB1" s="632" cm="1">
        <f t="array" ref="AB1">IF(OR(ACOMPANHAMENTO="BM",AA1=0,AB12=""),0,1)</f>
        <v>0</v>
      </c>
      <c r="AC1" s="632" cm="1">
        <f t="array" ref="AC1">IF(OR(ACOMPANHAMENTO="BM",AB1=0,AC12=""),0,1)</f>
        <v>0</v>
      </c>
      <c r="AD1" s="632" cm="1">
        <f t="array" ref="AD1">IF(OR(ACOMPANHAMENTO="BM",AC1=0,AD12=""),0,1)</f>
        <v>0</v>
      </c>
      <c r="AE1" s="632" cm="1">
        <f t="array" ref="AE1">IF(OR(ACOMPANHAMENTO="BM",AD1=0,AE12=""),0,1)</f>
        <v>0</v>
      </c>
      <c r="AF1" s="632" cm="1">
        <f t="array" ref="AF1">IF(OR(ACOMPANHAMENTO="BM",AE1=0,AF12=""),0,1)</f>
        <v>0</v>
      </c>
      <c r="AG1" s="632" cm="1">
        <f t="array" ref="AG1">IF(OR(ACOMPANHAMENTO="BM",AF1=0,AG12=""),0,1)</f>
        <v>0</v>
      </c>
      <c r="AH1" s="632" cm="1">
        <f t="array" ref="AH1">IF(OR(ACOMPANHAMENTO="BM",AG1=0,AH12=""),0,1)</f>
        <v>0</v>
      </c>
      <c r="AJ1" t="s">
        <v>765</v>
      </c>
      <c r="BC1" t="s">
        <v>766</v>
      </c>
      <c r="BV1" t="s">
        <v>767</v>
      </c>
    </row>
    <row r="2" spans="1:91" ht="12.75" hidden="1" customHeight="1" x14ac:dyDescent="0.2"/>
    <row r="3" spans="1:91" ht="12.75" hidden="1" customHeight="1" x14ac:dyDescent="0.2"/>
    <row r="4" spans="1:91" ht="12.75" hidden="1" customHeight="1" x14ac:dyDescent="0.2"/>
    <row r="5" spans="1:91" ht="12.75" hidden="1" customHeight="1" x14ac:dyDescent="0.2"/>
    <row r="6" spans="1:91" ht="15.75" customHeight="1" x14ac:dyDescent="0.2">
      <c r="F6" s="813" t="str" cm="1">
        <f t="array" ref="F6">IF(ACOMPANHAMENTO="BM","MEMÓRIA DE CÁLCULO","PLQ - PLANILHA DE LEVANTAMENTO DE QUANTIDADES")</f>
        <v>PLQ - PLANILHA DE LEVANTAMENTO DE QUANTIDADES</v>
      </c>
      <c r="G6" s="813"/>
      <c r="H6" s="813"/>
      <c r="I6" s="141"/>
      <c r="K6" s="141"/>
      <c r="L6" s="141"/>
      <c r="M6" s="142"/>
      <c r="N6" s="141"/>
      <c r="P6" s="141"/>
      <c r="Q6" s="814" t="s">
        <v>644</v>
      </c>
      <c r="R6" s="815"/>
      <c r="Y6" s="781" t="s">
        <v>644</v>
      </c>
      <c r="Z6" s="781"/>
      <c r="AG6" s="781" t="s">
        <v>644</v>
      </c>
      <c r="AH6" s="781"/>
    </row>
    <row r="7" spans="1:91" ht="15" customHeight="1" x14ac:dyDescent="0.2">
      <c r="F7" s="816" t="str" cm="1">
        <f t="array" ref="F7">IF(ACOMPANHAMENTO="BM","","Memória de Cálculo")&amp;" - "&amp;import.recurso</f>
        <v>Memória de Cálculo - OGU</v>
      </c>
      <c r="G7" s="816"/>
      <c r="H7" s="816"/>
      <c r="I7" s="143"/>
      <c r="K7" s="143"/>
      <c r="L7" s="143"/>
      <c r="M7" s="144"/>
      <c r="N7" s="143"/>
      <c r="P7" s="143"/>
      <c r="Q7" s="817" t="s">
        <v>647</v>
      </c>
      <c r="R7" s="818"/>
      <c r="Y7" s="782" t="s">
        <v>647</v>
      </c>
      <c r="Z7" s="782"/>
      <c r="AG7" s="782" t="s">
        <v>647</v>
      </c>
      <c r="AH7" s="782"/>
    </row>
    <row r="8" spans="1:91" ht="12.75" customHeight="1" x14ac:dyDescent="0.2">
      <c r="AM8" s="476"/>
      <c r="AU8" s="476"/>
    </row>
    <row r="9" spans="1:91" ht="12.75" customHeight="1" x14ac:dyDescent="0.2">
      <c r="E9" s="777" t="s">
        <v>708</v>
      </c>
      <c r="F9" s="777"/>
      <c r="G9" s="777" t="s">
        <v>707</v>
      </c>
      <c r="H9" s="777"/>
      <c r="I9" s="87" t="s">
        <v>650</v>
      </c>
      <c r="K9" s="145" t="s">
        <v>652</v>
      </c>
      <c r="L9" s="146"/>
      <c r="M9" s="146"/>
      <c r="N9" s="146"/>
      <c r="O9" s="146"/>
      <c r="P9" s="146"/>
      <c r="Q9" s="146"/>
      <c r="R9" s="147"/>
      <c r="S9" s="777" t="s">
        <v>650</v>
      </c>
      <c r="T9" s="777"/>
      <c r="U9" s="777" t="s">
        <v>652</v>
      </c>
      <c r="V9" s="777"/>
      <c r="W9" s="777"/>
      <c r="X9" s="777"/>
      <c r="Y9" s="777"/>
      <c r="Z9" s="777"/>
      <c r="AA9" s="777" t="s">
        <v>650</v>
      </c>
      <c r="AB9" s="777"/>
      <c r="AC9" s="777" t="s">
        <v>652</v>
      </c>
      <c r="AD9" s="777"/>
      <c r="AE9" s="777"/>
      <c r="AF9" s="777"/>
      <c r="AG9" s="777"/>
      <c r="AH9" s="777"/>
    </row>
    <row r="10" spans="1:91" ht="12.75" customHeight="1" x14ac:dyDescent="0.2">
      <c r="A10" s="601" t="s">
        <v>768</v>
      </c>
      <c r="E10" s="780" t="str">
        <f>Import.Apelido</f>
        <v>AMPLIAÇÃO NO SISTEMA DE ÁGUA- BAIRRO NOVA ESPERANÇA</v>
      </c>
      <c r="F10" s="780"/>
      <c r="G10" s="780" t="str" cm="1">
        <f t="array" ref="G10">Import.TransfereGOV</f>
        <v>27488/2025</v>
      </c>
      <c r="H10" s="780"/>
      <c r="I10" s="90" t="str">
        <f>Import.CR</f>
        <v>56000000966/2023</v>
      </c>
      <c r="K10" s="148" t="str">
        <f>Import.Proponente</f>
        <v>MUNICIPIO DE BOA ESPERANCA</v>
      </c>
      <c r="L10" s="149"/>
      <c r="M10" s="100"/>
      <c r="N10" s="149"/>
      <c r="O10" s="149"/>
      <c r="P10" s="149"/>
      <c r="Q10" s="149"/>
      <c r="R10" s="91"/>
      <c r="S10" s="780" t="str">
        <f>Import.CR</f>
        <v>56000000966/2023</v>
      </c>
      <c r="T10" s="780"/>
      <c r="U10" s="780" t="str">
        <f>Import.Proponente</f>
        <v>MUNICIPIO DE BOA ESPERANCA</v>
      </c>
      <c r="V10" s="780"/>
      <c r="W10" s="780"/>
      <c r="X10" s="780"/>
      <c r="Y10" s="780"/>
      <c r="Z10" s="780"/>
      <c r="AA10" s="780" t="str">
        <f>Import.CR</f>
        <v>56000000966/2023</v>
      </c>
      <c r="AB10" s="780"/>
      <c r="AC10" s="780" t="str">
        <f>Import.Proponente</f>
        <v>MUNICIPIO DE BOA ESPERANCA</v>
      </c>
      <c r="AD10" s="780"/>
      <c r="AE10" s="780"/>
      <c r="AF10" s="780"/>
      <c r="AG10" s="780"/>
      <c r="AH10" s="780"/>
    </row>
    <row r="11" spans="1:91" ht="15" customHeight="1" x14ac:dyDescent="0.2">
      <c r="A11" s="450" t="str">
        <f>IF(AND(Import.TipoArredondamento="Tradicional",AUTOEVENTO="Manual"),"Automática",IF(CRONOPLE!$B$8="","Sem Adm","Manual"))</f>
        <v>Manual</v>
      </c>
      <c r="F11" s="567" t="str">
        <f ca="1">IF(AND(ACOMPANHAMENTO="PLE",ISERROR(AUTOEVENTO)),"Selecione a forma de definição dos agrupadores de eventos na aba EVENTOS",
  IF(AND(ACOMPANHAMENTO="PLE",CÁLCULO.FrentesPreenchidas=0),"Preencher os nomes das Frentes de Obra",
  IF(COUNTIF($J$15:$J$191,"►E")&gt;0,"Não pode haver serviços sem agrupador de eventos",
  IF(COUNTIF($P$11:$AI$11,"▼")&gt;0,"Não pode haver frentes de obra sem quantidades",
  IF(COUNTIF($P$11:$AI$11,"Nome &gt;100")&gt;0,"Nome da frente de obra com mais de 100 caracteres","")))))</f>
        <v/>
      </c>
      <c r="N11" s="573" t="str">
        <f ca="1">IF(OR(COUNTIF($J$15:$J$191,"►E")&gt;0,COUNTIF($J$15:$J$191,"►Q")&gt;0),"",
IF(COUNTIF($J$15:$J$191,"►S")&gt;0,"Preencha as quantidades com no máximo duas casas decimais",
IF(COUNTIF($P$11:$AI$11,"▼")&gt;0,"Falta preencher a frente de obra nº " &amp; HLOOKUP("▼",$P$11:$AI$13,3,FALSE),
IF(COUNTIF($P$11:$AI$11,"Nome &gt;100")&gt;0,"Resuma o nome da frente de obra nº " &amp; HLOOKUP("Nome &gt;100",$P$11:$AI$13,3,FALSE),""))))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c r="AA11" s="566" t="str">
        <f t="shared" ref="AA11:AH11" ca="1" si="1">IF(AND(AA1=1,AA15=0),"▼",IF(AND(AA1=1,LEN(AA12)&gt;100),"Nome &gt;100",""))</f>
        <v/>
      </c>
      <c r="AB11" s="566" t="str">
        <f t="shared" ca="1" si="1"/>
        <v/>
      </c>
      <c r="AC11" s="566" t="str">
        <f t="shared" ca="1" si="1"/>
        <v/>
      </c>
      <c r="AD11" s="566" t="str">
        <f t="shared" ca="1" si="1"/>
        <v/>
      </c>
      <c r="AE11" s="566" t="str">
        <f t="shared" ca="1" si="1"/>
        <v/>
      </c>
      <c r="AF11" s="566" t="str">
        <f t="shared" ca="1" si="1"/>
        <v/>
      </c>
      <c r="AG11" s="566" t="str">
        <f t="shared" ca="1" si="1"/>
        <v/>
      </c>
      <c r="AH11" s="566" t="str">
        <f t="shared" ca="1" si="1"/>
        <v/>
      </c>
    </row>
    <row r="12" spans="1:91" ht="69.95" customHeight="1" x14ac:dyDescent="0.2">
      <c r="A12" s="599" t="str">
        <f>IF(Import.Eventos.Nível="Definir Manualmente","Manual",MATCH(Import.Eventos.Nível,EVENTOS!$B$6:$B$9,0)+1)</f>
        <v>Manual</v>
      </c>
      <c r="B12" s="7" t="s">
        <v>769</v>
      </c>
      <c r="C12" s="489" t="s">
        <v>655</v>
      </c>
      <c r="H12" s="150"/>
      <c r="I12" s="575" t="str">
        <f ca="1">IF(AND(ACOMPANHAMENTO="PLE",CÁLCULO.FrentesPreenchidas=0),"",
  IF(COUNTIF($J$15:$J$191,"►E")&gt;0,"Falta Definir o Agrupador de Evento na linha "&amp;MATCH("►E",$J$15:$J$191,0)+ROW($J$14),
  IF(COUNTIF($J$15:$J$191,"►Q")&gt;0,"Falta preencher a quantidade do serviço na linha "&amp;MATCH("►Q",$J$15:$J$191,0)+ROW($J$14),
  IF(COUNTIF($J$15:$J$191,"►S")&gt;0,"Verifique as quantidades preenchidas na linha "&amp;MATCH("►S",$J$15:$J$191,0)+ROW($J$14),
  IF(AND(COUNTIF($P$11:$AI$11,"▼")=0,COUNTIF($J$15:$J$191,"◄")&gt;0),"Falta Preencher o Memorial de Cálculo na linha "&amp;MATCH("◄",$J$15:$J$191,0)+ROW($J$14),"")))))</f>
        <v/>
      </c>
      <c r="J12" s="151" t="s">
        <v>764</v>
      </c>
      <c r="K12" s="152" t="s">
        <v>770</v>
      </c>
      <c r="L12" s="151" t="s">
        <v>764</v>
      </c>
      <c r="M12" s="570" cm="1">
        <f t="array" aca="1" ref="M12" ca="1">IF(ACOMPANHAMENTO="BM",0,MAX($M$15:$M$191))</f>
        <v>30</v>
      </c>
      <c r="N12" s="574" t="str">
        <f ca="1">IF(AND(ACOMPANHAMENTO="PLE",CÁLCULO.FrentesPreenchidas=0),"Preencher os nomes das Frentes de Obra ►","FRENTES DE OBRA:")</f>
        <v>FRENTES DE OBRA:</v>
      </c>
      <c r="O12" s="153"/>
      <c r="P12" s="151" t="s">
        <v>764</v>
      </c>
      <c r="Q12" s="452" t="s">
        <v>1267</v>
      </c>
      <c r="R12" s="153" t="s">
        <v>1327</v>
      </c>
      <c r="S12" s="153" t="s">
        <v>1263</v>
      </c>
      <c r="T12" s="520" t="s">
        <v>1271</v>
      </c>
      <c r="U12" s="153" t="s">
        <v>1264</v>
      </c>
      <c r="V12" s="153" t="s">
        <v>1265</v>
      </c>
      <c r="W12" s="153" t="s">
        <v>1266</v>
      </c>
      <c r="X12" s="153" t="s">
        <v>1328</v>
      </c>
      <c r="Y12" s="153" t="s">
        <v>1329</v>
      </c>
      <c r="Z12" s="154" t="s">
        <v>1330</v>
      </c>
      <c r="AA12" s="153" t="s">
        <v>1331</v>
      </c>
      <c r="AB12" s="520"/>
      <c r="AC12" s="153"/>
      <c r="AD12" s="153"/>
      <c r="AE12" s="153"/>
      <c r="AF12" s="153"/>
      <c r="AG12" s="153"/>
      <c r="AH12" s="154"/>
      <c r="AI12" s="151" t="s">
        <v>764</v>
      </c>
      <c r="AJ12" s="155" t="str">
        <f ca="1">IF(OFFSET($P$1,0,AJ$13)=0,0,OFFSET($P$12,0,AJ$13))</f>
        <v>Projetos</v>
      </c>
      <c r="AK12" s="155" t="str">
        <f t="shared" ref="AK12:BA12" ca="1" si="2">IF(OFFSET($P$1,0,AK$13)=0,0,OFFSET($P$12,0,AK$13))</f>
        <v>Geral</v>
      </c>
      <c r="AL12" s="155" t="str">
        <f t="shared" ca="1" si="2"/>
        <v>Reservatório 320m³</v>
      </c>
      <c r="AM12" s="155" t="str">
        <f t="shared" ca="1" si="2"/>
        <v>Muro de divisa</v>
      </c>
      <c r="AN12" s="155" t="str">
        <f t="shared" ca="1" si="2"/>
        <v>Adutora de água tratada</v>
      </c>
      <c r="AO12" s="155" t="str">
        <f t="shared" ca="1" si="2"/>
        <v>Estação Elevatória de água tratada</v>
      </c>
      <c r="AP12" s="155" t="str">
        <f t="shared" ca="1" si="2"/>
        <v>Distribuição de água tratada</v>
      </c>
      <c r="AQ12" s="155" t="str">
        <f t="shared" ca="1" si="2"/>
        <v>Mês 7 de obra</v>
      </c>
      <c r="AR12" s="155" t="str">
        <f t="shared" ca="1" si="2"/>
        <v>Mês 8 de obra</v>
      </c>
      <c r="AS12" s="155" t="str">
        <f t="shared" ca="1" si="2"/>
        <v>Mês 9 de obra</v>
      </c>
      <c r="AT12" s="155" t="str">
        <f t="shared" ca="1" si="2"/>
        <v>Mês 10 de obra</v>
      </c>
      <c r="AU12" s="155">
        <f t="shared" ca="1" si="2"/>
        <v>0</v>
      </c>
      <c r="AV12" s="155">
        <f t="shared" ca="1" si="2"/>
        <v>0</v>
      </c>
      <c r="AW12" s="155">
        <f t="shared" ca="1" si="2"/>
        <v>0</v>
      </c>
      <c r="AX12" s="155">
        <f t="shared" ca="1" si="2"/>
        <v>0</v>
      </c>
      <c r="AY12" s="155">
        <f t="shared" ca="1" si="2"/>
        <v>0</v>
      </c>
      <c r="AZ12" s="155">
        <f t="shared" ca="1" si="2"/>
        <v>0</v>
      </c>
      <c r="BA12" s="155">
        <f t="shared" ca="1" si="2"/>
        <v>0</v>
      </c>
      <c r="BC12" s="155" t="str">
        <f t="shared" ref="BC12:CM12" ca="1" si="3">IF(OFFSET($P$1,0,BC$13)=0,0,OFFSET($P$12,0,BC$13))</f>
        <v>Projetos</v>
      </c>
      <c r="BD12" s="156" t="str">
        <f t="shared" ca="1" si="3"/>
        <v>Geral</v>
      </c>
      <c r="BE12" s="156" t="str">
        <f t="shared" ca="1" si="3"/>
        <v>Reservatório 320m³</v>
      </c>
      <c r="BF12" s="156" t="str">
        <f t="shared" ca="1" si="3"/>
        <v>Muro de divisa</v>
      </c>
      <c r="BG12" s="156" t="str">
        <f t="shared" ca="1" si="3"/>
        <v>Adutora de água tratada</v>
      </c>
      <c r="BH12" s="156" t="str">
        <f t="shared" ca="1" si="3"/>
        <v>Estação Elevatória de água tratada</v>
      </c>
      <c r="BI12" s="156" t="str">
        <f t="shared" ca="1" si="3"/>
        <v>Distribuição de água tratada</v>
      </c>
      <c r="BJ12" s="156" t="str">
        <f t="shared" ca="1" si="3"/>
        <v>Mês 7 de obra</v>
      </c>
      <c r="BK12" s="156" t="str">
        <f t="shared" ca="1" si="3"/>
        <v>Mês 8 de obra</v>
      </c>
      <c r="BL12" s="157" t="str">
        <f t="shared" ca="1" si="3"/>
        <v>Mês 9 de obra</v>
      </c>
      <c r="BM12" s="156" t="str">
        <f t="shared" ca="1" si="3"/>
        <v>Mês 10 de obra</v>
      </c>
      <c r="BN12" s="156">
        <f t="shared" ca="1" si="3"/>
        <v>0</v>
      </c>
      <c r="BO12" s="156">
        <f t="shared" ca="1" si="3"/>
        <v>0</v>
      </c>
      <c r="BP12" s="156">
        <f t="shared" ca="1" si="3"/>
        <v>0</v>
      </c>
      <c r="BQ12" s="156">
        <f t="shared" ca="1" si="3"/>
        <v>0</v>
      </c>
      <c r="BR12" s="156">
        <f t="shared" ca="1" si="3"/>
        <v>0</v>
      </c>
      <c r="BS12" s="156">
        <f t="shared" ca="1" si="3"/>
        <v>0</v>
      </c>
      <c r="BT12" s="157">
        <f t="shared" ca="1" si="3"/>
        <v>0</v>
      </c>
      <c r="BV12" s="155" t="str">
        <f t="shared" ca="1" si="3"/>
        <v>Projetos</v>
      </c>
      <c r="BW12" s="156" t="str">
        <f t="shared" ca="1" si="3"/>
        <v>Geral</v>
      </c>
      <c r="BX12" s="156" t="str">
        <f t="shared" ca="1" si="3"/>
        <v>Reservatório 320m³</v>
      </c>
      <c r="BY12" s="156" t="str">
        <f t="shared" ca="1" si="3"/>
        <v>Muro de divisa</v>
      </c>
      <c r="BZ12" s="156" t="str">
        <f t="shared" ca="1" si="3"/>
        <v>Adutora de água tratada</v>
      </c>
      <c r="CA12" s="156" t="str">
        <f t="shared" ca="1" si="3"/>
        <v>Estação Elevatória de água tratada</v>
      </c>
      <c r="CB12" s="156" t="str">
        <f t="shared" ca="1" si="3"/>
        <v>Distribuição de água tratada</v>
      </c>
      <c r="CC12" s="156" t="str">
        <f t="shared" ca="1" si="3"/>
        <v>Mês 7 de obra</v>
      </c>
      <c r="CD12" s="156" t="str">
        <f t="shared" ca="1" si="3"/>
        <v>Mês 8 de obra</v>
      </c>
      <c r="CE12" s="157" t="str">
        <f t="shared" ca="1" si="3"/>
        <v>Mês 9 de obra</v>
      </c>
      <c r="CF12" s="156" t="str">
        <f t="shared" ca="1" si="3"/>
        <v>Mês 10 de obra</v>
      </c>
      <c r="CG12" s="156">
        <f t="shared" ca="1" si="3"/>
        <v>0</v>
      </c>
      <c r="CH12" s="156">
        <f t="shared" ca="1" si="3"/>
        <v>0</v>
      </c>
      <c r="CI12" s="156">
        <f t="shared" ca="1" si="3"/>
        <v>0</v>
      </c>
      <c r="CJ12" s="156">
        <f t="shared" ca="1" si="3"/>
        <v>0</v>
      </c>
      <c r="CK12" s="156">
        <f t="shared" ca="1" si="3"/>
        <v>0</v>
      </c>
      <c r="CL12" s="156">
        <f t="shared" ca="1" si="3"/>
        <v>0</v>
      </c>
      <c r="CM12" s="157">
        <f t="shared" ca="1" si="3"/>
        <v>0</v>
      </c>
    </row>
    <row r="13" spans="1:91"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AH13" ca="1" si="4">OFFSET(Q13,0,-1)+1</f>
        <v>1</v>
      </c>
      <c r="R13" s="158">
        <f t="shared" ca="1" si="4"/>
        <v>2</v>
      </c>
      <c r="S13" s="158">
        <f t="shared" ca="1" si="4"/>
        <v>3</v>
      </c>
      <c r="T13" s="158">
        <f t="shared" ca="1" si="4"/>
        <v>4</v>
      </c>
      <c r="U13" s="158">
        <f t="shared" ca="1" si="4"/>
        <v>5</v>
      </c>
      <c r="V13" s="158">
        <f t="shared" ca="1" si="4"/>
        <v>6</v>
      </c>
      <c r="W13" s="158">
        <f t="shared" ca="1" si="4"/>
        <v>7</v>
      </c>
      <c r="X13" s="158">
        <f t="shared" ca="1" si="4"/>
        <v>8</v>
      </c>
      <c r="Y13" s="158">
        <f t="shared" ca="1" si="4"/>
        <v>9</v>
      </c>
      <c r="Z13" s="160">
        <f t="shared" ca="1" si="4"/>
        <v>10</v>
      </c>
      <c r="AA13" s="158">
        <f t="shared" ca="1" si="4"/>
        <v>11</v>
      </c>
      <c r="AB13" s="158">
        <f t="shared" ca="1" si="4"/>
        <v>12</v>
      </c>
      <c r="AC13" s="158">
        <f t="shared" ca="1" si="4"/>
        <v>13</v>
      </c>
      <c r="AD13" s="158">
        <f t="shared" ca="1" si="4"/>
        <v>14</v>
      </c>
      <c r="AE13" s="158">
        <f t="shared" ca="1" si="4"/>
        <v>15</v>
      </c>
      <c r="AF13" s="158">
        <f t="shared" ca="1" si="4"/>
        <v>16</v>
      </c>
      <c r="AG13" s="158">
        <f t="shared" ca="1" si="4"/>
        <v>17</v>
      </c>
      <c r="AH13" s="160">
        <f t="shared" ca="1" si="4"/>
        <v>18</v>
      </c>
      <c r="AJ13" s="113">
        <f t="shared" ref="AJ13:CM13" ca="1" si="5">OFFSET(AJ13,0,-1)+1</f>
        <v>1</v>
      </c>
      <c r="AK13" s="161">
        <f t="shared" ca="1" si="5"/>
        <v>2</v>
      </c>
      <c r="AL13" s="161">
        <f t="shared" ca="1" si="5"/>
        <v>3</v>
      </c>
      <c r="AM13" s="161">
        <f t="shared" ca="1" si="5"/>
        <v>4</v>
      </c>
      <c r="AN13" s="161">
        <f t="shared" ca="1" si="5"/>
        <v>5</v>
      </c>
      <c r="AO13" s="161">
        <f t="shared" ca="1" si="5"/>
        <v>6</v>
      </c>
      <c r="AP13" s="161">
        <f t="shared" ca="1" si="5"/>
        <v>7</v>
      </c>
      <c r="AQ13" s="161">
        <f t="shared" ca="1" si="5"/>
        <v>8</v>
      </c>
      <c r="AR13" s="161">
        <f t="shared" ca="1" si="5"/>
        <v>9</v>
      </c>
      <c r="AS13" s="162">
        <f t="shared" ca="1" si="5"/>
        <v>10</v>
      </c>
      <c r="AT13" s="161">
        <f t="shared" ca="1" si="5"/>
        <v>11</v>
      </c>
      <c r="AU13" s="161">
        <f t="shared" ca="1" si="5"/>
        <v>12</v>
      </c>
      <c r="AV13" s="161">
        <f t="shared" ca="1" si="5"/>
        <v>13</v>
      </c>
      <c r="AW13" s="161">
        <f t="shared" ca="1" si="5"/>
        <v>14</v>
      </c>
      <c r="AX13" s="161">
        <f t="shared" ca="1" si="5"/>
        <v>15</v>
      </c>
      <c r="AY13" s="161">
        <f t="shared" ca="1" si="5"/>
        <v>16</v>
      </c>
      <c r="AZ13" s="161">
        <f t="shared" ca="1" si="5"/>
        <v>17</v>
      </c>
      <c r="BA13" s="162">
        <f t="shared" ca="1" si="5"/>
        <v>18</v>
      </c>
      <c r="BC13" s="113">
        <f t="shared" ca="1" si="5"/>
        <v>1</v>
      </c>
      <c r="BD13" s="161">
        <f t="shared" ca="1" si="5"/>
        <v>2</v>
      </c>
      <c r="BE13" s="161">
        <f t="shared" ca="1" si="5"/>
        <v>3</v>
      </c>
      <c r="BF13" s="161">
        <f t="shared" ca="1" si="5"/>
        <v>4</v>
      </c>
      <c r="BG13" s="161">
        <f t="shared" ca="1" si="5"/>
        <v>5</v>
      </c>
      <c r="BH13" s="161">
        <f t="shared" ca="1" si="5"/>
        <v>6</v>
      </c>
      <c r="BI13" s="161">
        <f t="shared" ca="1" si="5"/>
        <v>7</v>
      </c>
      <c r="BJ13" s="161">
        <f t="shared" ca="1" si="5"/>
        <v>8</v>
      </c>
      <c r="BK13" s="161">
        <f t="shared" ca="1" si="5"/>
        <v>9</v>
      </c>
      <c r="BL13" s="162">
        <f t="shared" ca="1" si="5"/>
        <v>10</v>
      </c>
      <c r="BM13" s="161">
        <f t="shared" ca="1" si="5"/>
        <v>11</v>
      </c>
      <c r="BN13" s="161">
        <f t="shared" ca="1" si="5"/>
        <v>12</v>
      </c>
      <c r="BO13" s="161">
        <f t="shared" ca="1" si="5"/>
        <v>13</v>
      </c>
      <c r="BP13" s="161">
        <f t="shared" ca="1" si="5"/>
        <v>14</v>
      </c>
      <c r="BQ13" s="161">
        <f t="shared" ca="1" si="5"/>
        <v>15</v>
      </c>
      <c r="BR13" s="161">
        <f t="shared" ca="1" si="5"/>
        <v>16</v>
      </c>
      <c r="BS13" s="161">
        <f t="shared" ca="1" si="5"/>
        <v>17</v>
      </c>
      <c r="BT13" s="162">
        <f t="shared" ca="1" si="5"/>
        <v>18</v>
      </c>
      <c r="BV13" s="113">
        <f t="shared" ca="1" si="5"/>
        <v>1</v>
      </c>
      <c r="BW13" s="161">
        <f t="shared" ca="1" si="5"/>
        <v>2</v>
      </c>
      <c r="BX13" s="161">
        <f t="shared" ca="1" si="5"/>
        <v>3</v>
      </c>
      <c r="BY13" s="161">
        <f t="shared" ca="1" si="5"/>
        <v>4</v>
      </c>
      <c r="BZ13" s="161">
        <f t="shared" ca="1" si="5"/>
        <v>5</v>
      </c>
      <c r="CA13" s="161">
        <f t="shared" ca="1" si="5"/>
        <v>6</v>
      </c>
      <c r="CB13" s="161">
        <f t="shared" ca="1" si="5"/>
        <v>7</v>
      </c>
      <c r="CC13" s="161">
        <f t="shared" ca="1" si="5"/>
        <v>8</v>
      </c>
      <c r="CD13" s="161">
        <f t="shared" ca="1" si="5"/>
        <v>9</v>
      </c>
      <c r="CE13" s="162">
        <f t="shared" ca="1" si="5"/>
        <v>10</v>
      </c>
      <c r="CF13" s="161">
        <f t="shared" ca="1" si="5"/>
        <v>11</v>
      </c>
      <c r="CG13" s="161">
        <f t="shared" ca="1" si="5"/>
        <v>12</v>
      </c>
      <c r="CH13" s="161">
        <f t="shared" ca="1" si="5"/>
        <v>13</v>
      </c>
      <c r="CI13" s="161">
        <f t="shared" ca="1" si="5"/>
        <v>14</v>
      </c>
      <c r="CJ13" s="161">
        <f t="shared" ca="1" si="5"/>
        <v>15</v>
      </c>
      <c r="CK13" s="161">
        <f t="shared" ca="1" si="5"/>
        <v>16</v>
      </c>
      <c r="CL13" s="161">
        <f t="shared" ca="1" si="5"/>
        <v>17</v>
      </c>
      <c r="CM13" s="162">
        <f t="shared" ca="1" si="5"/>
        <v>18</v>
      </c>
    </row>
    <row r="14" spans="1:91" ht="12.75" hidden="1" x14ac:dyDescent="0.2">
      <c r="A14" s="7">
        <f ca="1">IFERROR(IF(AUTOEVENTO="Manual",IF(K14&lt;&gt;"",MIN(VALUE(LEFT(K14,FIND(".",K14)-1)),COUNTA(EVENTOS.Lista)),0),IF(OR($B14&gt;AUTOEVENTO,$B14="S",$B14=0),SUBSTITUTE(OFFSET($A14,-1,0),IF($D14="Serviço",".",""),""),$L14&amp;".")),0)</f>
        <v>0</v>
      </c>
      <c r="B14" s="7">
        <f ca="1">OFFSET(ORÇAMENTO!C$15,$L14,0)</f>
        <v>1</v>
      </c>
      <c r="C14" s="7" t="str">
        <f ca="1">OFFSET(ORÇAMENTO!L$15,$L14,0)</f>
        <v>F</v>
      </c>
      <c r="D14" s="116" t="str">
        <f ca="1">OFFSET(ORÇAMENTO!N$15,$L14,0)</f>
        <v>Meta</v>
      </c>
      <c r="E14" s="117" t="str">
        <f ca="1">OFFSET(ORÇAMENTO!O$15,$L14,0)</f>
        <v>1.</v>
      </c>
      <c r="F14" s="163" t="str">
        <f ca="1">OFFSET(ORÇAMENTO!R$15,$L14,0)</f>
        <v>Ampliação do Sistema de Abastecimento de Água</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I$1=1)*ROUND(Q14:AI14,15))),"►S",IF(AND(COUNTIF($P$11:$AI$11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A14" s="705"/>
      <c r="AB14" s="705"/>
      <c r="AC14" s="705"/>
      <c r="AD14" s="705"/>
      <c r="AE14" s="705"/>
      <c r="AF14" s="705"/>
      <c r="AG14" s="705"/>
      <c r="AH14" s="706"/>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L14" s="453">
        <f ca="1">IF(AND($D14="Serviço",AL$12&lt;&gt;0,$H14&gt;0,OR(AUTOEVENTO&lt;&gt;"manual",$M14&lt;&gt;$A$15)),
        IF(Import.TipoArredondamento&lt;&gt;"TransfereGOV",
              ROUND(OFFSET($P14,0,AL$13),15-13*ORÇAMENTO!$AF$7)/$H14*OFFSET(ORÇAMENTO!$X$15,ROW(AL14)-ROW(AL$15),0),
              ROUND(ROUND(OFFSET($P14,0,AL$13),15-13*ORÇAMENTO!$AF$7)*OFFSET(ORÇAMENTO!$W$15,ROW(AL14)-ROW(AL$15),0),15-13*ORÇAMENTO!$AF$11)),
         0)</f>
        <v>0</v>
      </c>
      <c r="AM14" s="453">
        <f ca="1">IF(AND($D14="Serviço",AM$12&lt;&gt;0,$H14&gt;0,OR(AUTOEVENTO&lt;&gt;"manual",$M14&lt;&gt;$A$15)),
        IF(Import.TipoArredondamento&lt;&gt;"TransfereGOV",
              ROUND(OFFSET($P14,0,AM$13),15-13*ORÇAMENTO!$AF$7)/$H14*OFFSET(ORÇAMENTO!$X$15,ROW(AM14)-ROW(AM$15),0),
              ROUND(ROUND(OFFSET($P14,0,AM$13),15-13*ORÇAMENTO!$AF$7)*OFFSET(ORÇAMENTO!$W$15,ROW(AM14)-ROW(AM$15),0),15-13*ORÇAMENTO!$AF$11)),
         0)</f>
        <v>0</v>
      </c>
      <c r="AN14" s="453">
        <f ca="1">IF(AND($D14="Serviço",AN$12&lt;&gt;0,$H14&gt;0,OR(AUTOEVENTO&lt;&gt;"manual",$M14&lt;&gt;$A$15)),
        IF(Import.TipoArredondamento&lt;&gt;"TransfereGOV",
              ROUND(OFFSET($P14,0,AN$13),15-13*ORÇAMENTO!$AF$7)/$H14*OFFSET(ORÇAMENTO!$X$15,ROW(AN14)-ROW(AN$15),0),
              ROUND(ROUND(OFFSET($P14,0,AN$13),15-13*ORÇAMENTO!$AF$7)*OFFSET(ORÇAMENTO!$W$15,ROW(AN14)-ROW(AN$15),0),15-13*ORÇAMENTO!$AF$11)),
         0)</f>
        <v>0</v>
      </c>
      <c r="AO14" s="453">
        <f ca="1">IF(AND($D14="Serviço",AO$12&lt;&gt;0,$H14&gt;0,OR(AUTOEVENTO&lt;&gt;"manual",$M14&lt;&gt;$A$15)),
        IF(Import.TipoArredondamento&lt;&gt;"TransfereGOV",
              ROUND(OFFSET($P14,0,AO$13),15-13*ORÇAMENTO!$AF$7)/$H14*OFFSET(ORÇAMENTO!$X$15,ROW(AO14)-ROW(AO$15),0),
              ROUND(ROUND(OFFSET($P14,0,AO$13),15-13*ORÇAMENTO!$AF$7)*OFFSET(ORÇAMENTO!$W$15,ROW(AO14)-ROW(AO$15),0),15-13*ORÇAMENTO!$AF$11)),
         0)</f>
        <v>0</v>
      </c>
      <c r="AP14" s="453">
        <f ca="1">IF(AND($D14="Serviço",AP$12&lt;&gt;0,$H14&gt;0,OR(AUTOEVENTO&lt;&gt;"manual",$M14&lt;&gt;$A$15)),
        IF(Import.TipoArredondamento&lt;&gt;"TransfereGOV",
              ROUND(OFFSET($P14,0,AP$13),15-13*ORÇAMENTO!$AF$7)/$H14*OFFSET(ORÇAMENTO!$X$15,ROW(AP14)-ROW(AP$15),0),
              ROUND(ROUND(OFFSET($P14,0,AP$13),15-13*ORÇAMENTO!$AF$7)*OFFSET(ORÇAMENTO!$W$15,ROW(AP14)-ROW(AP$15),0),15-13*ORÇAMENTO!$AF$11)),
         0)</f>
        <v>0</v>
      </c>
      <c r="AQ14" s="453">
        <f ca="1">IF(AND($D14="Serviço",AQ$12&lt;&gt;0,$H14&gt;0,OR(AUTOEVENTO&lt;&gt;"manual",$M14&lt;&gt;$A$15)),
        IF(Import.TipoArredondamento&lt;&gt;"TransfereGOV",
              ROUND(OFFSET($P14,0,AQ$13),15-13*ORÇAMENTO!$AF$7)/$H14*OFFSET(ORÇAMENTO!$X$15,ROW(AQ14)-ROW(AQ$15),0),
              ROUND(ROUND(OFFSET($P14,0,AQ$13),15-13*ORÇAMENTO!$AF$7)*OFFSET(ORÇAMENTO!$W$15,ROW(AQ14)-ROW(AQ$15),0),15-13*ORÇAMENTO!$AF$11)),
         0)</f>
        <v>0</v>
      </c>
      <c r="AR14" s="453">
        <f ca="1">IF(AND($D14="Serviço",AR$12&lt;&gt;0,$H14&gt;0,OR(AUTOEVENTO&lt;&gt;"manual",$M14&lt;&gt;$A$15)),
        IF(Import.TipoArredondamento&lt;&gt;"TransfereGOV",
              ROUND(OFFSET($P14,0,AR$13),15-13*ORÇAMENTO!$AF$7)/$H14*OFFSET(ORÇAMENTO!$X$15,ROW(AR14)-ROW(AR$15),0),
              ROUND(ROUND(OFFSET($P14,0,AR$13),15-13*ORÇAMENTO!$AF$7)*OFFSET(ORÇAMENTO!$W$15,ROW(AR14)-ROW(AR$15),0),15-13*ORÇAMENTO!$AF$11)),
         0)</f>
        <v>0</v>
      </c>
      <c r="AS14" s="453">
        <f ca="1">IF(AND($D14="Serviço",AS$12&lt;&gt;0,$H14&gt;0,OR(AUTOEVENTO&lt;&gt;"manual",$M14&lt;&gt;$A$15)),
        IF(Import.TipoArredondamento&lt;&gt;"TransfereGOV",
              ROUND(OFFSET($P14,0,AS$13),15-13*ORÇAMENTO!$AF$7)/$H14*OFFSET(ORÇAMENTO!$X$15,ROW(AS14)-ROW(AS$15),0),
              ROUND(ROUND(OFFSET($P14,0,AS$13),15-13*ORÇAMENTO!$AF$7)*OFFSET(ORÇAMENTO!$W$15,ROW(AS14)-ROW(AS$15),0),15-13*ORÇAMENTO!$AF$11)),
         0)</f>
        <v>0</v>
      </c>
      <c r="AT14" s="453">
        <f ca="1">IF(AND($D14="Serviço",AT$12&lt;&gt;0,$H14&gt;0,OR(AUTOEVENTO&lt;&gt;"manual",$M14&lt;&gt;$A$15)),
        IF(Import.TipoArredondamento&lt;&gt;"TransfereGOV",
              ROUND(OFFSET($P14,0,AT$13),15-13*ORÇAMENTO!$AF$7)/$H14*OFFSET(ORÇAMENTO!$X$15,ROW(AT14)-ROW(AT$15),0),
              ROUND(ROUND(OFFSET($P14,0,AT$13),15-13*ORÇAMENTO!$AF$7)*OFFSET(ORÇAMENTO!$W$15,ROW(AT14)-ROW(AT$15),0),15-13*ORÇAMENTO!$AF$11)),
         0)</f>
        <v>0</v>
      </c>
      <c r="AU14" s="453">
        <f ca="1">IF(AND($D14="Serviço",AU$12&lt;&gt;0,$H14&gt;0,OR(AUTOEVENTO&lt;&gt;"manual",$M14&lt;&gt;$A$15)),
        IF(Import.TipoArredondamento&lt;&gt;"TransfereGOV",
              ROUND(OFFSET($P14,0,AU$13),15-13*ORÇAMENTO!$AF$7)/$H14*OFFSET(ORÇAMENTO!$X$15,ROW(AU14)-ROW(AU$15),0),
              ROUND(ROUND(OFFSET($P14,0,AU$13),15-13*ORÇAMENTO!$AF$7)*OFFSET(ORÇAMENTO!$W$15,ROW(AU14)-ROW(AU$15),0),15-13*ORÇAMENTO!$AF$11)),
         0)</f>
        <v>0</v>
      </c>
      <c r="AV14" s="453">
        <f ca="1">IF(AND($D14="Serviço",AV$12&lt;&gt;0,$H14&gt;0,OR(AUTOEVENTO&lt;&gt;"manual",$M14&lt;&gt;$A$15)),
        IF(Import.TipoArredondamento&lt;&gt;"TransfereGOV",
              ROUND(OFFSET($P14,0,AV$13),15-13*ORÇAMENTO!$AF$7)/$H14*OFFSET(ORÇAMENTO!$X$15,ROW(AV14)-ROW(AV$15),0),
              ROUND(ROUND(OFFSET($P14,0,AV$13),15-13*ORÇAMENTO!$AF$7)*OFFSET(ORÇAMENTO!$W$15,ROW(AV14)-ROW(AV$15),0),15-13*ORÇAMENTO!$AF$11)),
         0)</f>
        <v>0</v>
      </c>
      <c r="AW14" s="453">
        <f ca="1">IF(AND($D14="Serviço",AW$12&lt;&gt;0,$H14&gt;0,OR(AUTOEVENTO&lt;&gt;"manual",$M14&lt;&gt;$A$15)),
        IF(Import.TipoArredondamento&lt;&gt;"TransfereGOV",
              ROUND(OFFSET($P14,0,AW$13),15-13*ORÇAMENTO!$AF$7)/$H14*OFFSET(ORÇAMENTO!$X$15,ROW(AW14)-ROW(AW$15),0),
              ROUND(ROUND(OFFSET($P14,0,AW$13),15-13*ORÇAMENTO!$AF$7)*OFFSET(ORÇAMENTO!$W$15,ROW(AW14)-ROW(AW$15),0),15-13*ORÇAMENTO!$AF$11)),
         0)</f>
        <v>0</v>
      </c>
      <c r="AX14" s="453">
        <f ca="1">IF(AND($D14="Serviço",AX$12&lt;&gt;0,$H14&gt;0,OR(AUTOEVENTO&lt;&gt;"manual",$M14&lt;&gt;$A$15)),
        IF(Import.TipoArredondamento&lt;&gt;"TransfereGOV",
              ROUND(OFFSET($P14,0,AX$13),15-13*ORÇAMENTO!$AF$7)/$H14*OFFSET(ORÇAMENTO!$X$15,ROW(AX14)-ROW(AX$15),0),
              ROUND(ROUND(OFFSET($P14,0,AX$13),15-13*ORÇAMENTO!$AF$7)*OFFSET(ORÇAMENTO!$W$15,ROW(AX14)-ROW(AX$15),0),15-13*ORÇAMENTO!$AF$11)),
         0)</f>
        <v>0</v>
      </c>
      <c r="AY14" s="453">
        <f ca="1">IF(AND($D14="Serviço",AY$12&lt;&gt;0,$H14&gt;0,OR(AUTOEVENTO&lt;&gt;"manual",$M14&lt;&gt;$A$15)),
        IF(Import.TipoArredondamento&lt;&gt;"TransfereGOV",
              ROUND(OFFSET($P14,0,AY$13),15-13*ORÇAMENTO!$AF$7)/$H14*OFFSET(ORÇAMENTO!$X$15,ROW(AY14)-ROW(AY$15),0),
              ROUND(ROUND(OFFSET($P14,0,AY$13),15-13*ORÇAMENTO!$AF$7)*OFFSET(ORÇAMENTO!$W$15,ROW(AY14)-ROW(AY$15),0),15-13*ORÇAMENTO!$AF$11)),
         0)</f>
        <v>0</v>
      </c>
      <c r="AZ14" s="453">
        <f ca="1">IF(AND($D14="Serviço",AZ$12&lt;&gt;0,$H14&gt;0,OR(AUTOEVENTO&lt;&gt;"manual",$M14&lt;&gt;$A$15)),
        IF(Import.TipoArredondamento&lt;&gt;"TransfereGOV",
              ROUND(OFFSET($P14,0,AZ$13),15-13*ORÇAMENTO!$AF$7)/$H14*OFFSET(ORÇAMENTO!$X$15,ROW(AZ14)-ROW(AZ$15),0),
              ROUND(ROUND(OFFSET($P14,0,AZ$13),15-13*ORÇAMENTO!$AF$7)*OFFSET(ORÇAMENTO!$W$15,ROW(AZ14)-ROW(AZ$15),0),15-13*ORÇAMENTO!$AF$11)),
         0)</f>
        <v>0</v>
      </c>
      <c r="BA14" s="453">
        <f ca="1">IF(AND($D14="Serviço",BA$12&lt;&gt;0,$H14&gt;0,OR(AUTOEVENTO&lt;&gt;"manual",$M14&lt;&gt;$A$15)),
        IF(Import.TipoArredondamento&lt;&gt;"TransfereGOV",
              ROUND(OFFSET($P14,0,BA$13),15-13*ORÇAMENTO!$AF$7)/$H14*OFFSET(ORÇAMENTO!$X$15,ROW(BA14)-ROW(BA$15),0),
              ROUND(ROUND(OFFSET($P14,0,BA$13),15-13*ORÇAMENTO!$AF$7)*OFFSET(ORÇAMENTO!$W$15,ROW(BA14)-ROW(BA$15),0),15-13*ORÇAMENTO!$AF$11)),
         0)</f>
        <v>0</v>
      </c>
      <c r="BC14" s="171">
        <f ca="1">IF(OR($D14&lt;&gt;"Serviço",AND(AUTOEVENTO="Manual",$M14=$A$15)),0,
         IF(OFFSET(CRONOPLE!$F$15,$M14-$A$15,BC$13)=0,10^12,OFFSET(CRONOPLE!$F$15,$M14-$A$15,BC$13)))</f>
        <v>0</v>
      </c>
      <c r="BD14" s="171">
        <f ca="1">IF(OR($D14&lt;&gt;"Serviço",AND(AUTOEVENTO="Manual",$M14=$A$15)),0,
         IF(OFFSET(CRONOPLE!$F$15,$M14-$A$15,BD$13)=0,10^12,OFFSET(CRONOPLE!$F$15,$M14-$A$15,BD$13)))</f>
        <v>0</v>
      </c>
      <c r="BE14" s="171">
        <f ca="1">IF(OR($D14&lt;&gt;"Serviço",AND(AUTOEVENTO="Manual",$M14=$A$15)),0,
         IF(OFFSET(CRONOPLE!$F$15,$M14-$A$15,BE$13)=0,10^12,OFFSET(CRONOPLE!$F$15,$M14-$A$15,BE$13)))</f>
        <v>0</v>
      </c>
      <c r="BF14" s="171">
        <f ca="1">IF(OR($D14&lt;&gt;"Serviço",AND(AUTOEVENTO="Manual",$M14=$A$15)),0,
         IF(OFFSET(CRONOPLE!$F$15,$M14-$A$15,BF$13)=0,10^12,OFFSET(CRONOPLE!$F$15,$M14-$A$15,BF$13)))</f>
        <v>0</v>
      </c>
      <c r="BG14" s="171">
        <f ca="1">IF(OR($D14&lt;&gt;"Serviço",AND(AUTOEVENTO="Manual",$M14=$A$15)),0,
         IF(OFFSET(CRONOPLE!$F$15,$M14-$A$15,BG$13)=0,10^12,OFFSET(CRONOPLE!$F$15,$M14-$A$15,BG$13)))</f>
        <v>0</v>
      </c>
      <c r="BH14" s="171">
        <f ca="1">IF(OR($D14&lt;&gt;"Serviço",AND(AUTOEVENTO="Manual",$M14=$A$15)),0,
         IF(OFFSET(CRONOPLE!$F$15,$M14-$A$15,BH$13)=0,10^12,OFFSET(CRONOPLE!$F$15,$M14-$A$15,BH$13)))</f>
        <v>0</v>
      </c>
      <c r="BI14" s="171">
        <f ca="1">IF(OR($D14&lt;&gt;"Serviço",AND(AUTOEVENTO="Manual",$M14=$A$15)),0,
         IF(OFFSET(CRONOPLE!$F$15,$M14-$A$15,BI$13)=0,10^12,OFFSET(CRONOPLE!$F$15,$M14-$A$15,BI$13)))</f>
        <v>0</v>
      </c>
      <c r="BJ14" s="171">
        <f ca="1">IF(OR($D14&lt;&gt;"Serviço",AND(AUTOEVENTO="Manual",$M14=$A$15)),0,
         IF(OFFSET(CRONOPLE!$F$15,$M14-$A$15,BJ$13)=0,10^12,OFFSET(CRONOPLE!$F$15,$M14-$A$15,BJ$13)))</f>
        <v>0</v>
      </c>
      <c r="BK14" s="171">
        <f ca="1">IF(OR($D14&lt;&gt;"Serviço",AND(AUTOEVENTO="Manual",$M14=$A$15)),0,
         IF(OFFSET(CRONOPLE!$F$15,$M14-$A$15,BK$13)=0,10^12,OFFSET(CRONOPLE!$F$15,$M14-$A$15,BK$13)))</f>
        <v>0</v>
      </c>
      <c r="BL14" s="171">
        <f ca="1">IF(OR($D14&lt;&gt;"Serviço",AND(AUTOEVENTO="Manual",$M14=$A$15)),0,
         IF(OFFSET(CRONOPLE!$F$15,$M14-$A$15,BL$13)=0,10^12,OFFSET(CRONOPLE!$F$15,$M14-$A$15,BL$13)))</f>
        <v>0</v>
      </c>
      <c r="BM14" s="171">
        <f ca="1">IF(OR($D14&lt;&gt;"Serviço",AND(AUTOEVENTO="Manual",$M14=$A$15)),0,
         IF(OFFSET(CRONOPLE!$F$15,$M14-$A$15,BM$13)=0,10^12,OFFSET(CRONOPLE!$F$15,$M14-$A$15,BM$13)))</f>
        <v>0</v>
      </c>
      <c r="BN14" s="171">
        <f ca="1">IF(OR($D14&lt;&gt;"Serviço",AND(AUTOEVENTO="Manual",$M14=$A$15)),0,
         IF(OFFSET(CRONOPLE!$F$15,$M14-$A$15,BN$13)=0,10^12,OFFSET(CRONOPLE!$F$15,$M14-$A$15,BN$13)))</f>
        <v>0</v>
      </c>
      <c r="BO14" s="171">
        <f ca="1">IF(OR($D14&lt;&gt;"Serviço",AND(AUTOEVENTO="Manual",$M14=$A$15)),0,
         IF(OFFSET(CRONOPLE!$F$15,$M14-$A$15,BO$13)=0,10^12,OFFSET(CRONOPLE!$F$15,$M14-$A$15,BO$13)))</f>
        <v>0</v>
      </c>
      <c r="BP14" s="171">
        <f ca="1">IF(OR($D14&lt;&gt;"Serviço",AND(AUTOEVENTO="Manual",$M14=$A$15)),0,
         IF(OFFSET(CRONOPLE!$F$15,$M14-$A$15,BP$13)=0,10^12,OFFSET(CRONOPLE!$F$15,$M14-$A$15,BP$13)))</f>
        <v>0</v>
      </c>
      <c r="BQ14" s="171">
        <f ca="1">IF(OR($D14&lt;&gt;"Serviço",AND(AUTOEVENTO="Manual",$M14=$A$15)),0,
         IF(OFFSET(CRONOPLE!$F$15,$M14-$A$15,BQ$13)=0,10^12,OFFSET(CRONOPLE!$F$15,$M14-$A$15,BQ$13)))</f>
        <v>0</v>
      </c>
      <c r="BR14" s="171">
        <f ca="1">IF(OR($D14&lt;&gt;"Serviço",AND(AUTOEVENTO="Manual",$M14=$A$15)),0,
         IF(OFFSET(CRONOPLE!$F$15,$M14-$A$15,BR$13)=0,10^12,OFFSET(CRONOPLE!$F$15,$M14-$A$15,BR$13)))</f>
        <v>0</v>
      </c>
      <c r="BS14" s="171">
        <f ca="1">IF(OR($D14&lt;&gt;"Serviço",AND(AUTOEVENTO="Manual",$M14=$A$15)),0,
         IF(OFFSET(CRONOPLE!$F$15,$M14-$A$15,BS$13)=0,10^12,OFFSET(CRONOPLE!$F$15,$M14-$A$15,BS$13)))</f>
        <v>0</v>
      </c>
      <c r="BT14" s="171">
        <f ca="1">IF(OR($D14&lt;&gt;"Serviço",AND(AUTOEVENTO="Manual",$M14=$A$15)),0,
         IF(OFFSET(CRONOPLE!$F$15,$M14-$A$15,BT$13)=0,10^12,OFFSET(CRONOPLE!$F$15,$M14-$A$15,BT$13)))</f>
        <v>0</v>
      </c>
      <c r="BV14" s="172" cm="1">
        <f t="array" aca="1" ref="BV14" ca="1">IF(OR($D14&lt;&gt;"Serviço",AND(AUTOEVENTO="Manual",$M14=$A$15),$M14&gt;(ROW(PLE.lastrow)-ROW(PLE.firstrow))),0,
           IF(OFFSET(PLE!$G$15,$M14-$A$15,BV$13)="",10^12,OFFSET(PLE!$G$15,$M14-$A$15,BV$13)))</f>
        <v>0</v>
      </c>
      <c r="BW14" s="172" cm="1">
        <f t="array" aca="1" ref="BW14" ca="1">IF(OR($D14&lt;&gt;"Serviço",AND(AUTOEVENTO="Manual",$M14=$A$15),$M14&gt;(ROW(PLE.lastrow)-ROW(PLE.firstrow))),0,
           IF(OFFSET(PLE!$G$15,$M14-$A$15,BW$13)="",10^12,OFFSET(PLE!$G$15,$M14-$A$15,BW$13)))</f>
        <v>0</v>
      </c>
      <c r="BX14" s="172" cm="1">
        <f t="array" aca="1" ref="BX14" ca="1">IF(OR($D14&lt;&gt;"Serviço",AND(AUTOEVENTO="Manual",$M14=$A$15),$M14&gt;(ROW(PLE.lastrow)-ROW(PLE.firstrow))),0,
           IF(OFFSET(PLE!$G$15,$M14-$A$15,BX$13)="",10^12,OFFSET(PLE!$G$15,$M14-$A$15,BX$13)))</f>
        <v>0</v>
      </c>
      <c r="BY14" s="172" cm="1">
        <f t="array" aca="1" ref="BY14" ca="1">IF(OR($D14&lt;&gt;"Serviço",AND(AUTOEVENTO="Manual",$M14=$A$15),$M14&gt;(ROW(PLE.lastrow)-ROW(PLE.firstrow))),0,
           IF(OFFSET(PLE!$G$15,$M14-$A$15,BY$13)="",10^12,OFFSET(PLE!$G$15,$M14-$A$15,BY$13)))</f>
        <v>0</v>
      </c>
      <c r="BZ14" s="172" cm="1">
        <f t="array" aca="1" ref="BZ14" ca="1">IF(OR($D14&lt;&gt;"Serviço",AND(AUTOEVENTO="Manual",$M14=$A$15),$M14&gt;(ROW(PLE.lastrow)-ROW(PLE.firstrow))),0,
           IF(OFFSET(PLE!$G$15,$M14-$A$15,BZ$13)="",10^12,OFFSET(PLE!$G$15,$M14-$A$15,BZ$13)))</f>
        <v>0</v>
      </c>
      <c r="CA14" s="172" cm="1">
        <f t="array" aca="1" ref="CA14" ca="1">IF(OR($D14&lt;&gt;"Serviço",AND(AUTOEVENTO="Manual",$M14=$A$15),$M14&gt;(ROW(PLE.lastrow)-ROW(PLE.firstrow))),0,
           IF(OFFSET(PLE!$G$15,$M14-$A$15,CA$13)="",10^12,OFFSET(PLE!$G$15,$M14-$A$15,CA$13)))</f>
        <v>0</v>
      </c>
      <c r="CB14" s="172" cm="1">
        <f t="array" aca="1" ref="CB14" ca="1">IF(OR($D14&lt;&gt;"Serviço",AND(AUTOEVENTO="Manual",$M14=$A$15),$M14&gt;(ROW(PLE.lastrow)-ROW(PLE.firstrow))),0,
           IF(OFFSET(PLE!$G$15,$M14-$A$15,CB$13)="",10^12,OFFSET(PLE!$G$15,$M14-$A$15,CB$13)))</f>
        <v>0</v>
      </c>
      <c r="CC14" s="172" cm="1">
        <f t="array" aca="1" ref="CC14" ca="1">IF(OR($D14&lt;&gt;"Serviço",AND(AUTOEVENTO="Manual",$M14=$A$15),$M14&gt;(ROW(PLE.lastrow)-ROW(PLE.firstrow))),0,
           IF(OFFSET(PLE!$G$15,$M14-$A$15,CC$13)="",10^12,OFFSET(PLE!$G$15,$M14-$A$15,CC$13)))</f>
        <v>0</v>
      </c>
      <c r="CD14" s="172" cm="1">
        <f t="array" aca="1" ref="CD14" ca="1">IF(OR($D14&lt;&gt;"Serviço",AND(AUTOEVENTO="Manual",$M14=$A$15),$M14&gt;(ROW(PLE.lastrow)-ROW(PLE.firstrow))),0,
           IF(OFFSET(PLE!$G$15,$M14-$A$15,CD$13)="",10^12,OFFSET(PLE!$G$15,$M14-$A$15,CD$13)))</f>
        <v>0</v>
      </c>
      <c r="CE14" s="172" cm="1">
        <f t="array" aca="1" ref="CE14" ca="1">IF(OR($D14&lt;&gt;"Serviço",AND(AUTOEVENTO="Manual",$M14=$A$15),$M14&gt;(ROW(PLE.lastrow)-ROW(PLE.firstrow))),0,
           IF(OFFSET(PLE!$G$15,$M14-$A$15,CE$13)="",10^12,OFFSET(PLE!$G$15,$M14-$A$15,CE$13)))</f>
        <v>0</v>
      </c>
      <c r="CF14" s="172" cm="1">
        <f t="array" aca="1" ref="CF14" ca="1">IF(OR($D14&lt;&gt;"Serviço",AND(AUTOEVENTO="Manual",$M14=$A$15),$M14&gt;(ROW(PLE.lastrow)-ROW(PLE.firstrow))),0,
           IF(OFFSET(PLE!$G$15,$M14-$A$15,CF$13)="",10^12,OFFSET(PLE!$G$15,$M14-$A$15,CF$13)))</f>
        <v>0</v>
      </c>
      <c r="CG14" s="172" cm="1">
        <f t="array" aca="1" ref="CG14" ca="1">IF(OR($D14&lt;&gt;"Serviço",AND(AUTOEVENTO="Manual",$M14=$A$15),$M14&gt;(ROW(PLE.lastrow)-ROW(PLE.firstrow))),0,
           IF(OFFSET(PLE!$G$15,$M14-$A$15,CG$13)="",10^12,OFFSET(PLE!$G$15,$M14-$A$15,CG$13)))</f>
        <v>0</v>
      </c>
      <c r="CH14" s="172" cm="1">
        <f t="array" aca="1" ref="CH14" ca="1">IF(OR($D14&lt;&gt;"Serviço",AND(AUTOEVENTO="Manual",$M14=$A$15),$M14&gt;(ROW(PLE.lastrow)-ROW(PLE.firstrow))),0,
           IF(OFFSET(PLE!$G$15,$M14-$A$15,CH$13)="",10^12,OFFSET(PLE!$G$15,$M14-$A$15,CH$13)))</f>
        <v>0</v>
      </c>
      <c r="CI14" s="172" cm="1">
        <f t="array" aca="1" ref="CI14" ca="1">IF(OR($D14&lt;&gt;"Serviço",AND(AUTOEVENTO="Manual",$M14=$A$15),$M14&gt;(ROW(PLE.lastrow)-ROW(PLE.firstrow))),0,
           IF(OFFSET(PLE!$G$15,$M14-$A$15,CI$13)="",10^12,OFFSET(PLE!$G$15,$M14-$A$15,CI$13)))</f>
        <v>0</v>
      </c>
      <c r="CJ14" s="172" cm="1">
        <f t="array" aca="1" ref="CJ14" ca="1">IF(OR($D14&lt;&gt;"Serviço",AND(AUTOEVENTO="Manual",$M14=$A$15),$M14&gt;(ROW(PLE.lastrow)-ROW(PLE.firstrow))),0,
           IF(OFFSET(PLE!$G$15,$M14-$A$15,CJ$13)="",10^12,OFFSET(PLE!$G$15,$M14-$A$15,CJ$13)))</f>
        <v>0</v>
      </c>
      <c r="CK14" s="172" cm="1">
        <f t="array" aca="1" ref="CK14" ca="1">IF(OR($D14&lt;&gt;"Serviço",AND(AUTOEVENTO="Manual",$M14=$A$15),$M14&gt;(ROW(PLE.lastrow)-ROW(PLE.firstrow))),0,
           IF(OFFSET(PLE!$G$15,$M14-$A$15,CK$13)="",10^12,OFFSET(PLE!$G$15,$M14-$A$15,CK$13)))</f>
        <v>0</v>
      </c>
      <c r="CL14" s="172" cm="1">
        <f t="array" aca="1" ref="CL14" ca="1">IF(OR($D14&lt;&gt;"Serviço",AND(AUTOEVENTO="Manual",$M14=$A$15),$M14&gt;(ROW(PLE.lastrow)-ROW(PLE.firstrow))),0,
           IF(OFFSET(PLE!$G$15,$M14-$A$15,CL$13)="",10^12,OFFSET(PLE!$G$15,$M14-$A$15,CL$13)))</f>
        <v>0</v>
      </c>
      <c r="CM14" s="172" cm="1">
        <f t="array" aca="1" ref="CM14" ca="1">IF(OR($D14&lt;&gt;"Serviço",AND(AUTOEVENTO="Manual",$M14=$A$15),$M14&gt;(ROW(PLE.lastrow)-ROW(PLE.firstrow))),0,
           IF(OFFSET(PLE!$G$15,$M14-$A$15,CM$13)="",10^12,OFFSET(PLE!$G$15,$M14-$A$15,CM$13)))</f>
        <v>0</v>
      </c>
    </row>
    <row r="15" spans="1:91" ht="12.75" customHeight="1" x14ac:dyDescent="0.2">
      <c r="A15" s="653" cm="1">
        <f t="array" ref="A15">IF(AdmLocal="Automática",1,0)</f>
        <v>0</v>
      </c>
      <c r="B15" s="7" t="str">
        <f ca="1">OFFSET(ORÇAMENTO!C$15,ROW(B15)-ROW(B$15),0)</f>
        <v>L</v>
      </c>
      <c r="C15" s="7" t="str">
        <f ca="1">OFFSET(ORÇAMENTO!L$15,ROW(C15)-ROW(C$15),0)</f>
        <v>F</v>
      </c>
      <c r="D15" s="130" t="str" cm="1">
        <f t="array" ref="D15">IF(TIPOORCAMENTO="LICITADO","CTEF","LOTE")</f>
        <v>LOTE</v>
      </c>
      <c r="E15" s="812" t="str">
        <f>Import.DescLote</f>
        <v>Ampliação e modernização do sistema de abastecimento de água do Município de Boa Esperança.</v>
      </c>
      <c r="F15" s="812"/>
      <c r="G15" s="812"/>
      <c r="H15" s="812"/>
      <c r="I15" s="469"/>
      <c r="J15" s="522"/>
      <c r="K15" s="633"/>
      <c r="L15" s="165">
        <v>0</v>
      </c>
      <c r="M15" s="568">
        <v>0</v>
      </c>
      <c r="N15" s="173" t="s">
        <v>776</v>
      </c>
      <c r="O15" s="174" t="e">
        <f ca="1">OFFSET($AI$15,0,O$13)</f>
        <v>#VALUE!</v>
      </c>
      <c r="Q15" s="175">
        <f t="shared" ref="Q15:Z15" ca="1" si="6">OFFSET($AI$15,0,Q$13)</f>
        <v>135179.56</v>
      </c>
      <c r="R15" s="174">
        <f t="shared" ca="1" si="6"/>
        <v>48169.7</v>
      </c>
      <c r="S15" s="174">
        <f t="shared" ca="1" si="6"/>
        <v>974556.95</v>
      </c>
      <c r="T15" s="174">
        <f t="shared" ca="1" si="6"/>
        <v>216222.10000000003</v>
      </c>
      <c r="U15" s="174">
        <f t="shared" ca="1" si="6"/>
        <v>2177748.169999999</v>
      </c>
      <c r="V15" s="174">
        <f t="shared" ca="1" si="6"/>
        <v>582010.77</v>
      </c>
      <c r="W15" s="174">
        <f t="shared" ca="1" si="6"/>
        <v>743528.55</v>
      </c>
      <c r="X15" s="174">
        <f t="shared" ca="1" si="6"/>
        <v>35889.68</v>
      </c>
      <c r="Y15" s="174">
        <f t="shared" ca="1" si="6"/>
        <v>23926.45</v>
      </c>
      <c r="Z15" s="176">
        <f t="shared" ca="1" si="6"/>
        <v>11963.220000000001</v>
      </c>
      <c r="AA15" s="174">
        <f t="shared" ref="AA15:AH15" ca="1" si="7">OFFSET($AI$15,0,AA$13)</f>
        <v>35889.68</v>
      </c>
      <c r="AB15" s="174">
        <f t="shared" ca="1" si="7"/>
        <v>0</v>
      </c>
      <c r="AC15" s="174">
        <f t="shared" ca="1" si="7"/>
        <v>0</v>
      </c>
      <c r="AD15" s="174">
        <f t="shared" ca="1" si="7"/>
        <v>0</v>
      </c>
      <c r="AE15" s="174">
        <f t="shared" ca="1" si="7"/>
        <v>0</v>
      </c>
      <c r="AF15" s="174">
        <f t="shared" ca="1" si="7"/>
        <v>0</v>
      </c>
      <c r="AG15" s="174">
        <f t="shared" ca="1" si="7"/>
        <v>0</v>
      </c>
      <c r="AH15" s="176">
        <f t="shared" ca="1" si="7"/>
        <v>0</v>
      </c>
      <c r="AJ15" s="177">
        <f ca="1">ROUND(SUM(OFFSET(AJ$15,1,0):AJ$191),2)</f>
        <v>135179.56</v>
      </c>
      <c r="AK15" s="177">
        <f ca="1">SUM(OFFSET(AK$15,1,0):AK$191)</f>
        <v>48169.7</v>
      </c>
      <c r="AL15" s="177">
        <f ca="1">SUM(OFFSET(AL$15,1,0):AL$191)</f>
        <v>974556.95</v>
      </c>
      <c r="AM15" s="177">
        <f ca="1">SUM(OFFSET(AM$15,1,0):AM$191)</f>
        <v>216222.10000000003</v>
      </c>
      <c r="AN15" s="177">
        <f ca="1">SUM(OFFSET(AN$15,1,0):AN$191)</f>
        <v>2177748.169999999</v>
      </c>
      <c r="AO15" s="177">
        <f ca="1">SUM(OFFSET(AO$15,1,0):AO$191)</f>
        <v>582010.77</v>
      </c>
      <c r="AP15" s="177">
        <f ca="1">SUM(OFFSET(AP$15,1,0):AP$191)</f>
        <v>743528.55</v>
      </c>
      <c r="AQ15" s="177">
        <f ca="1">SUM(OFFSET(AQ$15,1,0):AQ$191)</f>
        <v>35889.68</v>
      </c>
      <c r="AR15" s="177">
        <f ca="1">SUM(OFFSET(AR$15,1,0):AR$191)</f>
        <v>23926.45</v>
      </c>
      <c r="AS15" s="177">
        <f ca="1">SUM(OFFSET(AS$15,1,0):AS$191)</f>
        <v>11963.220000000001</v>
      </c>
      <c r="AT15" s="177">
        <f ca="1">SUM(OFFSET(AT$15,1,0):AT$191)</f>
        <v>35889.68</v>
      </c>
      <c r="AU15" s="177">
        <f ca="1">SUM(OFFSET(AU$15,1,0):AU$191)</f>
        <v>0</v>
      </c>
      <c r="AV15" s="177">
        <f ca="1">SUM(OFFSET(AV$15,1,0):AV$191)</f>
        <v>0</v>
      </c>
      <c r="AW15" s="177">
        <f ca="1">SUM(OFFSET(AW$15,1,0):AW$191)</f>
        <v>0</v>
      </c>
      <c r="AX15" s="177">
        <f ca="1">SUM(OFFSET(AX$15,1,0):AX$191)</f>
        <v>0</v>
      </c>
      <c r="AY15" s="177">
        <f ca="1">SUM(OFFSET(AY$15,1,0):AY$191)</f>
        <v>0</v>
      </c>
      <c r="AZ15" s="177">
        <f ca="1">SUM(OFFSET(AZ$15,1,0):AZ$191)</f>
        <v>0</v>
      </c>
      <c r="BA15" s="177">
        <f ca="1">SUM(OFFSET(BA$15,1,0):BA$191)</f>
        <v>0</v>
      </c>
      <c r="BC15" s="178">
        <f>10^12</f>
        <v>1000000000000</v>
      </c>
      <c r="BD15" s="178">
        <f t="shared" ref="BD15:BT15" si="8">10^12</f>
        <v>1000000000000</v>
      </c>
      <c r="BE15" s="178">
        <f t="shared" si="8"/>
        <v>1000000000000</v>
      </c>
      <c r="BF15" s="178">
        <f t="shared" si="8"/>
        <v>1000000000000</v>
      </c>
      <c r="BG15" s="178">
        <f t="shared" si="8"/>
        <v>1000000000000</v>
      </c>
      <c r="BH15" s="178">
        <f t="shared" si="8"/>
        <v>1000000000000</v>
      </c>
      <c r="BI15" s="178">
        <f t="shared" si="8"/>
        <v>1000000000000</v>
      </c>
      <c r="BJ15" s="178">
        <f t="shared" si="8"/>
        <v>1000000000000</v>
      </c>
      <c r="BK15" s="178">
        <f t="shared" si="8"/>
        <v>1000000000000</v>
      </c>
      <c r="BL15" s="178">
        <f t="shared" si="8"/>
        <v>1000000000000</v>
      </c>
      <c r="BM15" s="178">
        <f t="shared" si="8"/>
        <v>1000000000000</v>
      </c>
      <c r="BN15" s="178">
        <f t="shared" si="8"/>
        <v>1000000000000</v>
      </c>
      <c r="BO15" s="178">
        <f t="shared" si="8"/>
        <v>1000000000000</v>
      </c>
      <c r="BP15" s="178">
        <f t="shared" si="8"/>
        <v>1000000000000</v>
      </c>
      <c r="BQ15" s="178">
        <f t="shared" si="8"/>
        <v>1000000000000</v>
      </c>
      <c r="BR15" s="178">
        <f t="shared" si="8"/>
        <v>1000000000000</v>
      </c>
      <c r="BS15" s="178">
        <f t="shared" si="8"/>
        <v>1000000000000</v>
      </c>
      <c r="BT15" s="178">
        <f t="shared" si="8"/>
        <v>1000000000000</v>
      </c>
      <c r="BV15" s="178">
        <f t="shared" ref="BV15:CM15" si="9">10^12</f>
        <v>1000000000000</v>
      </c>
      <c r="BW15" s="178">
        <f t="shared" si="9"/>
        <v>1000000000000</v>
      </c>
      <c r="BX15" s="178">
        <f t="shared" si="9"/>
        <v>1000000000000</v>
      </c>
      <c r="BY15" s="178">
        <f t="shared" si="9"/>
        <v>1000000000000</v>
      </c>
      <c r="BZ15" s="178">
        <f t="shared" si="9"/>
        <v>1000000000000</v>
      </c>
      <c r="CA15" s="178">
        <f t="shared" si="9"/>
        <v>1000000000000</v>
      </c>
      <c r="CB15" s="178">
        <f t="shared" si="9"/>
        <v>1000000000000</v>
      </c>
      <c r="CC15" s="178">
        <f t="shared" si="9"/>
        <v>1000000000000</v>
      </c>
      <c r="CD15" s="178">
        <f t="shared" si="9"/>
        <v>1000000000000</v>
      </c>
      <c r="CE15" s="178">
        <f t="shared" si="9"/>
        <v>1000000000000</v>
      </c>
      <c r="CF15" s="178">
        <f t="shared" si="9"/>
        <v>1000000000000</v>
      </c>
      <c r="CG15" s="178">
        <f t="shared" si="9"/>
        <v>1000000000000</v>
      </c>
      <c r="CH15" s="178">
        <f t="shared" si="9"/>
        <v>1000000000000</v>
      </c>
      <c r="CI15" s="178">
        <f t="shared" si="9"/>
        <v>1000000000000</v>
      </c>
      <c r="CJ15" s="178">
        <f t="shared" si="9"/>
        <v>1000000000000</v>
      </c>
      <c r="CK15" s="178">
        <f t="shared" si="9"/>
        <v>1000000000000</v>
      </c>
      <c r="CL15" s="178">
        <f t="shared" si="9"/>
        <v>1000000000000</v>
      </c>
      <c r="CM15" s="178">
        <f t="shared" si="9"/>
        <v>1000000000000</v>
      </c>
    </row>
    <row r="16" spans="1:91" s="670" customFormat="1" ht="12.75" x14ac:dyDescent="0.2">
      <c r="A16" s="668">
        <f t="shared" ref="A16:A72" ca="1" si="10">IFERROR(IF(AUTOEVENTO="Manual",IF(K16&lt;&gt;"",MIN(VALUE(LEFT(K16,FIND(".",K16)-1)),COUNTA(EVENTOS.Lista)),0),IF(OR($B16&gt;AUTOEVENTO,$B16="S",$B16=0),SUBSTITUTE(OFFSET($A16,-1,0),IF($D16="Serviço",".",""),""),$L16&amp;".")),0)</f>
        <v>0</v>
      </c>
      <c r="B16" s="668">
        <f ca="1">OFFSET(ORÇAMENTO!C$15,$L16,0)</f>
        <v>1</v>
      </c>
      <c r="C16" s="668" t="str">
        <f ca="1">OFFSET(ORÇAMENTO!L$15,$L16,0)</f>
        <v>F</v>
      </c>
      <c r="D16" s="116" t="str">
        <f ca="1">OFFSET(ORÇAMENTO!N$15,$L16,0)</f>
        <v>Meta</v>
      </c>
      <c r="E16" s="117" t="str">
        <f ca="1">OFFSET(ORÇAMENTO!O$15,$L16,0)</f>
        <v>1.</v>
      </c>
      <c r="F16" s="163" t="str">
        <f ca="1">OFFSET(ORÇAMENTO!R$15,$L16,0)</f>
        <v>Ampliação do Sistema de Abastecimento de Água</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I$1=1)*ROUND(Q16:AI16,15))),"►S",IF(AND(COUNTIF($P$11:$AI$11,"▼")=0,H16&gt;0,I16=""),"◄M","")))))</f>
        <v/>
      </c>
      <c r="K16" s="652"/>
      <c r="L16" s="165">
        <f t="shared" ref="L16:L72" ca="1" si="11">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A16" s="705"/>
      <c r="AB16" s="705"/>
      <c r="AC16" s="705"/>
      <c r="AD16" s="705"/>
      <c r="AE16" s="705"/>
      <c r="AF16" s="705"/>
      <c r="AG16" s="705"/>
      <c r="AH16" s="706"/>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L16" s="453">
        <f ca="1">IF(AND($D16="Serviço",AL$12&lt;&gt;0,$H16&gt;0,OR(AUTOEVENTO&lt;&gt;"manual",$M16&lt;&gt;$A$15)),
        IF(Import.TipoArredondamento&lt;&gt;"TransfereGOV",
              ROUND(OFFSET($P16,0,AL$13),15-13*ORÇAMENTO!$AF$7)/$H16*OFFSET(ORÇAMENTO!$X$15,ROW(AL16)-ROW(AL$15),0),
              ROUND(ROUND(OFFSET($P16,0,AL$13),15-13*ORÇAMENTO!$AF$7)*OFFSET(ORÇAMENTO!$W$15,ROW(AL16)-ROW(AL$15),0),15-13*ORÇAMENTO!$AF$11)),
         0)</f>
        <v>0</v>
      </c>
      <c r="AM16" s="453">
        <f ca="1">IF(AND($D16="Serviço",AM$12&lt;&gt;0,$H16&gt;0,OR(AUTOEVENTO&lt;&gt;"manual",$M16&lt;&gt;$A$15)),
        IF(Import.TipoArredondamento&lt;&gt;"TransfereGOV",
              ROUND(OFFSET($P16,0,AM$13),15-13*ORÇAMENTO!$AF$7)/$H16*OFFSET(ORÇAMENTO!$X$15,ROW(AM16)-ROW(AM$15),0),
              ROUND(ROUND(OFFSET($P16,0,AM$13),15-13*ORÇAMENTO!$AF$7)*OFFSET(ORÇAMENTO!$W$15,ROW(AM16)-ROW(AM$15),0),15-13*ORÇAMENTO!$AF$11)),
         0)</f>
        <v>0</v>
      </c>
      <c r="AN16" s="453">
        <f ca="1">IF(AND($D16="Serviço",AN$12&lt;&gt;0,$H16&gt;0,OR(AUTOEVENTO&lt;&gt;"manual",$M16&lt;&gt;$A$15)),
        IF(Import.TipoArredondamento&lt;&gt;"TransfereGOV",
              ROUND(OFFSET($P16,0,AN$13),15-13*ORÇAMENTO!$AF$7)/$H16*OFFSET(ORÇAMENTO!$X$15,ROW(AN16)-ROW(AN$15),0),
              ROUND(ROUND(OFFSET($P16,0,AN$13),15-13*ORÇAMENTO!$AF$7)*OFFSET(ORÇAMENTO!$W$15,ROW(AN16)-ROW(AN$15),0),15-13*ORÇAMENTO!$AF$11)),
         0)</f>
        <v>0</v>
      </c>
      <c r="AO16" s="453">
        <f ca="1">IF(AND($D16="Serviço",AO$12&lt;&gt;0,$H16&gt;0,OR(AUTOEVENTO&lt;&gt;"manual",$M16&lt;&gt;$A$15)),
        IF(Import.TipoArredondamento&lt;&gt;"TransfereGOV",
              ROUND(OFFSET($P16,0,AO$13),15-13*ORÇAMENTO!$AF$7)/$H16*OFFSET(ORÇAMENTO!$X$15,ROW(AO16)-ROW(AO$15),0),
              ROUND(ROUND(OFFSET($P16,0,AO$13),15-13*ORÇAMENTO!$AF$7)*OFFSET(ORÇAMENTO!$W$15,ROW(AO16)-ROW(AO$15),0),15-13*ORÇAMENTO!$AF$11)),
         0)</f>
        <v>0</v>
      </c>
      <c r="AP16" s="453">
        <f ca="1">IF(AND($D16="Serviço",AP$12&lt;&gt;0,$H16&gt;0,OR(AUTOEVENTO&lt;&gt;"manual",$M16&lt;&gt;$A$15)),
        IF(Import.TipoArredondamento&lt;&gt;"TransfereGOV",
              ROUND(OFFSET($P16,0,AP$13),15-13*ORÇAMENTO!$AF$7)/$H16*OFFSET(ORÇAMENTO!$X$15,ROW(AP16)-ROW(AP$15),0),
              ROUND(ROUND(OFFSET($P16,0,AP$13),15-13*ORÇAMENTO!$AF$7)*OFFSET(ORÇAMENTO!$W$15,ROW(AP16)-ROW(AP$15),0),15-13*ORÇAMENTO!$AF$11)),
         0)</f>
        <v>0</v>
      </c>
      <c r="AQ16" s="453">
        <f ca="1">IF(AND($D16="Serviço",AQ$12&lt;&gt;0,$H16&gt;0,OR(AUTOEVENTO&lt;&gt;"manual",$M16&lt;&gt;$A$15)),
        IF(Import.TipoArredondamento&lt;&gt;"TransfereGOV",
              ROUND(OFFSET($P16,0,AQ$13),15-13*ORÇAMENTO!$AF$7)/$H16*OFFSET(ORÇAMENTO!$X$15,ROW(AQ16)-ROW(AQ$15),0),
              ROUND(ROUND(OFFSET($P16,0,AQ$13),15-13*ORÇAMENTO!$AF$7)*OFFSET(ORÇAMENTO!$W$15,ROW(AQ16)-ROW(AQ$15),0),15-13*ORÇAMENTO!$AF$11)),
         0)</f>
        <v>0</v>
      </c>
      <c r="AR16" s="453">
        <f ca="1">IF(AND($D16="Serviço",AR$12&lt;&gt;0,$H16&gt;0,OR(AUTOEVENTO&lt;&gt;"manual",$M16&lt;&gt;$A$15)),
        IF(Import.TipoArredondamento&lt;&gt;"TransfereGOV",
              ROUND(OFFSET($P16,0,AR$13),15-13*ORÇAMENTO!$AF$7)/$H16*OFFSET(ORÇAMENTO!$X$15,ROW(AR16)-ROW(AR$15),0),
              ROUND(ROUND(OFFSET($P16,0,AR$13),15-13*ORÇAMENTO!$AF$7)*OFFSET(ORÇAMENTO!$W$15,ROW(AR16)-ROW(AR$15),0),15-13*ORÇAMENTO!$AF$11)),
         0)</f>
        <v>0</v>
      </c>
      <c r="AS16" s="453">
        <f ca="1">IF(AND($D16="Serviço",AS$12&lt;&gt;0,$H16&gt;0,OR(AUTOEVENTO&lt;&gt;"manual",$M16&lt;&gt;$A$15)),
        IF(Import.TipoArredondamento&lt;&gt;"TransfereGOV",
              ROUND(OFFSET($P16,0,AS$13),15-13*ORÇAMENTO!$AF$7)/$H16*OFFSET(ORÇAMENTO!$X$15,ROW(AS16)-ROW(AS$15),0),
              ROUND(ROUND(OFFSET($P16,0,AS$13),15-13*ORÇAMENTO!$AF$7)*OFFSET(ORÇAMENTO!$W$15,ROW(AS16)-ROW(AS$15),0),15-13*ORÇAMENTO!$AF$11)),
         0)</f>
        <v>0</v>
      </c>
      <c r="AT16" s="453">
        <f ca="1">IF(AND($D16="Serviço",AT$12&lt;&gt;0,$H16&gt;0,OR(AUTOEVENTO&lt;&gt;"manual",$M16&lt;&gt;$A$15)),
        IF(Import.TipoArredondamento&lt;&gt;"TransfereGOV",
              ROUND(OFFSET($P16,0,AT$13),15-13*ORÇAMENTO!$AF$7)/$H16*OFFSET(ORÇAMENTO!$X$15,ROW(AT16)-ROW(AT$15),0),
              ROUND(ROUND(OFFSET($P16,0,AT$13),15-13*ORÇAMENTO!$AF$7)*OFFSET(ORÇAMENTO!$W$15,ROW(AT16)-ROW(AT$15),0),15-13*ORÇAMENTO!$AF$11)),
         0)</f>
        <v>0</v>
      </c>
      <c r="AU16" s="453">
        <f ca="1">IF(AND($D16="Serviço",AU$12&lt;&gt;0,$H16&gt;0,OR(AUTOEVENTO&lt;&gt;"manual",$M16&lt;&gt;$A$15)),
        IF(Import.TipoArredondamento&lt;&gt;"TransfereGOV",
              ROUND(OFFSET($P16,0,AU$13),15-13*ORÇAMENTO!$AF$7)/$H16*OFFSET(ORÇAMENTO!$X$15,ROW(AU16)-ROW(AU$15),0),
              ROUND(ROUND(OFFSET($P16,0,AU$13),15-13*ORÇAMENTO!$AF$7)*OFFSET(ORÇAMENTO!$W$15,ROW(AU16)-ROW(AU$15),0),15-13*ORÇAMENTO!$AF$11)),
         0)</f>
        <v>0</v>
      </c>
      <c r="AV16" s="453">
        <f ca="1">IF(AND($D16="Serviço",AV$12&lt;&gt;0,$H16&gt;0,OR(AUTOEVENTO&lt;&gt;"manual",$M16&lt;&gt;$A$15)),
        IF(Import.TipoArredondamento&lt;&gt;"TransfereGOV",
              ROUND(OFFSET($P16,0,AV$13),15-13*ORÇAMENTO!$AF$7)/$H16*OFFSET(ORÇAMENTO!$X$15,ROW(AV16)-ROW(AV$15),0),
              ROUND(ROUND(OFFSET($P16,0,AV$13),15-13*ORÇAMENTO!$AF$7)*OFFSET(ORÇAMENTO!$W$15,ROW(AV16)-ROW(AV$15),0),15-13*ORÇAMENTO!$AF$11)),
         0)</f>
        <v>0</v>
      </c>
      <c r="AW16" s="453">
        <f ca="1">IF(AND($D16="Serviço",AW$12&lt;&gt;0,$H16&gt;0,OR(AUTOEVENTO&lt;&gt;"manual",$M16&lt;&gt;$A$15)),
        IF(Import.TipoArredondamento&lt;&gt;"TransfereGOV",
              ROUND(OFFSET($P16,0,AW$13),15-13*ORÇAMENTO!$AF$7)/$H16*OFFSET(ORÇAMENTO!$X$15,ROW(AW16)-ROW(AW$15),0),
              ROUND(ROUND(OFFSET($P16,0,AW$13),15-13*ORÇAMENTO!$AF$7)*OFFSET(ORÇAMENTO!$W$15,ROW(AW16)-ROW(AW$15),0),15-13*ORÇAMENTO!$AF$11)),
         0)</f>
        <v>0</v>
      </c>
      <c r="AX16" s="453">
        <f ca="1">IF(AND($D16="Serviço",AX$12&lt;&gt;0,$H16&gt;0,OR(AUTOEVENTO&lt;&gt;"manual",$M16&lt;&gt;$A$15)),
        IF(Import.TipoArredondamento&lt;&gt;"TransfereGOV",
              ROUND(OFFSET($P16,0,AX$13),15-13*ORÇAMENTO!$AF$7)/$H16*OFFSET(ORÇAMENTO!$X$15,ROW(AX16)-ROW(AX$15),0),
              ROUND(ROUND(OFFSET($P16,0,AX$13),15-13*ORÇAMENTO!$AF$7)*OFFSET(ORÇAMENTO!$W$15,ROW(AX16)-ROW(AX$15),0),15-13*ORÇAMENTO!$AF$11)),
         0)</f>
        <v>0</v>
      </c>
      <c r="AY16" s="453">
        <f ca="1">IF(AND($D16="Serviço",AY$12&lt;&gt;0,$H16&gt;0,OR(AUTOEVENTO&lt;&gt;"manual",$M16&lt;&gt;$A$15)),
        IF(Import.TipoArredondamento&lt;&gt;"TransfereGOV",
              ROUND(OFFSET($P16,0,AY$13),15-13*ORÇAMENTO!$AF$7)/$H16*OFFSET(ORÇAMENTO!$X$15,ROW(AY16)-ROW(AY$15),0),
              ROUND(ROUND(OFFSET($P16,0,AY$13),15-13*ORÇAMENTO!$AF$7)*OFFSET(ORÇAMENTO!$W$15,ROW(AY16)-ROW(AY$15),0),15-13*ORÇAMENTO!$AF$11)),
         0)</f>
        <v>0</v>
      </c>
      <c r="AZ16" s="453">
        <f ca="1">IF(AND($D16="Serviço",AZ$12&lt;&gt;0,$H16&gt;0,OR(AUTOEVENTO&lt;&gt;"manual",$M16&lt;&gt;$A$15)),
        IF(Import.TipoArredondamento&lt;&gt;"TransfereGOV",
              ROUND(OFFSET($P16,0,AZ$13),15-13*ORÇAMENTO!$AF$7)/$H16*OFFSET(ORÇAMENTO!$X$15,ROW(AZ16)-ROW(AZ$15),0),
              ROUND(ROUND(OFFSET($P16,0,AZ$13),15-13*ORÇAMENTO!$AF$7)*OFFSET(ORÇAMENTO!$W$15,ROW(AZ16)-ROW(AZ$15),0),15-13*ORÇAMENTO!$AF$11)),
         0)</f>
        <v>0</v>
      </c>
      <c r="BA16" s="453">
        <f ca="1">IF(AND($D16="Serviço",BA$12&lt;&gt;0,$H16&gt;0,OR(AUTOEVENTO&lt;&gt;"manual",$M16&lt;&gt;$A$15)),
        IF(Import.TipoArredondamento&lt;&gt;"TransfereGOV",
              ROUND(OFFSET($P16,0,BA$13),15-13*ORÇAMENTO!$AF$7)/$H16*OFFSET(ORÇAMENTO!$X$15,ROW(BA16)-ROW(BA$15),0),
              ROUND(ROUND(OFFSET($P16,0,BA$13),15-13*ORÇAMENTO!$AF$7)*OFFSET(ORÇAMENTO!$W$15,ROW(BA16)-ROW(BA$15),0),15-13*ORÇAMENTO!$AF$11)),
         0)</f>
        <v>0</v>
      </c>
      <c r="BC16" s="171">
        <f ca="1">IF(OR($D16&lt;&gt;"Serviço",AND(AUTOEVENTO="Manual",$M16=$A$15)),0,
         IF(OFFSET(CRONOPLE!$F$15,$M16-$A$15,BC$13)=0,10^12,OFFSET(CRONOPLE!$F$15,$M16-$A$15,BC$13)))</f>
        <v>0</v>
      </c>
      <c r="BD16" s="171">
        <f ca="1">IF(OR($D16&lt;&gt;"Serviço",AND(AUTOEVENTO="Manual",$M16=$A$15)),0,
         IF(OFFSET(CRONOPLE!$F$15,$M16-$A$15,BD$13)=0,10^12,OFFSET(CRONOPLE!$F$15,$M16-$A$15,BD$13)))</f>
        <v>0</v>
      </c>
      <c r="BE16" s="171">
        <f ca="1">IF(OR($D16&lt;&gt;"Serviço",AND(AUTOEVENTO="Manual",$M16=$A$15)),0,
         IF(OFFSET(CRONOPLE!$F$15,$M16-$A$15,BE$13)=0,10^12,OFFSET(CRONOPLE!$F$15,$M16-$A$15,BE$13)))</f>
        <v>0</v>
      </c>
      <c r="BF16" s="171">
        <f ca="1">IF(OR($D16&lt;&gt;"Serviço",AND(AUTOEVENTO="Manual",$M16=$A$15)),0,
         IF(OFFSET(CRONOPLE!$F$15,$M16-$A$15,BF$13)=0,10^12,OFFSET(CRONOPLE!$F$15,$M16-$A$15,BF$13)))</f>
        <v>0</v>
      </c>
      <c r="BG16" s="171">
        <f ca="1">IF(OR($D16&lt;&gt;"Serviço",AND(AUTOEVENTO="Manual",$M16=$A$15)),0,
         IF(OFFSET(CRONOPLE!$F$15,$M16-$A$15,BG$13)=0,10^12,OFFSET(CRONOPLE!$F$15,$M16-$A$15,BG$13)))</f>
        <v>0</v>
      </c>
      <c r="BH16" s="171">
        <f ca="1">IF(OR($D16&lt;&gt;"Serviço",AND(AUTOEVENTO="Manual",$M16=$A$15)),0,
         IF(OFFSET(CRONOPLE!$F$15,$M16-$A$15,BH$13)=0,10^12,OFFSET(CRONOPLE!$F$15,$M16-$A$15,BH$13)))</f>
        <v>0</v>
      </c>
      <c r="BI16" s="171">
        <f ca="1">IF(OR($D16&lt;&gt;"Serviço",AND(AUTOEVENTO="Manual",$M16=$A$15)),0,
         IF(OFFSET(CRONOPLE!$F$15,$M16-$A$15,BI$13)=0,10^12,OFFSET(CRONOPLE!$F$15,$M16-$A$15,BI$13)))</f>
        <v>0</v>
      </c>
      <c r="BJ16" s="171">
        <f ca="1">IF(OR($D16&lt;&gt;"Serviço",AND(AUTOEVENTO="Manual",$M16=$A$15)),0,
         IF(OFFSET(CRONOPLE!$F$15,$M16-$A$15,BJ$13)=0,10^12,OFFSET(CRONOPLE!$F$15,$M16-$A$15,BJ$13)))</f>
        <v>0</v>
      </c>
      <c r="BK16" s="171">
        <f ca="1">IF(OR($D16&lt;&gt;"Serviço",AND(AUTOEVENTO="Manual",$M16=$A$15)),0,
         IF(OFFSET(CRONOPLE!$F$15,$M16-$A$15,BK$13)=0,10^12,OFFSET(CRONOPLE!$F$15,$M16-$A$15,BK$13)))</f>
        <v>0</v>
      </c>
      <c r="BL16" s="171">
        <f ca="1">IF(OR($D16&lt;&gt;"Serviço",AND(AUTOEVENTO="Manual",$M16=$A$15)),0,
         IF(OFFSET(CRONOPLE!$F$15,$M16-$A$15,BL$13)=0,10^12,OFFSET(CRONOPLE!$F$15,$M16-$A$15,BL$13)))</f>
        <v>0</v>
      </c>
      <c r="BM16" s="171">
        <f ca="1">IF(OR($D16&lt;&gt;"Serviço",AND(AUTOEVENTO="Manual",$M16=$A$15)),0,
         IF(OFFSET(CRONOPLE!$F$15,$M16-$A$15,BM$13)=0,10^12,OFFSET(CRONOPLE!$F$15,$M16-$A$15,BM$13)))</f>
        <v>0</v>
      </c>
      <c r="BN16" s="171">
        <f ca="1">IF(OR($D16&lt;&gt;"Serviço",AND(AUTOEVENTO="Manual",$M16=$A$15)),0,
         IF(OFFSET(CRONOPLE!$F$15,$M16-$A$15,BN$13)=0,10^12,OFFSET(CRONOPLE!$F$15,$M16-$A$15,BN$13)))</f>
        <v>0</v>
      </c>
      <c r="BO16" s="171">
        <f ca="1">IF(OR($D16&lt;&gt;"Serviço",AND(AUTOEVENTO="Manual",$M16=$A$15)),0,
         IF(OFFSET(CRONOPLE!$F$15,$M16-$A$15,BO$13)=0,10^12,OFFSET(CRONOPLE!$F$15,$M16-$A$15,BO$13)))</f>
        <v>0</v>
      </c>
      <c r="BP16" s="171">
        <f ca="1">IF(OR($D16&lt;&gt;"Serviço",AND(AUTOEVENTO="Manual",$M16=$A$15)),0,
         IF(OFFSET(CRONOPLE!$F$15,$M16-$A$15,BP$13)=0,10^12,OFFSET(CRONOPLE!$F$15,$M16-$A$15,BP$13)))</f>
        <v>0</v>
      </c>
      <c r="BQ16" s="171">
        <f ca="1">IF(OR($D16&lt;&gt;"Serviço",AND(AUTOEVENTO="Manual",$M16=$A$15)),0,
         IF(OFFSET(CRONOPLE!$F$15,$M16-$A$15,BQ$13)=0,10^12,OFFSET(CRONOPLE!$F$15,$M16-$A$15,BQ$13)))</f>
        <v>0</v>
      </c>
      <c r="BR16" s="171">
        <f ca="1">IF(OR($D16&lt;&gt;"Serviço",AND(AUTOEVENTO="Manual",$M16=$A$15)),0,
         IF(OFFSET(CRONOPLE!$F$15,$M16-$A$15,BR$13)=0,10^12,OFFSET(CRONOPLE!$F$15,$M16-$A$15,BR$13)))</f>
        <v>0</v>
      </c>
      <c r="BS16" s="171">
        <f ca="1">IF(OR($D16&lt;&gt;"Serviço",AND(AUTOEVENTO="Manual",$M16=$A$15)),0,
         IF(OFFSET(CRONOPLE!$F$15,$M16-$A$15,BS$13)=0,10^12,OFFSET(CRONOPLE!$F$15,$M16-$A$15,BS$13)))</f>
        <v>0</v>
      </c>
      <c r="BT16" s="171">
        <f ca="1">IF(OR($D16&lt;&gt;"Serviço",AND(AUTOEVENTO="Manual",$M16=$A$15)),0,
         IF(OFFSET(CRONOPLE!$F$15,$M16-$A$15,BT$13)=0,10^12,OFFSET(CRONOPLE!$F$15,$M16-$A$15,BT$13)))</f>
        <v>0</v>
      </c>
      <c r="BV16" s="172" cm="1">
        <f t="array" aca="1" ref="BV16" ca="1">IF(OR($D16&lt;&gt;"Serviço",AND(AUTOEVENTO="Manual",$M16=$A$15),$M16&gt;(ROW(PLE.lastrow)-ROW(PLE.firstrow))),0,
           IF(OFFSET(PLE!$G$15,$M16-$A$15,BV$13)="",10^12,OFFSET(PLE!$G$15,$M16-$A$15,BV$13)))</f>
        <v>0</v>
      </c>
      <c r="BW16" s="172" cm="1">
        <f t="array" aca="1" ref="BW16" ca="1">IF(OR($D16&lt;&gt;"Serviço",AND(AUTOEVENTO="Manual",$M16=$A$15),$M16&gt;(ROW(PLE.lastrow)-ROW(PLE.firstrow))),0,
           IF(OFFSET(PLE!$G$15,$M16-$A$15,BW$13)="",10^12,OFFSET(PLE!$G$15,$M16-$A$15,BW$13)))</f>
        <v>0</v>
      </c>
      <c r="BX16" s="172" cm="1">
        <f t="array" aca="1" ref="BX16" ca="1">IF(OR($D16&lt;&gt;"Serviço",AND(AUTOEVENTO="Manual",$M16=$A$15),$M16&gt;(ROW(PLE.lastrow)-ROW(PLE.firstrow))),0,
           IF(OFFSET(PLE!$G$15,$M16-$A$15,BX$13)="",10^12,OFFSET(PLE!$G$15,$M16-$A$15,BX$13)))</f>
        <v>0</v>
      </c>
      <c r="BY16" s="172" cm="1">
        <f t="array" aca="1" ref="BY16" ca="1">IF(OR($D16&lt;&gt;"Serviço",AND(AUTOEVENTO="Manual",$M16=$A$15),$M16&gt;(ROW(PLE.lastrow)-ROW(PLE.firstrow))),0,
           IF(OFFSET(PLE!$G$15,$M16-$A$15,BY$13)="",10^12,OFFSET(PLE!$G$15,$M16-$A$15,BY$13)))</f>
        <v>0</v>
      </c>
      <c r="BZ16" s="172" cm="1">
        <f t="array" aca="1" ref="BZ16" ca="1">IF(OR($D16&lt;&gt;"Serviço",AND(AUTOEVENTO="Manual",$M16=$A$15),$M16&gt;(ROW(PLE.lastrow)-ROW(PLE.firstrow))),0,
           IF(OFFSET(PLE!$G$15,$M16-$A$15,BZ$13)="",10^12,OFFSET(PLE!$G$15,$M16-$A$15,BZ$13)))</f>
        <v>0</v>
      </c>
      <c r="CA16" s="172" cm="1">
        <f t="array" aca="1" ref="CA16" ca="1">IF(OR($D16&lt;&gt;"Serviço",AND(AUTOEVENTO="Manual",$M16=$A$15),$M16&gt;(ROW(PLE.lastrow)-ROW(PLE.firstrow))),0,
           IF(OFFSET(PLE!$G$15,$M16-$A$15,CA$13)="",10^12,OFFSET(PLE!$G$15,$M16-$A$15,CA$13)))</f>
        <v>0</v>
      </c>
      <c r="CB16" s="172" cm="1">
        <f t="array" aca="1" ref="CB16" ca="1">IF(OR($D16&lt;&gt;"Serviço",AND(AUTOEVENTO="Manual",$M16=$A$15),$M16&gt;(ROW(PLE.lastrow)-ROW(PLE.firstrow))),0,
           IF(OFFSET(PLE!$G$15,$M16-$A$15,CB$13)="",10^12,OFFSET(PLE!$G$15,$M16-$A$15,CB$13)))</f>
        <v>0</v>
      </c>
      <c r="CC16" s="172" cm="1">
        <f t="array" aca="1" ref="CC16" ca="1">IF(OR($D16&lt;&gt;"Serviço",AND(AUTOEVENTO="Manual",$M16=$A$15),$M16&gt;(ROW(PLE.lastrow)-ROW(PLE.firstrow))),0,
           IF(OFFSET(PLE!$G$15,$M16-$A$15,CC$13)="",10^12,OFFSET(PLE!$G$15,$M16-$A$15,CC$13)))</f>
        <v>0</v>
      </c>
      <c r="CD16" s="172" cm="1">
        <f t="array" aca="1" ref="CD16" ca="1">IF(OR($D16&lt;&gt;"Serviço",AND(AUTOEVENTO="Manual",$M16=$A$15),$M16&gt;(ROW(PLE.lastrow)-ROW(PLE.firstrow))),0,
           IF(OFFSET(PLE!$G$15,$M16-$A$15,CD$13)="",10^12,OFFSET(PLE!$G$15,$M16-$A$15,CD$13)))</f>
        <v>0</v>
      </c>
      <c r="CE16" s="172" cm="1">
        <f t="array" aca="1" ref="CE16" ca="1">IF(OR($D16&lt;&gt;"Serviço",AND(AUTOEVENTO="Manual",$M16=$A$15),$M16&gt;(ROW(PLE.lastrow)-ROW(PLE.firstrow))),0,
           IF(OFFSET(PLE!$G$15,$M16-$A$15,CE$13)="",10^12,OFFSET(PLE!$G$15,$M16-$A$15,CE$13)))</f>
        <v>0</v>
      </c>
      <c r="CF16" s="172" cm="1">
        <f t="array" aca="1" ref="CF16" ca="1">IF(OR($D16&lt;&gt;"Serviço",AND(AUTOEVENTO="Manual",$M16=$A$15),$M16&gt;(ROW(PLE.lastrow)-ROW(PLE.firstrow))),0,
           IF(OFFSET(PLE!$G$15,$M16-$A$15,CF$13)="",10^12,OFFSET(PLE!$G$15,$M16-$A$15,CF$13)))</f>
        <v>0</v>
      </c>
      <c r="CG16" s="172" cm="1">
        <f t="array" aca="1" ref="CG16" ca="1">IF(OR($D16&lt;&gt;"Serviço",AND(AUTOEVENTO="Manual",$M16=$A$15),$M16&gt;(ROW(PLE.lastrow)-ROW(PLE.firstrow))),0,
           IF(OFFSET(PLE!$G$15,$M16-$A$15,CG$13)="",10^12,OFFSET(PLE!$G$15,$M16-$A$15,CG$13)))</f>
        <v>0</v>
      </c>
      <c r="CH16" s="172" cm="1">
        <f t="array" aca="1" ref="CH16" ca="1">IF(OR($D16&lt;&gt;"Serviço",AND(AUTOEVENTO="Manual",$M16=$A$15),$M16&gt;(ROW(PLE.lastrow)-ROW(PLE.firstrow))),0,
           IF(OFFSET(PLE!$G$15,$M16-$A$15,CH$13)="",10^12,OFFSET(PLE!$G$15,$M16-$A$15,CH$13)))</f>
        <v>0</v>
      </c>
      <c r="CI16" s="172" cm="1">
        <f t="array" aca="1" ref="CI16" ca="1">IF(OR($D16&lt;&gt;"Serviço",AND(AUTOEVENTO="Manual",$M16=$A$15),$M16&gt;(ROW(PLE.lastrow)-ROW(PLE.firstrow))),0,
           IF(OFFSET(PLE!$G$15,$M16-$A$15,CI$13)="",10^12,OFFSET(PLE!$G$15,$M16-$A$15,CI$13)))</f>
        <v>0</v>
      </c>
      <c r="CJ16" s="172" cm="1">
        <f t="array" aca="1" ref="CJ16" ca="1">IF(OR($D16&lt;&gt;"Serviço",AND(AUTOEVENTO="Manual",$M16=$A$15),$M16&gt;(ROW(PLE.lastrow)-ROW(PLE.firstrow))),0,
           IF(OFFSET(PLE!$G$15,$M16-$A$15,CJ$13)="",10^12,OFFSET(PLE!$G$15,$M16-$A$15,CJ$13)))</f>
        <v>0</v>
      </c>
      <c r="CK16" s="172" cm="1">
        <f t="array" aca="1" ref="CK16" ca="1">IF(OR($D16&lt;&gt;"Serviço",AND(AUTOEVENTO="Manual",$M16=$A$15),$M16&gt;(ROW(PLE.lastrow)-ROW(PLE.firstrow))),0,
           IF(OFFSET(PLE!$G$15,$M16-$A$15,CK$13)="",10^12,OFFSET(PLE!$G$15,$M16-$A$15,CK$13)))</f>
        <v>0</v>
      </c>
      <c r="CL16" s="172" cm="1">
        <f t="array" aca="1" ref="CL16" ca="1">IF(OR($D16&lt;&gt;"Serviço",AND(AUTOEVENTO="Manual",$M16=$A$15),$M16&gt;(ROW(PLE.lastrow)-ROW(PLE.firstrow))),0,
           IF(OFFSET(PLE!$G$15,$M16-$A$15,CL$13)="",10^12,OFFSET(PLE!$G$15,$M16-$A$15,CL$13)))</f>
        <v>0</v>
      </c>
      <c r="CM16" s="172" cm="1">
        <f t="array" aca="1" ref="CM16" ca="1">IF(OR($D16&lt;&gt;"Serviço",AND(AUTOEVENTO="Manual",$M16=$A$15),$M16&gt;(ROW(PLE.lastrow)-ROW(PLE.firstrow))),0,
           IF(OFFSET(PLE!$G$15,$M16-$A$15,CM$13)="",10^12,OFFSET(PLE!$G$15,$M16-$A$15,CM$13)))</f>
        <v>0</v>
      </c>
    </row>
    <row r="17" spans="1:91" s="670" customFormat="1" ht="12.75" x14ac:dyDescent="0.2">
      <c r="A17" s="668">
        <f t="shared" ca="1" si="10"/>
        <v>0</v>
      </c>
      <c r="B17" s="668">
        <f ca="1">OFFSET(ORÇAMENTO!C$15,$L17,0)</f>
        <v>2</v>
      </c>
      <c r="C17" s="668" t="str">
        <f ca="1">OFFSET(ORÇAMENTO!L$15,$L17,0)</f>
        <v>F</v>
      </c>
      <c r="D17" s="116" t="str">
        <f ca="1">OFFSET(ORÇAMENTO!N$15,$L17,0)</f>
        <v>Nível 2</v>
      </c>
      <c r="E17" s="117" t="str">
        <f ca="1">OFFSET(ORÇAMENTO!O$15,$L17,0)</f>
        <v>1.1.</v>
      </c>
      <c r="F17" s="163" t="str">
        <f ca="1">OFFSET(ORÇAMENTO!R$15,$L17,0)</f>
        <v>CANTEIROS DE OBRAS</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I$1=1)*ROUND(Q17:AI17,15))),"►S",IF(AND(COUNTIF($P$11:$AI$11,"▼")=0,H17&gt;0,I17=""),"◄M","")))))</f>
        <v/>
      </c>
      <c r="K17" s="652"/>
      <c r="L17" s="165">
        <f t="shared" ca="1" si="11"/>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A17" s="705"/>
      <c r="AB17" s="705"/>
      <c r="AC17" s="705"/>
      <c r="AD17" s="705"/>
      <c r="AE17" s="705"/>
      <c r="AF17" s="705"/>
      <c r="AG17" s="705"/>
      <c r="AH17" s="706"/>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L17" s="453">
        <f ca="1">IF(AND($D17="Serviço",AL$12&lt;&gt;0,$H17&gt;0,OR(AUTOEVENTO&lt;&gt;"manual",$M17&lt;&gt;$A$15)),
        IF(Import.TipoArredondamento&lt;&gt;"TransfereGOV",
              ROUND(OFFSET($P17,0,AL$13),15-13*ORÇAMENTO!$AF$7)/$H17*OFFSET(ORÇAMENTO!$X$15,ROW(AL17)-ROW(AL$15),0),
              ROUND(ROUND(OFFSET($P17,0,AL$13),15-13*ORÇAMENTO!$AF$7)*OFFSET(ORÇAMENTO!$W$15,ROW(AL17)-ROW(AL$15),0),15-13*ORÇAMENTO!$AF$11)),
         0)</f>
        <v>0</v>
      </c>
      <c r="AM17" s="453">
        <f ca="1">IF(AND($D17="Serviço",AM$12&lt;&gt;0,$H17&gt;0,OR(AUTOEVENTO&lt;&gt;"manual",$M17&lt;&gt;$A$15)),
        IF(Import.TipoArredondamento&lt;&gt;"TransfereGOV",
              ROUND(OFFSET($P17,0,AM$13),15-13*ORÇAMENTO!$AF$7)/$H17*OFFSET(ORÇAMENTO!$X$15,ROW(AM17)-ROW(AM$15),0),
              ROUND(ROUND(OFFSET($P17,0,AM$13),15-13*ORÇAMENTO!$AF$7)*OFFSET(ORÇAMENTO!$W$15,ROW(AM17)-ROW(AM$15),0),15-13*ORÇAMENTO!$AF$11)),
         0)</f>
        <v>0</v>
      </c>
      <c r="AN17" s="453">
        <f ca="1">IF(AND($D17="Serviço",AN$12&lt;&gt;0,$H17&gt;0,OR(AUTOEVENTO&lt;&gt;"manual",$M17&lt;&gt;$A$15)),
        IF(Import.TipoArredondamento&lt;&gt;"TransfereGOV",
              ROUND(OFFSET($P17,0,AN$13),15-13*ORÇAMENTO!$AF$7)/$H17*OFFSET(ORÇAMENTO!$X$15,ROW(AN17)-ROW(AN$15),0),
              ROUND(ROUND(OFFSET($P17,0,AN$13),15-13*ORÇAMENTO!$AF$7)*OFFSET(ORÇAMENTO!$W$15,ROW(AN17)-ROW(AN$15),0),15-13*ORÇAMENTO!$AF$11)),
         0)</f>
        <v>0</v>
      </c>
      <c r="AO17" s="453">
        <f ca="1">IF(AND($D17="Serviço",AO$12&lt;&gt;0,$H17&gt;0,OR(AUTOEVENTO&lt;&gt;"manual",$M17&lt;&gt;$A$15)),
        IF(Import.TipoArredondamento&lt;&gt;"TransfereGOV",
              ROUND(OFFSET($P17,0,AO$13),15-13*ORÇAMENTO!$AF$7)/$H17*OFFSET(ORÇAMENTO!$X$15,ROW(AO17)-ROW(AO$15),0),
              ROUND(ROUND(OFFSET($P17,0,AO$13),15-13*ORÇAMENTO!$AF$7)*OFFSET(ORÇAMENTO!$W$15,ROW(AO17)-ROW(AO$15),0),15-13*ORÇAMENTO!$AF$11)),
         0)</f>
        <v>0</v>
      </c>
      <c r="AP17" s="453">
        <f ca="1">IF(AND($D17="Serviço",AP$12&lt;&gt;0,$H17&gt;0,OR(AUTOEVENTO&lt;&gt;"manual",$M17&lt;&gt;$A$15)),
        IF(Import.TipoArredondamento&lt;&gt;"TransfereGOV",
              ROUND(OFFSET($P17,0,AP$13),15-13*ORÇAMENTO!$AF$7)/$H17*OFFSET(ORÇAMENTO!$X$15,ROW(AP17)-ROW(AP$15),0),
              ROUND(ROUND(OFFSET($P17,0,AP$13),15-13*ORÇAMENTO!$AF$7)*OFFSET(ORÇAMENTO!$W$15,ROW(AP17)-ROW(AP$15),0),15-13*ORÇAMENTO!$AF$11)),
         0)</f>
        <v>0</v>
      </c>
      <c r="AQ17" s="453">
        <f ca="1">IF(AND($D17="Serviço",AQ$12&lt;&gt;0,$H17&gt;0,OR(AUTOEVENTO&lt;&gt;"manual",$M17&lt;&gt;$A$15)),
        IF(Import.TipoArredondamento&lt;&gt;"TransfereGOV",
              ROUND(OFFSET($P17,0,AQ$13),15-13*ORÇAMENTO!$AF$7)/$H17*OFFSET(ORÇAMENTO!$X$15,ROW(AQ17)-ROW(AQ$15),0),
              ROUND(ROUND(OFFSET($P17,0,AQ$13),15-13*ORÇAMENTO!$AF$7)*OFFSET(ORÇAMENTO!$W$15,ROW(AQ17)-ROW(AQ$15),0),15-13*ORÇAMENTO!$AF$11)),
         0)</f>
        <v>0</v>
      </c>
      <c r="AR17" s="453">
        <f ca="1">IF(AND($D17="Serviço",AR$12&lt;&gt;0,$H17&gt;0,OR(AUTOEVENTO&lt;&gt;"manual",$M17&lt;&gt;$A$15)),
        IF(Import.TipoArredondamento&lt;&gt;"TransfereGOV",
              ROUND(OFFSET($P17,0,AR$13),15-13*ORÇAMENTO!$AF$7)/$H17*OFFSET(ORÇAMENTO!$X$15,ROW(AR17)-ROW(AR$15),0),
              ROUND(ROUND(OFFSET($P17,0,AR$13),15-13*ORÇAMENTO!$AF$7)*OFFSET(ORÇAMENTO!$W$15,ROW(AR17)-ROW(AR$15),0),15-13*ORÇAMENTO!$AF$11)),
         0)</f>
        <v>0</v>
      </c>
      <c r="AS17" s="453">
        <f ca="1">IF(AND($D17="Serviço",AS$12&lt;&gt;0,$H17&gt;0,OR(AUTOEVENTO&lt;&gt;"manual",$M17&lt;&gt;$A$15)),
        IF(Import.TipoArredondamento&lt;&gt;"TransfereGOV",
              ROUND(OFFSET($P17,0,AS$13),15-13*ORÇAMENTO!$AF$7)/$H17*OFFSET(ORÇAMENTO!$X$15,ROW(AS17)-ROW(AS$15),0),
              ROUND(ROUND(OFFSET($P17,0,AS$13),15-13*ORÇAMENTO!$AF$7)*OFFSET(ORÇAMENTO!$W$15,ROW(AS17)-ROW(AS$15),0),15-13*ORÇAMENTO!$AF$11)),
         0)</f>
        <v>0</v>
      </c>
      <c r="AT17" s="453">
        <f ca="1">IF(AND($D17="Serviço",AT$12&lt;&gt;0,$H17&gt;0,OR(AUTOEVENTO&lt;&gt;"manual",$M17&lt;&gt;$A$15)),
        IF(Import.TipoArredondamento&lt;&gt;"TransfereGOV",
              ROUND(OFFSET($P17,0,AT$13),15-13*ORÇAMENTO!$AF$7)/$H17*OFFSET(ORÇAMENTO!$X$15,ROW(AT17)-ROW(AT$15),0),
              ROUND(ROUND(OFFSET($P17,0,AT$13),15-13*ORÇAMENTO!$AF$7)*OFFSET(ORÇAMENTO!$W$15,ROW(AT17)-ROW(AT$15),0),15-13*ORÇAMENTO!$AF$11)),
         0)</f>
        <v>0</v>
      </c>
      <c r="AU17" s="453">
        <f ca="1">IF(AND($D17="Serviço",AU$12&lt;&gt;0,$H17&gt;0,OR(AUTOEVENTO&lt;&gt;"manual",$M17&lt;&gt;$A$15)),
        IF(Import.TipoArredondamento&lt;&gt;"TransfereGOV",
              ROUND(OFFSET($P17,0,AU$13),15-13*ORÇAMENTO!$AF$7)/$H17*OFFSET(ORÇAMENTO!$X$15,ROW(AU17)-ROW(AU$15),0),
              ROUND(ROUND(OFFSET($P17,0,AU$13),15-13*ORÇAMENTO!$AF$7)*OFFSET(ORÇAMENTO!$W$15,ROW(AU17)-ROW(AU$15),0),15-13*ORÇAMENTO!$AF$11)),
         0)</f>
        <v>0</v>
      </c>
      <c r="AV17" s="453">
        <f ca="1">IF(AND($D17="Serviço",AV$12&lt;&gt;0,$H17&gt;0,OR(AUTOEVENTO&lt;&gt;"manual",$M17&lt;&gt;$A$15)),
        IF(Import.TipoArredondamento&lt;&gt;"TransfereGOV",
              ROUND(OFFSET($P17,0,AV$13),15-13*ORÇAMENTO!$AF$7)/$H17*OFFSET(ORÇAMENTO!$X$15,ROW(AV17)-ROW(AV$15),0),
              ROUND(ROUND(OFFSET($P17,0,AV$13),15-13*ORÇAMENTO!$AF$7)*OFFSET(ORÇAMENTO!$W$15,ROW(AV17)-ROW(AV$15),0),15-13*ORÇAMENTO!$AF$11)),
         0)</f>
        <v>0</v>
      </c>
      <c r="AW17" s="453">
        <f ca="1">IF(AND($D17="Serviço",AW$12&lt;&gt;0,$H17&gt;0,OR(AUTOEVENTO&lt;&gt;"manual",$M17&lt;&gt;$A$15)),
        IF(Import.TipoArredondamento&lt;&gt;"TransfereGOV",
              ROUND(OFFSET($P17,0,AW$13),15-13*ORÇAMENTO!$AF$7)/$H17*OFFSET(ORÇAMENTO!$X$15,ROW(AW17)-ROW(AW$15),0),
              ROUND(ROUND(OFFSET($P17,0,AW$13),15-13*ORÇAMENTO!$AF$7)*OFFSET(ORÇAMENTO!$W$15,ROW(AW17)-ROW(AW$15),0),15-13*ORÇAMENTO!$AF$11)),
         0)</f>
        <v>0</v>
      </c>
      <c r="AX17" s="453">
        <f ca="1">IF(AND($D17="Serviço",AX$12&lt;&gt;0,$H17&gt;0,OR(AUTOEVENTO&lt;&gt;"manual",$M17&lt;&gt;$A$15)),
        IF(Import.TipoArredondamento&lt;&gt;"TransfereGOV",
              ROUND(OFFSET($P17,0,AX$13),15-13*ORÇAMENTO!$AF$7)/$H17*OFFSET(ORÇAMENTO!$X$15,ROW(AX17)-ROW(AX$15),0),
              ROUND(ROUND(OFFSET($P17,0,AX$13),15-13*ORÇAMENTO!$AF$7)*OFFSET(ORÇAMENTO!$W$15,ROW(AX17)-ROW(AX$15),0),15-13*ORÇAMENTO!$AF$11)),
         0)</f>
        <v>0</v>
      </c>
      <c r="AY17" s="453">
        <f ca="1">IF(AND($D17="Serviço",AY$12&lt;&gt;0,$H17&gt;0,OR(AUTOEVENTO&lt;&gt;"manual",$M17&lt;&gt;$A$15)),
        IF(Import.TipoArredondamento&lt;&gt;"TransfereGOV",
              ROUND(OFFSET($P17,0,AY$13),15-13*ORÇAMENTO!$AF$7)/$H17*OFFSET(ORÇAMENTO!$X$15,ROW(AY17)-ROW(AY$15),0),
              ROUND(ROUND(OFFSET($P17,0,AY$13),15-13*ORÇAMENTO!$AF$7)*OFFSET(ORÇAMENTO!$W$15,ROW(AY17)-ROW(AY$15),0),15-13*ORÇAMENTO!$AF$11)),
         0)</f>
        <v>0</v>
      </c>
      <c r="AZ17" s="453">
        <f ca="1">IF(AND($D17="Serviço",AZ$12&lt;&gt;0,$H17&gt;0,OR(AUTOEVENTO&lt;&gt;"manual",$M17&lt;&gt;$A$15)),
        IF(Import.TipoArredondamento&lt;&gt;"TransfereGOV",
              ROUND(OFFSET($P17,0,AZ$13),15-13*ORÇAMENTO!$AF$7)/$H17*OFFSET(ORÇAMENTO!$X$15,ROW(AZ17)-ROW(AZ$15),0),
              ROUND(ROUND(OFFSET($P17,0,AZ$13),15-13*ORÇAMENTO!$AF$7)*OFFSET(ORÇAMENTO!$W$15,ROW(AZ17)-ROW(AZ$15),0),15-13*ORÇAMENTO!$AF$11)),
         0)</f>
        <v>0</v>
      </c>
      <c r="BA17" s="453">
        <f ca="1">IF(AND($D17="Serviço",BA$12&lt;&gt;0,$H17&gt;0,OR(AUTOEVENTO&lt;&gt;"manual",$M17&lt;&gt;$A$15)),
        IF(Import.TipoArredondamento&lt;&gt;"TransfereGOV",
              ROUND(OFFSET($P17,0,BA$13),15-13*ORÇAMENTO!$AF$7)/$H17*OFFSET(ORÇAMENTO!$X$15,ROW(BA17)-ROW(BA$15),0),
              ROUND(ROUND(OFFSET($P17,0,BA$13),15-13*ORÇAMENTO!$AF$7)*OFFSET(ORÇAMENTO!$W$15,ROW(BA17)-ROW(BA$15),0),15-13*ORÇAMENTO!$AF$11)),
         0)</f>
        <v>0</v>
      </c>
      <c r="BC17" s="171">
        <f ca="1">IF(OR($D17&lt;&gt;"Serviço",AND(AUTOEVENTO="Manual",$M17=$A$15)),0,
         IF(OFFSET(CRONOPLE!$F$15,$M17-$A$15,BC$13)=0,10^12,OFFSET(CRONOPLE!$F$15,$M17-$A$15,BC$13)))</f>
        <v>0</v>
      </c>
      <c r="BD17" s="171">
        <f ca="1">IF(OR($D17&lt;&gt;"Serviço",AND(AUTOEVENTO="Manual",$M17=$A$15)),0,
         IF(OFFSET(CRONOPLE!$F$15,$M17-$A$15,BD$13)=0,10^12,OFFSET(CRONOPLE!$F$15,$M17-$A$15,BD$13)))</f>
        <v>0</v>
      </c>
      <c r="BE17" s="171">
        <f ca="1">IF(OR($D17&lt;&gt;"Serviço",AND(AUTOEVENTO="Manual",$M17=$A$15)),0,
         IF(OFFSET(CRONOPLE!$F$15,$M17-$A$15,BE$13)=0,10^12,OFFSET(CRONOPLE!$F$15,$M17-$A$15,BE$13)))</f>
        <v>0</v>
      </c>
      <c r="BF17" s="171">
        <f ca="1">IF(OR($D17&lt;&gt;"Serviço",AND(AUTOEVENTO="Manual",$M17=$A$15)),0,
         IF(OFFSET(CRONOPLE!$F$15,$M17-$A$15,BF$13)=0,10^12,OFFSET(CRONOPLE!$F$15,$M17-$A$15,BF$13)))</f>
        <v>0</v>
      </c>
      <c r="BG17" s="171">
        <f ca="1">IF(OR($D17&lt;&gt;"Serviço",AND(AUTOEVENTO="Manual",$M17=$A$15)),0,
         IF(OFFSET(CRONOPLE!$F$15,$M17-$A$15,BG$13)=0,10^12,OFFSET(CRONOPLE!$F$15,$M17-$A$15,BG$13)))</f>
        <v>0</v>
      </c>
      <c r="BH17" s="171">
        <f ca="1">IF(OR($D17&lt;&gt;"Serviço",AND(AUTOEVENTO="Manual",$M17=$A$15)),0,
         IF(OFFSET(CRONOPLE!$F$15,$M17-$A$15,BH$13)=0,10^12,OFFSET(CRONOPLE!$F$15,$M17-$A$15,BH$13)))</f>
        <v>0</v>
      </c>
      <c r="BI17" s="171">
        <f ca="1">IF(OR($D17&lt;&gt;"Serviço",AND(AUTOEVENTO="Manual",$M17=$A$15)),0,
         IF(OFFSET(CRONOPLE!$F$15,$M17-$A$15,BI$13)=0,10^12,OFFSET(CRONOPLE!$F$15,$M17-$A$15,BI$13)))</f>
        <v>0</v>
      </c>
      <c r="BJ17" s="171">
        <f ca="1">IF(OR($D17&lt;&gt;"Serviço",AND(AUTOEVENTO="Manual",$M17=$A$15)),0,
         IF(OFFSET(CRONOPLE!$F$15,$M17-$A$15,BJ$13)=0,10^12,OFFSET(CRONOPLE!$F$15,$M17-$A$15,BJ$13)))</f>
        <v>0</v>
      </c>
      <c r="BK17" s="171">
        <f ca="1">IF(OR($D17&lt;&gt;"Serviço",AND(AUTOEVENTO="Manual",$M17=$A$15)),0,
         IF(OFFSET(CRONOPLE!$F$15,$M17-$A$15,BK$13)=0,10^12,OFFSET(CRONOPLE!$F$15,$M17-$A$15,BK$13)))</f>
        <v>0</v>
      </c>
      <c r="BL17" s="171">
        <f ca="1">IF(OR($D17&lt;&gt;"Serviço",AND(AUTOEVENTO="Manual",$M17=$A$15)),0,
         IF(OFFSET(CRONOPLE!$F$15,$M17-$A$15,BL$13)=0,10^12,OFFSET(CRONOPLE!$F$15,$M17-$A$15,BL$13)))</f>
        <v>0</v>
      </c>
      <c r="BM17" s="171">
        <f ca="1">IF(OR($D17&lt;&gt;"Serviço",AND(AUTOEVENTO="Manual",$M17=$A$15)),0,
         IF(OFFSET(CRONOPLE!$F$15,$M17-$A$15,BM$13)=0,10^12,OFFSET(CRONOPLE!$F$15,$M17-$A$15,BM$13)))</f>
        <v>0</v>
      </c>
      <c r="BN17" s="171">
        <f ca="1">IF(OR($D17&lt;&gt;"Serviço",AND(AUTOEVENTO="Manual",$M17=$A$15)),0,
         IF(OFFSET(CRONOPLE!$F$15,$M17-$A$15,BN$13)=0,10^12,OFFSET(CRONOPLE!$F$15,$M17-$A$15,BN$13)))</f>
        <v>0</v>
      </c>
      <c r="BO17" s="171">
        <f ca="1">IF(OR($D17&lt;&gt;"Serviço",AND(AUTOEVENTO="Manual",$M17=$A$15)),0,
         IF(OFFSET(CRONOPLE!$F$15,$M17-$A$15,BO$13)=0,10^12,OFFSET(CRONOPLE!$F$15,$M17-$A$15,BO$13)))</f>
        <v>0</v>
      </c>
      <c r="BP17" s="171">
        <f ca="1">IF(OR($D17&lt;&gt;"Serviço",AND(AUTOEVENTO="Manual",$M17=$A$15)),0,
         IF(OFFSET(CRONOPLE!$F$15,$M17-$A$15,BP$13)=0,10^12,OFFSET(CRONOPLE!$F$15,$M17-$A$15,BP$13)))</f>
        <v>0</v>
      </c>
      <c r="BQ17" s="171">
        <f ca="1">IF(OR($D17&lt;&gt;"Serviço",AND(AUTOEVENTO="Manual",$M17=$A$15)),0,
         IF(OFFSET(CRONOPLE!$F$15,$M17-$A$15,BQ$13)=0,10^12,OFFSET(CRONOPLE!$F$15,$M17-$A$15,BQ$13)))</f>
        <v>0</v>
      </c>
      <c r="BR17" s="171">
        <f ca="1">IF(OR($D17&lt;&gt;"Serviço",AND(AUTOEVENTO="Manual",$M17=$A$15)),0,
         IF(OFFSET(CRONOPLE!$F$15,$M17-$A$15,BR$13)=0,10^12,OFFSET(CRONOPLE!$F$15,$M17-$A$15,BR$13)))</f>
        <v>0</v>
      </c>
      <c r="BS17" s="171">
        <f ca="1">IF(OR($D17&lt;&gt;"Serviço",AND(AUTOEVENTO="Manual",$M17=$A$15)),0,
         IF(OFFSET(CRONOPLE!$F$15,$M17-$A$15,BS$13)=0,10^12,OFFSET(CRONOPLE!$F$15,$M17-$A$15,BS$13)))</f>
        <v>0</v>
      </c>
      <c r="BT17" s="171">
        <f ca="1">IF(OR($D17&lt;&gt;"Serviço",AND(AUTOEVENTO="Manual",$M17=$A$15)),0,
         IF(OFFSET(CRONOPLE!$F$15,$M17-$A$15,BT$13)=0,10^12,OFFSET(CRONOPLE!$F$15,$M17-$A$15,BT$13)))</f>
        <v>0</v>
      </c>
      <c r="BV17" s="172" cm="1">
        <f t="array" aca="1" ref="BV17" ca="1">IF(OR($D17&lt;&gt;"Serviço",AND(AUTOEVENTO="Manual",$M17=$A$15),$M17&gt;(ROW(PLE.lastrow)-ROW(PLE.firstrow))),0,
           IF(OFFSET(PLE!$G$15,$M17-$A$15,BV$13)="",10^12,OFFSET(PLE!$G$15,$M17-$A$15,BV$13)))</f>
        <v>0</v>
      </c>
      <c r="BW17" s="172" cm="1">
        <f t="array" aca="1" ref="BW17" ca="1">IF(OR($D17&lt;&gt;"Serviço",AND(AUTOEVENTO="Manual",$M17=$A$15),$M17&gt;(ROW(PLE.lastrow)-ROW(PLE.firstrow))),0,
           IF(OFFSET(PLE!$G$15,$M17-$A$15,BW$13)="",10^12,OFFSET(PLE!$G$15,$M17-$A$15,BW$13)))</f>
        <v>0</v>
      </c>
      <c r="BX17" s="172" cm="1">
        <f t="array" aca="1" ref="BX17" ca="1">IF(OR($D17&lt;&gt;"Serviço",AND(AUTOEVENTO="Manual",$M17=$A$15),$M17&gt;(ROW(PLE.lastrow)-ROW(PLE.firstrow))),0,
           IF(OFFSET(PLE!$G$15,$M17-$A$15,BX$13)="",10^12,OFFSET(PLE!$G$15,$M17-$A$15,BX$13)))</f>
        <v>0</v>
      </c>
      <c r="BY17" s="172" cm="1">
        <f t="array" aca="1" ref="BY17" ca="1">IF(OR($D17&lt;&gt;"Serviço",AND(AUTOEVENTO="Manual",$M17=$A$15),$M17&gt;(ROW(PLE.lastrow)-ROW(PLE.firstrow))),0,
           IF(OFFSET(PLE!$G$15,$M17-$A$15,BY$13)="",10^12,OFFSET(PLE!$G$15,$M17-$A$15,BY$13)))</f>
        <v>0</v>
      </c>
      <c r="BZ17" s="172" cm="1">
        <f t="array" aca="1" ref="BZ17" ca="1">IF(OR($D17&lt;&gt;"Serviço",AND(AUTOEVENTO="Manual",$M17=$A$15),$M17&gt;(ROW(PLE.lastrow)-ROW(PLE.firstrow))),0,
           IF(OFFSET(PLE!$G$15,$M17-$A$15,BZ$13)="",10^12,OFFSET(PLE!$G$15,$M17-$A$15,BZ$13)))</f>
        <v>0</v>
      </c>
      <c r="CA17" s="172" cm="1">
        <f t="array" aca="1" ref="CA17" ca="1">IF(OR($D17&lt;&gt;"Serviço",AND(AUTOEVENTO="Manual",$M17=$A$15),$M17&gt;(ROW(PLE.lastrow)-ROW(PLE.firstrow))),0,
           IF(OFFSET(PLE!$G$15,$M17-$A$15,CA$13)="",10^12,OFFSET(PLE!$G$15,$M17-$A$15,CA$13)))</f>
        <v>0</v>
      </c>
      <c r="CB17" s="172" cm="1">
        <f t="array" aca="1" ref="CB17" ca="1">IF(OR($D17&lt;&gt;"Serviço",AND(AUTOEVENTO="Manual",$M17=$A$15),$M17&gt;(ROW(PLE.lastrow)-ROW(PLE.firstrow))),0,
           IF(OFFSET(PLE!$G$15,$M17-$A$15,CB$13)="",10^12,OFFSET(PLE!$G$15,$M17-$A$15,CB$13)))</f>
        <v>0</v>
      </c>
      <c r="CC17" s="172" cm="1">
        <f t="array" aca="1" ref="CC17" ca="1">IF(OR($D17&lt;&gt;"Serviço",AND(AUTOEVENTO="Manual",$M17=$A$15),$M17&gt;(ROW(PLE.lastrow)-ROW(PLE.firstrow))),0,
           IF(OFFSET(PLE!$G$15,$M17-$A$15,CC$13)="",10^12,OFFSET(PLE!$G$15,$M17-$A$15,CC$13)))</f>
        <v>0</v>
      </c>
      <c r="CD17" s="172" cm="1">
        <f t="array" aca="1" ref="CD17" ca="1">IF(OR($D17&lt;&gt;"Serviço",AND(AUTOEVENTO="Manual",$M17=$A$15),$M17&gt;(ROW(PLE.lastrow)-ROW(PLE.firstrow))),0,
           IF(OFFSET(PLE!$G$15,$M17-$A$15,CD$13)="",10^12,OFFSET(PLE!$G$15,$M17-$A$15,CD$13)))</f>
        <v>0</v>
      </c>
      <c r="CE17" s="172" cm="1">
        <f t="array" aca="1" ref="CE17" ca="1">IF(OR($D17&lt;&gt;"Serviço",AND(AUTOEVENTO="Manual",$M17=$A$15),$M17&gt;(ROW(PLE.lastrow)-ROW(PLE.firstrow))),0,
           IF(OFFSET(PLE!$G$15,$M17-$A$15,CE$13)="",10^12,OFFSET(PLE!$G$15,$M17-$A$15,CE$13)))</f>
        <v>0</v>
      </c>
      <c r="CF17" s="172" cm="1">
        <f t="array" aca="1" ref="CF17" ca="1">IF(OR($D17&lt;&gt;"Serviço",AND(AUTOEVENTO="Manual",$M17=$A$15),$M17&gt;(ROW(PLE.lastrow)-ROW(PLE.firstrow))),0,
           IF(OFFSET(PLE!$G$15,$M17-$A$15,CF$13)="",10^12,OFFSET(PLE!$G$15,$M17-$A$15,CF$13)))</f>
        <v>0</v>
      </c>
      <c r="CG17" s="172" cm="1">
        <f t="array" aca="1" ref="CG17" ca="1">IF(OR($D17&lt;&gt;"Serviço",AND(AUTOEVENTO="Manual",$M17=$A$15),$M17&gt;(ROW(PLE.lastrow)-ROW(PLE.firstrow))),0,
           IF(OFFSET(PLE!$G$15,$M17-$A$15,CG$13)="",10^12,OFFSET(PLE!$G$15,$M17-$A$15,CG$13)))</f>
        <v>0</v>
      </c>
      <c r="CH17" s="172" cm="1">
        <f t="array" aca="1" ref="CH17" ca="1">IF(OR($D17&lt;&gt;"Serviço",AND(AUTOEVENTO="Manual",$M17=$A$15),$M17&gt;(ROW(PLE.lastrow)-ROW(PLE.firstrow))),0,
           IF(OFFSET(PLE!$G$15,$M17-$A$15,CH$13)="",10^12,OFFSET(PLE!$G$15,$M17-$A$15,CH$13)))</f>
        <v>0</v>
      </c>
      <c r="CI17" s="172" cm="1">
        <f t="array" aca="1" ref="CI17" ca="1">IF(OR($D17&lt;&gt;"Serviço",AND(AUTOEVENTO="Manual",$M17=$A$15),$M17&gt;(ROW(PLE.lastrow)-ROW(PLE.firstrow))),0,
           IF(OFFSET(PLE!$G$15,$M17-$A$15,CI$13)="",10^12,OFFSET(PLE!$G$15,$M17-$A$15,CI$13)))</f>
        <v>0</v>
      </c>
      <c r="CJ17" s="172" cm="1">
        <f t="array" aca="1" ref="CJ17" ca="1">IF(OR($D17&lt;&gt;"Serviço",AND(AUTOEVENTO="Manual",$M17=$A$15),$M17&gt;(ROW(PLE.lastrow)-ROW(PLE.firstrow))),0,
           IF(OFFSET(PLE!$G$15,$M17-$A$15,CJ$13)="",10^12,OFFSET(PLE!$G$15,$M17-$A$15,CJ$13)))</f>
        <v>0</v>
      </c>
      <c r="CK17" s="172" cm="1">
        <f t="array" aca="1" ref="CK17" ca="1">IF(OR($D17&lt;&gt;"Serviço",AND(AUTOEVENTO="Manual",$M17=$A$15),$M17&gt;(ROW(PLE.lastrow)-ROW(PLE.firstrow))),0,
           IF(OFFSET(PLE!$G$15,$M17-$A$15,CK$13)="",10^12,OFFSET(PLE!$G$15,$M17-$A$15,CK$13)))</f>
        <v>0</v>
      </c>
      <c r="CL17" s="172" cm="1">
        <f t="array" aca="1" ref="CL17" ca="1">IF(OR($D17&lt;&gt;"Serviço",AND(AUTOEVENTO="Manual",$M17=$A$15),$M17&gt;(ROW(PLE.lastrow)-ROW(PLE.firstrow))),0,
           IF(OFFSET(PLE!$G$15,$M17-$A$15,CL$13)="",10^12,OFFSET(PLE!$G$15,$M17-$A$15,CL$13)))</f>
        <v>0</v>
      </c>
      <c r="CM17" s="172" cm="1">
        <f t="array" aca="1" ref="CM17" ca="1">IF(OR($D17&lt;&gt;"Serviço",AND(AUTOEVENTO="Manual",$M17=$A$15),$M17&gt;(ROW(PLE.lastrow)-ROW(PLE.firstrow))),0,
           IF(OFFSET(PLE!$G$15,$M17-$A$15,CM$13)="",10^12,OFFSET(PLE!$G$15,$M17-$A$15,CM$13)))</f>
        <v>0</v>
      </c>
    </row>
    <row r="18" spans="1:91" s="670" customFormat="1" ht="12.75" customHeight="1" x14ac:dyDescent="0.2">
      <c r="A18" s="668">
        <f t="shared" ca="1" si="10"/>
        <v>3</v>
      </c>
      <c r="B18" s="668" t="str">
        <f ca="1">OFFSET(ORÇAMENTO!C$15,$L18,0)</f>
        <v>S</v>
      </c>
      <c r="C18" s="668" t="str">
        <f ca="1">OFFSET(ORÇAMENTO!L$15,$L18,0)</f>
        <v>F</v>
      </c>
      <c r="D18" s="116" t="str">
        <f ca="1">OFFSET(ORÇAMENTO!N$15,$L18,0)</f>
        <v>Serviço</v>
      </c>
      <c r="E18" s="117" t="str">
        <f ca="1">OFFSET(ORÇAMENTO!O$15,$L18,0)</f>
        <v>1.1.1.</v>
      </c>
      <c r="F18" s="163" t="str">
        <f ca="1">OFFSET(ORÇAMENTO!R$15,$L18,0)</f>
        <v>FORNECIMENTO E INSTALAÇÃO DE PLACA DE OBRA COM CHAPA GALVANIZADA E ESTRUTURA DE MADEIRA. AF_03/2022_PS</v>
      </c>
      <c r="G18" s="164" t="str">
        <f ca="1">IF($D18&lt;&gt;"Serviço","",OFFSET(ORÇAMENTO!S$15,$L18,0))</f>
        <v>M2</v>
      </c>
      <c r="H18" s="122" cm="1">
        <f t="array" aca="1" ref="H18" ca="1">IF($D18&lt;&gt;"Serviço",0,IF(ACOMPANHAMENTO="BM",ROUND(OFFSET(ORÇAMENTO!AJ$15,$L18,0),15-13*ORÇAMENTO!$AF$7),IF(IFERROR(CÁLCULO.FrentesPreenchidas,0)=0,0,SUM(ROUND(OFFSET($P18,0,1,1,CÁLCULO.FrentesPreenchidas),15-13*ORÇAMENTO!$AF$7)))))</f>
        <v>6.48</v>
      </c>
      <c r="I18" s="468" t="s">
        <v>1259</v>
      </c>
      <c r="J18" s="651" t="str" cm="1">
        <f t="array" aca="1" ref="J18" ca="1">IF(OR(B18&lt;&gt;"S",CÁLCULO.FrentesPreenchidas=0),"",IF(AND(ACOMPANHAMENTO="PLE",AUTOEVENTO="Manual",OR(H18&gt;0,ORÇAMENTO!AC18="QUANT."),OR(K18="",M18=0,N18="")),"►E",IF(AND(ACOMPANHAMENTO="PLE",ORÇAMENTO!AC18="QUANT."),"►Q",IF(AND(ACOMPANHAMENTO="PLE",H18&lt;&gt;SUMPRODUCT(($Q$1:$AI$1=1)*ROUND(Q18:AI18,15))),"►S",IF(AND(COUNTIF($P$11:$AI$11,"▼")=0,H18&gt;0,I18=""),"◄M","")))))</f>
        <v/>
      </c>
      <c r="K18" s="652" t="s">
        <v>1333</v>
      </c>
      <c r="L18" s="165">
        <f t="shared" ca="1" si="11"/>
        <v>3</v>
      </c>
      <c r="M18" s="166">
        <f ca="1">IF($D18&lt;&gt;"Serviço","",
          IF(AUTOEVENTO="manual",$A18,
                IF(ISERROR(MATCH($A18,$A$15:OFFSET($A18,-1,0),0)),MAX($M$15:OFFSET(M18,-1,0))+1,
                      INDEX($M$15:OFFSET(M18,-1,0),MATCH($A18,$A$15:OFFSET($A18,-1,0),0)))))</f>
        <v>3</v>
      </c>
      <c r="N18" s="167" t="str">
        <f ca="1">IF($D18&lt;&gt;"Serviço","",
         IF(AUTOEVENTO="Manual",
                IF($A18=0,"&lt;-- defina o número do agrupador",
                       OFFSET(EVENTOS!$D$15,$A18-$A$15,0)),
                OFFSET($F$15,$A18,0)))</f>
        <v>Canteiro de Obras</v>
      </c>
      <c r="O18" s="168"/>
      <c r="Q18" s="168"/>
      <c r="R18" s="169">
        <v>6.48</v>
      </c>
      <c r="S18" s="169"/>
      <c r="T18" s="169"/>
      <c r="U18" s="169"/>
      <c r="V18" s="169"/>
      <c r="W18" s="169"/>
      <c r="X18" s="169"/>
      <c r="Y18" s="169"/>
      <c r="Z18" s="170"/>
      <c r="AA18" s="705"/>
      <c r="AB18" s="705"/>
      <c r="AC18" s="705"/>
      <c r="AD18" s="705"/>
      <c r="AE18" s="705"/>
      <c r="AF18" s="705"/>
      <c r="AG18" s="705"/>
      <c r="AH18" s="706"/>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3455.27</v>
      </c>
      <c r="AL18" s="453">
        <f ca="1">IF(AND($D18="Serviço",AL$12&lt;&gt;0,$H18&gt;0,OR(AUTOEVENTO&lt;&gt;"manual",$M18&lt;&gt;$A$15)),
        IF(Import.TipoArredondamento&lt;&gt;"TransfereGOV",
              ROUND(OFFSET($P18,0,AL$13),15-13*ORÇAMENTO!$AF$7)/$H18*OFFSET(ORÇAMENTO!$X$15,ROW(AL18)-ROW(AL$15),0),
              ROUND(ROUND(OFFSET($P18,0,AL$13),15-13*ORÇAMENTO!$AF$7)*OFFSET(ORÇAMENTO!$W$15,ROW(AL18)-ROW(AL$15),0),15-13*ORÇAMENTO!$AF$11)),
         0)</f>
        <v>0</v>
      </c>
      <c r="AM18" s="453">
        <f ca="1">IF(AND($D18="Serviço",AM$12&lt;&gt;0,$H18&gt;0,OR(AUTOEVENTO&lt;&gt;"manual",$M18&lt;&gt;$A$15)),
        IF(Import.TipoArredondamento&lt;&gt;"TransfereGOV",
              ROUND(OFFSET($P18,0,AM$13),15-13*ORÇAMENTO!$AF$7)/$H18*OFFSET(ORÇAMENTO!$X$15,ROW(AM18)-ROW(AM$15),0),
              ROUND(ROUND(OFFSET($P18,0,AM$13),15-13*ORÇAMENTO!$AF$7)*OFFSET(ORÇAMENTO!$W$15,ROW(AM18)-ROW(AM$15),0),15-13*ORÇAMENTO!$AF$11)),
         0)</f>
        <v>0</v>
      </c>
      <c r="AN18" s="453">
        <f ca="1">IF(AND($D18="Serviço",AN$12&lt;&gt;0,$H18&gt;0,OR(AUTOEVENTO&lt;&gt;"manual",$M18&lt;&gt;$A$15)),
        IF(Import.TipoArredondamento&lt;&gt;"TransfereGOV",
              ROUND(OFFSET($P18,0,AN$13),15-13*ORÇAMENTO!$AF$7)/$H18*OFFSET(ORÇAMENTO!$X$15,ROW(AN18)-ROW(AN$15),0),
              ROUND(ROUND(OFFSET($P18,0,AN$13),15-13*ORÇAMENTO!$AF$7)*OFFSET(ORÇAMENTO!$W$15,ROW(AN18)-ROW(AN$15),0),15-13*ORÇAMENTO!$AF$11)),
         0)</f>
        <v>0</v>
      </c>
      <c r="AO18" s="453">
        <f ca="1">IF(AND($D18="Serviço",AO$12&lt;&gt;0,$H18&gt;0,OR(AUTOEVENTO&lt;&gt;"manual",$M18&lt;&gt;$A$15)),
        IF(Import.TipoArredondamento&lt;&gt;"TransfereGOV",
              ROUND(OFFSET($P18,0,AO$13),15-13*ORÇAMENTO!$AF$7)/$H18*OFFSET(ORÇAMENTO!$X$15,ROW(AO18)-ROW(AO$15),0),
              ROUND(ROUND(OFFSET($P18,0,AO$13),15-13*ORÇAMENTO!$AF$7)*OFFSET(ORÇAMENTO!$W$15,ROW(AO18)-ROW(AO$15),0),15-13*ORÇAMENTO!$AF$11)),
         0)</f>
        <v>0</v>
      </c>
      <c r="AP18" s="453">
        <f ca="1">IF(AND($D18="Serviço",AP$12&lt;&gt;0,$H18&gt;0,OR(AUTOEVENTO&lt;&gt;"manual",$M18&lt;&gt;$A$15)),
        IF(Import.TipoArredondamento&lt;&gt;"TransfereGOV",
              ROUND(OFFSET($P18,0,AP$13),15-13*ORÇAMENTO!$AF$7)/$H18*OFFSET(ORÇAMENTO!$X$15,ROW(AP18)-ROW(AP$15),0),
              ROUND(ROUND(OFFSET($P18,0,AP$13),15-13*ORÇAMENTO!$AF$7)*OFFSET(ORÇAMENTO!$W$15,ROW(AP18)-ROW(AP$15),0),15-13*ORÇAMENTO!$AF$11)),
         0)</f>
        <v>0</v>
      </c>
      <c r="AQ18" s="453">
        <f ca="1">IF(AND($D18="Serviço",AQ$12&lt;&gt;0,$H18&gt;0,OR(AUTOEVENTO&lt;&gt;"manual",$M18&lt;&gt;$A$15)),
        IF(Import.TipoArredondamento&lt;&gt;"TransfereGOV",
              ROUND(OFFSET($P18,0,AQ$13),15-13*ORÇAMENTO!$AF$7)/$H18*OFFSET(ORÇAMENTO!$X$15,ROW(AQ18)-ROW(AQ$15),0),
              ROUND(ROUND(OFFSET($P18,0,AQ$13),15-13*ORÇAMENTO!$AF$7)*OFFSET(ORÇAMENTO!$W$15,ROW(AQ18)-ROW(AQ$15),0),15-13*ORÇAMENTO!$AF$11)),
         0)</f>
        <v>0</v>
      </c>
      <c r="AR18" s="453">
        <f ca="1">IF(AND($D18="Serviço",AR$12&lt;&gt;0,$H18&gt;0,OR(AUTOEVENTO&lt;&gt;"manual",$M18&lt;&gt;$A$15)),
        IF(Import.TipoArredondamento&lt;&gt;"TransfereGOV",
              ROUND(OFFSET($P18,0,AR$13),15-13*ORÇAMENTO!$AF$7)/$H18*OFFSET(ORÇAMENTO!$X$15,ROW(AR18)-ROW(AR$15),0),
              ROUND(ROUND(OFFSET($P18,0,AR$13),15-13*ORÇAMENTO!$AF$7)*OFFSET(ORÇAMENTO!$W$15,ROW(AR18)-ROW(AR$15),0),15-13*ORÇAMENTO!$AF$11)),
         0)</f>
        <v>0</v>
      </c>
      <c r="AS18" s="453">
        <f ca="1">IF(AND($D18="Serviço",AS$12&lt;&gt;0,$H18&gt;0,OR(AUTOEVENTO&lt;&gt;"manual",$M18&lt;&gt;$A$15)),
        IF(Import.TipoArredondamento&lt;&gt;"TransfereGOV",
              ROUND(OFFSET($P18,0,AS$13),15-13*ORÇAMENTO!$AF$7)/$H18*OFFSET(ORÇAMENTO!$X$15,ROW(AS18)-ROW(AS$15),0),
              ROUND(ROUND(OFFSET($P18,0,AS$13),15-13*ORÇAMENTO!$AF$7)*OFFSET(ORÇAMENTO!$W$15,ROW(AS18)-ROW(AS$15),0),15-13*ORÇAMENTO!$AF$11)),
         0)</f>
        <v>0</v>
      </c>
      <c r="AT18" s="453">
        <f ca="1">IF(AND($D18="Serviço",AT$12&lt;&gt;0,$H18&gt;0,OR(AUTOEVENTO&lt;&gt;"manual",$M18&lt;&gt;$A$15)),
        IF(Import.TipoArredondamento&lt;&gt;"TransfereGOV",
              ROUND(OFFSET($P18,0,AT$13),15-13*ORÇAMENTO!$AF$7)/$H18*OFFSET(ORÇAMENTO!$X$15,ROW(AT18)-ROW(AT$15),0),
              ROUND(ROUND(OFFSET($P18,0,AT$13),15-13*ORÇAMENTO!$AF$7)*OFFSET(ORÇAMENTO!$W$15,ROW(AT18)-ROW(AT$15),0),15-13*ORÇAMENTO!$AF$11)),
         0)</f>
        <v>0</v>
      </c>
      <c r="AU18" s="453">
        <f ca="1">IF(AND($D18="Serviço",AU$12&lt;&gt;0,$H18&gt;0,OR(AUTOEVENTO&lt;&gt;"manual",$M18&lt;&gt;$A$15)),
        IF(Import.TipoArredondamento&lt;&gt;"TransfereGOV",
              ROUND(OFFSET($P18,0,AU$13),15-13*ORÇAMENTO!$AF$7)/$H18*OFFSET(ORÇAMENTO!$X$15,ROW(AU18)-ROW(AU$15),0),
              ROUND(ROUND(OFFSET($P18,0,AU$13),15-13*ORÇAMENTO!$AF$7)*OFFSET(ORÇAMENTO!$W$15,ROW(AU18)-ROW(AU$15),0),15-13*ORÇAMENTO!$AF$11)),
         0)</f>
        <v>0</v>
      </c>
      <c r="AV18" s="453">
        <f ca="1">IF(AND($D18="Serviço",AV$12&lt;&gt;0,$H18&gt;0,OR(AUTOEVENTO&lt;&gt;"manual",$M18&lt;&gt;$A$15)),
        IF(Import.TipoArredondamento&lt;&gt;"TransfereGOV",
              ROUND(OFFSET($P18,0,AV$13),15-13*ORÇAMENTO!$AF$7)/$H18*OFFSET(ORÇAMENTO!$X$15,ROW(AV18)-ROW(AV$15),0),
              ROUND(ROUND(OFFSET($P18,0,AV$13),15-13*ORÇAMENTO!$AF$7)*OFFSET(ORÇAMENTO!$W$15,ROW(AV18)-ROW(AV$15),0),15-13*ORÇAMENTO!$AF$11)),
         0)</f>
        <v>0</v>
      </c>
      <c r="AW18" s="453">
        <f ca="1">IF(AND($D18="Serviço",AW$12&lt;&gt;0,$H18&gt;0,OR(AUTOEVENTO&lt;&gt;"manual",$M18&lt;&gt;$A$15)),
        IF(Import.TipoArredondamento&lt;&gt;"TransfereGOV",
              ROUND(OFFSET($P18,0,AW$13),15-13*ORÇAMENTO!$AF$7)/$H18*OFFSET(ORÇAMENTO!$X$15,ROW(AW18)-ROW(AW$15),0),
              ROUND(ROUND(OFFSET($P18,0,AW$13),15-13*ORÇAMENTO!$AF$7)*OFFSET(ORÇAMENTO!$W$15,ROW(AW18)-ROW(AW$15),0),15-13*ORÇAMENTO!$AF$11)),
         0)</f>
        <v>0</v>
      </c>
      <c r="AX18" s="453">
        <f ca="1">IF(AND($D18="Serviço",AX$12&lt;&gt;0,$H18&gt;0,OR(AUTOEVENTO&lt;&gt;"manual",$M18&lt;&gt;$A$15)),
        IF(Import.TipoArredondamento&lt;&gt;"TransfereGOV",
              ROUND(OFFSET($P18,0,AX$13),15-13*ORÇAMENTO!$AF$7)/$H18*OFFSET(ORÇAMENTO!$X$15,ROW(AX18)-ROW(AX$15),0),
              ROUND(ROUND(OFFSET($P18,0,AX$13),15-13*ORÇAMENTO!$AF$7)*OFFSET(ORÇAMENTO!$W$15,ROW(AX18)-ROW(AX$15),0),15-13*ORÇAMENTO!$AF$11)),
         0)</f>
        <v>0</v>
      </c>
      <c r="AY18" s="453">
        <f ca="1">IF(AND($D18="Serviço",AY$12&lt;&gt;0,$H18&gt;0,OR(AUTOEVENTO&lt;&gt;"manual",$M18&lt;&gt;$A$15)),
        IF(Import.TipoArredondamento&lt;&gt;"TransfereGOV",
              ROUND(OFFSET($P18,0,AY$13),15-13*ORÇAMENTO!$AF$7)/$H18*OFFSET(ORÇAMENTO!$X$15,ROW(AY18)-ROW(AY$15),0),
              ROUND(ROUND(OFFSET($P18,0,AY$13),15-13*ORÇAMENTO!$AF$7)*OFFSET(ORÇAMENTO!$W$15,ROW(AY18)-ROW(AY$15),0),15-13*ORÇAMENTO!$AF$11)),
         0)</f>
        <v>0</v>
      </c>
      <c r="AZ18" s="453">
        <f ca="1">IF(AND($D18="Serviço",AZ$12&lt;&gt;0,$H18&gt;0,OR(AUTOEVENTO&lt;&gt;"manual",$M18&lt;&gt;$A$15)),
        IF(Import.TipoArredondamento&lt;&gt;"TransfereGOV",
              ROUND(OFFSET($P18,0,AZ$13),15-13*ORÇAMENTO!$AF$7)/$H18*OFFSET(ORÇAMENTO!$X$15,ROW(AZ18)-ROW(AZ$15),0),
              ROUND(ROUND(OFFSET($P18,0,AZ$13),15-13*ORÇAMENTO!$AF$7)*OFFSET(ORÇAMENTO!$W$15,ROW(AZ18)-ROW(AZ$15),0),15-13*ORÇAMENTO!$AF$11)),
         0)</f>
        <v>0</v>
      </c>
      <c r="BA18" s="453">
        <f ca="1">IF(AND($D18="Serviço",BA$12&lt;&gt;0,$H18&gt;0,OR(AUTOEVENTO&lt;&gt;"manual",$M18&lt;&gt;$A$15)),
        IF(Import.TipoArredondamento&lt;&gt;"TransfereGOV",
              ROUND(OFFSET($P18,0,BA$13),15-13*ORÇAMENTO!$AF$7)/$H18*OFFSET(ORÇAMENTO!$X$15,ROW(BA18)-ROW(BA$15),0),
              ROUND(ROUND(OFFSET($P18,0,BA$13),15-13*ORÇAMENTO!$AF$7)*OFFSET(ORÇAMENTO!$W$15,ROW(BA18)-ROW(BA$15),0),15-13*ORÇAMENTO!$AF$11)),
         0)</f>
        <v>0</v>
      </c>
      <c r="BC18" s="171">
        <f ca="1">IF(OR($D18&lt;&gt;"Serviço",AND(AUTOEVENTO="Manual",$M18=$A$15)),0,
         IF(OFFSET(CRONOPLE!$F$15,$M18-$A$15,BC$13)=0,10^12,OFFSET(CRONOPLE!$F$15,$M18-$A$15,BC$13)))</f>
        <v>10</v>
      </c>
      <c r="BD18" s="171">
        <f ca="1">IF(OR($D18&lt;&gt;"Serviço",AND(AUTOEVENTO="Manual",$M18=$A$15)),0,
         IF(OFFSET(CRONOPLE!$F$15,$M18-$A$15,BD$13)=0,10^12,OFFSET(CRONOPLE!$F$15,$M18-$A$15,BD$13)))</f>
        <v>3</v>
      </c>
      <c r="BE18" s="171">
        <f ca="1">IF(OR($D18&lt;&gt;"Serviço",AND(AUTOEVENTO="Manual",$M18=$A$15)),0,
         IF(OFFSET(CRONOPLE!$F$15,$M18-$A$15,BE$13)=0,10^12,OFFSET(CRONOPLE!$F$15,$M18-$A$15,BE$13)))</f>
        <v>1000000000000</v>
      </c>
      <c r="BF18" s="171">
        <f ca="1">IF(OR($D18&lt;&gt;"Serviço",AND(AUTOEVENTO="Manual",$M18=$A$15)),0,
         IF(OFFSET(CRONOPLE!$F$15,$M18-$A$15,BF$13)=0,10^12,OFFSET(CRONOPLE!$F$15,$M18-$A$15,BF$13)))</f>
        <v>1000000000000</v>
      </c>
      <c r="BG18" s="171">
        <f ca="1">IF(OR($D18&lt;&gt;"Serviço",AND(AUTOEVENTO="Manual",$M18=$A$15)),0,
         IF(OFFSET(CRONOPLE!$F$15,$M18-$A$15,BG$13)=0,10^12,OFFSET(CRONOPLE!$F$15,$M18-$A$15,BG$13)))</f>
        <v>1000000000000</v>
      </c>
      <c r="BH18" s="171">
        <f ca="1">IF(OR($D18&lt;&gt;"Serviço",AND(AUTOEVENTO="Manual",$M18=$A$15)),0,
         IF(OFFSET(CRONOPLE!$F$15,$M18-$A$15,BH$13)=0,10^12,OFFSET(CRONOPLE!$F$15,$M18-$A$15,BH$13)))</f>
        <v>1000000000000</v>
      </c>
      <c r="BI18" s="171">
        <f ca="1">IF(OR($D18&lt;&gt;"Serviço",AND(AUTOEVENTO="Manual",$M18=$A$15)),0,
         IF(OFFSET(CRONOPLE!$F$15,$M18-$A$15,BI$13)=0,10^12,OFFSET(CRONOPLE!$F$15,$M18-$A$15,BI$13)))</f>
        <v>1000000000000</v>
      </c>
      <c r="BJ18" s="171">
        <f ca="1">IF(OR($D18&lt;&gt;"Serviço",AND(AUTOEVENTO="Manual",$M18=$A$15)),0,
         IF(OFFSET(CRONOPLE!$F$15,$M18-$A$15,BJ$13)=0,10^12,OFFSET(CRONOPLE!$F$15,$M18-$A$15,BJ$13)))</f>
        <v>1000000000000</v>
      </c>
      <c r="BK18" s="171">
        <f ca="1">IF(OR($D18&lt;&gt;"Serviço",AND(AUTOEVENTO="Manual",$M18=$A$15)),0,
         IF(OFFSET(CRONOPLE!$F$15,$M18-$A$15,BK$13)=0,10^12,OFFSET(CRONOPLE!$F$15,$M18-$A$15,BK$13)))</f>
        <v>1000000000000</v>
      </c>
      <c r="BL18" s="171">
        <f ca="1">IF(OR($D18&lt;&gt;"Serviço",AND(AUTOEVENTO="Manual",$M18=$A$15)),0,
         IF(OFFSET(CRONOPLE!$F$15,$M18-$A$15,BL$13)=0,10^12,OFFSET(CRONOPLE!$F$15,$M18-$A$15,BL$13)))</f>
        <v>1000000000000</v>
      </c>
      <c r="BM18" s="171">
        <f ca="1">IF(OR($D18&lt;&gt;"Serviço",AND(AUTOEVENTO="Manual",$M18=$A$15)),0,
         IF(OFFSET(CRONOPLE!$F$15,$M18-$A$15,BM$13)=0,10^12,OFFSET(CRONOPLE!$F$15,$M18-$A$15,BM$13)))</f>
        <v>1000000000000</v>
      </c>
      <c r="BN18" s="171">
        <f ca="1">IF(OR($D18&lt;&gt;"Serviço",AND(AUTOEVENTO="Manual",$M18=$A$15)),0,
         IF(OFFSET(CRONOPLE!$F$15,$M18-$A$15,BN$13)=0,10^12,OFFSET(CRONOPLE!$F$15,$M18-$A$15,BN$13)))</f>
        <v>1000000000000</v>
      </c>
      <c r="BO18" s="171">
        <f ca="1">IF(OR($D18&lt;&gt;"Serviço",AND(AUTOEVENTO="Manual",$M18=$A$15)),0,
         IF(OFFSET(CRONOPLE!$F$15,$M18-$A$15,BO$13)=0,10^12,OFFSET(CRONOPLE!$F$15,$M18-$A$15,BO$13)))</f>
        <v>1000000000000</v>
      </c>
      <c r="BP18" s="171">
        <f ca="1">IF(OR($D18&lt;&gt;"Serviço",AND(AUTOEVENTO="Manual",$M18=$A$15)),0,
         IF(OFFSET(CRONOPLE!$F$15,$M18-$A$15,BP$13)=0,10^12,OFFSET(CRONOPLE!$F$15,$M18-$A$15,BP$13)))</f>
        <v>1000000000000</v>
      </c>
      <c r="BQ18" s="171">
        <f ca="1">IF(OR($D18&lt;&gt;"Serviço",AND(AUTOEVENTO="Manual",$M18=$A$15)),0,
         IF(OFFSET(CRONOPLE!$F$15,$M18-$A$15,BQ$13)=0,10^12,OFFSET(CRONOPLE!$F$15,$M18-$A$15,BQ$13)))</f>
        <v>1000000000000</v>
      </c>
      <c r="BR18" s="171">
        <f ca="1">IF(OR($D18&lt;&gt;"Serviço",AND(AUTOEVENTO="Manual",$M18=$A$15)),0,
         IF(OFFSET(CRONOPLE!$F$15,$M18-$A$15,BR$13)=0,10^12,OFFSET(CRONOPLE!$F$15,$M18-$A$15,BR$13)))</f>
        <v>1000000000000</v>
      </c>
      <c r="BS18" s="171">
        <f ca="1">IF(OR($D18&lt;&gt;"Serviço",AND(AUTOEVENTO="Manual",$M18=$A$15)),0,
         IF(OFFSET(CRONOPLE!$F$15,$M18-$A$15,BS$13)=0,10^12,OFFSET(CRONOPLE!$F$15,$M18-$A$15,BS$13)))</f>
        <v>1000000000000</v>
      </c>
      <c r="BT18" s="171">
        <f ca="1">IF(OR($D18&lt;&gt;"Serviço",AND(AUTOEVENTO="Manual",$M18=$A$15)),0,
         IF(OFFSET(CRONOPLE!$F$15,$M18-$A$15,BT$13)=0,10^12,OFFSET(CRONOPLE!$F$15,$M18-$A$15,BT$13)))</f>
        <v>1000000000000</v>
      </c>
      <c r="BV18" s="172" cm="1">
        <f t="array" aca="1" ref="BV18" ca="1">IF(OR($D18&lt;&gt;"Serviço",AND(AUTOEVENTO="Manual",$M18=$A$15),$M18&gt;(ROW(PLE.lastrow)-ROW(PLE.firstrow))),0,
           IF(OFFSET(PLE!$G$15,$M18-$A$15,BV$13)="",10^12,OFFSET(PLE!$G$15,$M18-$A$15,BV$13)))</f>
        <v>1000000000000</v>
      </c>
      <c r="BW18" s="172" cm="1">
        <f t="array" aca="1" ref="BW18" ca="1">IF(OR($D18&lt;&gt;"Serviço",AND(AUTOEVENTO="Manual",$M18=$A$15),$M18&gt;(ROW(PLE.lastrow)-ROW(PLE.firstrow))),0,
           IF(OFFSET(PLE!$G$15,$M18-$A$15,BW$13)="",10^12,OFFSET(PLE!$G$15,$M18-$A$15,BW$13)))</f>
        <v>1000000000000</v>
      </c>
      <c r="BX18" s="172" cm="1">
        <f t="array" aca="1" ref="BX18" ca="1">IF(OR($D18&lt;&gt;"Serviço",AND(AUTOEVENTO="Manual",$M18=$A$15),$M18&gt;(ROW(PLE.lastrow)-ROW(PLE.firstrow))),0,
           IF(OFFSET(PLE!$G$15,$M18-$A$15,BX$13)="",10^12,OFFSET(PLE!$G$15,$M18-$A$15,BX$13)))</f>
        <v>1000000000000</v>
      </c>
      <c r="BY18" s="172" cm="1">
        <f t="array" aca="1" ref="BY18" ca="1">IF(OR($D18&lt;&gt;"Serviço",AND(AUTOEVENTO="Manual",$M18=$A$15),$M18&gt;(ROW(PLE.lastrow)-ROW(PLE.firstrow))),0,
           IF(OFFSET(PLE!$G$15,$M18-$A$15,BY$13)="",10^12,OFFSET(PLE!$G$15,$M18-$A$15,BY$13)))</f>
        <v>1000000000000</v>
      </c>
      <c r="BZ18" s="172" cm="1">
        <f t="array" aca="1" ref="BZ18" ca="1">IF(OR($D18&lt;&gt;"Serviço",AND(AUTOEVENTO="Manual",$M18=$A$15),$M18&gt;(ROW(PLE.lastrow)-ROW(PLE.firstrow))),0,
           IF(OFFSET(PLE!$G$15,$M18-$A$15,BZ$13)="",10^12,OFFSET(PLE!$G$15,$M18-$A$15,BZ$13)))</f>
        <v>1000000000000</v>
      </c>
      <c r="CA18" s="172" cm="1">
        <f t="array" aca="1" ref="CA18" ca="1">IF(OR($D18&lt;&gt;"Serviço",AND(AUTOEVENTO="Manual",$M18=$A$15),$M18&gt;(ROW(PLE.lastrow)-ROW(PLE.firstrow))),0,
           IF(OFFSET(PLE!$G$15,$M18-$A$15,CA$13)="",10^12,OFFSET(PLE!$G$15,$M18-$A$15,CA$13)))</f>
        <v>1000000000000</v>
      </c>
      <c r="CB18" s="172" cm="1">
        <f t="array" aca="1" ref="CB18" ca="1">IF(OR($D18&lt;&gt;"Serviço",AND(AUTOEVENTO="Manual",$M18=$A$15),$M18&gt;(ROW(PLE.lastrow)-ROW(PLE.firstrow))),0,
           IF(OFFSET(PLE!$G$15,$M18-$A$15,CB$13)="",10^12,OFFSET(PLE!$G$15,$M18-$A$15,CB$13)))</f>
        <v>1000000000000</v>
      </c>
      <c r="CC18" s="172" cm="1">
        <f t="array" aca="1" ref="CC18" ca="1">IF(OR($D18&lt;&gt;"Serviço",AND(AUTOEVENTO="Manual",$M18=$A$15),$M18&gt;(ROW(PLE.lastrow)-ROW(PLE.firstrow))),0,
           IF(OFFSET(PLE!$G$15,$M18-$A$15,CC$13)="",10^12,OFFSET(PLE!$G$15,$M18-$A$15,CC$13)))</f>
        <v>1000000000000</v>
      </c>
      <c r="CD18" s="172" cm="1">
        <f t="array" aca="1" ref="CD18" ca="1">IF(OR($D18&lt;&gt;"Serviço",AND(AUTOEVENTO="Manual",$M18=$A$15),$M18&gt;(ROW(PLE.lastrow)-ROW(PLE.firstrow))),0,
           IF(OFFSET(PLE!$G$15,$M18-$A$15,CD$13)="",10^12,OFFSET(PLE!$G$15,$M18-$A$15,CD$13)))</f>
        <v>1000000000000</v>
      </c>
      <c r="CE18" s="172" cm="1">
        <f t="array" aca="1" ref="CE18" ca="1">IF(OR($D18&lt;&gt;"Serviço",AND(AUTOEVENTO="Manual",$M18=$A$15),$M18&gt;(ROW(PLE.lastrow)-ROW(PLE.firstrow))),0,
           IF(OFFSET(PLE!$G$15,$M18-$A$15,CE$13)="",10^12,OFFSET(PLE!$G$15,$M18-$A$15,CE$13)))</f>
        <v>1000000000000</v>
      </c>
      <c r="CF18" s="172" cm="1">
        <f t="array" aca="1" ref="CF18" ca="1">IF(OR($D18&lt;&gt;"Serviço",AND(AUTOEVENTO="Manual",$M18=$A$15),$M18&gt;(ROW(PLE.lastrow)-ROW(PLE.firstrow))),0,
           IF(OFFSET(PLE!$G$15,$M18-$A$15,CF$13)="",10^12,OFFSET(PLE!$G$15,$M18-$A$15,CF$13)))</f>
        <v>1000000000000</v>
      </c>
      <c r="CG18" s="172" cm="1">
        <f t="array" aca="1" ref="CG18" ca="1">IF(OR($D18&lt;&gt;"Serviço",AND(AUTOEVENTO="Manual",$M18=$A$15),$M18&gt;(ROW(PLE.lastrow)-ROW(PLE.firstrow))),0,
           IF(OFFSET(PLE!$G$15,$M18-$A$15,CG$13)="",10^12,OFFSET(PLE!$G$15,$M18-$A$15,CG$13)))</f>
        <v>1000000000000</v>
      </c>
      <c r="CH18" s="172" cm="1">
        <f t="array" aca="1" ref="CH18" ca="1">IF(OR($D18&lt;&gt;"Serviço",AND(AUTOEVENTO="Manual",$M18=$A$15),$M18&gt;(ROW(PLE.lastrow)-ROW(PLE.firstrow))),0,
           IF(OFFSET(PLE!$G$15,$M18-$A$15,CH$13)="",10^12,OFFSET(PLE!$G$15,$M18-$A$15,CH$13)))</f>
        <v>1000000000000</v>
      </c>
      <c r="CI18" s="172" cm="1">
        <f t="array" aca="1" ref="CI18" ca="1">IF(OR($D18&lt;&gt;"Serviço",AND(AUTOEVENTO="Manual",$M18=$A$15),$M18&gt;(ROW(PLE.lastrow)-ROW(PLE.firstrow))),0,
           IF(OFFSET(PLE!$G$15,$M18-$A$15,CI$13)="",10^12,OFFSET(PLE!$G$15,$M18-$A$15,CI$13)))</f>
        <v>1000000000000</v>
      </c>
      <c r="CJ18" s="172" cm="1">
        <f t="array" aca="1" ref="CJ18" ca="1">IF(OR($D18&lt;&gt;"Serviço",AND(AUTOEVENTO="Manual",$M18=$A$15),$M18&gt;(ROW(PLE.lastrow)-ROW(PLE.firstrow))),0,
           IF(OFFSET(PLE!$G$15,$M18-$A$15,CJ$13)="",10^12,OFFSET(PLE!$G$15,$M18-$A$15,CJ$13)))</f>
        <v>1000000000000</v>
      </c>
      <c r="CK18" s="172" cm="1">
        <f t="array" aca="1" ref="CK18" ca="1">IF(OR($D18&lt;&gt;"Serviço",AND(AUTOEVENTO="Manual",$M18=$A$15),$M18&gt;(ROW(PLE.lastrow)-ROW(PLE.firstrow))),0,
           IF(OFFSET(PLE!$G$15,$M18-$A$15,CK$13)="",10^12,OFFSET(PLE!$G$15,$M18-$A$15,CK$13)))</f>
        <v>1000000000000</v>
      </c>
      <c r="CL18" s="172" cm="1">
        <f t="array" aca="1" ref="CL18" ca="1">IF(OR($D18&lt;&gt;"Serviço",AND(AUTOEVENTO="Manual",$M18=$A$15),$M18&gt;(ROW(PLE.lastrow)-ROW(PLE.firstrow))),0,
           IF(OFFSET(PLE!$G$15,$M18-$A$15,CL$13)="",10^12,OFFSET(PLE!$G$15,$M18-$A$15,CL$13)))</f>
        <v>1000000000000</v>
      </c>
      <c r="CM18" s="172" cm="1">
        <f t="array" aca="1" ref="CM18" ca="1">IF(OR($D18&lt;&gt;"Serviço",AND(AUTOEVENTO="Manual",$M18=$A$15),$M18&gt;(ROW(PLE.lastrow)-ROW(PLE.firstrow))),0,
           IF(OFFSET(PLE!$G$15,$M18-$A$15,CM$13)="",10^12,OFFSET(PLE!$G$15,$M18-$A$15,CM$13)))</f>
        <v>1000000000000</v>
      </c>
    </row>
    <row r="19" spans="1:91" s="670" customFormat="1" ht="89.25" x14ac:dyDescent="0.2">
      <c r="A19" s="668">
        <f t="shared" ca="1" si="10"/>
        <v>3</v>
      </c>
      <c r="B19" s="668" t="str">
        <f ca="1">OFFSET(ORÇAMENTO!C$15,$L19,0)</f>
        <v>S</v>
      </c>
      <c r="C19" s="668" t="str">
        <f ca="1">OFFSET(ORÇAMENTO!L$15,$L19,0)</f>
        <v>F</v>
      </c>
      <c r="D19" s="116" t="str">
        <f ca="1">OFFSET(ORÇAMENTO!N$15,$L19,0)</f>
        <v>Serviço</v>
      </c>
      <c r="E19" s="117" t="str">
        <f ca="1">OFFSET(ORÇAMENTO!O$15,$L19,0)</f>
        <v>1.1.2.</v>
      </c>
      <c r="F19" s="163" t="str">
        <f ca="1">OFFSET(ORÇAMENTO!R$15,$L19,0)</f>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
      <c r="G19" s="164" t="str">
        <f ca="1">IF($D19&lt;&gt;"Serviço","",OFFSET(ORÇAMENTO!S$15,$L19,0))</f>
        <v>mês</v>
      </c>
      <c r="H19" s="122" cm="1">
        <f t="array" aca="1" ref="H19" ca="1">IF($D19&lt;&gt;"Serviço",0,IF(ACOMPANHAMENTO="BM",ROUND(OFFSET(ORÇAMENTO!AJ$15,$L19,0),15-13*ORÇAMENTO!$AF$7),IF(IFERROR(CÁLCULO.FrentesPreenchidas,0)=0,0,SUM(ROUND(OFFSET($P19,0,1,1,CÁLCULO.FrentesPreenchidas),15-13*ORÇAMENTO!$AF$7)))))</f>
        <v>12</v>
      </c>
      <c r="I19" s="468" t="s">
        <v>1135</v>
      </c>
      <c r="J19" s="651" t="str" cm="1">
        <f t="array" aca="1" ref="J19" ca="1">IF(OR(B19&lt;&gt;"S",CÁLCULO.FrentesPreenchidas=0),"",IF(AND(ACOMPANHAMENTO="PLE",AUTOEVENTO="Manual",OR(H19&gt;0,ORÇAMENTO!AC19="QUANT."),OR(K19="",M19=0,N19="")),"►E",IF(AND(ACOMPANHAMENTO="PLE",ORÇAMENTO!AC19="QUANT."),"►Q",IF(AND(ACOMPANHAMENTO="PLE",H19&lt;&gt;SUMPRODUCT(($Q$1:$AI$1=1)*ROUND(Q19:AI19,15))),"►S",IF(AND(COUNTIF($P$11:$AI$11,"▼")=0,H19&gt;0,I19=""),"◄M","")))))</f>
        <v/>
      </c>
      <c r="K19" s="652" t="s">
        <v>1333</v>
      </c>
      <c r="L19" s="165">
        <f t="shared" ca="1" si="11"/>
        <v>4</v>
      </c>
      <c r="M19" s="166">
        <f ca="1">IF($D19&lt;&gt;"Serviço","",
          IF(AUTOEVENTO="manual",$A19,
                IF(ISERROR(MATCH($A19,$A$15:OFFSET($A19,-1,0),0)),MAX($M$15:OFFSET(M19,-1,0))+1,
                      INDEX($M$15:OFFSET(M19,-1,0),MATCH($A19,$A$15:OFFSET($A19,-1,0),0)))))</f>
        <v>3</v>
      </c>
      <c r="N19" s="167" t="str">
        <f ca="1">IF($D19&lt;&gt;"Serviço","",
         IF(AUTOEVENTO="Manual",
                IF($A19=0,"&lt;-- defina o número do agrupador",
                       OFFSET(EVENTOS!$D$15,$A19-$A$15,0)),
                OFFSET($F$15,$A19,0)))</f>
        <v>Canteiro de Obras</v>
      </c>
      <c r="O19" s="168"/>
      <c r="Q19" s="168"/>
      <c r="R19" s="169">
        <v>12</v>
      </c>
      <c r="S19" s="169"/>
      <c r="T19" s="169"/>
      <c r="U19" s="169"/>
      <c r="V19" s="169"/>
      <c r="W19" s="169"/>
      <c r="X19" s="169"/>
      <c r="Y19" s="169"/>
      <c r="Z19" s="170"/>
      <c r="AA19" s="705"/>
      <c r="AB19" s="705"/>
      <c r="AC19" s="705"/>
      <c r="AD19" s="705"/>
      <c r="AE19" s="705"/>
      <c r="AF19" s="705"/>
      <c r="AG19" s="705"/>
      <c r="AH19" s="706"/>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12777.6</v>
      </c>
      <c r="AL19" s="453">
        <f ca="1">IF(AND($D19="Serviço",AL$12&lt;&gt;0,$H19&gt;0,OR(AUTOEVENTO&lt;&gt;"manual",$M19&lt;&gt;$A$15)),
        IF(Import.TipoArredondamento&lt;&gt;"TransfereGOV",
              ROUND(OFFSET($P19,0,AL$13),15-13*ORÇAMENTO!$AF$7)/$H19*OFFSET(ORÇAMENTO!$X$15,ROW(AL19)-ROW(AL$15),0),
              ROUND(ROUND(OFFSET($P19,0,AL$13),15-13*ORÇAMENTO!$AF$7)*OFFSET(ORÇAMENTO!$W$15,ROW(AL19)-ROW(AL$15),0),15-13*ORÇAMENTO!$AF$11)),
         0)</f>
        <v>0</v>
      </c>
      <c r="AM19" s="453">
        <f ca="1">IF(AND($D19="Serviço",AM$12&lt;&gt;0,$H19&gt;0,OR(AUTOEVENTO&lt;&gt;"manual",$M19&lt;&gt;$A$15)),
        IF(Import.TipoArredondamento&lt;&gt;"TransfereGOV",
              ROUND(OFFSET($P19,0,AM$13),15-13*ORÇAMENTO!$AF$7)/$H19*OFFSET(ORÇAMENTO!$X$15,ROW(AM19)-ROW(AM$15),0),
              ROUND(ROUND(OFFSET($P19,0,AM$13),15-13*ORÇAMENTO!$AF$7)*OFFSET(ORÇAMENTO!$W$15,ROW(AM19)-ROW(AM$15),0),15-13*ORÇAMENTO!$AF$11)),
         0)</f>
        <v>0</v>
      </c>
      <c r="AN19" s="453">
        <f ca="1">IF(AND($D19="Serviço",AN$12&lt;&gt;0,$H19&gt;0,OR(AUTOEVENTO&lt;&gt;"manual",$M19&lt;&gt;$A$15)),
        IF(Import.TipoArredondamento&lt;&gt;"TransfereGOV",
              ROUND(OFFSET($P19,0,AN$13),15-13*ORÇAMENTO!$AF$7)/$H19*OFFSET(ORÇAMENTO!$X$15,ROW(AN19)-ROW(AN$15),0),
              ROUND(ROUND(OFFSET($P19,0,AN$13),15-13*ORÇAMENTO!$AF$7)*OFFSET(ORÇAMENTO!$W$15,ROW(AN19)-ROW(AN$15),0),15-13*ORÇAMENTO!$AF$11)),
         0)</f>
        <v>0</v>
      </c>
      <c r="AO19" s="453">
        <f ca="1">IF(AND($D19="Serviço",AO$12&lt;&gt;0,$H19&gt;0,OR(AUTOEVENTO&lt;&gt;"manual",$M19&lt;&gt;$A$15)),
        IF(Import.TipoArredondamento&lt;&gt;"TransfereGOV",
              ROUND(OFFSET($P19,0,AO$13),15-13*ORÇAMENTO!$AF$7)/$H19*OFFSET(ORÇAMENTO!$X$15,ROW(AO19)-ROW(AO$15),0),
              ROUND(ROUND(OFFSET($P19,0,AO$13),15-13*ORÇAMENTO!$AF$7)*OFFSET(ORÇAMENTO!$W$15,ROW(AO19)-ROW(AO$15),0),15-13*ORÇAMENTO!$AF$11)),
         0)</f>
        <v>0</v>
      </c>
      <c r="AP19" s="453">
        <f ca="1">IF(AND($D19="Serviço",AP$12&lt;&gt;0,$H19&gt;0,OR(AUTOEVENTO&lt;&gt;"manual",$M19&lt;&gt;$A$15)),
        IF(Import.TipoArredondamento&lt;&gt;"TransfereGOV",
              ROUND(OFFSET($P19,0,AP$13),15-13*ORÇAMENTO!$AF$7)/$H19*OFFSET(ORÇAMENTO!$X$15,ROW(AP19)-ROW(AP$15),0),
              ROUND(ROUND(OFFSET($P19,0,AP$13),15-13*ORÇAMENTO!$AF$7)*OFFSET(ORÇAMENTO!$W$15,ROW(AP19)-ROW(AP$15),0),15-13*ORÇAMENTO!$AF$11)),
         0)</f>
        <v>0</v>
      </c>
      <c r="AQ19" s="453">
        <f ca="1">IF(AND($D19="Serviço",AQ$12&lt;&gt;0,$H19&gt;0,OR(AUTOEVENTO&lt;&gt;"manual",$M19&lt;&gt;$A$15)),
        IF(Import.TipoArredondamento&lt;&gt;"TransfereGOV",
              ROUND(OFFSET($P19,0,AQ$13),15-13*ORÇAMENTO!$AF$7)/$H19*OFFSET(ORÇAMENTO!$X$15,ROW(AQ19)-ROW(AQ$15),0),
              ROUND(ROUND(OFFSET($P19,0,AQ$13),15-13*ORÇAMENTO!$AF$7)*OFFSET(ORÇAMENTO!$W$15,ROW(AQ19)-ROW(AQ$15),0),15-13*ORÇAMENTO!$AF$11)),
         0)</f>
        <v>0</v>
      </c>
      <c r="AR19" s="453">
        <f ca="1">IF(AND($D19="Serviço",AR$12&lt;&gt;0,$H19&gt;0,OR(AUTOEVENTO&lt;&gt;"manual",$M19&lt;&gt;$A$15)),
        IF(Import.TipoArredondamento&lt;&gt;"TransfereGOV",
              ROUND(OFFSET($P19,0,AR$13),15-13*ORÇAMENTO!$AF$7)/$H19*OFFSET(ORÇAMENTO!$X$15,ROW(AR19)-ROW(AR$15),0),
              ROUND(ROUND(OFFSET($P19,0,AR$13),15-13*ORÇAMENTO!$AF$7)*OFFSET(ORÇAMENTO!$W$15,ROW(AR19)-ROW(AR$15),0),15-13*ORÇAMENTO!$AF$11)),
         0)</f>
        <v>0</v>
      </c>
      <c r="AS19" s="453">
        <f ca="1">IF(AND($D19="Serviço",AS$12&lt;&gt;0,$H19&gt;0,OR(AUTOEVENTO&lt;&gt;"manual",$M19&lt;&gt;$A$15)),
        IF(Import.TipoArredondamento&lt;&gt;"TransfereGOV",
              ROUND(OFFSET($P19,0,AS$13),15-13*ORÇAMENTO!$AF$7)/$H19*OFFSET(ORÇAMENTO!$X$15,ROW(AS19)-ROW(AS$15),0),
              ROUND(ROUND(OFFSET($P19,0,AS$13),15-13*ORÇAMENTO!$AF$7)*OFFSET(ORÇAMENTO!$W$15,ROW(AS19)-ROW(AS$15),0),15-13*ORÇAMENTO!$AF$11)),
         0)</f>
        <v>0</v>
      </c>
      <c r="AT19" s="453">
        <f ca="1">IF(AND($D19="Serviço",AT$12&lt;&gt;0,$H19&gt;0,OR(AUTOEVENTO&lt;&gt;"manual",$M19&lt;&gt;$A$15)),
        IF(Import.TipoArredondamento&lt;&gt;"TransfereGOV",
              ROUND(OFFSET($P19,0,AT$13),15-13*ORÇAMENTO!$AF$7)/$H19*OFFSET(ORÇAMENTO!$X$15,ROW(AT19)-ROW(AT$15),0),
              ROUND(ROUND(OFFSET($P19,0,AT$13),15-13*ORÇAMENTO!$AF$7)*OFFSET(ORÇAMENTO!$W$15,ROW(AT19)-ROW(AT$15),0),15-13*ORÇAMENTO!$AF$11)),
         0)</f>
        <v>0</v>
      </c>
      <c r="AU19" s="453">
        <f ca="1">IF(AND($D19="Serviço",AU$12&lt;&gt;0,$H19&gt;0,OR(AUTOEVENTO&lt;&gt;"manual",$M19&lt;&gt;$A$15)),
        IF(Import.TipoArredondamento&lt;&gt;"TransfereGOV",
              ROUND(OFFSET($P19,0,AU$13),15-13*ORÇAMENTO!$AF$7)/$H19*OFFSET(ORÇAMENTO!$X$15,ROW(AU19)-ROW(AU$15),0),
              ROUND(ROUND(OFFSET($P19,0,AU$13),15-13*ORÇAMENTO!$AF$7)*OFFSET(ORÇAMENTO!$W$15,ROW(AU19)-ROW(AU$15),0),15-13*ORÇAMENTO!$AF$11)),
         0)</f>
        <v>0</v>
      </c>
      <c r="AV19" s="453">
        <f ca="1">IF(AND($D19="Serviço",AV$12&lt;&gt;0,$H19&gt;0,OR(AUTOEVENTO&lt;&gt;"manual",$M19&lt;&gt;$A$15)),
        IF(Import.TipoArredondamento&lt;&gt;"TransfereGOV",
              ROUND(OFFSET($P19,0,AV$13),15-13*ORÇAMENTO!$AF$7)/$H19*OFFSET(ORÇAMENTO!$X$15,ROW(AV19)-ROW(AV$15),0),
              ROUND(ROUND(OFFSET($P19,0,AV$13),15-13*ORÇAMENTO!$AF$7)*OFFSET(ORÇAMENTO!$W$15,ROW(AV19)-ROW(AV$15),0),15-13*ORÇAMENTO!$AF$11)),
         0)</f>
        <v>0</v>
      </c>
      <c r="AW19" s="453">
        <f ca="1">IF(AND($D19="Serviço",AW$12&lt;&gt;0,$H19&gt;0,OR(AUTOEVENTO&lt;&gt;"manual",$M19&lt;&gt;$A$15)),
        IF(Import.TipoArredondamento&lt;&gt;"TransfereGOV",
              ROUND(OFFSET($P19,0,AW$13),15-13*ORÇAMENTO!$AF$7)/$H19*OFFSET(ORÇAMENTO!$X$15,ROW(AW19)-ROW(AW$15),0),
              ROUND(ROUND(OFFSET($P19,0,AW$13),15-13*ORÇAMENTO!$AF$7)*OFFSET(ORÇAMENTO!$W$15,ROW(AW19)-ROW(AW$15),0),15-13*ORÇAMENTO!$AF$11)),
         0)</f>
        <v>0</v>
      </c>
      <c r="AX19" s="453">
        <f ca="1">IF(AND($D19="Serviço",AX$12&lt;&gt;0,$H19&gt;0,OR(AUTOEVENTO&lt;&gt;"manual",$M19&lt;&gt;$A$15)),
        IF(Import.TipoArredondamento&lt;&gt;"TransfereGOV",
              ROUND(OFFSET($P19,0,AX$13),15-13*ORÇAMENTO!$AF$7)/$H19*OFFSET(ORÇAMENTO!$X$15,ROW(AX19)-ROW(AX$15),0),
              ROUND(ROUND(OFFSET($P19,0,AX$13),15-13*ORÇAMENTO!$AF$7)*OFFSET(ORÇAMENTO!$W$15,ROW(AX19)-ROW(AX$15),0),15-13*ORÇAMENTO!$AF$11)),
         0)</f>
        <v>0</v>
      </c>
      <c r="AY19" s="453">
        <f ca="1">IF(AND($D19="Serviço",AY$12&lt;&gt;0,$H19&gt;0,OR(AUTOEVENTO&lt;&gt;"manual",$M19&lt;&gt;$A$15)),
        IF(Import.TipoArredondamento&lt;&gt;"TransfereGOV",
              ROUND(OFFSET($P19,0,AY$13),15-13*ORÇAMENTO!$AF$7)/$H19*OFFSET(ORÇAMENTO!$X$15,ROW(AY19)-ROW(AY$15),0),
              ROUND(ROUND(OFFSET($P19,0,AY$13),15-13*ORÇAMENTO!$AF$7)*OFFSET(ORÇAMENTO!$W$15,ROW(AY19)-ROW(AY$15),0),15-13*ORÇAMENTO!$AF$11)),
         0)</f>
        <v>0</v>
      </c>
      <c r="AZ19" s="453">
        <f ca="1">IF(AND($D19="Serviço",AZ$12&lt;&gt;0,$H19&gt;0,OR(AUTOEVENTO&lt;&gt;"manual",$M19&lt;&gt;$A$15)),
        IF(Import.TipoArredondamento&lt;&gt;"TransfereGOV",
              ROUND(OFFSET($P19,0,AZ$13),15-13*ORÇAMENTO!$AF$7)/$H19*OFFSET(ORÇAMENTO!$X$15,ROW(AZ19)-ROW(AZ$15),0),
              ROUND(ROUND(OFFSET($P19,0,AZ$13),15-13*ORÇAMENTO!$AF$7)*OFFSET(ORÇAMENTO!$W$15,ROW(AZ19)-ROW(AZ$15),0),15-13*ORÇAMENTO!$AF$11)),
         0)</f>
        <v>0</v>
      </c>
      <c r="BA19" s="453">
        <f ca="1">IF(AND($D19="Serviço",BA$12&lt;&gt;0,$H19&gt;0,OR(AUTOEVENTO&lt;&gt;"manual",$M19&lt;&gt;$A$15)),
        IF(Import.TipoArredondamento&lt;&gt;"TransfereGOV",
              ROUND(OFFSET($P19,0,BA$13),15-13*ORÇAMENTO!$AF$7)/$H19*OFFSET(ORÇAMENTO!$X$15,ROW(BA19)-ROW(BA$15),0),
              ROUND(ROUND(OFFSET($P19,0,BA$13),15-13*ORÇAMENTO!$AF$7)*OFFSET(ORÇAMENTO!$W$15,ROW(BA19)-ROW(BA$15),0),15-13*ORÇAMENTO!$AF$11)),
         0)</f>
        <v>0</v>
      </c>
      <c r="BC19" s="171">
        <f ca="1">IF(OR($D19&lt;&gt;"Serviço",AND(AUTOEVENTO="Manual",$M19=$A$15)),0,
         IF(OFFSET(CRONOPLE!$F$15,$M19-$A$15,BC$13)=0,10^12,OFFSET(CRONOPLE!$F$15,$M19-$A$15,BC$13)))</f>
        <v>10</v>
      </c>
      <c r="BD19" s="171">
        <f ca="1">IF(OR($D19&lt;&gt;"Serviço",AND(AUTOEVENTO="Manual",$M19=$A$15)),0,
         IF(OFFSET(CRONOPLE!$F$15,$M19-$A$15,BD$13)=0,10^12,OFFSET(CRONOPLE!$F$15,$M19-$A$15,BD$13)))</f>
        <v>3</v>
      </c>
      <c r="BE19" s="171">
        <f ca="1">IF(OR($D19&lt;&gt;"Serviço",AND(AUTOEVENTO="Manual",$M19=$A$15)),0,
         IF(OFFSET(CRONOPLE!$F$15,$M19-$A$15,BE$13)=0,10^12,OFFSET(CRONOPLE!$F$15,$M19-$A$15,BE$13)))</f>
        <v>1000000000000</v>
      </c>
      <c r="BF19" s="171">
        <f ca="1">IF(OR($D19&lt;&gt;"Serviço",AND(AUTOEVENTO="Manual",$M19=$A$15)),0,
         IF(OFFSET(CRONOPLE!$F$15,$M19-$A$15,BF$13)=0,10^12,OFFSET(CRONOPLE!$F$15,$M19-$A$15,BF$13)))</f>
        <v>1000000000000</v>
      </c>
      <c r="BG19" s="171">
        <f ca="1">IF(OR($D19&lt;&gt;"Serviço",AND(AUTOEVENTO="Manual",$M19=$A$15)),0,
         IF(OFFSET(CRONOPLE!$F$15,$M19-$A$15,BG$13)=0,10^12,OFFSET(CRONOPLE!$F$15,$M19-$A$15,BG$13)))</f>
        <v>1000000000000</v>
      </c>
      <c r="BH19" s="171">
        <f ca="1">IF(OR($D19&lt;&gt;"Serviço",AND(AUTOEVENTO="Manual",$M19=$A$15)),0,
         IF(OFFSET(CRONOPLE!$F$15,$M19-$A$15,BH$13)=0,10^12,OFFSET(CRONOPLE!$F$15,$M19-$A$15,BH$13)))</f>
        <v>1000000000000</v>
      </c>
      <c r="BI19" s="171">
        <f ca="1">IF(OR($D19&lt;&gt;"Serviço",AND(AUTOEVENTO="Manual",$M19=$A$15)),0,
         IF(OFFSET(CRONOPLE!$F$15,$M19-$A$15,BI$13)=0,10^12,OFFSET(CRONOPLE!$F$15,$M19-$A$15,BI$13)))</f>
        <v>1000000000000</v>
      </c>
      <c r="BJ19" s="171">
        <f ca="1">IF(OR($D19&lt;&gt;"Serviço",AND(AUTOEVENTO="Manual",$M19=$A$15)),0,
         IF(OFFSET(CRONOPLE!$F$15,$M19-$A$15,BJ$13)=0,10^12,OFFSET(CRONOPLE!$F$15,$M19-$A$15,BJ$13)))</f>
        <v>1000000000000</v>
      </c>
      <c r="BK19" s="171">
        <f ca="1">IF(OR($D19&lt;&gt;"Serviço",AND(AUTOEVENTO="Manual",$M19=$A$15)),0,
         IF(OFFSET(CRONOPLE!$F$15,$M19-$A$15,BK$13)=0,10^12,OFFSET(CRONOPLE!$F$15,$M19-$A$15,BK$13)))</f>
        <v>1000000000000</v>
      </c>
      <c r="BL19" s="171">
        <f ca="1">IF(OR($D19&lt;&gt;"Serviço",AND(AUTOEVENTO="Manual",$M19=$A$15)),0,
         IF(OFFSET(CRONOPLE!$F$15,$M19-$A$15,BL$13)=0,10^12,OFFSET(CRONOPLE!$F$15,$M19-$A$15,BL$13)))</f>
        <v>1000000000000</v>
      </c>
      <c r="BM19" s="171">
        <f ca="1">IF(OR($D19&lt;&gt;"Serviço",AND(AUTOEVENTO="Manual",$M19=$A$15)),0,
         IF(OFFSET(CRONOPLE!$F$15,$M19-$A$15,BM$13)=0,10^12,OFFSET(CRONOPLE!$F$15,$M19-$A$15,BM$13)))</f>
        <v>1000000000000</v>
      </c>
      <c r="BN19" s="171">
        <f ca="1">IF(OR($D19&lt;&gt;"Serviço",AND(AUTOEVENTO="Manual",$M19=$A$15)),0,
         IF(OFFSET(CRONOPLE!$F$15,$M19-$A$15,BN$13)=0,10^12,OFFSET(CRONOPLE!$F$15,$M19-$A$15,BN$13)))</f>
        <v>1000000000000</v>
      </c>
      <c r="BO19" s="171">
        <f ca="1">IF(OR($D19&lt;&gt;"Serviço",AND(AUTOEVENTO="Manual",$M19=$A$15)),0,
         IF(OFFSET(CRONOPLE!$F$15,$M19-$A$15,BO$13)=0,10^12,OFFSET(CRONOPLE!$F$15,$M19-$A$15,BO$13)))</f>
        <v>1000000000000</v>
      </c>
      <c r="BP19" s="171">
        <f ca="1">IF(OR($D19&lt;&gt;"Serviço",AND(AUTOEVENTO="Manual",$M19=$A$15)),0,
         IF(OFFSET(CRONOPLE!$F$15,$M19-$A$15,BP$13)=0,10^12,OFFSET(CRONOPLE!$F$15,$M19-$A$15,BP$13)))</f>
        <v>1000000000000</v>
      </c>
      <c r="BQ19" s="171">
        <f ca="1">IF(OR($D19&lt;&gt;"Serviço",AND(AUTOEVENTO="Manual",$M19=$A$15)),0,
         IF(OFFSET(CRONOPLE!$F$15,$M19-$A$15,BQ$13)=0,10^12,OFFSET(CRONOPLE!$F$15,$M19-$A$15,BQ$13)))</f>
        <v>1000000000000</v>
      </c>
      <c r="BR19" s="171">
        <f ca="1">IF(OR($D19&lt;&gt;"Serviço",AND(AUTOEVENTO="Manual",$M19=$A$15)),0,
         IF(OFFSET(CRONOPLE!$F$15,$M19-$A$15,BR$13)=0,10^12,OFFSET(CRONOPLE!$F$15,$M19-$A$15,BR$13)))</f>
        <v>1000000000000</v>
      </c>
      <c r="BS19" s="171">
        <f ca="1">IF(OR($D19&lt;&gt;"Serviço",AND(AUTOEVENTO="Manual",$M19=$A$15)),0,
         IF(OFFSET(CRONOPLE!$F$15,$M19-$A$15,BS$13)=0,10^12,OFFSET(CRONOPLE!$F$15,$M19-$A$15,BS$13)))</f>
        <v>1000000000000</v>
      </c>
      <c r="BT19" s="171">
        <f ca="1">IF(OR($D19&lt;&gt;"Serviço",AND(AUTOEVENTO="Manual",$M19=$A$15)),0,
         IF(OFFSET(CRONOPLE!$F$15,$M19-$A$15,BT$13)=0,10^12,OFFSET(CRONOPLE!$F$15,$M19-$A$15,BT$13)))</f>
        <v>1000000000000</v>
      </c>
      <c r="BV19" s="172" cm="1">
        <f t="array" aca="1" ref="BV19" ca="1">IF(OR($D19&lt;&gt;"Serviço",AND(AUTOEVENTO="Manual",$M19=$A$15),$M19&gt;(ROW(PLE.lastrow)-ROW(PLE.firstrow))),0,
           IF(OFFSET(PLE!$G$15,$M19-$A$15,BV$13)="",10^12,OFFSET(PLE!$G$15,$M19-$A$15,BV$13)))</f>
        <v>1000000000000</v>
      </c>
      <c r="BW19" s="172" cm="1">
        <f t="array" aca="1" ref="BW19" ca="1">IF(OR($D19&lt;&gt;"Serviço",AND(AUTOEVENTO="Manual",$M19=$A$15),$M19&gt;(ROW(PLE.lastrow)-ROW(PLE.firstrow))),0,
           IF(OFFSET(PLE!$G$15,$M19-$A$15,BW$13)="",10^12,OFFSET(PLE!$G$15,$M19-$A$15,BW$13)))</f>
        <v>1000000000000</v>
      </c>
      <c r="BX19" s="172" cm="1">
        <f t="array" aca="1" ref="BX19" ca="1">IF(OR($D19&lt;&gt;"Serviço",AND(AUTOEVENTO="Manual",$M19=$A$15),$M19&gt;(ROW(PLE.lastrow)-ROW(PLE.firstrow))),0,
           IF(OFFSET(PLE!$G$15,$M19-$A$15,BX$13)="",10^12,OFFSET(PLE!$G$15,$M19-$A$15,BX$13)))</f>
        <v>1000000000000</v>
      </c>
      <c r="BY19" s="172" cm="1">
        <f t="array" aca="1" ref="BY19" ca="1">IF(OR($D19&lt;&gt;"Serviço",AND(AUTOEVENTO="Manual",$M19=$A$15),$M19&gt;(ROW(PLE.lastrow)-ROW(PLE.firstrow))),0,
           IF(OFFSET(PLE!$G$15,$M19-$A$15,BY$13)="",10^12,OFFSET(PLE!$G$15,$M19-$A$15,BY$13)))</f>
        <v>1000000000000</v>
      </c>
      <c r="BZ19" s="172" cm="1">
        <f t="array" aca="1" ref="BZ19" ca="1">IF(OR($D19&lt;&gt;"Serviço",AND(AUTOEVENTO="Manual",$M19=$A$15),$M19&gt;(ROW(PLE.lastrow)-ROW(PLE.firstrow))),0,
           IF(OFFSET(PLE!$G$15,$M19-$A$15,BZ$13)="",10^12,OFFSET(PLE!$G$15,$M19-$A$15,BZ$13)))</f>
        <v>1000000000000</v>
      </c>
      <c r="CA19" s="172" cm="1">
        <f t="array" aca="1" ref="CA19" ca="1">IF(OR($D19&lt;&gt;"Serviço",AND(AUTOEVENTO="Manual",$M19=$A$15),$M19&gt;(ROW(PLE.lastrow)-ROW(PLE.firstrow))),0,
           IF(OFFSET(PLE!$G$15,$M19-$A$15,CA$13)="",10^12,OFFSET(PLE!$G$15,$M19-$A$15,CA$13)))</f>
        <v>1000000000000</v>
      </c>
      <c r="CB19" s="172" cm="1">
        <f t="array" aca="1" ref="CB19" ca="1">IF(OR($D19&lt;&gt;"Serviço",AND(AUTOEVENTO="Manual",$M19=$A$15),$M19&gt;(ROW(PLE.lastrow)-ROW(PLE.firstrow))),0,
           IF(OFFSET(PLE!$G$15,$M19-$A$15,CB$13)="",10^12,OFFSET(PLE!$G$15,$M19-$A$15,CB$13)))</f>
        <v>1000000000000</v>
      </c>
      <c r="CC19" s="172" cm="1">
        <f t="array" aca="1" ref="CC19" ca="1">IF(OR($D19&lt;&gt;"Serviço",AND(AUTOEVENTO="Manual",$M19=$A$15),$M19&gt;(ROW(PLE.lastrow)-ROW(PLE.firstrow))),0,
           IF(OFFSET(PLE!$G$15,$M19-$A$15,CC$13)="",10^12,OFFSET(PLE!$G$15,$M19-$A$15,CC$13)))</f>
        <v>1000000000000</v>
      </c>
      <c r="CD19" s="172" cm="1">
        <f t="array" aca="1" ref="CD19" ca="1">IF(OR($D19&lt;&gt;"Serviço",AND(AUTOEVENTO="Manual",$M19=$A$15),$M19&gt;(ROW(PLE.lastrow)-ROW(PLE.firstrow))),0,
           IF(OFFSET(PLE!$G$15,$M19-$A$15,CD$13)="",10^12,OFFSET(PLE!$G$15,$M19-$A$15,CD$13)))</f>
        <v>1000000000000</v>
      </c>
      <c r="CE19" s="172" cm="1">
        <f t="array" aca="1" ref="CE19" ca="1">IF(OR($D19&lt;&gt;"Serviço",AND(AUTOEVENTO="Manual",$M19=$A$15),$M19&gt;(ROW(PLE.lastrow)-ROW(PLE.firstrow))),0,
           IF(OFFSET(PLE!$G$15,$M19-$A$15,CE$13)="",10^12,OFFSET(PLE!$G$15,$M19-$A$15,CE$13)))</f>
        <v>1000000000000</v>
      </c>
      <c r="CF19" s="172" cm="1">
        <f t="array" aca="1" ref="CF19" ca="1">IF(OR($D19&lt;&gt;"Serviço",AND(AUTOEVENTO="Manual",$M19=$A$15),$M19&gt;(ROW(PLE.lastrow)-ROW(PLE.firstrow))),0,
           IF(OFFSET(PLE!$G$15,$M19-$A$15,CF$13)="",10^12,OFFSET(PLE!$G$15,$M19-$A$15,CF$13)))</f>
        <v>1000000000000</v>
      </c>
      <c r="CG19" s="172" cm="1">
        <f t="array" aca="1" ref="CG19" ca="1">IF(OR($D19&lt;&gt;"Serviço",AND(AUTOEVENTO="Manual",$M19=$A$15),$M19&gt;(ROW(PLE.lastrow)-ROW(PLE.firstrow))),0,
           IF(OFFSET(PLE!$G$15,$M19-$A$15,CG$13)="",10^12,OFFSET(PLE!$G$15,$M19-$A$15,CG$13)))</f>
        <v>1000000000000</v>
      </c>
      <c r="CH19" s="172" cm="1">
        <f t="array" aca="1" ref="CH19" ca="1">IF(OR($D19&lt;&gt;"Serviço",AND(AUTOEVENTO="Manual",$M19=$A$15),$M19&gt;(ROW(PLE.lastrow)-ROW(PLE.firstrow))),0,
           IF(OFFSET(PLE!$G$15,$M19-$A$15,CH$13)="",10^12,OFFSET(PLE!$G$15,$M19-$A$15,CH$13)))</f>
        <v>1000000000000</v>
      </c>
      <c r="CI19" s="172" cm="1">
        <f t="array" aca="1" ref="CI19" ca="1">IF(OR($D19&lt;&gt;"Serviço",AND(AUTOEVENTO="Manual",$M19=$A$15),$M19&gt;(ROW(PLE.lastrow)-ROW(PLE.firstrow))),0,
           IF(OFFSET(PLE!$G$15,$M19-$A$15,CI$13)="",10^12,OFFSET(PLE!$G$15,$M19-$A$15,CI$13)))</f>
        <v>1000000000000</v>
      </c>
      <c r="CJ19" s="172" cm="1">
        <f t="array" aca="1" ref="CJ19" ca="1">IF(OR($D19&lt;&gt;"Serviço",AND(AUTOEVENTO="Manual",$M19=$A$15),$M19&gt;(ROW(PLE.lastrow)-ROW(PLE.firstrow))),0,
           IF(OFFSET(PLE!$G$15,$M19-$A$15,CJ$13)="",10^12,OFFSET(PLE!$G$15,$M19-$A$15,CJ$13)))</f>
        <v>1000000000000</v>
      </c>
      <c r="CK19" s="172" cm="1">
        <f t="array" aca="1" ref="CK19" ca="1">IF(OR($D19&lt;&gt;"Serviço",AND(AUTOEVENTO="Manual",$M19=$A$15),$M19&gt;(ROW(PLE.lastrow)-ROW(PLE.firstrow))),0,
           IF(OFFSET(PLE!$G$15,$M19-$A$15,CK$13)="",10^12,OFFSET(PLE!$G$15,$M19-$A$15,CK$13)))</f>
        <v>1000000000000</v>
      </c>
      <c r="CL19" s="172" cm="1">
        <f t="array" aca="1" ref="CL19" ca="1">IF(OR($D19&lt;&gt;"Serviço",AND(AUTOEVENTO="Manual",$M19=$A$15),$M19&gt;(ROW(PLE.lastrow)-ROW(PLE.firstrow))),0,
           IF(OFFSET(PLE!$G$15,$M19-$A$15,CL$13)="",10^12,OFFSET(PLE!$G$15,$M19-$A$15,CL$13)))</f>
        <v>1000000000000</v>
      </c>
      <c r="CM19" s="172" cm="1">
        <f t="array" aca="1" ref="CM19" ca="1">IF(OR($D19&lt;&gt;"Serviço",AND(AUTOEVENTO="Manual",$M19=$A$15),$M19&gt;(ROW(PLE.lastrow)-ROW(PLE.firstrow))),0,
           IF(OFFSET(PLE!$G$15,$M19-$A$15,CM$13)="",10^12,OFFSET(PLE!$G$15,$M19-$A$15,CM$13)))</f>
        <v>1000000000000</v>
      </c>
    </row>
    <row r="20" spans="1:91" s="670" customFormat="1" ht="51" x14ac:dyDescent="0.2">
      <c r="A20" s="668">
        <f t="shared" ca="1" si="10"/>
        <v>3</v>
      </c>
      <c r="B20" s="668" t="str">
        <f ca="1">OFFSET(ORÇAMENTO!C$15,$L20,0)</f>
        <v>S</v>
      </c>
      <c r="C20" s="668" t="str">
        <f ca="1">OFFSET(ORÇAMENTO!L$15,$L20,0)</f>
        <v>F</v>
      </c>
      <c r="D20" s="116" t="str">
        <f ca="1">OFFSET(ORÇAMENTO!N$15,$L20,0)</f>
        <v>Serviço</v>
      </c>
      <c r="E20" s="117" t="str">
        <f ca="1">OFFSET(ORÇAMENTO!O$15,$L20,0)</f>
        <v>1.1.3.</v>
      </c>
      <c r="F20" s="163" t="str">
        <f ca="1">OFFSET(ORÇAMENTO!R$15,$L20,0)</f>
        <v>LIGAÇÃO PROVISÓRIA COM ENTRADA DE ENERGIA AÉREA, PADRÃO CEMIG, CARGA INSTALADA DE 15,1KVA ATÉ 30KVA, TRIFÁSICO, COM SAÍDA SUBTERRÂNEA, INCLUSIVE POSTE, CAIXA PARA MEDIDOR, DISJUNTOR, BARRAMENTO, ATERRAMENTO E ACESSÓRIOS</v>
      </c>
      <c r="G20" s="164" t="str">
        <f ca="1">IF($D20&lt;&gt;"Serviço","",OFFSET(ORÇAMENTO!S$15,$L20,0))</f>
        <v>un</v>
      </c>
      <c r="H20" s="122" cm="1">
        <f t="array" aca="1" ref="H20" ca="1">IF($D20&lt;&gt;"Serviço",0,IF(ACOMPANHAMENTO="BM",ROUND(OFFSET(ORÇAMENTO!AJ$15,$L20,0),15-13*ORÇAMENTO!$AF$7),IF(IFERROR(CÁLCULO.FrentesPreenchidas,0)=0,0,SUM(ROUND(OFFSET($P20,0,1,1,CÁLCULO.FrentesPreenchidas),15-13*ORÇAMENTO!$AF$7)))))</f>
        <v>1</v>
      </c>
      <c r="I20" s="468" t="s">
        <v>1315</v>
      </c>
      <c r="J20" s="651" t="str" cm="1">
        <f t="array" aca="1" ref="J20" ca="1">IF(OR(B20&lt;&gt;"S",CÁLCULO.FrentesPreenchidas=0),"",IF(AND(ACOMPANHAMENTO="PLE",AUTOEVENTO="Manual",OR(H20&gt;0,ORÇAMENTO!AC20="QUANT."),OR(K20="",M20=0,N20="")),"►E",IF(AND(ACOMPANHAMENTO="PLE",ORÇAMENTO!AC20="QUANT."),"►Q",IF(AND(ACOMPANHAMENTO="PLE",H20&lt;&gt;SUMPRODUCT(($Q$1:$AI$1=1)*ROUND(Q20:AI20,15))),"►S",IF(AND(COUNTIF($P$11:$AI$11,"▼")=0,H20&gt;0,I20=""),"◄M","")))))</f>
        <v/>
      </c>
      <c r="K20" s="652" t="s">
        <v>1333</v>
      </c>
      <c r="L20" s="165">
        <f t="shared" ca="1" si="11"/>
        <v>5</v>
      </c>
      <c r="M20" s="166">
        <f ca="1">IF($D20&lt;&gt;"Serviço","",
          IF(AUTOEVENTO="manual",$A20,
                IF(ISERROR(MATCH($A20,$A$15:OFFSET($A20,-1,0),0)),MAX($M$15:OFFSET(M20,-1,0))+1,
                      INDEX($M$15:OFFSET(M20,-1,0),MATCH($A20,$A$15:OFFSET($A20,-1,0),0)))))</f>
        <v>3</v>
      </c>
      <c r="N20" s="167" t="str">
        <f ca="1">IF($D20&lt;&gt;"Serviço","",
         IF(AUTOEVENTO="Manual",
                IF($A20=0,"&lt;-- defina o número do agrupador",
                       OFFSET(EVENTOS!$D$15,$A20-$A$15,0)),
                OFFSET($F$15,$A20,0)))</f>
        <v>Canteiro de Obras</v>
      </c>
      <c r="O20" s="168"/>
      <c r="Q20" s="168"/>
      <c r="R20" s="169">
        <v>1</v>
      </c>
      <c r="S20" s="169"/>
      <c r="T20" s="169"/>
      <c r="U20" s="169"/>
      <c r="V20" s="169"/>
      <c r="W20" s="169"/>
      <c r="X20" s="169"/>
      <c r="Y20" s="169"/>
      <c r="Z20" s="170"/>
      <c r="AA20" s="705"/>
      <c r="AB20" s="705"/>
      <c r="AC20" s="705"/>
      <c r="AD20" s="705"/>
      <c r="AE20" s="705"/>
      <c r="AF20" s="705"/>
      <c r="AG20" s="705"/>
      <c r="AH20" s="706"/>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1030.3900000000001</v>
      </c>
      <c r="AL20" s="453">
        <f ca="1">IF(AND($D20="Serviço",AL$12&lt;&gt;0,$H20&gt;0,OR(AUTOEVENTO&lt;&gt;"manual",$M20&lt;&gt;$A$15)),
        IF(Import.TipoArredondamento&lt;&gt;"TransfereGOV",
              ROUND(OFFSET($P20,0,AL$13),15-13*ORÇAMENTO!$AF$7)/$H20*OFFSET(ORÇAMENTO!$X$15,ROW(AL20)-ROW(AL$15),0),
              ROUND(ROUND(OFFSET($P20,0,AL$13),15-13*ORÇAMENTO!$AF$7)*OFFSET(ORÇAMENTO!$W$15,ROW(AL20)-ROW(AL$15),0),15-13*ORÇAMENTO!$AF$11)),
         0)</f>
        <v>0</v>
      </c>
      <c r="AM20" s="453">
        <f ca="1">IF(AND($D20="Serviço",AM$12&lt;&gt;0,$H20&gt;0,OR(AUTOEVENTO&lt;&gt;"manual",$M20&lt;&gt;$A$15)),
        IF(Import.TipoArredondamento&lt;&gt;"TransfereGOV",
              ROUND(OFFSET($P20,0,AM$13),15-13*ORÇAMENTO!$AF$7)/$H20*OFFSET(ORÇAMENTO!$X$15,ROW(AM20)-ROW(AM$15),0),
              ROUND(ROUND(OFFSET($P20,0,AM$13),15-13*ORÇAMENTO!$AF$7)*OFFSET(ORÇAMENTO!$W$15,ROW(AM20)-ROW(AM$15),0),15-13*ORÇAMENTO!$AF$11)),
         0)</f>
        <v>0</v>
      </c>
      <c r="AN20" s="453">
        <f ca="1">IF(AND($D20="Serviço",AN$12&lt;&gt;0,$H20&gt;0,OR(AUTOEVENTO&lt;&gt;"manual",$M20&lt;&gt;$A$15)),
        IF(Import.TipoArredondamento&lt;&gt;"TransfereGOV",
              ROUND(OFFSET($P20,0,AN$13),15-13*ORÇAMENTO!$AF$7)/$H20*OFFSET(ORÇAMENTO!$X$15,ROW(AN20)-ROW(AN$15),0),
              ROUND(ROUND(OFFSET($P20,0,AN$13),15-13*ORÇAMENTO!$AF$7)*OFFSET(ORÇAMENTO!$W$15,ROW(AN20)-ROW(AN$15),0),15-13*ORÇAMENTO!$AF$11)),
         0)</f>
        <v>0</v>
      </c>
      <c r="AO20" s="453">
        <f ca="1">IF(AND($D20="Serviço",AO$12&lt;&gt;0,$H20&gt;0,OR(AUTOEVENTO&lt;&gt;"manual",$M20&lt;&gt;$A$15)),
        IF(Import.TipoArredondamento&lt;&gt;"TransfereGOV",
              ROUND(OFFSET($P20,0,AO$13),15-13*ORÇAMENTO!$AF$7)/$H20*OFFSET(ORÇAMENTO!$X$15,ROW(AO20)-ROW(AO$15),0),
              ROUND(ROUND(OFFSET($P20,0,AO$13),15-13*ORÇAMENTO!$AF$7)*OFFSET(ORÇAMENTO!$W$15,ROW(AO20)-ROW(AO$15),0),15-13*ORÇAMENTO!$AF$11)),
         0)</f>
        <v>0</v>
      </c>
      <c r="AP20" s="453">
        <f ca="1">IF(AND($D20="Serviço",AP$12&lt;&gt;0,$H20&gt;0,OR(AUTOEVENTO&lt;&gt;"manual",$M20&lt;&gt;$A$15)),
        IF(Import.TipoArredondamento&lt;&gt;"TransfereGOV",
              ROUND(OFFSET($P20,0,AP$13),15-13*ORÇAMENTO!$AF$7)/$H20*OFFSET(ORÇAMENTO!$X$15,ROW(AP20)-ROW(AP$15),0),
              ROUND(ROUND(OFFSET($P20,0,AP$13),15-13*ORÇAMENTO!$AF$7)*OFFSET(ORÇAMENTO!$W$15,ROW(AP20)-ROW(AP$15),0),15-13*ORÇAMENTO!$AF$11)),
         0)</f>
        <v>0</v>
      </c>
      <c r="AQ20" s="453">
        <f ca="1">IF(AND($D20="Serviço",AQ$12&lt;&gt;0,$H20&gt;0,OR(AUTOEVENTO&lt;&gt;"manual",$M20&lt;&gt;$A$15)),
        IF(Import.TipoArredondamento&lt;&gt;"TransfereGOV",
              ROUND(OFFSET($P20,0,AQ$13),15-13*ORÇAMENTO!$AF$7)/$H20*OFFSET(ORÇAMENTO!$X$15,ROW(AQ20)-ROW(AQ$15),0),
              ROUND(ROUND(OFFSET($P20,0,AQ$13),15-13*ORÇAMENTO!$AF$7)*OFFSET(ORÇAMENTO!$W$15,ROW(AQ20)-ROW(AQ$15),0),15-13*ORÇAMENTO!$AF$11)),
         0)</f>
        <v>0</v>
      </c>
      <c r="AR20" s="453">
        <f ca="1">IF(AND($D20="Serviço",AR$12&lt;&gt;0,$H20&gt;0,OR(AUTOEVENTO&lt;&gt;"manual",$M20&lt;&gt;$A$15)),
        IF(Import.TipoArredondamento&lt;&gt;"TransfereGOV",
              ROUND(OFFSET($P20,0,AR$13),15-13*ORÇAMENTO!$AF$7)/$H20*OFFSET(ORÇAMENTO!$X$15,ROW(AR20)-ROW(AR$15),0),
              ROUND(ROUND(OFFSET($P20,0,AR$13),15-13*ORÇAMENTO!$AF$7)*OFFSET(ORÇAMENTO!$W$15,ROW(AR20)-ROW(AR$15),0),15-13*ORÇAMENTO!$AF$11)),
         0)</f>
        <v>0</v>
      </c>
      <c r="AS20" s="453">
        <f ca="1">IF(AND($D20="Serviço",AS$12&lt;&gt;0,$H20&gt;0,OR(AUTOEVENTO&lt;&gt;"manual",$M20&lt;&gt;$A$15)),
        IF(Import.TipoArredondamento&lt;&gt;"TransfereGOV",
              ROUND(OFFSET($P20,0,AS$13),15-13*ORÇAMENTO!$AF$7)/$H20*OFFSET(ORÇAMENTO!$X$15,ROW(AS20)-ROW(AS$15),0),
              ROUND(ROUND(OFFSET($P20,0,AS$13),15-13*ORÇAMENTO!$AF$7)*OFFSET(ORÇAMENTO!$W$15,ROW(AS20)-ROW(AS$15),0),15-13*ORÇAMENTO!$AF$11)),
         0)</f>
        <v>0</v>
      </c>
      <c r="AT20" s="453">
        <f ca="1">IF(AND($D20="Serviço",AT$12&lt;&gt;0,$H20&gt;0,OR(AUTOEVENTO&lt;&gt;"manual",$M20&lt;&gt;$A$15)),
        IF(Import.TipoArredondamento&lt;&gt;"TransfereGOV",
              ROUND(OFFSET($P20,0,AT$13),15-13*ORÇAMENTO!$AF$7)/$H20*OFFSET(ORÇAMENTO!$X$15,ROW(AT20)-ROW(AT$15),0),
              ROUND(ROUND(OFFSET($P20,0,AT$13),15-13*ORÇAMENTO!$AF$7)*OFFSET(ORÇAMENTO!$W$15,ROW(AT20)-ROW(AT$15),0),15-13*ORÇAMENTO!$AF$11)),
         0)</f>
        <v>0</v>
      </c>
      <c r="AU20" s="453">
        <f ca="1">IF(AND($D20="Serviço",AU$12&lt;&gt;0,$H20&gt;0,OR(AUTOEVENTO&lt;&gt;"manual",$M20&lt;&gt;$A$15)),
        IF(Import.TipoArredondamento&lt;&gt;"TransfereGOV",
              ROUND(OFFSET($P20,0,AU$13),15-13*ORÇAMENTO!$AF$7)/$H20*OFFSET(ORÇAMENTO!$X$15,ROW(AU20)-ROW(AU$15),0),
              ROUND(ROUND(OFFSET($P20,0,AU$13),15-13*ORÇAMENTO!$AF$7)*OFFSET(ORÇAMENTO!$W$15,ROW(AU20)-ROW(AU$15),0),15-13*ORÇAMENTO!$AF$11)),
         0)</f>
        <v>0</v>
      </c>
      <c r="AV20" s="453">
        <f ca="1">IF(AND($D20="Serviço",AV$12&lt;&gt;0,$H20&gt;0,OR(AUTOEVENTO&lt;&gt;"manual",$M20&lt;&gt;$A$15)),
        IF(Import.TipoArredondamento&lt;&gt;"TransfereGOV",
              ROUND(OFFSET($P20,0,AV$13),15-13*ORÇAMENTO!$AF$7)/$H20*OFFSET(ORÇAMENTO!$X$15,ROW(AV20)-ROW(AV$15),0),
              ROUND(ROUND(OFFSET($P20,0,AV$13),15-13*ORÇAMENTO!$AF$7)*OFFSET(ORÇAMENTO!$W$15,ROW(AV20)-ROW(AV$15),0),15-13*ORÇAMENTO!$AF$11)),
         0)</f>
        <v>0</v>
      </c>
      <c r="AW20" s="453">
        <f ca="1">IF(AND($D20="Serviço",AW$12&lt;&gt;0,$H20&gt;0,OR(AUTOEVENTO&lt;&gt;"manual",$M20&lt;&gt;$A$15)),
        IF(Import.TipoArredondamento&lt;&gt;"TransfereGOV",
              ROUND(OFFSET($P20,0,AW$13),15-13*ORÇAMENTO!$AF$7)/$H20*OFFSET(ORÇAMENTO!$X$15,ROW(AW20)-ROW(AW$15),0),
              ROUND(ROUND(OFFSET($P20,0,AW$13),15-13*ORÇAMENTO!$AF$7)*OFFSET(ORÇAMENTO!$W$15,ROW(AW20)-ROW(AW$15),0),15-13*ORÇAMENTO!$AF$11)),
         0)</f>
        <v>0</v>
      </c>
      <c r="AX20" s="453">
        <f ca="1">IF(AND($D20="Serviço",AX$12&lt;&gt;0,$H20&gt;0,OR(AUTOEVENTO&lt;&gt;"manual",$M20&lt;&gt;$A$15)),
        IF(Import.TipoArredondamento&lt;&gt;"TransfereGOV",
              ROUND(OFFSET($P20,0,AX$13),15-13*ORÇAMENTO!$AF$7)/$H20*OFFSET(ORÇAMENTO!$X$15,ROW(AX20)-ROW(AX$15),0),
              ROUND(ROUND(OFFSET($P20,0,AX$13),15-13*ORÇAMENTO!$AF$7)*OFFSET(ORÇAMENTO!$W$15,ROW(AX20)-ROW(AX$15),0),15-13*ORÇAMENTO!$AF$11)),
         0)</f>
        <v>0</v>
      </c>
      <c r="AY20" s="453">
        <f ca="1">IF(AND($D20="Serviço",AY$12&lt;&gt;0,$H20&gt;0,OR(AUTOEVENTO&lt;&gt;"manual",$M20&lt;&gt;$A$15)),
        IF(Import.TipoArredondamento&lt;&gt;"TransfereGOV",
              ROUND(OFFSET($P20,0,AY$13),15-13*ORÇAMENTO!$AF$7)/$H20*OFFSET(ORÇAMENTO!$X$15,ROW(AY20)-ROW(AY$15),0),
              ROUND(ROUND(OFFSET($P20,0,AY$13),15-13*ORÇAMENTO!$AF$7)*OFFSET(ORÇAMENTO!$W$15,ROW(AY20)-ROW(AY$15),0),15-13*ORÇAMENTO!$AF$11)),
         0)</f>
        <v>0</v>
      </c>
      <c r="AZ20" s="453">
        <f ca="1">IF(AND($D20="Serviço",AZ$12&lt;&gt;0,$H20&gt;0,OR(AUTOEVENTO&lt;&gt;"manual",$M20&lt;&gt;$A$15)),
        IF(Import.TipoArredondamento&lt;&gt;"TransfereGOV",
              ROUND(OFFSET($P20,0,AZ$13),15-13*ORÇAMENTO!$AF$7)/$H20*OFFSET(ORÇAMENTO!$X$15,ROW(AZ20)-ROW(AZ$15),0),
              ROUND(ROUND(OFFSET($P20,0,AZ$13),15-13*ORÇAMENTO!$AF$7)*OFFSET(ORÇAMENTO!$W$15,ROW(AZ20)-ROW(AZ$15),0),15-13*ORÇAMENTO!$AF$11)),
         0)</f>
        <v>0</v>
      </c>
      <c r="BA20" s="453">
        <f ca="1">IF(AND($D20="Serviço",BA$12&lt;&gt;0,$H20&gt;0,OR(AUTOEVENTO&lt;&gt;"manual",$M20&lt;&gt;$A$15)),
        IF(Import.TipoArredondamento&lt;&gt;"TransfereGOV",
              ROUND(OFFSET($P20,0,BA$13),15-13*ORÇAMENTO!$AF$7)/$H20*OFFSET(ORÇAMENTO!$X$15,ROW(BA20)-ROW(BA$15),0),
              ROUND(ROUND(OFFSET($P20,0,BA$13),15-13*ORÇAMENTO!$AF$7)*OFFSET(ORÇAMENTO!$W$15,ROW(BA20)-ROW(BA$15),0),15-13*ORÇAMENTO!$AF$11)),
         0)</f>
        <v>0</v>
      </c>
      <c r="BC20" s="171">
        <f ca="1">IF(OR($D20&lt;&gt;"Serviço",AND(AUTOEVENTO="Manual",$M20=$A$15)),0,
         IF(OFFSET(CRONOPLE!$F$15,$M20-$A$15,BC$13)=0,10^12,OFFSET(CRONOPLE!$F$15,$M20-$A$15,BC$13)))</f>
        <v>10</v>
      </c>
      <c r="BD20" s="171">
        <f ca="1">IF(OR($D20&lt;&gt;"Serviço",AND(AUTOEVENTO="Manual",$M20=$A$15)),0,
         IF(OFFSET(CRONOPLE!$F$15,$M20-$A$15,BD$13)=0,10^12,OFFSET(CRONOPLE!$F$15,$M20-$A$15,BD$13)))</f>
        <v>3</v>
      </c>
      <c r="BE20" s="171">
        <f ca="1">IF(OR($D20&lt;&gt;"Serviço",AND(AUTOEVENTO="Manual",$M20=$A$15)),0,
         IF(OFFSET(CRONOPLE!$F$15,$M20-$A$15,BE$13)=0,10^12,OFFSET(CRONOPLE!$F$15,$M20-$A$15,BE$13)))</f>
        <v>1000000000000</v>
      </c>
      <c r="BF20" s="171">
        <f ca="1">IF(OR($D20&lt;&gt;"Serviço",AND(AUTOEVENTO="Manual",$M20=$A$15)),0,
         IF(OFFSET(CRONOPLE!$F$15,$M20-$A$15,BF$13)=0,10^12,OFFSET(CRONOPLE!$F$15,$M20-$A$15,BF$13)))</f>
        <v>1000000000000</v>
      </c>
      <c r="BG20" s="171">
        <f ca="1">IF(OR($D20&lt;&gt;"Serviço",AND(AUTOEVENTO="Manual",$M20=$A$15)),0,
         IF(OFFSET(CRONOPLE!$F$15,$M20-$A$15,BG$13)=0,10^12,OFFSET(CRONOPLE!$F$15,$M20-$A$15,BG$13)))</f>
        <v>1000000000000</v>
      </c>
      <c r="BH20" s="171">
        <f ca="1">IF(OR($D20&lt;&gt;"Serviço",AND(AUTOEVENTO="Manual",$M20=$A$15)),0,
         IF(OFFSET(CRONOPLE!$F$15,$M20-$A$15,BH$13)=0,10^12,OFFSET(CRONOPLE!$F$15,$M20-$A$15,BH$13)))</f>
        <v>1000000000000</v>
      </c>
      <c r="BI20" s="171">
        <f ca="1">IF(OR($D20&lt;&gt;"Serviço",AND(AUTOEVENTO="Manual",$M20=$A$15)),0,
         IF(OFFSET(CRONOPLE!$F$15,$M20-$A$15,BI$13)=0,10^12,OFFSET(CRONOPLE!$F$15,$M20-$A$15,BI$13)))</f>
        <v>1000000000000</v>
      </c>
      <c r="BJ20" s="171">
        <f ca="1">IF(OR($D20&lt;&gt;"Serviço",AND(AUTOEVENTO="Manual",$M20=$A$15)),0,
         IF(OFFSET(CRONOPLE!$F$15,$M20-$A$15,BJ$13)=0,10^12,OFFSET(CRONOPLE!$F$15,$M20-$A$15,BJ$13)))</f>
        <v>1000000000000</v>
      </c>
      <c r="BK20" s="171">
        <f ca="1">IF(OR($D20&lt;&gt;"Serviço",AND(AUTOEVENTO="Manual",$M20=$A$15)),0,
         IF(OFFSET(CRONOPLE!$F$15,$M20-$A$15,BK$13)=0,10^12,OFFSET(CRONOPLE!$F$15,$M20-$A$15,BK$13)))</f>
        <v>1000000000000</v>
      </c>
      <c r="BL20" s="171">
        <f ca="1">IF(OR($D20&lt;&gt;"Serviço",AND(AUTOEVENTO="Manual",$M20=$A$15)),0,
         IF(OFFSET(CRONOPLE!$F$15,$M20-$A$15,BL$13)=0,10^12,OFFSET(CRONOPLE!$F$15,$M20-$A$15,BL$13)))</f>
        <v>1000000000000</v>
      </c>
      <c r="BM20" s="171">
        <f ca="1">IF(OR($D20&lt;&gt;"Serviço",AND(AUTOEVENTO="Manual",$M20=$A$15)),0,
         IF(OFFSET(CRONOPLE!$F$15,$M20-$A$15,BM$13)=0,10^12,OFFSET(CRONOPLE!$F$15,$M20-$A$15,BM$13)))</f>
        <v>1000000000000</v>
      </c>
      <c r="BN20" s="171">
        <f ca="1">IF(OR($D20&lt;&gt;"Serviço",AND(AUTOEVENTO="Manual",$M20=$A$15)),0,
         IF(OFFSET(CRONOPLE!$F$15,$M20-$A$15,BN$13)=0,10^12,OFFSET(CRONOPLE!$F$15,$M20-$A$15,BN$13)))</f>
        <v>1000000000000</v>
      </c>
      <c r="BO20" s="171">
        <f ca="1">IF(OR($D20&lt;&gt;"Serviço",AND(AUTOEVENTO="Manual",$M20=$A$15)),0,
         IF(OFFSET(CRONOPLE!$F$15,$M20-$A$15,BO$13)=0,10^12,OFFSET(CRONOPLE!$F$15,$M20-$A$15,BO$13)))</f>
        <v>1000000000000</v>
      </c>
      <c r="BP20" s="171">
        <f ca="1">IF(OR($D20&lt;&gt;"Serviço",AND(AUTOEVENTO="Manual",$M20=$A$15)),0,
         IF(OFFSET(CRONOPLE!$F$15,$M20-$A$15,BP$13)=0,10^12,OFFSET(CRONOPLE!$F$15,$M20-$A$15,BP$13)))</f>
        <v>1000000000000</v>
      </c>
      <c r="BQ20" s="171">
        <f ca="1">IF(OR($D20&lt;&gt;"Serviço",AND(AUTOEVENTO="Manual",$M20=$A$15)),0,
         IF(OFFSET(CRONOPLE!$F$15,$M20-$A$15,BQ$13)=0,10^12,OFFSET(CRONOPLE!$F$15,$M20-$A$15,BQ$13)))</f>
        <v>1000000000000</v>
      </c>
      <c r="BR20" s="171">
        <f ca="1">IF(OR($D20&lt;&gt;"Serviço",AND(AUTOEVENTO="Manual",$M20=$A$15)),0,
         IF(OFFSET(CRONOPLE!$F$15,$M20-$A$15,BR$13)=0,10^12,OFFSET(CRONOPLE!$F$15,$M20-$A$15,BR$13)))</f>
        <v>1000000000000</v>
      </c>
      <c r="BS20" s="171">
        <f ca="1">IF(OR($D20&lt;&gt;"Serviço",AND(AUTOEVENTO="Manual",$M20=$A$15)),0,
         IF(OFFSET(CRONOPLE!$F$15,$M20-$A$15,BS$13)=0,10^12,OFFSET(CRONOPLE!$F$15,$M20-$A$15,BS$13)))</f>
        <v>1000000000000</v>
      </c>
      <c r="BT20" s="171">
        <f ca="1">IF(OR($D20&lt;&gt;"Serviço",AND(AUTOEVENTO="Manual",$M20=$A$15)),0,
         IF(OFFSET(CRONOPLE!$F$15,$M20-$A$15,BT$13)=0,10^12,OFFSET(CRONOPLE!$F$15,$M20-$A$15,BT$13)))</f>
        <v>1000000000000</v>
      </c>
      <c r="BV20" s="172" cm="1">
        <f t="array" aca="1" ref="BV20" ca="1">IF(OR($D20&lt;&gt;"Serviço",AND(AUTOEVENTO="Manual",$M20=$A$15),$M20&gt;(ROW(PLE.lastrow)-ROW(PLE.firstrow))),0,
           IF(OFFSET(PLE!$G$15,$M20-$A$15,BV$13)="",10^12,OFFSET(PLE!$G$15,$M20-$A$15,BV$13)))</f>
        <v>1000000000000</v>
      </c>
      <c r="BW20" s="172" cm="1">
        <f t="array" aca="1" ref="BW20" ca="1">IF(OR($D20&lt;&gt;"Serviço",AND(AUTOEVENTO="Manual",$M20=$A$15),$M20&gt;(ROW(PLE.lastrow)-ROW(PLE.firstrow))),0,
           IF(OFFSET(PLE!$G$15,$M20-$A$15,BW$13)="",10^12,OFFSET(PLE!$G$15,$M20-$A$15,BW$13)))</f>
        <v>1000000000000</v>
      </c>
      <c r="BX20" s="172" cm="1">
        <f t="array" aca="1" ref="BX20" ca="1">IF(OR($D20&lt;&gt;"Serviço",AND(AUTOEVENTO="Manual",$M20=$A$15),$M20&gt;(ROW(PLE.lastrow)-ROW(PLE.firstrow))),0,
           IF(OFFSET(PLE!$G$15,$M20-$A$15,BX$13)="",10^12,OFFSET(PLE!$G$15,$M20-$A$15,BX$13)))</f>
        <v>1000000000000</v>
      </c>
      <c r="BY20" s="172" cm="1">
        <f t="array" aca="1" ref="BY20" ca="1">IF(OR($D20&lt;&gt;"Serviço",AND(AUTOEVENTO="Manual",$M20=$A$15),$M20&gt;(ROW(PLE.lastrow)-ROW(PLE.firstrow))),0,
           IF(OFFSET(PLE!$G$15,$M20-$A$15,BY$13)="",10^12,OFFSET(PLE!$G$15,$M20-$A$15,BY$13)))</f>
        <v>1000000000000</v>
      </c>
      <c r="BZ20" s="172" cm="1">
        <f t="array" aca="1" ref="BZ20" ca="1">IF(OR($D20&lt;&gt;"Serviço",AND(AUTOEVENTO="Manual",$M20=$A$15),$M20&gt;(ROW(PLE.lastrow)-ROW(PLE.firstrow))),0,
           IF(OFFSET(PLE!$G$15,$M20-$A$15,BZ$13)="",10^12,OFFSET(PLE!$G$15,$M20-$A$15,BZ$13)))</f>
        <v>1000000000000</v>
      </c>
      <c r="CA20" s="172" cm="1">
        <f t="array" aca="1" ref="CA20" ca="1">IF(OR($D20&lt;&gt;"Serviço",AND(AUTOEVENTO="Manual",$M20=$A$15),$M20&gt;(ROW(PLE.lastrow)-ROW(PLE.firstrow))),0,
           IF(OFFSET(PLE!$G$15,$M20-$A$15,CA$13)="",10^12,OFFSET(PLE!$G$15,$M20-$A$15,CA$13)))</f>
        <v>1000000000000</v>
      </c>
      <c r="CB20" s="172" cm="1">
        <f t="array" aca="1" ref="CB20" ca="1">IF(OR($D20&lt;&gt;"Serviço",AND(AUTOEVENTO="Manual",$M20=$A$15),$M20&gt;(ROW(PLE.lastrow)-ROW(PLE.firstrow))),0,
           IF(OFFSET(PLE!$G$15,$M20-$A$15,CB$13)="",10^12,OFFSET(PLE!$G$15,$M20-$A$15,CB$13)))</f>
        <v>1000000000000</v>
      </c>
      <c r="CC20" s="172" cm="1">
        <f t="array" aca="1" ref="CC20" ca="1">IF(OR($D20&lt;&gt;"Serviço",AND(AUTOEVENTO="Manual",$M20=$A$15),$M20&gt;(ROW(PLE.lastrow)-ROW(PLE.firstrow))),0,
           IF(OFFSET(PLE!$G$15,$M20-$A$15,CC$13)="",10^12,OFFSET(PLE!$G$15,$M20-$A$15,CC$13)))</f>
        <v>1000000000000</v>
      </c>
      <c r="CD20" s="172" cm="1">
        <f t="array" aca="1" ref="CD20" ca="1">IF(OR($D20&lt;&gt;"Serviço",AND(AUTOEVENTO="Manual",$M20=$A$15),$M20&gt;(ROW(PLE.lastrow)-ROW(PLE.firstrow))),0,
           IF(OFFSET(PLE!$G$15,$M20-$A$15,CD$13)="",10^12,OFFSET(PLE!$G$15,$M20-$A$15,CD$13)))</f>
        <v>1000000000000</v>
      </c>
      <c r="CE20" s="172" cm="1">
        <f t="array" aca="1" ref="CE20" ca="1">IF(OR($D20&lt;&gt;"Serviço",AND(AUTOEVENTO="Manual",$M20=$A$15),$M20&gt;(ROW(PLE.lastrow)-ROW(PLE.firstrow))),0,
           IF(OFFSET(PLE!$G$15,$M20-$A$15,CE$13)="",10^12,OFFSET(PLE!$G$15,$M20-$A$15,CE$13)))</f>
        <v>1000000000000</v>
      </c>
      <c r="CF20" s="172" cm="1">
        <f t="array" aca="1" ref="CF20" ca="1">IF(OR($D20&lt;&gt;"Serviço",AND(AUTOEVENTO="Manual",$M20=$A$15),$M20&gt;(ROW(PLE.lastrow)-ROW(PLE.firstrow))),0,
           IF(OFFSET(PLE!$G$15,$M20-$A$15,CF$13)="",10^12,OFFSET(PLE!$G$15,$M20-$A$15,CF$13)))</f>
        <v>1000000000000</v>
      </c>
      <c r="CG20" s="172" cm="1">
        <f t="array" aca="1" ref="CG20" ca="1">IF(OR($D20&lt;&gt;"Serviço",AND(AUTOEVENTO="Manual",$M20=$A$15),$M20&gt;(ROW(PLE.lastrow)-ROW(PLE.firstrow))),0,
           IF(OFFSET(PLE!$G$15,$M20-$A$15,CG$13)="",10^12,OFFSET(PLE!$G$15,$M20-$A$15,CG$13)))</f>
        <v>1000000000000</v>
      </c>
      <c r="CH20" s="172" cm="1">
        <f t="array" aca="1" ref="CH20" ca="1">IF(OR($D20&lt;&gt;"Serviço",AND(AUTOEVENTO="Manual",$M20=$A$15),$M20&gt;(ROW(PLE.lastrow)-ROW(PLE.firstrow))),0,
           IF(OFFSET(PLE!$G$15,$M20-$A$15,CH$13)="",10^12,OFFSET(PLE!$G$15,$M20-$A$15,CH$13)))</f>
        <v>1000000000000</v>
      </c>
      <c r="CI20" s="172" cm="1">
        <f t="array" aca="1" ref="CI20" ca="1">IF(OR($D20&lt;&gt;"Serviço",AND(AUTOEVENTO="Manual",$M20=$A$15),$M20&gt;(ROW(PLE.lastrow)-ROW(PLE.firstrow))),0,
           IF(OFFSET(PLE!$G$15,$M20-$A$15,CI$13)="",10^12,OFFSET(PLE!$G$15,$M20-$A$15,CI$13)))</f>
        <v>1000000000000</v>
      </c>
      <c r="CJ20" s="172" cm="1">
        <f t="array" aca="1" ref="CJ20" ca="1">IF(OR($D20&lt;&gt;"Serviço",AND(AUTOEVENTO="Manual",$M20=$A$15),$M20&gt;(ROW(PLE.lastrow)-ROW(PLE.firstrow))),0,
           IF(OFFSET(PLE!$G$15,$M20-$A$15,CJ$13)="",10^12,OFFSET(PLE!$G$15,$M20-$A$15,CJ$13)))</f>
        <v>1000000000000</v>
      </c>
      <c r="CK20" s="172" cm="1">
        <f t="array" aca="1" ref="CK20" ca="1">IF(OR($D20&lt;&gt;"Serviço",AND(AUTOEVENTO="Manual",$M20=$A$15),$M20&gt;(ROW(PLE.lastrow)-ROW(PLE.firstrow))),0,
           IF(OFFSET(PLE!$G$15,$M20-$A$15,CK$13)="",10^12,OFFSET(PLE!$G$15,$M20-$A$15,CK$13)))</f>
        <v>1000000000000</v>
      </c>
      <c r="CL20" s="172" cm="1">
        <f t="array" aca="1" ref="CL20" ca="1">IF(OR($D20&lt;&gt;"Serviço",AND(AUTOEVENTO="Manual",$M20=$A$15),$M20&gt;(ROW(PLE.lastrow)-ROW(PLE.firstrow))),0,
           IF(OFFSET(PLE!$G$15,$M20-$A$15,CL$13)="",10^12,OFFSET(PLE!$G$15,$M20-$A$15,CL$13)))</f>
        <v>1000000000000</v>
      </c>
      <c r="CM20" s="172" cm="1">
        <f t="array" aca="1" ref="CM20" ca="1">IF(OR($D20&lt;&gt;"Serviço",AND(AUTOEVENTO="Manual",$M20=$A$15),$M20&gt;(ROW(PLE.lastrow)-ROW(PLE.firstrow))),0,
           IF(OFFSET(PLE!$G$15,$M20-$A$15,CM$13)="",10^12,OFFSET(PLE!$G$15,$M20-$A$15,CM$13)))</f>
        <v>1000000000000</v>
      </c>
    </row>
    <row r="21" spans="1:91" s="670" customFormat="1" ht="51" x14ac:dyDescent="0.2">
      <c r="A21" s="668">
        <f t="shared" ca="1" si="10"/>
        <v>3</v>
      </c>
      <c r="B21" s="668" t="str">
        <f ca="1">OFFSET(ORÇAMENTO!C$15,$L21,0)</f>
        <v>S</v>
      </c>
      <c r="C21" s="668" t="str">
        <f ca="1">OFFSET(ORÇAMENTO!L$15,$L21,0)</f>
        <v>F</v>
      </c>
      <c r="D21" s="116" t="str">
        <f ca="1">OFFSET(ORÇAMENTO!N$15,$L21,0)</f>
        <v>Serviço</v>
      </c>
      <c r="E21" s="117" t="str">
        <f ca="1">OFFSET(ORÇAMENTO!O$15,$L21,0)</f>
        <v>1.1.4.</v>
      </c>
      <c r="F21" s="163" t="str">
        <f ca="1">OFFSET(ORÇAMENTO!R$15,$L21,0)</f>
        <v>LIGAÇÃO DE ÁGUA PROVISÓRIA PARA CANTEIRO,  INCLUSIVE HIDRÔMETRO E CAVALETE PARA MEDIÇÃO DE ÁGUA - ENTRADA PRINCIPAL, EM AÇO GALVANIZADO DN 20MM (1/2") - PADRÃO CONCESSIONÁRIA</v>
      </c>
      <c r="G21" s="164" t="str">
        <f ca="1">IF($D21&lt;&gt;"Serviço","",OFFSET(ORÇAMENTO!S$15,$L21,0))</f>
        <v>un</v>
      </c>
      <c r="H21" s="122" cm="1">
        <f t="array" aca="1" ref="H21" ca="1">IF($D21&lt;&gt;"Serviço",0,IF(ACOMPANHAMENTO="BM",ROUND(OFFSET(ORÇAMENTO!AJ$15,$L21,0),15-13*ORÇAMENTO!$AF$7),IF(IFERROR(CÁLCULO.FrentesPreenchidas,0)=0,0,SUM(ROUND(OFFSET($P21,0,1,1,CÁLCULO.FrentesPreenchidas),15-13*ORÇAMENTO!$AF$7)))))</f>
        <v>1</v>
      </c>
      <c r="I21" s="468" t="s">
        <v>1315</v>
      </c>
      <c r="J21" s="651" t="str" cm="1">
        <f t="array" aca="1" ref="J21" ca="1">IF(OR(B21&lt;&gt;"S",CÁLCULO.FrentesPreenchidas=0),"",IF(AND(ACOMPANHAMENTO="PLE",AUTOEVENTO="Manual",OR(H21&gt;0,ORÇAMENTO!AC21="QUANT."),OR(K21="",M21=0,N21="")),"►E",IF(AND(ACOMPANHAMENTO="PLE",ORÇAMENTO!AC21="QUANT."),"►Q",IF(AND(ACOMPANHAMENTO="PLE",H21&lt;&gt;SUMPRODUCT(($Q$1:$AI$1=1)*ROUND(Q21:AI21,15))),"►S",IF(AND(COUNTIF($P$11:$AI$11,"▼")=0,H21&gt;0,I21=""),"◄M","")))))</f>
        <v/>
      </c>
      <c r="K21" s="652" t="s">
        <v>1333</v>
      </c>
      <c r="L21" s="165">
        <f t="shared" ca="1" si="11"/>
        <v>6</v>
      </c>
      <c r="M21" s="166">
        <f ca="1">IF($D21&lt;&gt;"Serviço","",
          IF(AUTOEVENTO="manual",$A21,
                IF(ISERROR(MATCH($A21,$A$15:OFFSET($A21,-1,0),0)),MAX($M$15:OFFSET(M21,-1,0))+1,
                      INDEX($M$15:OFFSET(M21,-1,0),MATCH($A21,$A$15:OFFSET($A21,-1,0),0)))))</f>
        <v>3</v>
      </c>
      <c r="N21" s="167" t="str">
        <f ca="1">IF($D21&lt;&gt;"Serviço","",
         IF(AUTOEVENTO="Manual",
                IF($A21=0,"&lt;-- defina o número do agrupador",
                       OFFSET(EVENTOS!$D$15,$A21-$A$15,0)),
                OFFSET($F$15,$A21,0)))</f>
        <v>Canteiro de Obras</v>
      </c>
      <c r="O21" s="168"/>
      <c r="Q21" s="168"/>
      <c r="R21" s="169">
        <v>1</v>
      </c>
      <c r="S21" s="169"/>
      <c r="T21" s="169"/>
      <c r="U21" s="169"/>
      <c r="V21" s="169"/>
      <c r="W21" s="169"/>
      <c r="X21" s="169"/>
      <c r="Y21" s="169"/>
      <c r="Z21" s="170"/>
      <c r="AA21" s="705"/>
      <c r="AB21" s="705"/>
      <c r="AC21" s="705"/>
      <c r="AD21" s="705"/>
      <c r="AE21" s="705"/>
      <c r="AF21" s="705"/>
      <c r="AG21" s="705"/>
      <c r="AH21" s="706"/>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735.34</v>
      </c>
      <c r="AL21" s="453">
        <f ca="1">IF(AND($D21="Serviço",AL$12&lt;&gt;0,$H21&gt;0,OR(AUTOEVENTO&lt;&gt;"manual",$M21&lt;&gt;$A$15)),
        IF(Import.TipoArredondamento&lt;&gt;"TransfereGOV",
              ROUND(OFFSET($P21,0,AL$13),15-13*ORÇAMENTO!$AF$7)/$H21*OFFSET(ORÇAMENTO!$X$15,ROW(AL21)-ROW(AL$15),0),
              ROUND(ROUND(OFFSET($P21,0,AL$13),15-13*ORÇAMENTO!$AF$7)*OFFSET(ORÇAMENTO!$W$15,ROW(AL21)-ROW(AL$15),0),15-13*ORÇAMENTO!$AF$11)),
         0)</f>
        <v>0</v>
      </c>
      <c r="AM21" s="453">
        <f ca="1">IF(AND($D21="Serviço",AM$12&lt;&gt;0,$H21&gt;0,OR(AUTOEVENTO&lt;&gt;"manual",$M21&lt;&gt;$A$15)),
        IF(Import.TipoArredondamento&lt;&gt;"TransfereGOV",
              ROUND(OFFSET($P21,0,AM$13),15-13*ORÇAMENTO!$AF$7)/$H21*OFFSET(ORÇAMENTO!$X$15,ROW(AM21)-ROW(AM$15),0),
              ROUND(ROUND(OFFSET($P21,0,AM$13),15-13*ORÇAMENTO!$AF$7)*OFFSET(ORÇAMENTO!$W$15,ROW(AM21)-ROW(AM$15),0),15-13*ORÇAMENTO!$AF$11)),
         0)</f>
        <v>0</v>
      </c>
      <c r="AN21" s="453">
        <f ca="1">IF(AND($D21="Serviço",AN$12&lt;&gt;0,$H21&gt;0,OR(AUTOEVENTO&lt;&gt;"manual",$M21&lt;&gt;$A$15)),
        IF(Import.TipoArredondamento&lt;&gt;"TransfereGOV",
              ROUND(OFFSET($P21,0,AN$13),15-13*ORÇAMENTO!$AF$7)/$H21*OFFSET(ORÇAMENTO!$X$15,ROW(AN21)-ROW(AN$15),0),
              ROUND(ROUND(OFFSET($P21,0,AN$13),15-13*ORÇAMENTO!$AF$7)*OFFSET(ORÇAMENTO!$W$15,ROW(AN21)-ROW(AN$15),0),15-13*ORÇAMENTO!$AF$11)),
         0)</f>
        <v>0</v>
      </c>
      <c r="AO21" s="453">
        <f ca="1">IF(AND($D21="Serviço",AO$12&lt;&gt;0,$H21&gt;0,OR(AUTOEVENTO&lt;&gt;"manual",$M21&lt;&gt;$A$15)),
        IF(Import.TipoArredondamento&lt;&gt;"TransfereGOV",
              ROUND(OFFSET($P21,0,AO$13),15-13*ORÇAMENTO!$AF$7)/$H21*OFFSET(ORÇAMENTO!$X$15,ROW(AO21)-ROW(AO$15),0),
              ROUND(ROUND(OFFSET($P21,0,AO$13),15-13*ORÇAMENTO!$AF$7)*OFFSET(ORÇAMENTO!$W$15,ROW(AO21)-ROW(AO$15),0),15-13*ORÇAMENTO!$AF$11)),
         0)</f>
        <v>0</v>
      </c>
      <c r="AP21" s="453">
        <f ca="1">IF(AND($D21="Serviço",AP$12&lt;&gt;0,$H21&gt;0,OR(AUTOEVENTO&lt;&gt;"manual",$M21&lt;&gt;$A$15)),
        IF(Import.TipoArredondamento&lt;&gt;"TransfereGOV",
              ROUND(OFFSET($P21,0,AP$13),15-13*ORÇAMENTO!$AF$7)/$H21*OFFSET(ORÇAMENTO!$X$15,ROW(AP21)-ROW(AP$15),0),
              ROUND(ROUND(OFFSET($P21,0,AP$13),15-13*ORÇAMENTO!$AF$7)*OFFSET(ORÇAMENTO!$W$15,ROW(AP21)-ROW(AP$15),0),15-13*ORÇAMENTO!$AF$11)),
         0)</f>
        <v>0</v>
      </c>
      <c r="AQ21" s="453">
        <f ca="1">IF(AND($D21="Serviço",AQ$12&lt;&gt;0,$H21&gt;0,OR(AUTOEVENTO&lt;&gt;"manual",$M21&lt;&gt;$A$15)),
        IF(Import.TipoArredondamento&lt;&gt;"TransfereGOV",
              ROUND(OFFSET($P21,0,AQ$13),15-13*ORÇAMENTO!$AF$7)/$H21*OFFSET(ORÇAMENTO!$X$15,ROW(AQ21)-ROW(AQ$15),0),
              ROUND(ROUND(OFFSET($P21,0,AQ$13),15-13*ORÇAMENTO!$AF$7)*OFFSET(ORÇAMENTO!$W$15,ROW(AQ21)-ROW(AQ$15),0),15-13*ORÇAMENTO!$AF$11)),
         0)</f>
        <v>0</v>
      </c>
      <c r="AR21" s="453">
        <f ca="1">IF(AND($D21="Serviço",AR$12&lt;&gt;0,$H21&gt;0,OR(AUTOEVENTO&lt;&gt;"manual",$M21&lt;&gt;$A$15)),
        IF(Import.TipoArredondamento&lt;&gt;"TransfereGOV",
              ROUND(OFFSET($P21,0,AR$13),15-13*ORÇAMENTO!$AF$7)/$H21*OFFSET(ORÇAMENTO!$X$15,ROW(AR21)-ROW(AR$15),0),
              ROUND(ROUND(OFFSET($P21,0,AR$13),15-13*ORÇAMENTO!$AF$7)*OFFSET(ORÇAMENTO!$W$15,ROW(AR21)-ROW(AR$15),0),15-13*ORÇAMENTO!$AF$11)),
         0)</f>
        <v>0</v>
      </c>
      <c r="AS21" s="453">
        <f ca="1">IF(AND($D21="Serviço",AS$12&lt;&gt;0,$H21&gt;0,OR(AUTOEVENTO&lt;&gt;"manual",$M21&lt;&gt;$A$15)),
        IF(Import.TipoArredondamento&lt;&gt;"TransfereGOV",
              ROUND(OFFSET($P21,0,AS$13),15-13*ORÇAMENTO!$AF$7)/$H21*OFFSET(ORÇAMENTO!$X$15,ROW(AS21)-ROW(AS$15),0),
              ROUND(ROUND(OFFSET($P21,0,AS$13),15-13*ORÇAMENTO!$AF$7)*OFFSET(ORÇAMENTO!$W$15,ROW(AS21)-ROW(AS$15),0),15-13*ORÇAMENTO!$AF$11)),
         0)</f>
        <v>0</v>
      </c>
      <c r="AT21" s="453">
        <f ca="1">IF(AND($D21="Serviço",AT$12&lt;&gt;0,$H21&gt;0,OR(AUTOEVENTO&lt;&gt;"manual",$M21&lt;&gt;$A$15)),
        IF(Import.TipoArredondamento&lt;&gt;"TransfereGOV",
              ROUND(OFFSET($P21,0,AT$13),15-13*ORÇAMENTO!$AF$7)/$H21*OFFSET(ORÇAMENTO!$X$15,ROW(AT21)-ROW(AT$15),0),
              ROUND(ROUND(OFFSET($P21,0,AT$13),15-13*ORÇAMENTO!$AF$7)*OFFSET(ORÇAMENTO!$W$15,ROW(AT21)-ROW(AT$15),0),15-13*ORÇAMENTO!$AF$11)),
         0)</f>
        <v>0</v>
      </c>
      <c r="AU21" s="453">
        <f ca="1">IF(AND($D21="Serviço",AU$12&lt;&gt;0,$H21&gt;0,OR(AUTOEVENTO&lt;&gt;"manual",$M21&lt;&gt;$A$15)),
        IF(Import.TipoArredondamento&lt;&gt;"TransfereGOV",
              ROUND(OFFSET($P21,0,AU$13),15-13*ORÇAMENTO!$AF$7)/$H21*OFFSET(ORÇAMENTO!$X$15,ROW(AU21)-ROW(AU$15),0),
              ROUND(ROUND(OFFSET($P21,0,AU$13),15-13*ORÇAMENTO!$AF$7)*OFFSET(ORÇAMENTO!$W$15,ROW(AU21)-ROW(AU$15),0),15-13*ORÇAMENTO!$AF$11)),
         0)</f>
        <v>0</v>
      </c>
      <c r="AV21" s="453">
        <f ca="1">IF(AND($D21="Serviço",AV$12&lt;&gt;0,$H21&gt;0,OR(AUTOEVENTO&lt;&gt;"manual",$M21&lt;&gt;$A$15)),
        IF(Import.TipoArredondamento&lt;&gt;"TransfereGOV",
              ROUND(OFFSET($P21,0,AV$13),15-13*ORÇAMENTO!$AF$7)/$H21*OFFSET(ORÇAMENTO!$X$15,ROW(AV21)-ROW(AV$15),0),
              ROUND(ROUND(OFFSET($P21,0,AV$13),15-13*ORÇAMENTO!$AF$7)*OFFSET(ORÇAMENTO!$W$15,ROW(AV21)-ROW(AV$15),0),15-13*ORÇAMENTO!$AF$11)),
         0)</f>
        <v>0</v>
      </c>
      <c r="AW21" s="453">
        <f ca="1">IF(AND($D21="Serviço",AW$12&lt;&gt;0,$H21&gt;0,OR(AUTOEVENTO&lt;&gt;"manual",$M21&lt;&gt;$A$15)),
        IF(Import.TipoArredondamento&lt;&gt;"TransfereGOV",
              ROUND(OFFSET($P21,0,AW$13),15-13*ORÇAMENTO!$AF$7)/$H21*OFFSET(ORÇAMENTO!$X$15,ROW(AW21)-ROW(AW$15),0),
              ROUND(ROUND(OFFSET($P21,0,AW$13),15-13*ORÇAMENTO!$AF$7)*OFFSET(ORÇAMENTO!$W$15,ROW(AW21)-ROW(AW$15),0),15-13*ORÇAMENTO!$AF$11)),
         0)</f>
        <v>0</v>
      </c>
      <c r="AX21" s="453">
        <f ca="1">IF(AND($D21="Serviço",AX$12&lt;&gt;0,$H21&gt;0,OR(AUTOEVENTO&lt;&gt;"manual",$M21&lt;&gt;$A$15)),
        IF(Import.TipoArredondamento&lt;&gt;"TransfereGOV",
              ROUND(OFFSET($P21,0,AX$13),15-13*ORÇAMENTO!$AF$7)/$H21*OFFSET(ORÇAMENTO!$X$15,ROW(AX21)-ROW(AX$15),0),
              ROUND(ROUND(OFFSET($P21,0,AX$13),15-13*ORÇAMENTO!$AF$7)*OFFSET(ORÇAMENTO!$W$15,ROW(AX21)-ROW(AX$15),0),15-13*ORÇAMENTO!$AF$11)),
         0)</f>
        <v>0</v>
      </c>
      <c r="AY21" s="453">
        <f ca="1">IF(AND($D21="Serviço",AY$12&lt;&gt;0,$H21&gt;0,OR(AUTOEVENTO&lt;&gt;"manual",$M21&lt;&gt;$A$15)),
        IF(Import.TipoArredondamento&lt;&gt;"TransfereGOV",
              ROUND(OFFSET($P21,0,AY$13),15-13*ORÇAMENTO!$AF$7)/$H21*OFFSET(ORÇAMENTO!$X$15,ROW(AY21)-ROW(AY$15),0),
              ROUND(ROUND(OFFSET($P21,0,AY$13),15-13*ORÇAMENTO!$AF$7)*OFFSET(ORÇAMENTO!$W$15,ROW(AY21)-ROW(AY$15),0),15-13*ORÇAMENTO!$AF$11)),
         0)</f>
        <v>0</v>
      </c>
      <c r="AZ21" s="453">
        <f ca="1">IF(AND($D21="Serviço",AZ$12&lt;&gt;0,$H21&gt;0,OR(AUTOEVENTO&lt;&gt;"manual",$M21&lt;&gt;$A$15)),
        IF(Import.TipoArredondamento&lt;&gt;"TransfereGOV",
              ROUND(OFFSET($P21,0,AZ$13),15-13*ORÇAMENTO!$AF$7)/$H21*OFFSET(ORÇAMENTO!$X$15,ROW(AZ21)-ROW(AZ$15),0),
              ROUND(ROUND(OFFSET($P21,0,AZ$13),15-13*ORÇAMENTO!$AF$7)*OFFSET(ORÇAMENTO!$W$15,ROW(AZ21)-ROW(AZ$15),0),15-13*ORÇAMENTO!$AF$11)),
         0)</f>
        <v>0</v>
      </c>
      <c r="BA21" s="453">
        <f ca="1">IF(AND($D21="Serviço",BA$12&lt;&gt;0,$H21&gt;0,OR(AUTOEVENTO&lt;&gt;"manual",$M21&lt;&gt;$A$15)),
        IF(Import.TipoArredondamento&lt;&gt;"TransfereGOV",
              ROUND(OFFSET($P21,0,BA$13),15-13*ORÇAMENTO!$AF$7)/$H21*OFFSET(ORÇAMENTO!$X$15,ROW(BA21)-ROW(BA$15),0),
              ROUND(ROUND(OFFSET($P21,0,BA$13),15-13*ORÇAMENTO!$AF$7)*OFFSET(ORÇAMENTO!$W$15,ROW(BA21)-ROW(BA$15),0),15-13*ORÇAMENTO!$AF$11)),
         0)</f>
        <v>0</v>
      </c>
      <c r="BC21" s="171">
        <f ca="1">IF(OR($D21&lt;&gt;"Serviço",AND(AUTOEVENTO="Manual",$M21=$A$15)),0,
         IF(OFFSET(CRONOPLE!$F$15,$M21-$A$15,BC$13)=0,10^12,OFFSET(CRONOPLE!$F$15,$M21-$A$15,BC$13)))</f>
        <v>10</v>
      </c>
      <c r="BD21" s="171">
        <f ca="1">IF(OR($D21&lt;&gt;"Serviço",AND(AUTOEVENTO="Manual",$M21=$A$15)),0,
         IF(OFFSET(CRONOPLE!$F$15,$M21-$A$15,BD$13)=0,10^12,OFFSET(CRONOPLE!$F$15,$M21-$A$15,BD$13)))</f>
        <v>3</v>
      </c>
      <c r="BE21" s="171">
        <f ca="1">IF(OR($D21&lt;&gt;"Serviço",AND(AUTOEVENTO="Manual",$M21=$A$15)),0,
         IF(OFFSET(CRONOPLE!$F$15,$M21-$A$15,BE$13)=0,10^12,OFFSET(CRONOPLE!$F$15,$M21-$A$15,BE$13)))</f>
        <v>1000000000000</v>
      </c>
      <c r="BF21" s="171">
        <f ca="1">IF(OR($D21&lt;&gt;"Serviço",AND(AUTOEVENTO="Manual",$M21=$A$15)),0,
         IF(OFFSET(CRONOPLE!$F$15,$M21-$A$15,BF$13)=0,10^12,OFFSET(CRONOPLE!$F$15,$M21-$A$15,BF$13)))</f>
        <v>1000000000000</v>
      </c>
      <c r="BG21" s="171">
        <f ca="1">IF(OR($D21&lt;&gt;"Serviço",AND(AUTOEVENTO="Manual",$M21=$A$15)),0,
         IF(OFFSET(CRONOPLE!$F$15,$M21-$A$15,BG$13)=0,10^12,OFFSET(CRONOPLE!$F$15,$M21-$A$15,BG$13)))</f>
        <v>1000000000000</v>
      </c>
      <c r="BH21" s="171">
        <f ca="1">IF(OR($D21&lt;&gt;"Serviço",AND(AUTOEVENTO="Manual",$M21=$A$15)),0,
         IF(OFFSET(CRONOPLE!$F$15,$M21-$A$15,BH$13)=0,10^12,OFFSET(CRONOPLE!$F$15,$M21-$A$15,BH$13)))</f>
        <v>1000000000000</v>
      </c>
      <c r="BI21" s="171">
        <f ca="1">IF(OR($D21&lt;&gt;"Serviço",AND(AUTOEVENTO="Manual",$M21=$A$15)),0,
         IF(OFFSET(CRONOPLE!$F$15,$M21-$A$15,BI$13)=0,10^12,OFFSET(CRONOPLE!$F$15,$M21-$A$15,BI$13)))</f>
        <v>1000000000000</v>
      </c>
      <c r="BJ21" s="171">
        <f ca="1">IF(OR($D21&lt;&gt;"Serviço",AND(AUTOEVENTO="Manual",$M21=$A$15)),0,
         IF(OFFSET(CRONOPLE!$F$15,$M21-$A$15,BJ$13)=0,10^12,OFFSET(CRONOPLE!$F$15,$M21-$A$15,BJ$13)))</f>
        <v>1000000000000</v>
      </c>
      <c r="BK21" s="171">
        <f ca="1">IF(OR($D21&lt;&gt;"Serviço",AND(AUTOEVENTO="Manual",$M21=$A$15)),0,
         IF(OFFSET(CRONOPLE!$F$15,$M21-$A$15,BK$13)=0,10^12,OFFSET(CRONOPLE!$F$15,$M21-$A$15,BK$13)))</f>
        <v>1000000000000</v>
      </c>
      <c r="BL21" s="171">
        <f ca="1">IF(OR($D21&lt;&gt;"Serviço",AND(AUTOEVENTO="Manual",$M21=$A$15)),0,
         IF(OFFSET(CRONOPLE!$F$15,$M21-$A$15,BL$13)=0,10^12,OFFSET(CRONOPLE!$F$15,$M21-$A$15,BL$13)))</f>
        <v>1000000000000</v>
      </c>
      <c r="BM21" s="171">
        <f ca="1">IF(OR($D21&lt;&gt;"Serviço",AND(AUTOEVENTO="Manual",$M21=$A$15)),0,
         IF(OFFSET(CRONOPLE!$F$15,$M21-$A$15,BM$13)=0,10^12,OFFSET(CRONOPLE!$F$15,$M21-$A$15,BM$13)))</f>
        <v>1000000000000</v>
      </c>
      <c r="BN21" s="171">
        <f ca="1">IF(OR($D21&lt;&gt;"Serviço",AND(AUTOEVENTO="Manual",$M21=$A$15)),0,
         IF(OFFSET(CRONOPLE!$F$15,$M21-$A$15,BN$13)=0,10^12,OFFSET(CRONOPLE!$F$15,$M21-$A$15,BN$13)))</f>
        <v>1000000000000</v>
      </c>
      <c r="BO21" s="171">
        <f ca="1">IF(OR($D21&lt;&gt;"Serviço",AND(AUTOEVENTO="Manual",$M21=$A$15)),0,
         IF(OFFSET(CRONOPLE!$F$15,$M21-$A$15,BO$13)=0,10^12,OFFSET(CRONOPLE!$F$15,$M21-$A$15,BO$13)))</f>
        <v>1000000000000</v>
      </c>
      <c r="BP21" s="171">
        <f ca="1">IF(OR($D21&lt;&gt;"Serviço",AND(AUTOEVENTO="Manual",$M21=$A$15)),0,
         IF(OFFSET(CRONOPLE!$F$15,$M21-$A$15,BP$13)=0,10^12,OFFSET(CRONOPLE!$F$15,$M21-$A$15,BP$13)))</f>
        <v>1000000000000</v>
      </c>
      <c r="BQ21" s="171">
        <f ca="1">IF(OR($D21&lt;&gt;"Serviço",AND(AUTOEVENTO="Manual",$M21=$A$15)),0,
         IF(OFFSET(CRONOPLE!$F$15,$M21-$A$15,BQ$13)=0,10^12,OFFSET(CRONOPLE!$F$15,$M21-$A$15,BQ$13)))</f>
        <v>1000000000000</v>
      </c>
      <c r="BR21" s="171">
        <f ca="1">IF(OR($D21&lt;&gt;"Serviço",AND(AUTOEVENTO="Manual",$M21=$A$15)),0,
         IF(OFFSET(CRONOPLE!$F$15,$M21-$A$15,BR$13)=0,10^12,OFFSET(CRONOPLE!$F$15,$M21-$A$15,BR$13)))</f>
        <v>1000000000000</v>
      </c>
      <c r="BS21" s="171">
        <f ca="1">IF(OR($D21&lt;&gt;"Serviço",AND(AUTOEVENTO="Manual",$M21=$A$15)),0,
         IF(OFFSET(CRONOPLE!$F$15,$M21-$A$15,BS$13)=0,10^12,OFFSET(CRONOPLE!$F$15,$M21-$A$15,BS$13)))</f>
        <v>1000000000000</v>
      </c>
      <c r="BT21" s="171">
        <f ca="1">IF(OR($D21&lt;&gt;"Serviço",AND(AUTOEVENTO="Manual",$M21=$A$15)),0,
         IF(OFFSET(CRONOPLE!$F$15,$M21-$A$15,BT$13)=0,10^12,OFFSET(CRONOPLE!$F$15,$M21-$A$15,BT$13)))</f>
        <v>1000000000000</v>
      </c>
      <c r="BV21" s="172" cm="1">
        <f t="array" aca="1" ref="BV21" ca="1">IF(OR($D21&lt;&gt;"Serviço",AND(AUTOEVENTO="Manual",$M21=$A$15),$M21&gt;(ROW(PLE.lastrow)-ROW(PLE.firstrow))),0,
           IF(OFFSET(PLE!$G$15,$M21-$A$15,BV$13)="",10^12,OFFSET(PLE!$G$15,$M21-$A$15,BV$13)))</f>
        <v>1000000000000</v>
      </c>
      <c r="BW21" s="172" cm="1">
        <f t="array" aca="1" ref="BW21" ca="1">IF(OR($D21&lt;&gt;"Serviço",AND(AUTOEVENTO="Manual",$M21=$A$15),$M21&gt;(ROW(PLE.lastrow)-ROW(PLE.firstrow))),0,
           IF(OFFSET(PLE!$G$15,$M21-$A$15,BW$13)="",10^12,OFFSET(PLE!$G$15,$M21-$A$15,BW$13)))</f>
        <v>1000000000000</v>
      </c>
      <c r="BX21" s="172" cm="1">
        <f t="array" aca="1" ref="BX21" ca="1">IF(OR($D21&lt;&gt;"Serviço",AND(AUTOEVENTO="Manual",$M21=$A$15),$M21&gt;(ROW(PLE.lastrow)-ROW(PLE.firstrow))),0,
           IF(OFFSET(PLE!$G$15,$M21-$A$15,BX$13)="",10^12,OFFSET(PLE!$G$15,$M21-$A$15,BX$13)))</f>
        <v>1000000000000</v>
      </c>
      <c r="BY21" s="172" cm="1">
        <f t="array" aca="1" ref="BY21" ca="1">IF(OR($D21&lt;&gt;"Serviço",AND(AUTOEVENTO="Manual",$M21=$A$15),$M21&gt;(ROW(PLE.lastrow)-ROW(PLE.firstrow))),0,
           IF(OFFSET(PLE!$G$15,$M21-$A$15,BY$13)="",10^12,OFFSET(PLE!$G$15,$M21-$A$15,BY$13)))</f>
        <v>1000000000000</v>
      </c>
      <c r="BZ21" s="172" cm="1">
        <f t="array" aca="1" ref="BZ21" ca="1">IF(OR($D21&lt;&gt;"Serviço",AND(AUTOEVENTO="Manual",$M21=$A$15),$M21&gt;(ROW(PLE.lastrow)-ROW(PLE.firstrow))),0,
           IF(OFFSET(PLE!$G$15,$M21-$A$15,BZ$13)="",10^12,OFFSET(PLE!$G$15,$M21-$A$15,BZ$13)))</f>
        <v>1000000000000</v>
      </c>
      <c r="CA21" s="172" cm="1">
        <f t="array" aca="1" ref="CA21" ca="1">IF(OR($D21&lt;&gt;"Serviço",AND(AUTOEVENTO="Manual",$M21=$A$15),$M21&gt;(ROW(PLE.lastrow)-ROW(PLE.firstrow))),0,
           IF(OFFSET(PLE!$G$15,$M21-$A$15,CA$13)="",10^12,OFFSET(PLE!$G$15,$M21-$A$15,CA$13)))</f>
        <v>1000000000000</v>
      </c>
      <c r="CB21" s="172" cm="1">
        <f t="array" aca="1" ref="CB21" ca="1">IF(OR($D21&lt;&gt;"Serviço",AND(AUTOEVENTO="Manual",$M21=$A$15),$M21&gt;(ROW(PLE.lastrow)-ROW(PLE.firstrow))),0,
           IF(OFFSET(PLE!$G$15,$M21-$A$15,CB$13)="",10^12,OFFSET(PLE!$G$15,$M21-$A$15,CB$13)))</f>
        <v>1000000000000</v>
      </c>
      <c r="CC21" s="172" cm="1">
        <f t="array" aca="1" ref="CC21" ca="1">IF(OR($D21&lt;&gt;"Serviço",AND(AUTOEVENTO="Manual",$M21=$A$15),$M21&gt;(ROW(PLE.lastrow)-ROW(PLE.firstrow))),0,
           IF(OFFSET(PLE!$G$15,$M21-$A$15,CC$13)="",10^12,OFFSET(PLE!$G$15,$M21-$A$15,CC$13)))</f>
        <v>1000000000000</v>
      </c>
      <c r="CD21" s="172" cm="1">
        <f t="array" aca="1" ref="CD21" ca="1">IF(OR($D21&lt;&gt;"Serviço",AND(AUTOEVENTO="Manual",$M21=$A$15),$M21&gt;(ROW(PLE.lastrow)-ROW(PLE.firstrow))),0,
           IF(OFFSET(PLE!$G$15,$M21-$A$15,CD$13)="",10^12,OFFSET(PLE!$G$15,$M21-$A$15,CD$13)))</f>
        <v>1000000000000</v>
      </c>
      <c r="CE21" s="172" cm="1">
        <f t="array" aca="1" ref="CE21" ca="1">IF(OR($D21&lt;&gt;"Serviço",AND(AUTOEVENTO="Manual",$M21=$A$15),$M21&gt;(ROW(PLE.lastrow)-ROW(PLE.firstrow))),0,
           IF(OFFSET(PLE!$G$15,$M21-$A$15,CE$13)="",10^12,OFFSET(PLE!$G$15,$M21-$A$15,CE$13)))</f>
        <v>1000000000000</v>
      </c>
      <c r="CF21" s="172" cm="1">
        <f t="array" aca="1" ref="CF21" ca="1">IF(OR($D21&lt;&gt;"Serviço",AND(AUTOEVENTO="Manual",$M21=$A$15),$M21&gt;(ROW(PLE.lastrow)-ROW(PLE.firstrow))),0,
           IF(OFFSET(PLE!$G$15,$M21-$A$15,CF$13)="",10^12,OFFSET(PLE!$G$15,$M21-$A$15,CF$13)))</f>
        <v>1000000000000</v>
      </c>
      <c r="CG21" s="172" cm="1">
        <f t="array" aca="1" ref="CG21" ca="1">IF(OR($D21&lt;&gt;"Serviço",AND(AUTOEVENTO="Manual",$M21=$A$15),$M21&gt;(ROW(PLE.lastrow)-ROW(PLE.firstrow))),0,
           IF(OFFSET(PLE!$G$15,$M21-$A$15,CG$13)="",10^12,OFFSET(PLE!$G$15,$M21-$A$15,CG$13)))</f>
        <v>1000000000000</v>
      </c>
      <c r="CH21" s="172" cm="1">
        <f t="array" aca="1" ref="CH21" ca="1">IF(OR($D21&lt;&gt;"Serviço",AND(AUTOEVENTO="Manual",$M21=$A$15),$M21&gt;(ROW(PLE.lastrow)-ROW(PLE.firstrow))),0,
           IF(OFFSET(PLE!$G$15,$M21-$A$15,CH$13)="",10^12,OFFSET(PLE!$G$15,$M21-$A$15,CH$13)))</f>
        <v>1000000000000</v>
      </c>
      <c r="CI21" s="172" cm="1">
        <f t="array" aca="1" ref="CI21" ca="1">IF(OR($D21&lt;&gt;"Serviço",AND(AUTOEVENTO="Manual",$M21=$A$15),$M21&gt;(ROW(PLE.lastrow)-ROW(PLE.firstrow))),0,
           IF(OFFSET(PLE!$G$15,$M21-$A$15,CI$13)="",10^12,OFFSET(PLE!$G$15,$M21-$A$15,CI$13)))</f>
        <v>1000000000000</v>
      </c>
      <c r="CJ21" s="172" cm="1">
        <f t="array" aca="1" ref="CJ21" ca="1">IF(OR($D21&lt;&gt;"Serviço",AND(AUTOEVENTO="Manual",$M21=$A$15),$M21&gt;(ROW(PLE.lastrow)-ROW(PLE.firstrow))),0,
           IF(OFFSET(PLE!$G$15,$M21-$A$15,CJ$13)="",10^12,OFFSET(PLE!$G$15,$M21-$A$15,CJ$13)))</f>
        <v>1000000000000</v>
      </c>
      <c r="CK21" s="172" cm="1">
        <f t="array" aca="1" ref="CK21" ca="1">IF(OR($D21&lt;&gt;"Serviço",AND(AUTOEVENTO="Manual",$M21=$A$15),$M21&gt;(ROW(PLE.lastrow)-ROW(PLE.firstrow))),0,
           IF(OFFSET(PLE!$G$15,$M21-$A$15,CK$13)="",10^12,OFFSET(PLE!$G$15,$M21-$A$15,CK$13)))</f>
        <v>1000000000000</v>
      </c>
      <c r="CL21" s="172" cm="1">
        <f t="array" aca="1" ref="CL21" ca="1">IF(OR($D21&lt;&gt;"Serviço",AND(AUTOEVENTO="Manual",$M21=$A$15),$M21&gt;(ROW(PLE.lastrow)-ROW(PLE.firstrow))),0,
           IF(OFFSET(PLE!$G$15,$M21-$A$15,CL$13)="",10^12,OFFSET(PLE!$G$15,$M21-$A$15,CL$13)))</f>
        <v>1000000000000</v>
      </c>
      <c r="CM21" s="172" cm="1">
        <f t="array" aca="1" ref="CM21" ca="1">IF(OR($D21&lt;&gt;"Serviço",AND(AUTOEVENTO="Manual",$M21=$A$15),$M21&gt;(ROW(PLE.lastrow)-ROW(PLE.firstrow))),0,
           IF(OFFSET(PLE!$G$15,$M21-$A$15,CM$13)="",10^12,OFFSET(PLE!$G$15,$M21-$A$15,CM$13)))</f>
        <v>1000000000000</v>
      </c>
    </row>
    <row r="22" spans="1:91" s="728" customFormat="1" ht="12.75" x14ac:dyDescent="0.2">
      <c r="A22" s="725">
        <f ca="1">IFERROR(IF(AUTOEVENTO="Manual",IF(K22&lt;&gt;"",MIN(VALUE(LEFT(K22,FIND(".",K22)-1)),COUNTA(EVENTOS.Lista)),0),IF(OR($B22&gt;AUTOEVENTO,$B22="S",$B22=0),SUBSTITUTE(OFFSET($A22,-1,0),IF($D22="Serviço",".",""),""),$L22&amp;".")),0)</f>
        <v>0</v>
      </c>
      <c r="B22" s="725">
        <f ca="1">OFFSET(ORÇAMENTO!C$15,$L22,0)</f>
        <v>2</v>
      </c>
      <c r="C22" s="725" t="str">
        <f ca="1">OFFSET(ORÇAMENTO!L$15,$L22,0)</f>
        <v>F</v>
      </c>
      <c r="D22" s="686" t="str">
        <f ca="1">OFFSET(ORÇAMENTO!N$15,$L22,0)</f>
        <v>Nível 2</v>
      </c>
      <c r="E22" s="687" t="str">
        <f ca="1">OFFSET(ORÇAMENTO!O$15,$L22,0)</f>
        <v>1.2.</v>
      </c>
      <c r="F22" s="699" t="str">
        <f ca="1">OFFSET(ORÇAMENTO!R$15,$L22,0)</f>
        <v>SERVIÇOS PRELIMINARES</v>
      </c>
      <c r="G22" s="700" t="str">
        <f ca="1">IF($D22&lt;&gt;"Serviço","",OFFSET(ORÇAMENTO!S$15,$L22,0))</f>
        <v/>
      </c>
      <c r="H22" s="692" cm="1">
        <f t="array" aca="1" ref="H22" ca="1">IF($D22&lt;&gt;"Serviço",0,IF(ACOMPANHAMENTO="BM",ROUND(OFFSET(ORÇAMENTO!AJ$15,$L22,0),15-13*ORÇAMENTO!$AF$7),IF(IFERROR(CÁLCULO.FrentesPreenchidas,0)=0,0,SUM(ROUND(OFFSET($P22,0,1,1,CÁLCULO.FrentesPreenchidas),15-13*ORÇAMENTO!$AF$7)))))</f>
        <v>0</v>
      </c>
      <c r="I22" s="720"/>
      <c r="J22" s="724" t="str" cm="1">
        <f t="array" aca="1" ref="J22" ca="1">IF(OR(B22&lt;&gt;"S",CÁLCULO.FrentesPreenchidas=0),"",IF(AND(ACOMPANHAMENTO="PLE",AUTOEVENTO="Manual",OR(H22&gt;0,ORÇAMENTO!AC22="QUANT."),OR(K22="",M22=0,N22="")),"►E",IF(AND(ACOMPANHAMENTO="PLE",ORÇAMENTO!AC22="QUANT."),"►Q",IF(AND(ACOMPANHAMENTO="PLE",H22&lt;&gt;SUMPRODUCT(($Q$1:$AI$1=1)*ROUND(Q22:AI22,15))),"►S",IF(AND(COUNTIF($P$11:$AI$11,"▼")=0,H22&gt;0,I22=""),"◄M","")))))</f>
        <v/>
      </c>
      <c r="K22" s="652"/>
      <c r="L22" s="701">
        <f ca="1">OFFSET(L22,-1,0)+1</f>
        <v>7</v>
      </c>
      <c r="M22" s="702" t="str">
        <f ca="1">IF($D22&lt;&gt;"Serviço","",
          IF(AUTOEVENTO="manual",$A22,
                IF(ISERROR(MATCH($A22,$A$15:OFFSET($A22,-1,0),0)),MAX($M$15:OFFSET(M22,-1,0))+1,
                      INDEX($M$15:OFFSET(M22,-1,0),MATCH($A22,$A$15:OFFSET($A22,-1,0),0)))))</f>
        <v/>
      </c>
      <c r="N22" s="703" t="str">
        <f ca="1">IF($D22&lt;&gt;"Serviço","",
         IF(AUTOEVENTO="Manual",
                IF($A22=0,"&lt;-- defina o número do agrupador",
                       OFFSET(EVENTOS!$D$15,$A22-$A$15,0)),
                OFFSET($F$15,$A22,0)))</f>
        <v/>
      </c>
      <c r="O22" s="704"/>
      <c r="Q22" s="704"/>
      <c r="R22" s="705"/>
      <c r="S22" s="705"/>
      <c r="T22" s="705"/>
      <c r="U22" s="705"/>
      <c r="V22" s="705"/>
      <c r="W22" s="705"/>
      <c r="X22" s="705"/>
      <c r="Y22" s="705"/>
      <c r="Z22" s="706"/>
      <c r="AA22" s="705"/>
      <c r="AB22" s="705"/>
      <c r="AC22" s="705"/>
      <c r="AD22" s="705"/>
      <c r="AE22" s="705"/>
      <c r="AF22" s="705"/>
      <c r="AG22" s="705"/>
      <c r="AH22" s="706"/>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L22" s="453">
        <f ca="1">IF(AND($D22="Serviço",AL$12&lt;&gt;0,$H22&gt;0,OR(AUTOEVENTO&lt;&gt;"manual",$M22&lt;&gt;$A$15)),
        IF(Import.TipoArredondamento&lt;&gt;"TransfereGOV",
              ROUND(OFFSET($P22,0,AL$13),15-13*ORÇAMENTO!$AF$7)/$H22*OFFSET(ORÇAMENTO!$X$15,ROW(AL22)-ROW(AL$15),0),
              ROUND(ROUND(OFFSET($P22,0,AL$13),15-13*ORÇAMENTO!$AF$7)*OFFSET(ORÇAMENTO!$W$15,ROW(AL22)-ROW(AL$15),0),15-13*ORÇAMENTO!$AF$11)),
         0)</f>
        <v>0</v>
      </c>
      <c r="AM22" s="453">
        <f ca="1">IF(AND($D22="Serviço",AM$12&lt;&gt;0,$H22&gt;0,OR(AUTOEVENTO&lt;&gt;"manual",$M22&lt;&gt;$A$15)),
        IF(Import.TipoArredondamento&lt;&gt;"TransfereGOV",
              ROUND(OFFSET($P22,0,AM$13),15-13*ORÇAMENTO!$AF$7)/$H22*OFFSET(ORÇAMENTO!$X$15,ROW(AM22)-ROW(AM$15),0),
              ROUND(ROUND(OFFSET($P22,0,AM$13),15-13*ORÇAMENTO!$AF$7)*OFFSET(ORÇAMENTO!$W$15,ROW(AM22)-ROW(AM$15),0),15-13*ORÇAMENTO!$AF$11)),
         0)</f>
        <v>0</v>
      </c>
      <c r="AN22" s="453">
        <f ca="1">IF(AND($D22="Serviço",AN$12&lt;&gt;0,$H22&gt;0,OR(AUTOEVENTO&lt;&gt;"manual",$M22&lt;&gt;$A$15)),
        IF(Import.TipoArredondamento&lt;&gt;"TransfereGOV",
              ROUND(OFFSET($P22,0,AN$13),15-13*ORÇAMENTO!$AF$7)/$H22*OFFSET(ORÇAMENTO!$X$15,ROW(AN22)-ROW(AN$15),0),
              ROUND(ROUND(OFFSET($P22,0,AN$13),15-13*ORÇAMENTO!$AF$7)*OFFSET(ORÇAMENTO!$W$15,ROW(AN22)-ROW(AN$15),0),15-13*ORÇAMENTO!$AF$11)),
         0)</f>
        <v>0</v>
      </c>
      <c r="AO22" s="453">
        <f ca="1">IF(AND($D22="Serviço",AO$12&lt;&gt;0,$H22&gt;0,OR(AUTOEVENTO&lt;&gt;"manual",$M22&lt;&gt;$A$15)),
        IF(Import.TipoArredondamento&lt;&gt;"TransfereGOV",
              ROUND(OFFSET($P22,0,AO$13),15-13*ORÇAMENTO!$AF$7)/$H22*OFFSET(ORÇAMENTO!$X$15,ROW(AO22)-ROW(AO$15),0),
              ROUND(ROUND(OFFSET($P22,0,AO$13),15-13*ORÇAMENTO!$AF$7)*OFFSET(ORÇAMENTO!$W$15,ROW(AO22)-ROW(AO$15),0),15-13*ORÇAMENTO!$AF$11)),
         0)</f>
        <v>0</v>
      </c>
      <c r="AP22" s="453">
        <f ca="1">IF(AND($D22="Serviço",AP$12&lt;&gt;0,$H22&gt;0,OR(AUTOEVENTO&lt;&gt;"manual",$M22&lt;&gt;$A$15)),
        IF(Import.TipoArredondamento&lt;&gt;"TransfereGOV",
              ROUND(OFFSET($P22,0,AP$13),15-13*ORÇAMENTO!$AF$7)/$H22*OFFSET(ORÇAMENTO!$X$15,ROW(AP22)-ROW(AP$15),0),
              ROUND(ROUND(OFFSET($P22,0,AP$13),15-13*ORÇAMENTO!$AF$7)*OFFSET(ORÇAMENTO!$W$15,ROW(AP22)-ROW(AP$15),0),15-13*ORÇAMENTO!$AF$11)),
         0)</f>
        <v>0</v>
      </c>
      <c r="AQ22" s="453">
        <f ca="1">IF(AND($D22="Serviço",AQ$12&lt;&gt;0,$H22&gt;0,OR(AUTOEVENTO&lt;&gt;"manual",$M22&lt;&gt;$A$15)),
        IF(Import.TipoArredondamento&lt;&gt;"TransfereGOV",
              ROUND(OFFSET($P22,0,AQ$13),15-13*ORÇAMENTO!$AF$7)/$H22*OFFSET(ORÇAMENTO!$X$15,ROW(AQ22)-ROW(AQ$15),0),
              ROUND(ROUND(OFFSET($P22,0,AQ$13),15-13*ORÇAMENTO!$AF$7)*OFFSET(ORÇAMENTO!$W$15,ROW(AQ22)-ROW(AQ$15),0),15-13*ORÇAMENTO!$AF$11)),
         0)</f>
        <v>0</v>
      </c>
      <c r="AR22" s="453">
        <f ca="1">IF(AND($D22="Serviço",AR$12&lt;&gt;0,$H22&gt;0,OR(AUTOEVENTO&lt;&gt;"manual",$M22&lt;&gt;$A$15)),
        IF(Import.TipoArredondamento&lt;&gt;"TransfereGOV",
              ROUND(OFFSET($P22,0,AR$13),15-13*ORÇAMENTO!$AF$7)/$H22*OFFSET(ORÇAMENTO!$X$15,ROW(AR22)-ROW(AR$15),0),
              ROUND(ROUND(OFFSET($P22,0,AR$13),15-13*ORÇAMENTO!$AF$7)*OFFSET(ORÇAMENTO!$W$15,ROW(AR22)-ROW(AR$15),0),15-13*ORÇAMENTO!$AF$11)),
         0)</f>
        <v>0</v>
      </c>
      <c r="AS22" s="453">
        <f ca="1">IF(AND($D22="Serviço",AS$12&lt;&gt;0,$H22&gt;0,OR(AUTOEVENTO&lt;&gt;"manual",$M22&lt;&gt;$A$15)),
        IF(Import.TipoArredondamento&lt;&gt;"TransfereGOV",
              ROUND(OFFSET($P22,0,AS$13),15-13*ORÇAMENTO!$AF$7)/$H22*OFFSET(ORÇAMENTO!$X$15,ROW(AS22)-ROW(AS$15),0),
              ROUND(ROUND(OFFSET($P22,0,AS$13),15-13*ORÇAMENTO!$AF$7)*OFFSET(ORÇAMENTO!$W$15,ROW(AS22)-ROW(AS$15),0),15-13*ORÇAMENTO!$AF$11)),
         0)</f>
        <v>0</v>
      </c>
      <c r="AT22" s="453">
        <f ca="1">IF(AND($D22="Serviço",AT$12&lt;&gt;0,$H22&gt;0,OR(AUTOEVENTO&lt;&gt;"manual",$M22&lt;&gt;$A$15)),
        IF(Import.TipoArredondamento&lt;&gt;"TransfereGOV",
              ROUND(OFFSET($P22,0,AT$13),15-13*ORÇAMENTO!$AF$7)/$H22*OFFSET(ORÇAMENTO!$X$15,ROW(AT22)-ROW(AT$15),0),
              ROUND(ROUND(OFFSET($P22,0,AT$13),15-13*ORÇAMENTO!$AF$7)*OFFSET(ORÇAMENTO!$W$15,ROW(AT22)-ROW(AT$15),0),15-13*ORÇAMENTO!$AF$11)),
         0)</f>
        <v>0</v>
      </c>
      <c r="AU22" s="453">
        <f ca="1">IF(AND($D22="Serviço",AU$12&lt;&gt;0,$H22&gt;0,OR(AUTOEVENTO&lt;&gt;"manual",$M22&lt;&gt;$A$15)),
        IF(Import.TipoArredondamento&lt;&gt;"TransfereGOV",
              ROUND(OFFSET($P22,0,AU$13),15-13*ORÇAMENTO!$AF$7)/$H22*OFFSET(ORÇAMENTO!$X$15,ROW(AU22)-ROW(AU$15),0),
              ROUND(ROUND(OFFSET($P22,0,AU$13),15-13*ORÇAMENTO!$AF$7)*OFFSET(ORÇAMENTO!$W$15,ROW(AU22)-ROW(AU$15),0),15-13*ORÇAMENTO!$AF$11)),
         0)</f>
        <v>0</v>
      </c>
      <c r="AV22" s="453">
        <f ca="1">IF(AND($D22="Serviço",AV$12&lt;&gt;0,$H22&gt;0,OR(AUTOEVENTO&lt;&gt;"manual",$M22&lt;&gt;$A$15)),
        IF(Import.TipoArredondamento&lt;&gt;"TransfereGOV",
              ROUND(OFFSET($P22,0,AV$13),15-13*ORÇAMENTO!$AF$7)/$H22*OFFSET(ORÇAMENTO!$X$15,ROW(AV22)-ROW(AV$15),0),
              ROUND(ROUND(OFFSET($P22,0,AV$13),15-13*ORÇAMENTO!$AF$7)*OFFSET(ORÇAMENTO!$W$15,ROW(AV22)-ROW(AV$15),0),15-13*ORÇAMENTO!$AF$11)),
         0)</f>
        <v>0</v>
      </c>
      <c r="AW22" s="453">
        <f ca="1">IF(AND($D22="Serviço",AW$12&lt;&gt;0,$H22&gt;0,OR(AUTOEVENTO&lt;&gt;"manual",$M22&lt;&gt;$A$15)),
        IF(Import.TipoArredondamento&lt;&gt;"TransfereGOV",
              ROUND(OFFSET($P22,0,AW$13),15-13*ORÇAMENTO!$AF$7)/$H22*OFFSET(ORÇAMENTO!$X$15,ROW(AW22)-ROW(AW$15),0),
              ROUND(ROUND(OFFSET($P22,0,AW$13),15-13*ORÇAMENTO!$AF$7)*OFFSET(ORÇAMENTO!$W$15,ROW(AW22)-ROW(AW$15),0),15-13*ORÇAMENTO!$AF$11)),
         0)</f>
        <v>0</v>
      </c>
      <c r="AX22" s="453">
        <f ca="1">IF(AND($D22="Serviço",AX$12&lt;&gt;0,$H22&gt;0,OR(AUTOEVENTO&lt;&gt;"manual",$M22&lt;&gt;$A$15)),
        IF(Import.TipoArredondamento&lt;&gt;"TransfereGOV",
              ROUND(OFFSET($P22,0,AX$13),15-13*ORÇAMENTO!$AF$7)/$H22*OFFSET(ORÇAMENTO!$X$15,ROW(AX22)-ROW(AX$15),0),
              ROUND(ROUND(OFFSET($P22,0,AX$13),15-13*ORÇAMENTO!$AF$7)*OFFSET(ORÇAMENTO!$W$15,ROW(AX22)-ROW(AX$15),0),15-13*ORÇAMENTO!$AF$11)),
         0)</f>
        <v>0</v>
      </c>
      <c r="AY22" s="453">
        <f ca="1">IF(AND($D22="Serviço",AY$12&lt;&gt;0,$H22&gt;0,OR(AUTOEVENTO&lt;&gt;"manual",$M22&lt;&gt;$A$15)),
        IF(Import.TipoArredondamento&lt;&gt;"TransfereGOV",
              ROUND(OFFSET($P22,0,AY$13),15-13*ORÇAMENTO!$AF$7)/$H22*OFFSET(ORÇAMENTO!$X$15,ROW(AY22)-ROW(AY$15),0),
              ROUND(ROUND(OFFSET($P22,0,AY$13),15-13*ORÇAMENTO!$AF$7)*OFFSET(ORÇAMENTO!$W$15,ROW(AY22)-ROW(AY$15),0),15-13*ORÇAMENTO!$AF$11)),
         0)</f>
        <v>0</v>
      </c>
      <c r="AZ22" s="453">
        <f ca="1">IF(AND($D22="Serviço",AZ$12&lt;&gt;0,$H22&gt;0,OR(AUTOEVENTO&lt;&gt;"manual",$M22&lt;&gt;$A$15)),
        IF(Import.TipoArredondamento&lt;&gt;"TransfereGOV",
              ROUND(OFFSET($P22,0,AZ$13),15-13*ORÇAMENTO!$AF$7)/$H22*OFFSET(ORÇAMENTO!$X$15,ROW(AZ22)-ROW(AZ$15),0),
              ROUND(ROUND(OFFSET($P22,0,AZ$13),15-13*ORÇAMENTO!$AF$7)*OFFSET(ORÇAMENTO!$W$15,ROW(AZ22)-ROW(AZ$15),0),15-13*ORÇAMENTO!$AF$11)),
         0)</f>
        <v>0</v>
      </c>
      <c r="BA22" s="453">
        <f ca="1">IF(AND($D22="Serviço",BA$12&lt;&gt;0,$H22&gt;0,OR(AUTOEVENTO&lt;&gt;"manual",$M22&lt;&gt;$A$15)),
        IF(Import.TipoArredondamento&lt;&gt;"TransfereGOV",
              ROUND(OFFSET($P22,0,BA$13),15-13*ORÇAMENTO!$AF$7)/$H22*OFFSET(ORÇAMENTO!$X$15,ROW(BA22)-ROW(BA$15),0),
              ROUND(ROUND(OFFSET($P22,0,BA$13),15-13*ORÇAMENTO!$AF$7)*OFFSET(ORÇAMENTO!$W$15,ROW(BA22)-ROW(BA$15),0),15-13*ORÇAMENTO!$AF$11)),
         0)</f>
        <v>0</v>
      </c>
      <c r="BC22" s="171">
        <f ca="1">IF(OR($D22&lt;&gt;"Serviço",AND(AUTOEVENTO="Manual",$M22=$A$15)),0,
         IF(OFFSET(CRONOPLE!$F$15,$M22-$A$15,BC$13)=0,10^12,OFFSET(CRONOPLE!$F$15,$M22-$A$15,BC$13)))</f>
        <v>0</v>
      </c>
      <c r="BD22" s="171">
        <f ca="1">IF(OR($D22&lt;&gt;"Serviço",AND(AUTOEVENTO="Manual",$M22=$A$15)),0,
         IF(OFFSET(CRONOPLE!$F$15,$M22-$A$15,BD$13)=0,10^12,OFFSET(CRONOPLE!$F$15,$M22-$A$15,BD$13)))</f>
        <v>0</v>
      </c>
      <c r="BE22" s="171">
        <f ca="1">IF(OR($D22&lt;&gt;"Serviço",AND(AUTOEVENTO="Manual",$M22=$A$15)),0,
         IF(OFFSET(CRONOPLE!$F$15,$M22-$A$15,BE$13)=0,10^12,OFFSET(CRONOPLE!$F$15,$M22-$A$15,BE$13)))</f>
        <v>0</v>
      </c>
      <c r="BF22" s="171">
        <f ca="1">IF(OR($D22&lt;&gt;"Serviço",AND(AUTOEVENTO="Manual",$M22=$A$15)),0,
         IF(OFFSET(CRONOPLE!$F$15,$M22-$A$15,BF$13)=0,10^12,OFFSET(CRONOPLE!$F$15,$M22-$A$15,BF$13)))</f>
        <v>0</v>
      </c>
      <c r="BG22" s="171">
        <f ca="1">IF(OR($D22&lt;&gt;"Serviço",AND(AUTOEVENTO="Manual",$M22=$A$15)),0,
         IF(OFFSET(CRONOPLE!$F$15,$M22-$A$15,BG$13)=0,10^12,OFFSET(CRONOPLE!$F$15,$M22-$A$15,BG$13)))</f>
        <v>0</v>
      </c>
      <c r="BH22" s="171">
        <f ca="1">IF(OR($D22&lt;&gt;"Serviço",AND(AUTOEVENTO="Manual",$M22=$A$15)),0,
         IF(OFFSET(CRONOPLE!$F$15,$M22-$A$15,BH$13)=0,10^12,OFFSET(CRONOPLE!$F$15,$M22-$A$15,BH$13)))</f>
        <v>0</v>
      </c>
      <c r="BI22" s="171">
        <f ca="1">IF(OR($D22&lt;&gt;"Serviço",AND(AUTOEVENTO="Manual",$M22=$A$15)),0,
         IF(OFFSET(CRONOPLE!$F$15,$M22-$A$15,BI$13)=0,10^12,OFFSET(CRONOPLE!$F$15,$M22-$A$15,BI$13)))</f>
        <v>0</v>
      </c>
      <c r="BJ22" s="171">
        <f ca="1">IF(OR($D22&lt;&gt;"Serviço",AND(AUTOEVENTO="Manual",$M22=$A$15)),0,
         IF(OFFSET(CRONOPLE!$F$15,$M22-$A$15,BJ$13)=0,10^12,OFFSET(CRONOPLE!$F$15,$M22-$A$15,BJ$13)))</f>
        <v>0</v>
      </c>
      <c r="BK22" s="171">
        <f ca="1">IF(OR($D22&lt;&gt;"Serviço",AND(AUTOEVENTO="Manual",$M22=$A$15)),0,
         IF(OFFSET(CRONOPLE!$F$15,$M22-$A$15,BK$13)=0,10^12,OFFSET(CRONOPLE!$F$15,$M22-$A$15,BK$13)))</f>
        <v>0</v>
      </c>
      <c r="BL22" s="171">
        <f ca="1">IF(OR($D22&lt;&gt;"Serviço",AND(AUTOEVENTO="Manual",$M22=$A$15)),0,
         IF(OFFSET(CRONOPLE!$F$15,$M22-$A$15,BL$13)=0,10^12,OFFSET(CRONOPLE!$F$15,$M22-$A$15,BL$13)))</f>
        <v>0</v>
      </c>
      <c r="BM22" s="171">
        <f ca="1">IF(OR($D22&lt;&gt;"Serviço",AND(AUTOEVENTO="Manual",$M22=$A$15)),0,
         IF(OFFSET(CRONOPLE!$F$15,$M22-$A$15,BM$13)=0,10^12,OFFSET(CRONOPLE!$F$15,$M22-$A$15,BM$13)))</f>
        <v>0</v>
      </c>
      <c r="BN22" s="171">
        <f ca="1">IF(OR($D22&lt;&gt;"Serviço",AND(AUTOEVENTO="Manual",$M22=$A$15)),0,
         IF(OFFSET(CRONOPLE!$F$15,$M22-$A$15,BN$13)=0,10^12,OFFSET(CRONOPLE!$F$15,$M22-$A$15,BN$13)))</f>
        <v>0</v>
      </c>
      <c r="BO22" s="171">
        <f ca="1">IF(OR($D22&lt;&gt;"Serviço",AND(AUTOEVENTO="Manual",$M22=$A$15)),0,
         IF(OFFSET(CRONOPLE!$F$15,$M22-$A$15,BO$13)=0,10^12,OFFSET(CRONOPLE!$F$15,$M22-$A$15,BO$13)))</f>
        <v>0</v>
      </c>
      <c r="BP22" s="171">
        <f ca="1">IF(OR($D22&lt;&gt;"Serviço",AND(AUTOEVENTO="Manual",$M22=$A$15)),0,
         IF(OFFSET(CRONOPLE!$F$15,$M22-$A$15,BP$13)=0,10^12,OFFSET(CRONOPLE!$F$15,$M22-$A$15,BP$13)))</f>
        <v>0</v>
      </c>
      <c r="BQ22" s="171">
        <f ca="1">IF(OR($D22&lt;&gt;"Serviço",AND(AUTOEVENTO="Manual",$M22=$A$15)),0,
         IF(OFFSET(CRONOPLE!$F$15,$M22-$A$15,BQ$13)=0,10^12,OFFSET(CRONOPLE!$F$15,$M22-$A$15,BQ$13)))</f>
        <v>0</v>
      </c>
      <c r="BR22" s="171">
        <f ca="1">IF(OR($D22&lt;&gt;"Serviço",AND(AUTOEVENTO="Manual",$M22=$A$15)),0,
         IF(OFFSET(CRONOPLE!$F$15,$M22-$A$15,BR$13)=0,10^12,OFFSET(CRONOPLE!$F$15,$M22-$A$15,BR$13)))</f>
        <v>0</v>
      </c>
      <c r="BS22" s="171">
        <f ca="1">IF(OR($D22&lt;&gt;"Serviço",AND(AUTOEVENTO="Manual",$M22=$A$15)),0,
         IF(OFFSET(CRONOPLE!$F$15,$M22-$A$15,BS$13)=0,10^12,OFFSET(CRONOPLE!$F$15,$M22-$A$15,BS$13)))</f>
        <v>0</v>
      </c>
      <c r="BT22" s="171">
        <f ca="1">IF(OR($D22&lt;&gt;"Serviço",AND(AUTOEVENTO="Manual",$M22=$A$15)),0,
         IF(OFFSET(CRONOPLE!$F$15,$M22-$A$15,BT$13)=0,10^12,OFFSET(CRONOPLE!$F$15,$M22-$A$15,BT$13)))</f>
        <v>0</v>
      </c>
      <c r="BV22" s="172" cm="1">
        <f t="array" aca="1" ref="BV22" ca="1">IF(OR($D22&lt;&gt;"Serviço",AND(AUTOEVENTO="Manual",$M22=$A$15),$M22&gt;(ROW(PLE.lastrow)-ROW(PLE.firstrow))),0,
           IF(OFFSET(PLE!$G$15,$M22-$A$15,BV$13)="",10^12,OFFSET(PLE!$G$15,$M22-$A$15,BV$13)))</f>
        <v>0</v>
      </c>
      <c r="BW22" s="172" cm="1">
        <f t="array" aca="1" ref="BW22" ca="1">IF(OR($D22&lt;&gt;"Serviço",AND(AUTOEVENTO="Manual",$M22=$A$15),$M22&gt;(ROW(PLE.lastrow)-ROW(PLE.firstrow))),0,
           IF(OFFSET(PLE!$G$15,$M22-$A$15,BW$13)="",10^12,OFFSET(PLE!$G$15,$M22-$A$15,BW$13)))</f>
        <v>0</v>
      </c>
      <c r="BX22" s="172" cm="1">
        <f t="array" aca="1" ref="BX22" ca="1">IF(OR($D22&lt;&gt;"Serviço",AND(AUTOEVENTO="Manual",$M22=$A$15),$M22&gt;(ROW(PLE.lastrow)-ROW(PLE.firstrow))),0,
           IF(OFFSET(PLE!$G$15,$M22-$A$15,BX$13)="",10^12,OFFSET(PLE!$G$15,$M22-$A$15,BX$13)))</f>
        <v>0</v>
      </c>
      <c r="BY22" s="172" cm="1">
        <f t="array" aca="1" ref="BY22" ca="1">IF(OR($D22&lt;&gt;"Serviço",AND(AUTOEVENTO="Manual",$M22=$A$15),$M22&gt;(ROW(PLE.lastrow)-ROW(PLE.firstrow))),0,
           IF(OFFSET(PLE!$G$15,$M22-$A$15,BY$13)="",10^12,OFFSET(PLE!$G$15,$M22-$A$15,BY$13)))</f>
        <v>0</v>
      </c>
      <c r="BZ22" s="172" cm="1">
        <f t="array" aca="1" ref="BZ22" ca="1">IF(OR($D22&lt;&gt;"Serviço",AND(AUTOEVENTO="Manual",$M22=$A$15),$M22&gt;(ROW(PLE.lastrow)-ROW(PLE.firstrow))),0,
           IF(OFFSET(PLE!$G$15,$M22-$A$15,BZ$13)="",10^12,OFFSET(PLE!$G$15,$M22-$A$15,BZ$13)))</f>
        <v>0</v>
      </c>
      <c r="CA22" s="172" cm="1">
        <f t="array" aca="1" ref="CA22" ca="1">IF(OR($D22&lt;&gt;"Serviço",AND(AUTOEVENTO="Manual",$M22=$A$15),$M22&gt;(ROW(PLE.lastrow)-ROW(PLE.firstrow))),0,
           IF(OFFSET(PLE!$G$15,$M22-$A$15,CA$13)="",10^12,OFFSET(PLE!$G$15,$M22-$A$15,CA$13)))</f>
        <v>0</v>
      </c>
      <c r="CB22" s="172" cm="1">
        <f t="array" aca="1" ref="CB22" ca="1">IF(OR($D22&lt;&gt;"Serviço",AND(AUTOEVENTO="Manual",$M22=$A$15),$M22&gt;(ROW(PLE.lastrow)-ROW(PLE.firstrow))),0,
           IF(OFFSET(PLE!$G$15,$M22-$A$15,CB$13)="",10^12,OFFSET(PLE!$G$15,$M22-$A$15,CB$13)))</f>
        <v>0</v>
      </c>
      <c r="CC22" s="172" cm="1">
        <f t="array" aca="1" ref="CC22" ca="1">IF(OR($D22&lt;&gt;"Serviço",AND(AUTOEVENTO="Manual",$M22=$A$15),$M22&gt;(ROW(PLE.lastrow)-ROW(PLE.firstrow))),0,
           IF(OFFSET(PLE!$G$15,$M22-$A$15,CC$13)="",10^12,OFFSET(PLE!$G$15,$M22-$A$15,CC$13)))</f>
        <v>0</v>
      </c>
      <c r="CD22" s="172" cm="1">
        <f t="array" aca="1" ref="CD22" ca="1">IF(OR($D22&lt;&gt;"Serviço",AND(AUTOEVENTO="Manual",$M22=$A$15),$M22&gt;(ROW(PLE.lastrow)-ROW(PLE.firstrow))),0,
           IF(OFFSET(PLE!$G$15,$M22-$A$15,CD$13)="",10^12,OFFSET(PLE!$G$15,$M22-$A$15,CD$13)))</f>
        <v>0</v>
      </c>
      <c r="CE22" s="172" cm="1">
        <f t="array" aca="1" ref="CE22" ca="1">IF(OR($D22&lt;&gt;"Serviço",AND(AUTOEVENTO="Manual",$M22=$A$15),$M22&gt;(ROW(PLE.lastrow)-ROW(PLE.firstrow))),0,
           IF(OFFSET(PLE!$G$15,$M22-$A$15,CE$13)="",10^12,OFFSET(PLE!$G$15,$M22-$A$15,CE$13)))</f>
        <v>0</v>
      </c>
      <c r="CF22" s="172" cm="1">
        <f t="array" aca="1" ref="CF22" ca="1">IF(OR($D22&lt;&gt;"Serviço",AND(AUTOEVENTO="Manual",$M22=$A$15),$M22&gt;(ROW(PLE.lastrow)-ROW(PLE.firstrow))),0,
           IF(OFFSET(PLE!$G$15,$M22-$A$15,CF$13)="",10^12,OFFSET(PLE!$G$15,$M22-$A$15,CF$13)))</f>
        <v>0</v>
      </c>
      <c r="CG22" s="172" cm="1">
        <f t="array" aca="1" ref="CG22" ca="1">IF(OR($D22&lt;&gt;"Serviço",AND(AUTOEVENTO="Manual",$M22=$A$15),$M22&gt;(ROW(PLE.lastrow)-ROW(PLE.firstrow))),0,
           IF(OFFSET(PLE!$G$15,$M22-$A$15,CG$13)="",10^12,OFFSET(PLE!$G$15,$M22-$A$15,CG$13)))</f>
        <v>0</v>
      </c>
      <c r="CH22" s="172" cm="1">
        <f t="array" aca="1" ref="CH22" ca="1">IF(OR($D22&lt;&gt;"Serviço",AND(AUTOEVENTO="Manual",$M22=$A$15),$M22&gt;(ROW(PLE.lastrow)-ROW(PLE.firstrow))),0,
           IF(OFFSET(PLE!$G$15,$M22-$A$15,CH$13)="",10^12,OFFSET(PLE!$G$15,$M22-$A$15,CH$13)))</f>
        <v>0</v>
      </c>
      <c r="CI22" s="172" cm="1">
        <f t="array" aca="1" ref="CI22" ca="1">IF(OR($D22&lt;&gt;"Serviço",AND(AUTOEVENTO="Manual",$M22=$A$15),$M22&gt;(ROW(PLE.lastrow)-ROW(PLE.firstrow))),0,
           IF(OFFSET(PLE!$G$15,$M22-$A$15,CI$13)="",10^12,OFFSET(PLE!$G$15,$M22-$A$15,CI$13)))</f>
        <v>0</v>
      </c>
      <c r="CJ22" s="172" cm="1">
        <f t="array" aca="1" ref="CJ22" ca="1">IF(OR($D22&lt;&gt;"Serviço",AND(AUTOEVENTO="Manual",$M22=$A$15),$M22&gt;(ROW(PLE.lastrow)-ROW(PLE.firstrow))),0,
           IF(OFFSET(PLE!$G$15,$M22-$A$15,CJ$13)="",10^12,OFFSET(PLE!$G$15,$M22-$A$15,CJ$13)))</f>
        <v>0</v>
      </c>
      <c r="CK22" s="172" cm="1">
        <f t="array" aca="1" ref="CK22" ca="1">IF(OR($D22&lt;&gt;"Serviço",AND(AUTOEVENTO="Manual",$M22=$A$15),$M22&gt;(ROW(PLE.lastrow)-ROW(PLE.firstrow))),0,
           IF(OFFSET(PLE!$G$15,$M22-$A$15,CK$13)="",10^12,OFFSET(PLE!$G$15,$M22-$A$15,CK$13)))</f>
        <v>0</v>
      </c>
      <c r="CL22" s="172" cm="1">
        <f t="array" aca="1" ref="CL22" ca="1">IF(OR($D22&lt;&gt;"Serviço",AND(AUTOEVENTO="Manual",$M22=$A$15),$M22&gt;(ROW(PLE.lastrow)-ROW(PLE.firstrow))),0,
           IF(OFFSET(PLE!$G$15,$M22-$A$15,CL$13)="",10^12,OFFSET(PLE!$G$15,$M22-$A$15,CL$13)))</f>
        <v>0</v>
      </c>
      <c r="CM22" s="172" cm="1">
        <f t="array" aca="1" ref="CM22" ca="1">IF(OR($D22&lt;&gt;"Serviço",AND(AUTOEVENTO="Manual",$M22=$A$15),$M22&gt;(ROW(PLE.lastrow)-ROW(PLE.firstrow))),0,
           IF(OFFSET(PLE!$G$15,$M22-$A$15,CM$13)="",10^12,OFFSET(PLE!$G$15,$M22-$A$15,CM$13)))</f>
        <v>0</v>
      </c>
    </row>
    <row r="23" spans="1:91" s="670" customFormat="1" ht="38.25" x14ac:dyDescent="0.2">
      <c r="A23" s="668">
        <f t="shared" ca="1" si="10"/>
        <v>4</v>
      </c>
      <c r="B23" s="668" t="str">
        <f ca="1">OFFSET(ORÇAMENTO!C$15,$L23,0)</f>
        <v>S</v>
      </c>
      <c r="C23" s="668" t="str">
        <f ca="1">OFFSET(ORÇAMENTO!L$15,$L23,0)</f>
        <v>F</v>
      </c>
      <c r="D23" s="116" t="str">
        <f ca="1">OFFSET(ORÇAMENTO!N$15,$L23,0)</f>
        <v>Serviço</v>
      </c>
      <c r="E23" s="117" t="str">
        <f ca="1">OFFSET(ORÇAMENTO!O$15,$L23,0)</f>
        <v>1.2.1.</v>
      </c>
      <c r="F23" s="163" t="str">
        <f ca="1">OFFSET(ORÇAMENTO!R$15,$L23,0)</f>
        <v>LOCAÇÃO CONVENCIONAL DE OBRA, UTILIZANDO GABARITO DE TÁBUAS CORRIDAS PONTALETADAS A CADA 2,00M - 2 UTILIZAÇÕES. AF_03/2024</v>
      </c>
      <c r="G23" s="164" t="str">
        <f ca="1">IF($D23&lt;&gt;"Serviço","",OFFSET(ORÇAMENTO!S$15,$L23,0))</f>
        <v>M</v>
      </c>
      <c r="H23" s="122" cm="1">
        <f t="array" aca="1" ref="H23" ca="1">IF($D23&lt;&gt;"Serviço",0,IF(ACOMPANHAMENTO="BM",ROUND(OFFSET(ORÇAMENTO!AJ$15,$L23,0),15-13*ORÇAMENTO!$AF$7),IF(IFERROR(CÁLCULO.FrentesPreenchidas,0)=0,0,SUM(ROUND(OFFSET($P23,0,1,1,CÁLCULO.FrentesPreenchidas),15-13*ORÇAMENTO!$AF$7)))))</f>
        <v>100</v>
      </c>
      <c r="I23" s="677" t="s">
        <v>1134</v>
      </c>
      <c r="J23" s="651" t="str" cm="1">
        <f t="array" aca="1" ref="J23" ca="1">IF(OR(B23&lt;&gt;"S",CÁLCULO.FrentesPreenchidas=0),"",IF(AND(ACOMPANHAMENTO="PLE",AUTOEVENTO="Manual",OR(H23&gt;0,ORÇAMENTO!AC23="QUANT."),OR(K23="",M23=0,N23="")),"►E",IF(AND(ACOMPANHAMENTO="PLE",ORÇAMENTO!AC23="QUANT."),"►Q",IF(AND(ACOMPANHAMENTO="PLE",H23&lt;&gt;SUMPRODUCT(($Q$1:$AI$1=1)*ROUND(Q23:AI23,15))),"►S",IF(AND(COUNTIF($P$11:$AI$11,"▼")=0,H23&gt;0,I24=""),"◄M","")))))</f>
        <v/>
      </c>
      <c r="K23" s="652" t="s">
        <v>1334</v>
      </c>
      <c r="L23" s="165">
        <f t="shared" ca="1" si="11"/>
        <v>8</v>
      </c>
      <c r="M23" s="166">
        <f ca="1">IF($D23&lt;&gt;"Serviço","",
          IF(AUTOEVENTO="manual",$A23,
                IF(ISERROR(MATCH($A23,$A$15:OFFSET($A23,-1,0),0)),MAX($M$15:OFFSET(M23,-1,0))+1,
                      INDEX($M$15:OFFSET(M23,-1,0),MATCH($A23,$A$15:OFFSET($A23,-1,0),0)))))</f>
        <v>4</v>
      </c>
      <c r="N23" s="167" t="str">
        <f ca="1">IF($D23&lt;&gt;"Serviço","",
         IF(AUTOEVENTO="Manual",
                IF($A23=0,"&lt;-- defina o número do agrupador",
                       OFFSET(EVENTOS!$D$15,$A23-$A$15,0)),
                OFFSET($F$15,$A23,0)))</f>
        <v>Serviços Preliminares</v>
      </c>
      <c r="O23" s="168"/>
      <c r="Q23" s="168"/>
      <c r="R23" s="169">
        <v>100</v>
      </c>
      <c r="S23" s="169"/>
      <c r="T23" s="169"/>
      <c r="U23" s="169"/>
      <c r="V23" s="169"/>
      <c r="W23" s="169"/>
      <c r="X23" s="169"/>
      <c r="Y23" s="169"/>
      <c r="Z23" s="170"/>
      <c r="AA23" s="705"/>
      <c r="AB23" s="705"/>
      <c r="AC23" s="705"/>
      <c r="AD23" s="705"/>
      <c r="AE23" s="705"/>
      <c r="AF23" s="705"/>
      <c r="AG23" s="705"/>
      <c r="AH23" s="706"/>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9601</v>
      </c>
      <c r="AL23" s="453">
        <f ca="1">IF(AND($D23="Serviço",AL$12&lt;&gt;0,$H23&gt;0,OR(AUTOEVENTO&lt;&gt;"manual",$M23&lt;&gt;$A$15)),
        IF(Import.TipoArredondamento&lt;&gt;"TransfereGOV",
              ROUND(OFFSET($P23,0,AL$13),15-13*ORÇAMENTO!$AF$7)/$H23*OFFSET(ORÇAMENTO!$X$15,ROW(AL23)-ROW(AL$15),0),
              ROUND(ROUND(OFFSET($P23,0,AL$13),15-13*ORÇAMENTO!$AF$7)*OFFSET(ORÇAMENTO!$W$15,ROW(AL23)-ROW(AL$15),0),15-13*ORÇAMENTO!$AF$11)),
         0)</f>
        <v>0</v>
      </c>
      <c r="AM23" s="453">
        <f ca="1">IF(AND($D23="Serviço",AM$12&lt;&gt;0,$H23&gt;0,OR(AUTOEVENTO&lt;&gt;"manual",$M23&lt;&gt;$A$15)),
        IF(Import.TipoArredondamento&lt;&gt;"TransfereGOV",
              ROUND(OFFSET($P23,0,AM$13),15-13*ORÇAMENTO!$AF$7)/$H23*OFFSET(ORÇAMENTO!$X$15,ROW(AM23)-ROW(AM$15),0),
              ROUND(ROUND(OFFSET($P23,0,AM$13),15-13*ORÇAMENTO!$AF$7)*OFFSET(ORÇAMENTO!$W$15,ROW(AM23)-ROW(AM$15),0),15-13*ORÇAMENTO!$AF$11)),
         0)</f>
        <v>0</v>
      </c>
      <c r="AN23" s="453">
        <f ca="1">IF(AND($D23="Serviço",AN$12&lt;&gt;0,$H23&gt;0,OR(AUTOEVENTO&lt;&gt;"manual",$M23&lt;&gt;$A$15)),
        IF(Import.TipoArredondamento&lt;&gt;"TransfereGOV",
              ROUND(OFFSET($P23,0,AN$13),15-13*ORÇAMENTO!$AF$7)/$H23*OFFSET(ORÇAMENTO!$X$15,ROW(AN23)-ROW(AN$15),0),
              ROUND(ROUND(OFFSET($P23,0,AN$13),15-13*ORÇAMENTO!$AF$7)*OFFSET(ORÇAMENTO!$W$15,ROW(AN23)-ROW(AN$15),0),15-13*ORÇAMENTO!$AF$11)),
         0)</f>
        <v>0</v>
      </c>
      <c r="AO23" s="453">
        <f ca="1">IF(AND($D23="Serviço",AO$12&lt;&gt;0,$H23&gt;0,OR(AUTOEVENTO&lt;&gt;"manual",$M23&lt;&gt;$A$15)),
        IF(Import.TipoArredondamento&lt;&gt;"TransfereGOV",
              ROUND(OFFSET($P23,0,AO$13),15-13*ORÇAMENTO!$AF$7)/$H23*OFFSET(ORÇAMENTO!$X$15,ROW(AO23)-ROW(AO$15),0),
              ROUND(ROUND(OFFSET($P23,0,AO$13),15-13*ORÇAMENTO!$AF$7)*OFFSET(ORÇAMENTO!$W$15,ROW(AO23)-ROW(AO$15),0),15-13*ORÇAMENTO!$AF$11)),
         0)</f>
        <v>0</v>
      </c>
      <c r="AP23" s="453">
        <f ca="1">IF(AND($D23="Serviço",AP$12&lt;&gt;0,$H23&gt;0,OR(AUTOEVENTO&lt;&gt;"manual",$M23&lt;&gt;$A$15)),
        IF(Import.TipoArredondamento&lt;&gt;"TransfereGOV",
              ROUND(OFFSET($P23,0,AP$13),15-13*ORÇAMENTO!$AF$7)/$H23*OFFSET(ORÇAMENTO!$X$15,ROW(AP23)-ROW(AP$15),0),
              ROUND(ROUND(OFFSET($P23,0,AP$13),15-13*ORÇAMENTO!$AF$7)*OFFSET(ORÇAMENTO!$W$15,ROW(AP23)-ROW(AP$15),0),15-13*ORÇAMENTO!$AF$11)),
         0)</f>
        <v>0</v>
      </c>
      <c r="AQ23" s="453">
        <f ca="1">IF(AND($D23="Serviço",AQ$12&lt;&gt;0,$H23&gt;0,OR(AUTOEVENTO&lt;&gt;"manual",$M23&lt;&gt;$A$15)),
        IF(Import.TipoArredondamento&lt;&gt;"TransfereGOV",
              ROUND(OFFSET($P23,0,AQ$13),15-13*ORÇAMENTO!$AF$7)/$H23*OFFSET(ORÇAMENTO!$X$15,ROW(AQ23)-ROW(AQ$15),0),
              ROUND(ROUND(OFFSET($P23,0,AQ$13),15-13*ORÇAMENTO!$AF$7)*OFFSET(ORÇAMENTO!$W$15,ROW(AQ23)-ROW(AQ$15),0),15-13*ORÇAMENTO!$AF$11)),
         0)</f>
        <v>0</v>
      </c>
      <c r="AR23" s="453">
        <f ca="1">IF(AND($D23="Serviço",AR$12&lt;&gt;0,$H23&gt;0,OR(AUTOEVENTO&lt;&gt;"manual",$M23&lt;&gt;$A$15)),
        IF(Import.TipoArredondamento&lt;&gt;"TransfereGOV",
              ROUND(OFFSET($P23,0,AR$13),15-13*ORÇAMENTO!$AF$7)/$H23*OFFSET(ORÇAMENTO!$X$15,ROW(AR23)-ROW(AR$15),0),
              ROUND(ROUND(OFFSET($P23,0,AR$13),15-13*ORÇAMENTO!$AF$7)*OFFSET(ORÇAMENTO!$W$15,ROW(AR23)-ROW(AR$15),0),15-13*ORÇAMENTO!$AF$11)),
         0)</f>
        <v>0</v>
      </c>
      <c r="AS23" s="453">
        <f ca="1">IF(AND($D23="Serviço",AS$12&lt;&gt;0,$H23&gt;0,OR(AUTOEVENTO&lt;&gt;"manual",$M23&lt;&gt;$A$15)),
        IF(Import.TipoArredondamento&lt;&gt;"TransfereGOV",
              ROUND(OFFSET($P23,0,AS$13),15-13*ORÇAMENTO!$AF$7)/$H23*OFFSET(ORÇAMENTO!$X$15,ROW(AS23)-ROW(AS$15),0),
              ROUND(ROUND(OFFSET($P23,0,AS$13),15-13*ORÇAMENTO!$AF$7)*OFFSET(ORÇAMENTO!$W$15,ROW(AS23)-ROW(AS$15),0),15-13*ORÇAMENTO!$AF$11)),
         0)</f>
        <v>0</v>
      </c>
      <c r="AT23" s="453">
        <f ca="1">IF(AND($D23="Serviço",AT$12&lt;&gt;0,$H23&gt;0,OR(AUTOEVENTO&lt;&gt;"manual",$M23&lt;&gt;$A$15)),
        IF(Import.TipoArredondamento&lt;&gt;"TransfereGOV",
              ROUND(OFFSET($P23,0,AT$13),15-13*ORÇAMENTO!$AF$7)/$H23*OFFSET(ORÇAMENTO!$X$15,ROW(AT23)-ROW(AT$15),0),
              ROUND(ROUND(OFFSET($P23,0,AT$13),15-13*ORÇAMENTO!$AF$7)*OFFSET(ORÇAMENTO!$W$15,ROW(AT23)-ROW(AT$15),0),15-13*ORÇAMENTO!$AF$11)),
         0)</f>
        <v>0</v>
      </c>
      <c r="AU23" s="453">
        <f ca="1">IF(AND($D23="Serviço",AU$12&lt;&gt;0,$H23&gt;0,OR(AUTOEVENTO&lt;&gt;"manual",$M23&lt;&gt;$A$15)),
        IF(Import.TipoArredondamento&lt;&gt;"TransfereGOV",
              ROUND(OFFSET($P23,0,AU$13),15-13*ORÇAMENTO!$AF$7)/$H23*OFFSET(ORÇAMENTO!$X$15,ROW(AU23)-ROW(AU$15),0),
              ROUND(ROUND(OFFSET($P23,0,AU$13),15-13*ORÇAMENTO!$AF$7)*OFFSET(ORÇAMENTO!$W$15,ROW(AU23)-ROW(AU$15),0),15-13*ORÇAMENTO!$AF$11)),
         0)</f>
        <v>0</v>
      </c>
      <c r="AV23" s="453">
        <f ca="1">IF(AND($D23="Serviço",AV$12&lt;&gt;0,$H23&gt;0,OR(AUTOEVENTO&lt;&gt;"manual",$M23&lt;&gt;$A$15)),
        IF(Import.TipoArredondamento&lt;&gt;"TransfereGOV",
              ROUND(OFFSET($P23,0,AV$13),15-13*ORÇAMENTO!$AF$7)/$H23*OFFSET(ORÇAMENTO!$X$15,ROW(AV23)-ROW(AV$15),0),
              ROUND(ROUND(OFFSET($P23,0,AV$13),15-13*ORÇAMENTO!$AF$7)*OFFSET(ORÇAMENTO!$W$15,ROW(AV23)-ROW(AV$15),0),15-13*ORÇAMENTO!$AF$11)),
         0)</f>
        <v>0</v>
      </c>
      <c r="AW23" s="453">
        <f ca="1">IF(AND($D23="Serviço",AW$12&lt;&gt;0,$H23&gt;0,OR(AUTOEVENTO&lt;&gt;"manual",$M23&lt;&gt;$A$15)),
        IF(Import.TipoArredondamento&lt;&gt;"TransfereGOV",
              ROUND(OFFSET($P23,0,AW$13),15-13*ORÇAMENTO!$AF$7)/$H23*OFFSET(ORÇAMENTO!$X$15,ROW(AW23)-ROW(AW$15),0),
              ROUND(ROUND(OFFSET($P23,0,AW$13),15-13*ORÇAMENTO!$AF$7)*OFFSET(ORÇAMENTO!$W$15,ROW(AW23)-ROW(AW$15),0),15-13*ORÇAMENTO!$AF$11)),
         0)</f>
        <v>0</v>
      </c>
      <c r="AX23" s="453">
        <f ca="1">IF(AND($D23="Serviço",AX$12&lt;&gt;0,$H23&gt;0,OR(AUTOEVENTO&lt;&gt;"manual",$M23&lt;&gt;$A$15)),
        IF(Import.TipoArredondamento&lt;&gt;"TransfereGOV",
              ROUND(OFFSET($P23,0,AX$13),15-13*ORÇAMENTO!$AF$7)/$H23*OFFSET(ORÇAMENTO!$X$15,ROW(AX23)-ROW(AX$15),0),
              ROUND(ROUND(OFFSET($P23,0,AX$13),15-13*ORÇAMENTO!$AF$7)*OFFSET(ORÇAMENTO!$W$15,ROW(AX23)-ROW(AX$15),0),15-13*ORÇAMENTO!$AF$11)),
         0)</f>
        <v>0</v>
      </c>
      <c r="AY23" s="453">
        <f ca="1">IF(AND($D23="Serviço",AY$12&lt;&gt;0,$H23&gt;0,OR(AUTOEVENTO&lt;&gt;"manual",$M23&lt;&gt;$A$15)),
        IF(Import.TipoArredondamento&lt;&gt;"TransfereGOV",
              ROUND(OFFSET($P23,0,AY$13),15-13*ORÇAMENTO!$AF$7)/$H23*OFFSET(ORÇAMENTO!$X$15,ROW(AY23)-ROW(AY$15),0),
              ROUND(ROUND(OFFSET($P23,0,AY$13),15-13*ORÇAMENTO!$AF$7)*OFFSET(ORÇAMENTO!$W$15,ROW(AY23)-ROW(AY$15),0),15-13*ORÇAMENTO!$AF$11)),
         0)</f>
        <v>0</v>
      </c>
      <c r="AZ23" s="453">
        <f ca="1">IF(AND($D23="Serviço",AZ$12&lt;&gt;0,$H23&gt;0,OR(AUTOEVENTO&lt;&gt;"manual",$M23&lt;&gt;$A$15)),
        IF(Import.TipoArredondamento&lt;&gt;"TransfereGOV",
              ROUND(OFFSET($P23,0,AZ$13),15-13*ORÇAMENTO!$AF$7)/$H23*OFFSET(ORÇAMENTO!$X$15,ROW(AZ23)-ROW(AZ$15),0),
              ROUND(ROUND(OFFSET($P23,0,AZ$13),15-13*ORÇAMENTO!$AF$7)*OFFSET(ORÇAMENTO!$W$15,ROW(AZ23)-ROW(AZ$15),0),15-13*ORÇAMENTO!$AF$11)),
         0)</f>
        <v>0</v>
      </c>
      <c r="BA23" s="453">
        <f ca="1">IF(AND($D23="Serviço",BA$12&lt;&gt;0,$H23&gt;0,OR(AUTOEVENTO&lt;&gt;"manual",$M23&lt;&gt;$A$15)),
        IF(Import.TipoArredondamento&lt;&gt;"TransfereGOV",
              ROUND(OFFSET($P23,0,BA$13),15-13*ORÇAMENTO!$AF$7)/$H23*OFFSET(ORÇAMENTO!$X$15,ROW(BA23)-ROW(BA$15),0),
              ROUND(ROUND(OFFSET($P23,0,BA$13),15-13*ORÇAMENTO!$AF$7)*OFFSET(ORÇAMENTO!$W$15,ROW(BA23)-ROW(BA$15),0),15-13*ORÇAMENTO!$AF$11)),
         0)</f>
        <v>0</v>
      </c>
      <c r="BC23" s="171">
        <f ca="1">IF(OR($D23&lt;&gt;"Serviço",AND(AUTOEVENTO="Manual",$M23=$A$15)),0,
         IF(OFFSET(CRONOPLE!$F$15,$M23-$A$15,BC$13)=0,10^12,OFFSET(CRONOPLE!$F$15,$M23-$A$15,BC$13)))</f>
        <v>10</v>
      </c>
      <c r="BD23" s="171">
        <f ca="1">IF(OR($D23&lt;&gt;"Serviço",AND(AUTOEVENTO="Manual",$M23=$A$15)),0,
         IF(OFFSET(CRONOPLE!$F$15,$M23-$A$15,BD$13)=0,10^12,OFFSET(CRONOPLE!$F$15,$M23-$A$15,BD$13)))</f>
        <v>4</v>
      </c>
      <c r="BE23" s="171">
        <f ca="1">IF(OR($D23&lt;&gt;"Serviço",AND(AUTOEVENTO="Manual",$M23=$A$15)),0,
         IF(OFFSET(CRONOPLE!$F$15,$M23-$A$15,BE$13)=0,10^12,OFFSET(CRONOPLE!$F$15,$M23-$A$15,BE$13)))</f>
        <v>4</v>
      </c>
      <c r="BF23" s="171">
        <f ca="1">IF(OR($D23&lt;&gt;"Serviço",AND(AUTOEVENTO="Manual",$M23=$A$15)),0,
         IF(OFFSET(CRONOPLE!$F$15,$M23-$A$15,BF$13)=0,10^12,OFFSET(CRONOPLE!$F$15,$M23-$A$15,BF$13)))</f>
        <v>1000000000000</v>
      </c>
      <c r="BG23" s="171">
        <f ca="1">IF(OR($D23&lt;&gt;"Serviço",AND(AUTOEVENTO="Manual",$M23=$A$15)),0,
         IF(OFFSET(CRONOPLE!$F$15,$M23-$A$15,BG$13)=0,10^12,OFFSET(CRONOPLE!$F$15,$M23-$A$15,BG$13)))</f>
        <v>6</v>
      </c>
      <c r="BH23" s="171">
        <f ca="1">IF(OR($D23&lt;&gt;"Serviço",AND(AUTOEVENTO="Manual",$M23=$A$15)),0,
         IF(OFFSET(CRONOPLE!$F$15,$M23-$A$15,BH$13)=0,10^12,OFFSET(CRONOPLE!$F$15,$M23-$A$15,BH$13)))</f>
        <v>5</v>
      </c>
      <c r="BI23" s="171">
        <f ca="1">IF(OR($D23&lt;&gt;"Serviço",AND(AUTOEVENTO="Manual",$M23=$A$15)),0,
         IF(OFFSET(CRONOPLE!$F$15,$M23-$A$15,BI$13)=0,10^12,OFFSET(CRONOPLE!$F$15,$M23-$A$15,BI$13)))</f>
        <v>8</v>
      </c>
      <c r="BJ23" s="171">
        <f ca="1">IF(OR($D23&lt;&gt;"Serviço",AND(AUTOEVENTO="Manual",$M23=$A$15)),0,
         IF(OFFSET(CRONOPLE!$F$15,$M23-$A$15,BJ$13)=0,10^12,OFFSET(CRONOPLE!$F$15,$M23-$A$15,BJ$13)))</f>
        <v>1000000000000</v>
      </c>
      <c r="BK23" s="171">
        <f ca="1">IF(OR($D23&lt;&gt;"Serviço",AND(AUTOEVENTO="Manual",$M23=$A$15)),0,
         IF(OFFSET(CRONOPLE!$F$15,$M23-$A$15,BK$13)=0,10^12,OFFSET(CRONOPLE!$F$15,$M23-$A$15,BK$13)))</f>
        <v>1000000000000</v>
      </c>
      <c r="BL23" s="171">
        <f ca="1">IF(OR($D23&lt;&gt;"Serviço",AND(AUTOEVENTO="Manual",$M23=$A$15)),0,
         IF(OFFSET(CRONOPLE!$F$15,$M23-$A$15,BL$13)=0,10^12,OFFSET(CRONOPLE!$F$15,$M23-$A$15,BL$13)))</f>
        <v>1000000000000</v>
      </c>
      <c r="BM23" s="171">
        <f ca="1">IF(OR($D23&lt;&gt;"Serviço",AND(AUTOEVENTO="Manual",$M23=$A$15)),0,
         IF(OFFSET(CRONOPLE!$F$15,$M23-$A$15,BM$13)=0,10^12,OFFSET(CRONOPLE!$F$15,$M23-$A$15,BM$13)))</f>
        <v>1000000000000</v>
      </c>
      <c r="BN23" s="171">
        <f ca="1">IF(OR($D23&lt;&gt;"Serviço",AND(AUTOEVENTO="Manual",$M23=$A$15)),0,
         IF(OFFSET(CRONOPLE!$F$15,$M23-$A$15,BN$13)=0,10^12,OFFSET(CRONOPLE!$F$15,$M23-$A$15,BN$13)))</f>
        <v>1000000000000</v>
      </c>
      <c r="BO23" s="171">
        <f ca="1">IF(OR($D23&lt;&gt;"Serviço",AND(AUTOEVENTO="Manual",$M23=$A$15)),0,
         IF(OFFSET(CRONOPLE!$F$15,$M23-$A$15,BO$13)=0,10^12,OFFSET(CRONOPLE!$F$15,$M23-$A$15,BO$13)))</f>
        <v>1000000000000</v>
      </c>
      <c r="BP23" s="171">
        <f ca="1">IF(OR($D23&lt;&gt;"Serviço",AND(AUTOEVENTO="Manual",$M23=$A$15)),0,
         IF(OFFSET(CRONOPLE!$F$15,$M23-$A$15,BP$13)=0,10^12,OFFSET(CRONOPLE!$F$15,$M23-$A$15,BP$13)))</f>
        <v>1000000000000</v>
      </c>
      <c r="BQ23" s="171">
        <f ca="1">IF(OR($D23&lt;&gt;"Serviço",AND(AUTOEVENTO="Manual",$M23=$A$15)),0,
         IF(OFFSET(CRONOPLE!$F$15,$M23-$A$15,BQ$13)=0,10^12,OFFSET(CRONOPLE!$F$15,$M23-$A$15,BQ$13)))</f>
        <v>1000000000000</v>
      </c>
      <c r="BR23" s="171">
        <f ca="1">IF(OR($D23&lt;&gt;"Serviço",AND(AUTOEVENTO="Manual",$M23=$A$15)),0,
         IF(OFFSET(CRONOPLE!$F$15,$M23-$A$15,BR$13)=0,10^12,OFFSET(CRONOPLE!$F$15,$M23-$A$15,BR$13)))</f>
        <v>1000000000000</v>
      </c>
      <c r="BS23" s="171">
        <f ca="1">IF(OR($D23&lt;&gt;"Serviço",AND(AUTOEVENTO="Manual",$M23=$A$15)),0,
         IF(OFFSET(CRONOPLE!$F$15,$M23-$A$15,BS$13)=0,10^12,OFFSET(CRONOPLE!$F$15,$M23-$A$15,BS$13)))</f>
        <v>1000000000000</v>
      </c>
      <c r="BT23" s="171">
        <f ca="1">IF(OR($D23&lt;&gt;"Serviço",AND(AUTOEVENTO="Manual",$M23=$A$15)),0,
         IF(OFFSET(CRONOPLE!$F$15,$M23-$A$15,BT$13)=0,10^12,OFFSET(CRONOPLE!$F$15,$M23-$A$15,BT$13)))</f>
        <v>1000000000000</v>
      </c>
      <c r="BV23" s="172" cm="1">
        <f t="array" aca="1" ref="BV23" ca="1">IF(OR($D23&lt;&gt;"Serviço",AND(AUTOEVENTO="Manual",$M23=$A$15),$M23&gt;(ROW(PLE.lastrow)-ROW(PLE.firstrow))),0,
           IF(OFFSET(PLE!$G$15,$M23-$A$15,BV$13)="",10^12,OFFSET(PLE!$G$15,$M23-$A$15,BV$13)))</f>
        <v>1000000000000</v>
      </c>
      <c r="BW23" s="172" cm="1">
        <f t="array" aca="1" ref="BW23" ca="1">IF(OR($D23&lt;&gt;"Serviço",AND(AUTOEVENTO="Manual",$M23=$A$15),$M23&gt;(ROW(PLE.lastrow)-ROW(PLE.firstrow))),0,
           IF(OFFSET(PLE!$G$15,$M23-$A$15,BW$13)="",10^12,OFFSET(PLE!$G$15,$M23-$A$15,BW$13)))</f>
        <v>1000000000000</v>
      </c>
      <c r="BX23" s="172" cm="1">
        <f t="array" aca="1" ref="BX23" ca="1">IF(OR($D23&lt;&gt;"Serviço",AND(AUTOEVENTO="Manual",$M23=$A$15),$M23&gt;(ROW(PLE.lastrow)-ROW(PLE.firstrow))),0,
           IF(OFFSET(PLE!$G$15,$M23-$A$15,BX$13)="",10^12,OFFSET(PLE!$G$15,$M23-$A$15,BX$13)))</f>
        <v>1000000000000</v>
      </c>
      <c r="BY23" s="172" cm="1">
        <f t="array" aca="1" ref="BY23" ca="1">IF(OR($D23&lt;&gt;"Serviço",AND(AUTOEVENTO="Manual",$M23=$A$15),$M23&gt;(ROW(PLE.lastrow)-ROW(PLE.firstrow))),0,
           IF(OFFSET(PLE!$G$15,$M23-$A$15,BY$13)="",10^12,OFFSET(PLE!$G$15,$M23-$A$15,BY$13)))</f>
        <v>1000000000000</v>
      </c>
      <c r="BZ23" s="172" cm="1">
        <f t="array" aca="1" ref="BZ23" ca="1">IF(OR($D23&lt;&gt;"Serviço",AND(AUTOEVENTO="Manual",$M23=$A$15),$M23&gt;(ROW(PLE.lastrow)-ROW(PLE.firstrow))),0,
           IF(OFFSET(PLE!$G$15,$M23-$A$15,BZ$13)="",10^12,OFFSET(PLE!$G$15,$M23-$A$15,BZ$13)))</f>
        <v>1000000000000</v>
      </c>
      <c r="CA23" s="172" cm="1">
        <f t="array" aca="1" ref="CA23" ca="1">IF(OR($D23&lt;&gt;"Serviço",AND(AUTOEVENTO="Manual",$M23=$A$15),$M23&gt;(ROW(PLE.lastrow)-ROW(PLE.firstrow))),0,
           IF(OFFSET(PLE!$G$15,$M23-$A$15,CA$13)="",10^12,OFFSET(PLE!$G$15,$M23-$A$15,CA$13)))</f>
        <v>1000000000000</v>
      </c>
      <c r="CB23" s="172" cm="1">
        <f t="array" aca="1" ref="CB23" ca="1">IF(OR($D23&lt;&gt;"Serviço",AND(AUTOEVENTO="Manual",$M23=$A$15),$M23&gt;(ROW(PLE.lastrow)-ROW(PLE.firstrow))),0,
           IF(OFFSET(PLE!$G$15,$M23-$A$15,CB$13)="",10^12,OFFSET(PLE!$G$15,$M23-$A$15,CB$13)))</f>
        <v>1000000000000</v>
      </c>
      <c r="CC23" s="172" cm="1">
        <f t="array" aca="1" ref="CC23" ca="1">IF(OR($D23&lt;&gt;"Serviço",AND(AUTOEVENTO="Manual",$M23=$A$15),$M23&gt;(ROW(PLE.lastrow)-ROW(PLE.firstrow))),0,
           IF(OFFSET(PLE!$G$15,$M23-$A$15,CC$13)="",10^12,OFFSET(PLE!$G$15,$M23-$A$15,CC$13)))</f>
        <v>1000000000000</v>
      </c>
      <c r="CD23" s="172" cm="1">
        <f t="array" aca="1" ref="CD23" ca="1">IF(OR($D23&lt;&gt;"Serviço",AND(AUTOEVENTO="Manual",$M23=$A$15),$M23&gt;(ROW(PLE.lastrow)-ROW(PLE.firstrow))),0,
           IF(OFFSET(PLE!$G$15,$M23-$A$15,CD$13)="",10^12,OFFSET(PLE!$G$15,$M23-$A$15,CD$13)))</f>
        <v>1000000000000</v>
      </c>
      <c r="CE23" s="172" cm="1">
        <f t="array" aca="1" ref="CE23" ca="1">IF(OR($D23&lt;&gt;"Serviço",AND(AUTOEVENTO="Manual",$M23=$A$15),$M23&gt;(ROW(PLE.lastrow)-ROW(PLE.firstrow))),0,
           IF(OFFSET(PLE!$G$15,$M23-$A$15,CE$13)="",10^12,OFFSET(PLE!$G$15,$M23-$A$15,CE$13)))</f>
        <v>1000000000000</v>
      </c>
      <c r="CF23" s="172" cm="1">
        <f t="array" aca="1" ref="CF23" ca="1">IF(OR($D23&lt;&gt;"Serviço",AND(AUTOEVENTO="Manual",$M23=$A$15),$M23&gt;(ROW(PLE.lastrow)-ROW(PLE.firstrow))),0,
           IF(OFFSET(PLE!$G$15,$M23-$A$15,CF$13)="",10^12,OFFSET(PLE!$G$15,$M23-$A$15,CF$13)))</f>
        <v>1000000000000</v>
      </c>
      <c r="CG23" s="172" cm="1">
        <f t="array" aca="1" ref="CG23" ca="1">IF(OR($D23&lt;&gt;"Serviço",AND(AUTOEVENTO="Manual",$M23=$A$15),$M23&gt;(ROW(PLE.lastrow)-ROW(PLE.firstrow))),0,
           IF(OFFSET(PLE!$G$15,$M23-$A$15,CG$13)="",10^12,OFFSET(PLE!$G$15,$M23-$A$15,CG$13)))</f>
        <v>1000000000000</v>
      </c>
      <c r="CH23" s="172" cm="1">
        <f t="array" aca="1" ref="CH23" ca="1">IF(OR($D23&lt;&gt;"Serviço",AND(AUTOEVENTO="Manual",$M23=$A$15),$M23&gt;(ROW(PLE.lastrow)-ROW(PLE.firstrow))),0,
           IF(OFFSET(PLE!$G$15,$M23-$A$15,CH$13)="",10^12,OFFSET(PLE!$G$15,$M23-$A$15,CH$13)))</f>
        <v>1000000000000</v>
      </c>
      <c r="CI23" s="172" cm="1">
        <f t="array" aca="1" ref="CI23" ca="1">IF(OR($D23&lt;&gt;"Serviço",AND(AUTOEVENTO="Manual",$M23=$A$15),$M23&gt;(ROW(PLE.lastrow)-ROW(PLE.firstrow))),0,
           IF(OFFSET(PLE!$G$15,$M23-$A$15,CI$13)="",10^12,OFFSET(PLE!$G$15,$M23-$A$15,CI$13)))</f>
        <v>1000000000000</v>
      </c>
      <c r="CJ23" s="172" cm="1">
        <f t="array" aca="1" ref="CJ23" ca="1">IF(OR($D23&lt;&gt;"Serviço",AND(AUTOEVENTO="Manual",$M23=$A$15),$M23&gt;(ROW(PLE.lastrow)-ROW(PLE.firstrow))),0,
           IF(OFFSET(PLE!$G$15,$M23-$A$15,CJ$13)="",10^12,OFFSET(PLE!$G$15,$M23-$A$15,CJ$13)))</f>
        <v>1000000000000</v>
      </c>
      <c r="CK23" s="172" cm="1">
        <f t="array" aca="1" ref="CK23" ca="1">IF(OR($D23&lt;&gt;"Serviço",AND(AUTOEVENTO="Manual",$M23=$A$15),$M23&gt;(ROW(PLE.lastrow)-ROW(PLE.firstrow))),0,
           IF(OFFSET(PLE!$G$15,$M23-$A$15,CK$13)="",10^12,OFFSET(PLE!$G$15,$M23-$A$15,CK$13)))</f>
        <v>1000000000000</v>
      </c>
      <c r="CL23" s="172" cm="1">
        <f t="array" aca="1" ref="CL23" ca="1">IF(OR($D23&lt;&gt;"Serviço",AND(AUTOEVENTO="Manual",$M23=$A$15),$M23&gt;(ROW(PLE.lastrow)-ROW(PLE.firstrow))),0,
           IF(OFFSET(PLE!$G$15,$M23-$A$15,CL$13)="",10^12,OFFSET(PLE!$G$15,$M23-$A$15,CL$13)))</f>
        <v>1000000000000</v>
      </c>
      <c r="CM23" s="172" cm="1">
        <f t="array" aca="1" ref="CM23" ca="1">IF(OR($D23&lt;&gt;"Serviço",AND(AUTOEVENTO="Manual",$M23=$A$15),$M23&gt;(ROW(PLE.lastrow)-ROW(PLE.firstrow))),0,
           IF(OFFSET(PLE!$G$15,$M23-$A$15,CM$13)="",10^12,OFFSET(PLE!$G$15,$M23-$A$15,CM$13)))</f>
        <v>1000000000000</v>
      </c>
    </row>
    <row r="24" spans="1:91" s="670" customFormat="1" ht="25.5" x14ac:dyDescent="0.2">
      <c r="A24" s="668">
        <f t="shared" ca="1" si="10"/>
        <v>4</v>
      </c>
      <c r="B24" s="668" t="str">
        <f ca="1">OFFSET(ORÇAMENTO!C$15,$L24,0)</f>
        <v>S</v>
      </c>
      <c r="C24" s="668" t="str">
        <f ca="1">OFFSET(ORÇAMENTO!L$15,$L24,0)</f>
        <v>F</v>
      </c>
      <c r="D24" s="116" t="str">
        <f ca="1">OFFSET(ORÇAMENTO!N$15,$L24,0)</f>
        <v>Serviço</v>
      </c>
      <c r="E24" s="117" t="str">
        <f ca="1">OFFSET(ORÇAMENTO!O$15,$L24,0)</f>
        <v>1.2.2.</v>
      </c>
      <c r="F24" s="163" t="str">
        <f ca="1">OFFSET(ORÇAMENTO!R$15,$L24,0)</f>
        <v>LIMPEZA MANUAL DE VEGETAÇÃO EM TERRENO COM ENXADA. AF_03/2024</v>
      </c>
      <c r="G24" s="164" t="str">
        <f ca="1">IF($D24&lt;&gt;"Serviço","",OFFSET(ORÇAMENTO!S$15,$L24,0))</f>
        <v>M2</v>
      </c>
      <c r="H24" s="122" cm="1">
        <f t="array" aca="1" ref="H24" ca="1">IF($D24&lt;&gt;"Serviço",0,IF(ACOMPANHAMENTO="BM",ROUND(OFFSET(ORÇAMENTO!AJ$15,$L24,0),15-13*ORÇAMENTO!$AF$7),IF(IFERROR(CÁLCULO.FrentesPreenchidas,0)=0,0,SUM(ROUND(OFFSET($P24,0,1,1,CÁLCULO.FrentesPreenchidas),15-13*ORÇAMENTO!$AF$7)))))</f>
        <v>600</v>
      </c>
      <c r="I24" s="468" t="s">
        <v>1089</v>
      </c>
      <c r="J24" s="651" t="e" cm="1">
        <f t="array" aca="1" ref="J24" ca="1">IF(OR(B24&lt;&gt;"S",CÁLCULO.FrentesPreenchidas=0),"",IF(AND(ACOMPANHAMENTO="PLE",AUTOEVENTO="Manual",OR(H24&gt;0,ORÇAMENTO!AC24="QUANT."),OR(K24="",M24=0,N24="")),"►E",IF(AND(ACOMPANHAMENTO="PLE",ORÇAMENTO!AC24="QUANT."),"►Q",IF(AND(ACOMPANHAMENTO="PLE",H24&lt;&gt;SUMPRODUCT(($Q$1:$AI$1=1)*ROUND(Q24:AI24,15))),"►S",IF(AND(COUNTIF($P$11:$AI$11,"▼")=0,H24&gt;0,#REF!=""),"◄M","")))))</f>
        <v>#REF!</v>
      </c>
      <c r="K24" s="652" t="s">
        <v>1334</v>
      </c>
      <c r="L24" s="165">
        <f t="shared" ca="1" si="11"/>
        <v>9</v>
      </c>
      <c r="M24" s="166">
        <f ca="1">IF($D24&lt;&gt;"Serviço","",
          IF(AUTOEVENTO="manual",$A24,
                IF(ISERROR(MATCH($A24,$A$15:OFFSET($A24,-1,0),0)),MAX($M$15:OFFSET(M24,-1,0))+1,
                      INDEX($M$15:OFFSET(M24,-1,0),MATCH($A24,$A$15:OFFSET($A24,-1,0),0)))))</f>
        <v>4</v>
      </c>
      <c r="N24" s="167" t="str">
        <f ca="1">IF($D24&lt;&gt;"Serviço","",
         IF(AUTOEVENTO="Manual",
                IF($A24=0,"&lt;-- defina o número do agrupador",
                       OFFSET(EVENTOS!$D$15,$A24-$A$15,0)),
                OFFSET($F$15,$A24,0)))</f>
        <v>Serviços Preliminares</v>
      </c>
      <c r="O24" s="168"/>
      <c r="Q24" s="168"/>
      <c r="R24" s="169"/>
      <c r="S24" s="169">
        <v>600</v>
      </c>
      <c r="T24" s="169"/>
      <c r="U24" s="169"/>
      <c r="V24" s="169"/>
      <c r="W24" s="169"/>
      <c r="X24" s="169"/>
      <c r="Y24" s="169"/>
      <c r="Z24" s="170"/>
      <c r="AA24" s="705"/>
      <c r="AB24" s="705"/>
      <c r="AC24" s="705"/>
      <c r="AD24" s="705"/>
      <c r="AE24" s="705"/>
      <c r="AF24" s="705"/>
      <c r="AG24" s="705"/>
      <c r="AH24" s="706"/>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L24" s="453">
        <f ca="1">IF(AND($D24="Serviço",AL$12&lt;&gt;0,$H24&gt;0,OR(AUTOEVENTO&lt;&gt;"manual",$M24&lt;&gt;$A$15)),
        IF(Import.TipoArredondamento&lt;&gt;"TransfereGOV",
              ROUND(OFFSET($P24,0,AL$13),15-13*ORÇAMENTO!$AF$7)/$H24*OFFSET(ORÇAMENTO!$X$15,ROW(AL24)-ROW(AL$15),0),
              ROUND(ROUND(OFFSET($P24,0,AL$13),15-13*ORÇAMENTO!$AF$7)*OFFSET(ORÇAMENTO!$W$15,ROW(AL24)-ROW(AL$15),0),15-13*ORÇAMENTO!$AF$11)),
         0)</f>
        <v>3942</v>
      </c>
      <c r="AM24" s="453">
        <f ca="1">IF(AND($D24="Serviço",AM$12&lt;&gt;0,$H24&gt;0,OR(AUTOEVENTO&lt;&gt;"manual",$M24&lt;&gt;$A$15)),
        IF(Import.TipoArredondamento&lt;&gt;"TransfereGOV",
              ROUND(OFFSET($P24,0,AM$13),15-13*ORÇAMENTO!$AF$7)/$H24*OFFSET(ORÇAMENTO!$X$15,ROW(AM24)-ROW(AM$15),0),
              ROUND(ROUND(OFFSET($P24,0,AM$13),15-13*ORÇAMENTO!$AF$7)*OFFSET(ORÇAMENTO!$W$15,ROW(AM24)-ROW(AM$15),0),15-13*ORÇAMENTO!$AF$11)),
         0)</f>
        <v>0</v>
      </c>
      <c r="AN24" s="453">
        <f ca="1">IF(AND($D24="Serviço",AN$12&lt;&gt;0,$H24&gt;0,OR(AUTOEVENTO&lt;&gt;"manual",$M24&lt;&gt;$A$15)),
        IF(Import.TipoArredondamento&lt;&gt;"TransfereGOV",
              ROUND(OFFSET($P24,0,AN$13),15-13*ORÇAMENTO!$AF$7)/$H24*OFFSET(ORÇAMENTO!$X$15,ROW(AN24)-ROW(AN$15),0),
              ROUND(ROUND(OFFSET($P24,0,AN$13),15-13*ORÇAMENTO!$AF$7)*OFFSET(ORÇAMENTO!$W$15,ROW(AN24)-ROW(AN$15),0),15-13*ORÇAMENTO!$AF$11)),
         0)</f>
        <v>0</v>
      </c>
      <c r="AO24" s="453">
        <f ca="1">IF(AND($D24="Serviço",AO$12&lt;&gt;0,$H24&gt;0,OR(AUTOEVENTO&lt;&gt;"manual",$M24&lt;&gt;$A$15)),
        IF(Import.TipoArredondamento&lt;&gt;"TransfereGOV",
              ROUND(OFFSET($P24,0,AO$13),15-13*ORÇAMENTO!$AF$7)/$H24*OFFSET(ORÇAMENTO!$X$15,ROW(AO24)-ROW(AO$15),0),
              ROUND(ROUND(OFFSET($P24,0,AO$13),15-13*ORÇAMENTO!$AF$7)*OFFSET(ORÇAMENTO!$W$15,ROW(AO24)-ROW(AO$15),0),15-13*ORÇAMENTO!$AF$11)),
         0)</f>
        <v>0</v>
      </c>
      <c r="AP24" s="453">
        <f ca="1">IF(AND($D24="Serviço",AP$12&lt;&gt;0,$H24&gt;0,OR(AUTOEVENTO&lt;&gt;"manual",$M24&lt;&gt;$A$15)),
        IF(Import.TipoArredondamento&lt;&gt;"TransfereGOV",
              ROUND(OFFSET($P24,0,AP$13),15-13*ORÇAMENTO!$AF$7)/$H24*OFFSET(ORÇAMENTO!$X$15,ROW(AP24)-ROW(AP$15),0),
              ROUND(ROUND(OFFSET($P24,0,AP$13),15-13*ORÇAMENTO!$AF$7)*OFFSET(ORÇAMENTO!$W$15,ROW(AP24)-ROW(AP$15),0),15-13*ORÇAMENTO!$AF$11)),
         0)</f>
        <v>0</v>
      </c>
      <c r="AQ24" s="453">
        <f ca="1">IF(AND($D24="Serviço",AQ$12&lt;&gt;0,$H24&gt;0,OR(AUTOEVENTO&lt;&gt;"manual",$M24&lt;&gt;$A$15)),
        IF(Import.TipoArredondamento&lt;&gt;"TransfereGOV",
              ROUND(OFFSET($P24,0,AQ$13),15-13*ORÇAMENTO!$AF$7)/$H24*OFFSET(ORÇAMENTO!$X$15,ROW(AQ24)-ROW(AQ$15),0),
              ROUND(ROUND(OFFSET($P24,0,AQ$13),15-13*ORÇAMENTO!$AF$7)*OFFSET(ORÇAMENTO!$W$15,ROW(AQ24)-ROW(AQ$15),0),15-13*ORÇAMENTO!$AF$11)),
         0)</f>
        <v>0</v>
      </c>
      <c r="AR24" s="453">
        <f ca="1">IF(AND($D24="Serviço",AR$12&lt;&gt;0,$H24&gt;0,OR(AUTOEVENTO&lt;&gt;"manual",$M24&lt;&gt;$A$15)),
        IF(Import.TipoArredondamento&lt;&gt;"TransfereGOV",
              ROUND(OFFSET($P24,0,AR$13),15-13*ORÇAMENTO!$AF$7)/$H24*OFFSET(ORÇAMENTO!$X$15,ROW(AR24)-ROW(AR$15),0),
              ROUND(ROUND(OFFSET($P24,0,AR$13),15-13*ORÇAMENTO!$AF$7)*OFFSET(ORÇAMENTO!$W$15,ROW(AR24)-ROW(AR$15),0),15-13*ORÇAMENTO!$AF$11)),
         0)</f>
        <v>0</v>
      </c>
      <c r="AS24" s="453">
        <f ca="1">IF(AND($D24="Serviço",AS$12&lt;&gt;0,$H24&gt;0,OR(AUTOEVENTO&lt;&gt;"manual",$M24&lt;&gt;$A$15)),
        IF(Import.TipoArredondamento&lt;&gt;"TransfereGOV",
              ROUND(OFFSET($P24,0,AS$13),15-13*ORÇAMENTO!$AF$7)/$H24*OFFSET(ORÇAMENTO!$X$15,ROW(AS24)-ROW(AS$15),0),
              ROUND(ROUND(OFFSET($P24,0,AS$13),15-13*ORÇAMENTO!$AF$7)*OFFSET(ORÇAMENTO!$W$15,ROW(AS24)-ROW(AS$15),0),15-13*ORÇAMENTO!$AF$11)),
         0)</f>
        <v>0</v>
      </c>
      <c r="AT24" s="453">
        <f ca="1">IF(AND($D24="Serviço",AT$12&lt;&gt;0,$H24&gt;0,OR(AUTOEVENTO&lt;&gt;"manual",$M24&lt;&gt;$A$15)),
        IF(Import.TipoArredondamento&lt;&gt;"TransfereGOV",
              ROUND(OFFSET($P24,0,AT$13),15-13*ORÇAMENTO!$AF$7)/$H24*OFFSET(ORÇAMENTO!$X$15,ROW(AT24)-ROW(AT$15),0),
              ROUND(ROUND(OFFSET($P24,0,AT$13),15-13*ORÇAMENTO!$AF$7)*OFFSET(ORÇAMENTO!$W$15,ROW(AT24)-ROW(AT$15),0),15-13*ORÇAMENTO!$AF$11)),
         0)</f>
        <v>0</v>
      </c>
      <c r="AU24" s="453">
        <f ca="1">IF(AND($D24="Serviço",AU$12&lt;&gt;0,$H24&gt;0,OR(AUTOEVENTO&lt;&gt;"manual",$M24&lt;&gt;$A$15)),
        IF(Import.TipoArredondamento&lt;&gt;"TransfereGOV",
              ROUND(OFFSET($P24,0,AU$13),15-13*ORÇAMENTO!$AF$7)/$H24*OFFSET(ORÇAMENTO!$X$15,ROW(AU24)-ROW(AU$15),0),
              ROUND(ROUND(OFFSET($P24,0,AU$13),15-13*ORÇAMENTO!$AF$7)*OFFSET(ORÇAMENTO!$W$15,ROW(AU24)-ROW(AU$15),0),15-13*ORÇAMENTO!$AF$11)),
         0)</f>
        <v>0</v>
      </c>
      <c r="AV24" s="453">
        <f ca="1">IF(AND($D24="Serviço",AV$12&lt;&gt;0,$H24&gt;0,OR(AUTOEVENTO&lt;&gt;"manual",$M24&lt;&gt;$A$15)),
        IF(Import.TipoArredondamento&lt;&gt;"TransfereGOV",
              ROUND(OFFSET($P24,0,AV$13),15-13*ORÇAMENTO!$AF$7)/$H24*OFFSET(ORÇAMENTO!$X$15,ROW(AV24)-ROW(AV$15),0),
              ROUND(ROUND(OFFSET($P24,0,AV$13),15-13*ORÇAMENTO!$AF$7)*OFFSET(ORÇAMENTO!$W$15,ROW(AV24)-ROW(AV$15),0),15-13*ORÇAMENTO!$AF$11)),
         0)</f>
        <v>0</v>
      </c>
      <c r="AW24" s="453">
        <f ca="1">IF(AND($D24="Serviço",AW$12&lt;&gt;0,$H24&gt;0,OR(AUTOEVENTO&lt;&gt;"manual",$M24&lt;&gt;$A$15)),
        IF(Import.TipoArredondamento&lt;&gt;"TransfereGOV",
              ROUND(OFFSET($P24,0,AW$13),15-13*ORÇAMENTO!$AF$7)/$H24*OFFSET(ORÇAMENTO!$X$15,ROW(AW24)-ROW(AW$15),0),
              ROUND(ROUND(OFFSET($P24,0,AW$13),15-13*ORÇAMENTO!$AF$7)*OFFSET(ORÇAMENTO!$W$15,ROW(AW24)-ROW(AW$15),0),15-13*ORÇAMENTO!$AF$11)),
         0)</f>
        <v>0</v>
      </c>
      <c r="AX24" s="453">
        <f ca="1">IF(AND($D24="Serviço",AX$12&lt;&gt;0,$H24&gt;0,OR(AUTOEVENTO&lt;&gt;"manual",$M24&lt;&gt;$A$15)),
        IF(Import.TipoArredondamento&lt;&gt;"TransfereGOV",
              ROUND(OFFSET($P24,0,AX$13),15-13*ORÇAMENTO!$AF$7)/$H24*OFFSET(ORÇAMENTO!$X$15,ROW(AX24)-ROW(AX$15),0),
              ROUND(ROUND(OFFSET($P24,0,AX$13),15-13*ORÇAMENTO!$AF$7)*OFFSET(ORÇAMENTO!$W$15,ROW(AX24)-ROW(AX$15),0),15-13*ORÇAMENTO!$AF$11)),
         0)</f>
        <v>0</v>
      </c>
      <c r="AY24" s="453">
        <f ca="1">IF(AND($D24="Serviço",AY$12&lt;&gt;0,$H24&gt;0,OR(AUTOEVENTO&lt;&gt;"manual",$M24&lt;&gt;$A$15)),
        IF(Import.TipoArredondamento&lt;&gt;"TransfereGOV",
              ROUND(OFFSET($P24,0,AY$13),15-13*ORÇAMENTO!$AF$7)/$H24*OFFSET(ORÇAMENTO!$X$15,ROW(AY24)-ROW(AY$15),0),
              ROUND(ROUND(OFFSET($P24,0,AY$13),15-13*ORÇAMENTO!$AF$7)*OFFSET(ORÇAMENTO!$W$15,ROW(AY24)-ROW(AY$15),0),15-13*ORÇAMENTO!$AF$11)),
         0)</f>
        <v>0</v>
      </c>
      <c r="AZ24" s="453">
        <f ca="1">IF(AND($D24="Serviço",AZ$12&lt;&gt;0,$H24&gt;0,OR(AUTOEVENTO&lt;&gt;"manual",$M24&lt;&gt;$A$15)),
        IF(Import.TipoArredondamento&lt;&gt;"TransfereGOV",
              ROUND(OFFSET($P24,0,AZ$13),15-13*ORÇAMENTO!$AF$7)/$H24*OFFSET(ORÇAMENTO!$X$15,ROW(AZ24)-ROW(AZ$15),0),
              ROUND(ROUND(OFFSET($P24,0,AZ$13),15-13*ORÇAMENTO!$AF$7)*OFFSET(ORÇAMENTO!$W$15,ROW(AZ24)-ROW(AZ$15),0),15-13*ORÇAMENTO!$AF$11)),
         0)</f>
        <v>0</v>
      </c>
      <c r="BA24" s="453">
        <f ca="1">IF(AND($D24="Serviço",BA$12&lt;&gt;0,$H24&gt;0,OR(AUTOEVENTO&lt;&gt;"manual",$M24&lt;&gt;$A$15)),
        IF(Import.TipoArredondamento&lt;&gt;"TransfereGOV",
              ROUND(OFFSET($P24,0,BA$13),15-13*ORÇAMENTO!$AF$7)/$H24*OFFSET(ORÇAMENTO!$X$15,ROW(BA24)-ROW(BA$15),0),
              ROUND(ROUND(OFFSET($P24,0,BA$13),15-13*ORÇAMENTO!$AF$7)*OFFSET(ORÇAMENTO!$W$15,ROW(BA24)-ROW(BA$15),0),15-13*ORÇAMENTO!$AF$11)),
         0)</f>
        <v>0</v>
      </c>
      <c r="BC24" s="171">
        <f ca="1">IF(OR($D24&lt;&gt;"Serviço",AND(AUTOEVENTO="Manual",$M24=$A$15)),0,
         IF(OFFSET(CRONOPLE!$F$15,$M24-$A$15,BC$13)=0,10^12,OFFSET(CRONOPLE!$F$15,$M24-$A$15,BC$13)))</f>
        <v>10</v>
      </c>
      <c r="BD24" s="171">
        <f ca="1">IF(OR($D24&lt;&gt;"Serviço",AND(AUTOEVENTO="Manual",$M24=$A$15)),0,
         IF(OFFSET(CRONOPLE!$F$15,$M24-$A$15,BD$13)=0,10^12,OFFSET(CRONOPLE!$F$15,$M24-$A$15,BD$13)))</f>
        <v>4</v>
      </c>
      <c r="BE24" s="171">
        <f ca="1">IF(OR($D24&lt;&gt;"Serviço",AND(AUTOEVENTO="Manual",$M24=$A$15)),0,
         IF(OFFSET(CRONOPLE!$F$15,$M24-$A$15,BE$13)=0,10^12,OFFSET(CRONOPLE!$F$15,$M24-$A$15,BE$13)))</f>
        <v>4</v>
      </c>
      <c r="BF24" s="171">
        <f ca="1">IF(OR($D24&lt;&gt;"Serviço",AND(AUTOEVENTO="Manual",$M24=$A$15)),0,
         IF(OFFSET(CRONOPLE!$F$15,$M24-$A$15,BF$13)=0,10^12,OFFSET(CRONOPLE!$F$15,$M24-$A$15,BF$13)))</f>
        <v>1000000000000</v>
      </c>
      <c r="BG24" s="171">
        <f ca="1">IF(OR($D24&lt;&gt;"Serviço",AND(AUTOEVENTO="Manual",$M24=$A$15)),0,
         IF(OFFSET(CRONOPLE!$F$15,$M24-$A$15,BG$13)=0,10^12,OFFSET(CRONOPLE!$F$15,$M24-$A$15,BG$13)))</f>
        <v>6</v>
      </c>
      <c r="BH24" s="171">
        <f ca="1">IF(OR($D24&lt;&gt;"Serviço",AND(AUTOEVENTO="Manual",$M24=$A$15)),0,
         IF(OFFSET(CRONOPLE!$F$15,$M24-$A$15,BH$13)=0,10^12,OFFSET(CRONOPLE!$F$15,$M24-$A$15,BH$13)))</f>
        <v>5</v>
      </c>
      <c r="BI24" s="171">
        <f ca="1">IF(OR($D24&lt;&gt;"Serviço",AND(AUTOEVENTO="Manual",$M24=$A$15)),0,
         IF(OFFSET(CRONOPLE!$F$15,$M24-$A$15,BI$13)=0,10^12,OFFSET(CRONOPLE!$F$15,$M24-$A$15,BI$13)))</f>
        <v>8</v>
      </c>
      <c r="BJ24" s="171">
        <f ca="1">IF(OR($D24&lt;&gt;"Serviço",AND(AUTOEVENTO="Manual",$M24=$A$15)),0,
         IF(OFFSET(CRONOPLE!$F$15,$M24-$A$15,BJ$13)=0,10^12,OFFSET(CRONOPLE!$F$15,$M24-$A$15,BJ$13)))</f>
        <v>1000000000000</v>
      </c>
      <c r="BK24" s="171">
        <f ca="1">IF(OR($D24&lt;&gt;"Serviço",AND(AUTOEVENTO="Manual",$M24=$A$15)),0,
         IF(OFFSET(CRONOPLE!$F$15,$M24-$A$15,BK$13)=0,10^12,OFFSET(CRONOPLE!$F$15,$M24-$A$15,BK$13)))</f>
        <v>1000000000000</v>
      </c>
      <c r="BL24" s="171">
        <f ca="1">IF(OR($D24&lt;&gt;"Serviço",AND(AUTOEVENTO="Manual",$M24=$A$15)),0,
         IF(OFFSET(CRONOPLE!$F$15,$M24-$A$15,BL$13)=0,10^12,OFFSET(CRONOPLE!$F$15,$M24-$A$15,BL$13)))</f>
        <v>1000000000000</v>
      </c>
      <c r="BM24" s="171">
        <f ca="1">IF(OR($D24&lt;&gt;"Serviço",AND(AUTOEVENTO="Manual",$M24=$A$15)),0,
         IF(OFFSET(CRONOPLE!$F$15,$M24-$A$15,BM$13)=0,10^12,OFFSET(CRONOPLE!$F$15,$M24-$A$15,BM$13)))</f>
        <v>1000000000000</v>
      </c>
      <c r="BN24" s="171">
        <f ca="1">IF(OR($D24&lt;&gt;"Serviço",AND(AUTOEVENTO="Manual",$M24=$A$15)),0,
         IF(OFFSET(CRONOPLE!$F$15,$M24-$A$15,BN$13)=0,10^12,OFFSET(CRONOPLE!$F$15,$M24-$A$15,BN$13)))</f>
        <v>1000000000000</v>
      </c>
      <c r="BO24" s="171">
        <f ca="1">IF(OR($D24&lt;&gt;"Serviço",AND(AUTOEVENTO="Manual",$M24=$A$15)),0,
         IF(OFFSET(CRONOPLE!$F$15,$M24-$A$15,BO$13)=0,10^12,OFFSET(CRONOPLE!$F$15,$M24-$A$15,BO$13)))</f>
        <v>1000000000000</v>
      </c>
      <c r="BP24" s="171">
        <f ca="1">IF(OR($D24&lt;&gt;"Serviço",AND(AUTOEVENTO="Manual",$M24=$A$15)),0,
         IF(OFFSET(CRONOPLE!$F$15,$M24-$A$15,BP$13)=0,10^12,OFFSET(CRONOPLE!$F$15,$M24-$A$15,BP$13)))</f>
        <v>1000000000000</v>
      </c>
      <c r="BQ24" s="171">
        <f ca="1">IF(OR($D24&lt;&gt;"Serviço",AND(AUTOEVENTO="Manual",$M24=$A$15)),0,
         IF(OFFSET(CRONOPLE!$F$15,$M24-$A$15,BQ$13)=0,10^12,OFFSET(CRONOPLE!$F$15,$M24-$A$15,BQ$13)))</f>
        <v>1000000000000</v>
      </c>
      <c r="BR24" s="171">
        <f ca="1">IF(OR($D24&lt;&gt;"Serviço",AND(AUTOEVENTO="Manual",$M24=$A$15)),0,
         IF(OFFSET(CRONOPLE!$F$15,$M24-$A$15,BR$13)=0,10^12,OFFSET(CRONOPLE!$F$15,$M24-$A$15,BR$13)))</f>
        <v>1000000000000</v>
      </c>
      <c r="BS24" s="171">
        <f ca="1">IF(OR($D24&lt;&gt;"Serviço",AND(AUTOEVENTO="Manual",$M24=$A$15)),0,
         IF(OFFSET(CRONOPLE!$F$15,$M24-$A$15,BS$13)=0,10^12,OFFSET(CRONOPLE!$F$15,$M24-$A$15,BS$13)))</f>
        <v>1000000000000</v>
      </c>
      <c r="BT24" s="171">
        <f ca="1">IF(OR($D24&lt;&gt;"Serviço",AND(AUTOEVENTO="Manual",$M24=$A$15)),0,
         IF(OFFSET(CRONOPLE!$F$15,$M24-$A$15,BT$13)=0,10^12,OFFSET(CRONOPLE!$F$15,$M24-$A$15,BT$13)))</f>
        <v>1000000000000</v>
      </c>
      <c r="BV24" s="172" cm="1">
        <f t="array" aca="1" ref="BV24" ca="1">IF(OR($D24&lt;&gt;"Serviço",AND(AUTOEVENTO="Manual",$M24=$A$15),$M24&gt;(ROW(PLE.lastrow)-ROW(PLE.firstrow))),0,
           IF(OFFSET(PLE!$G$15,$M24-$A$15,BV$13)="",10^12,OFFSET(PLE!$G$15,$M24-$A$15,BV$13)))</f>
        <v>1000000000000</v>
      </c>
      <c r="BW24" s="172" cm="1">
        <f t="array" aca="1" ref="BW24" ca="1">IF(OR($D24&lt;&gt;"Serviço",AND(AUTOEVENTO="Manual",$M24=$A$15),$M24&gt;(ROW(PLE.lastrow)-ROW(PLE.firstrow))),0,
           IF(OFFSET(PLE!$G$15,$M24-$A$15,BW$13)="",10^12,OFFSET(PLE!$G$15,$M24-$A$15,BW$13)))</f>
        <v>1000000000000</v>
      </c>
      <c r="BX24" s="172" cm="1">
        <f t="array" aca="1" ref="BX24" ca="1">IF(OR($D24&lt;&gt;"Serviço",AND(AUTOEVENTO="Manual",$M24=$A$15),$M24&gt;(ROW(PLE.lastrow)-ROW(PLE.firstrow))),0,
           IF(OFFSET(PLE!$G$15,$M24-$A$15,BX$13)="",10^12,OFFSET(PLE!$G$15,$M24-$A$15,BX$13)))</f>
        <v>1000000000000</v>
      </c>
      <c r="BY24" s="172" cm="1">
        <f t="array" aca="1" ref="BY24" ca="1">IF(OR($D24&lt;&gt;"Serviço",AND(AUTOEVENTO="Manual",$M24=$A$15),$M24&gt;(ROW(PLE.lastrow)-ROW(PLE.firstrow))),0,
           IF(OFFSET(PLE!$G$15,$M24-$A$15,BY$13)="",10^12,OFFSET(PLE!$G$15,$M24-$A$15,BY$13)))</f>
        <v>1000000000000</v>
      </c>
      <c r="BZ24" s="172" cm="1">
        <f t="array" aca="1" ref="BZ24" ca="1">IF(OR($D24&lt;&gt;"Serviço",AND(AUTOEVENTO="Manual",$M24=$A$15),$M24&gt;(ROW(PLE.lastrow)-ROW(PLE.firstrow))),0,
           IF(OFFSET(PLE!$G$15,$M24-$A$15,BZ$13)="",10^12,OFFSET(PLE!$G$15,$M24-$A$15,BZ$13)))</f>
        <v>1000000000000</v>
      </c>
      <c r="CA24" s="172" cm="1">
        <f t="array" aca="1" ref="CA24" ca="1">IF(OR($D24&lt;&gt;"Serviço",AND(AUTOEVENTO="Manual",$M24=$A$15),$M24&gt;(ROW(PLE.lastrow)-ROW(PLE.firstrow))),0,
           IF(OFFSET(PLE!$G$15,$M24-$A$15,CA$13)="",10^12,OFFSET(PLE!$G$15,$M24-$A$15,CA$13)))</f>
        <v>1000000000000</v>
      </c>
      <c r="CB24" s="172" cm="1">
        <f t="array" aca="1" ref="CB24" ca="1">IF(OR($D24&lt;&gt;"Serviço",AND(AUTOEVENTO="Manual",$M24=$A$15),$M24&gt;(ROW(PLE.lastrow)-ROW(PLE.firstrow))),0,
           IF(OFFSET(PLE!$G$15,$M24-$A$15,CB$13)="",10^12,OFFSET(PLE!$G$15,$M24-$A$15,CB$13)))</f>
        <v>1000000000000</v>
      </c>
      <c r="CC24" s="172" cm="1">
        <f t="array" aca="1" ref="CC24" ca="1">IF(OR($D24&lt;&gt;"Serviço",AND(AUTOEVENTO="Manual",$M24=$A$15),$M24&gt;(ROW(PLE.lastrow)-ROW(PLE.firstrow))),0,
           IF(OFFSET(PLE!$G$15,$M24-$A$15,CC$13)="",10^12,OFFSET(PLE!$G$15,$M24-$A$15,CC$13)))</f>
        <v>1000000000000</v>
      </c>
      <c r="CD24" s="172" cm="1">
        <f t="array" aca="1" ref="CD24" ca="1">IF(OR($D24&lt;&gt;"Serviço",AND(AUTOEVENTO="Manual",$M24=$A$15),$M24&gt;(ROW(PLE.lastrow)-ROW(PLE.firstrow))),0,
           IF(OFFSET(PLE!$G$15,$M24-$A$15,CD$13)="",10^12,OFFSET(PLE!$G$15,$M24-$A$15,CD$13)))</f>
        <v>1000000000000</v>
      </c>
      <c r="CE24" s="172" cm="1">
        <f t="array" aca="1" ref="CE24" ca="1">IF(OR($D24&lt;&gt;"Serviço",AND(AUTOEVENTO="Manual",$M24=$A$15),$M24&gt;(ROW(PLE.lastrow)-ROW(PLE.firstrow))),0,
           IF(OFFSET(PLE!$G$15,$M24-$A$15,CE$13)="",10^12,OFFSET(PLE!$G$15,$M24-$A$15,CE$13)))</f>
        <v>1000000000000</v>
      </c>
      <c r="CF24" s="172" cm="1">
        <f t="array" aca="1" ref="CF24" ca="1">IF(OR($D24&lt;&gt;"Serviço",AND(AUTOEVENTO="Manual",$M24=$A$15),$M24&gt;(ROW(PLE.lastrow)-ROW(PLE.firstrow))),0,
           IF(OFFSET(PLE!$G$15,$M24-$A$15,CF$13)="",10^12,OFFSET(PLE!$G$15,$M24-$A$15,CF$13)))</f>
        <v>1000000000000</v>
      </c>
      <c r="CG24" s="172" cm="1">
        <f t="array" aca="1" ref="CG24" ca="1">IF(OR($D24&lt;&gt;"Serviço",AND(AUTOEVENTO="Manual",$M24=$A$15),$M24&gt;(ROW(PLE.lastrow)-ROW(PLE.firstrow))),0,
           IF(OFFSET(PLE!$G$15,$M24-$A$15,CG$13)="",10^12,OFFSET(PLE!$G$15,$M24-$A$15,CG$13)))</f>
        <v>1000000000000</v>
      </c>
      <c r="CH24" s="172" cm="1">
        <f t="array" aca="1" ref="CH24" ca="1">IF(OR($D24&lt;&gt;"Serviço",AND(AUTOEVENTO="Manual",$M24=$A$15),$M24&gt;(ROW(PLE.lastrow)-ROW(PLE.firstrow))),0,
           IF(OFFSET(PLE!$G$15,$M24-$A$15,CH$13)="",10^12,OFFSET(PLE!$G$15,$M24-$A$15,CH$13)))</f>
        <v>1000000000000</v>
      </c>
      <c r="CI24" s="172" cm="1">
        <f t="array" aca="1" ref="CI24" ca="1">IF(OR($D24&lt;&gt;"Serviço",AND(AUTOEVENTO="Manual",$M24=$A$15),$M24&gt;(ROW(PLE.lastrow)-ROW(PLE.firstrow))),0,
           IF(OFFSET(PLE!$G$15,$M24-$A$15,CI$13)="",10^12,OFFSET(PLE!$G$15,$M24-$A$15,CI$13)))</f>
        <v>1000000000000</v>
      </c>
      <c r="CJ24" s="172" cm="1">
        <f t="array" aca="1" ref="CJ24" ca="1">IF(OR($D24&lt;&gt;"Serviço",AND(AUTOEVENTO="Manual",$M24=$A$15),$M24&gt;(ROW(PLE.lastrow)-ROW(PLE.firstrow))),0,
           IF(OFFSET(PLE!$G$15,$M24-$A$15,CJ$13)="",10^12,OFFSET(PLE!$G$15,$M24-$A$15,CJ$13)))</f>
        <v>1000000000000</v>
      </c>
      <c r="CK24" s="172" cm="1">
        <f t="array" aca="1" ref="CK24" ca="1">IF(OR($D24&lt;&gt;"Serviço",AND(AUTOEVENTO="Manual",$M24=$A$15),$M24&gt;(ROW(PLE.lastrow)-ROW(PLE.firstrow))),0,
           IF(OFFSET(PLE!$G$15,$M24-$A$15,CK$13)="",10^12,OFFSET(PLE!$G$15,$M24-$A$15,CK$13)))</f>
        <v>1000000000000</v>
      </c>
      <c r="CL24" s="172" cm="1">
        <f t="array" aca="1" ref="CL24" ca="1">IF(OR($D24&lt;&gt;"Serviço",AND(AUTOEVENTO="Manual",$M24=$A$15),$M24&gt;(ROW(PLE.lastrow)-ROW(PLE.firstrow))),0,
           IF(OFFSET(PLE!$G$15,$M24-$A$15,CL$13)="",10^12,OFFSET(PLE!$G$15,$M24-$A$15,CL$13)))</f>
        <v>1000000000000</v>
      </c>
      <c r="CM24" s="172" cm="1">
        <f t="array" aca="1" ref="CM24" ca="1">IF(OR($D24&lt;&gt;"Serviço",AND(AUTOEVENTO="Manual",$M24=$A$15),$M24&gt;(ROW(PLE.lastrow)-ROW(PLE.firstrow))),0,
           IF(OFFSET(PLE!$G$15,$M24-$A$15,CM$13)="",10^12,OFFSET(PLE!$G$15,$M24-$A$15,CM$13)))</f>
        <v>1000000000000</v>
      </c>
    </row>
    <row r="25" spans="1:91" s="670" customFormat="1" ht="38.25" x14ac:dyDescent="0.2">
      <c r="A25" s="668">
        <f t="shared" ca="1" si="10"/>
        <v>4</v>
      </c>
      <c r="B25" s="668" t="str">
        <f ca="1">OFFSET(ORÇAMENTO!C$15,$L25,0)</f>
        <v>S</v>
      </c>
      <c r="C25" s="668" t="str">
        <f ca="1">OFFSET(ORÇAMENTO!L$15,$L25,0)</f>
        <v>F</v>
      </c>
      <c r="D25" s="116" t="str">
        <f ca="1">OFFSET(ORÇAMENTO!N$15,$L25,0)</f>
        <v>Serviço</v>
      </c>
      <c r="E25" s="117" t="str">
        <f ca="1">OFFSET(ORÇAMENTO!O$15,$L25,0)</f>
        <v>1.2.3.</v>
      </c>
      <c r="F25" s="163" t="str">
        <f ca="1">OFFSET(ORÇAMENTO!R$15,$L25,0)</f>
        <v>LOCAÇÃO TOPOGRÁFICA ACIMA DE CINQUENTA (50) PONTOS REFERENCIAIS, INCLUSIVE ESTACA (PIQUETE) DE MARCAÇÃO</v>
      </c>
      <c r="G25" s="164" t="str">
        <f ca="1">IF($D25&lt;&gt;"Serviço","",OFFSET(ORÇAMENTO!S$15,$L25,0))</f>
        <v>un</v>
      </c>
      <c r="H25" s="122" cm="1">
        <f t="array" aca="1" ref="H25" ca="1">IF($D25&lt;&gt;"Serviço",0,IF(ACOMPANHAMENTO="BM",ROUND(OFFSET(ORÇAMENTO!AJ$15,$L25,0),15-13*ORÇAMENTO!$AF$7),IF(IFERROR(CÁLCULO.FrentesPreenchidas,0)=0,0,SUM(ROUND(OFFSET($P25,0,1,1,CÁLCULO.FrentesPreenchidas),15-13*ORÇAMENTO!$AF$7)))))</f>
        <v>4</v>
      </c>
      <c r="I25" s="468" t="s">
        <v>1088</v>
      </c>
      <c r="J25" s="651" t="str" cm="1">
        <f t="array" aca="1" ref="J25" ca="1">IF(OR(B25&lt;&gt;"S",CÁLCULO.FrentesPreenchidas=0),"",IF(AND(ACOMPANHAMENTO="PLE",AUTOEVENTO="Manual",OR(H25&gt;0,ORÇAMENTO!AC25="QUANT."),OR(K25="",M25=0,N25="")),"►E",IF(AND(ACOMPANHAMENTO="PLE",ORÇAMENTO!AC25="QUANT."),"►Q",IF(AND(ACOMPANHAMENTO="PLE",H25&lt;&gt;SUMPRODUCT(($Q$1:$AI$1=1)*ROUND(Q25:AI25,15))),"►S",IF(AND(COUNTIF($P$11:$AI$11,"▼")=0,H25&gt;0,I25=""),"◄M","")))))</f>
        <v/>
      </c>
      <c r="K25" s="652" t="s">
        <v>1334</v>
      </c>
      <c r="L25" s="165">
        <f t="shared" ca="1" si="11"/>
        <v>10</v>
      </c>
      <c r="M25" s="166">
        <f ca="1">IF($D25&lt;&gt;"Serviço","",
          IF(AUTOEVENTO="manual",$A25,
                IF(ISERROR(MATCH($A25,$A$15:OFFSET($A25,-1,0),0)),MAX($M$15:OFFSET(M25,-1,0))+1,
                      INDEX($M$15:OFFSET(M25,-1,0),MATCH($A25,$A$15:OFFSET($A25,-1,0),0)))))</f>
        <v>4</v>
      </c>
      <c r="N25" s="167" t="str">
        <f ca="1">IF($D25&lt;&gt;"Serviço","",
         IF(AUTOEVENTO="Manual",
                IF($A25=0,"&lt;-- defina o número do agrupador",
                       OFFSET(EVENTOS!$D$15,$A25-$A$15,0)),
                OFFSET($F$15,$A25,0)))</f>
        <v>Serviços Preliminares</v>
      </c>
      <c r="O25" s="168"/>
      <c r="Q25" s="168"/>
      <c r="R25" s="169"/>
      <c r="S25" s="169">
        <v>1</v>
      </c>
      <c r="T25" s="169"/>
      <c r="U25" s="169">
        <v>1</v>
      </c>
      <c r="V25" s="169">
        <v>1</v>
      </c>
      <c r="W25" s="169">
        <v>1</v>
      </c>
      <c r="X25" s="169"/>
      <c r="Y25" s="169"/>
      <c r="Z25" s="170"/>
      <c r="AA25" s="705"/>
      <c r="AB25" s="705"/>
      <c r="AC25" s="705"/>
      <c r="AD25" s="705"/>
      <c r="AE25" s="705"/>
      <c r="AF25" s="705"/>
      <c r="AG25" s="705"/>
      <c r="AH25" s="706"/>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L25" s="453">
        <f ca="1">IF(AND($D25="Serviço",AL$12&lt;&gt;0,$H25&gt;0,OR(AUTOEVENTO&lt;&gt;"manual",$M25&lt;&gt;$A$15)),
        IF(Import.TipoArredondamento&lt;&gt;"TransfereGOV",
              ROUND(OFFSET($P25,0,AL$13),15-13*ORÇAMENTO!$AF$7)/$H25*OFFSET(ORÇAMENTO!$X$15,ROW(AL25)-ROW(AL$15),0),
              ROUND(ROUND(OFFSET($P25,0,AL$13),15-13*ORÇAMENTO!$AF$7)*OFFSET(ORÇAMENTO!$W$15,ROW(AL25)-ROW(AL$15),0),15-13*ORÇAMENTO!$AF$11)),
         0)</f>
        <v>54.11</v>
      </c>
      <c r="AM25" s="453">
        <f ca="1">IF(AND($D25="Serviço",AM$12&lt;&gt;0,$H25&gt;0,OR(AUTOEVENTO&lt;&gt;"manual",$M25&lt;&gt;$A$15)),
        IF(Import.TipoArredondamento&lt;&gt;"TransfereGOV",
              ROUND(OFFSET($P25,0,AM$13),15-13*ORÇAMENTO!$AF$7)/$H25*OFFSET(ORÇAMENTO!$X$15,ROW(AM25)-ROW(AM$15),0),
              ROUND(ROUND(OFFSET($P25,0,AM$13),15-13*ORÇAMENTO!$AF$7)*OFFSET(ORÇAMENTO!$W$15,ROW(AM25)-ROW(AM$15),0),15-13*ORÇAMENTO!$AF$11)),
         0)</f>
        <v>0</v>
      </c>
      <c r="AN25" s="453">
        <f ca="1">IF(AND($D25="Serviço",AN$12&lt;&gt;0,$H25&gt;0,OR(AUTOEVENTO&lt;&gt;"manual",$M25&lt;&gt;$A$15)),
        IF(Import.TipoArredondamento&lt;&gt;"TransfereGOV",
              ROUND(OFFSET($P25,0,AN$13),15-13*ORÇAMENTO!$AF$7)/$H25*OFFSET(ORÇAMENTO!$X$15,ROW(AN25)-ROW(AN$15),0),
              ROUND(ROUND(OFFSET($P25,0,AN$13),15-13*ORÇAMENTO!$AF$7)*OFFSET(ORÇAMENTO!$W$15,ROW(AN25)-ROW(AN$15),0),15-13*ORÇAMENTO!$AF$11)),
         0)</f>
        <v>54.11</v>
      </c>
      <c r="AO25" s="453">
        <f ca="1">IF(AND($D25="Serviço",AO$12&lt;&gt;0,$H25&gt;0,OR(AUTOEVENTO&lt;&gt;"manual",$M25&lt;&gt;$A$15)),
        IF(Import.TipoArredondamento&lt;&gt;"TransfereGOV",
              ROUND(OFFSET($P25,0,AO$13),15-13*ORÇAMENTO!$AF$7)/$H25*OFFSET(ORÇAMENTO!$X$15,ROW(AO25)-ROW(AO$15),0),
              ROUND(ROUND(OFFSET($P25,0,AO$13),15-13*ORÇAMENTO!$AF$7)*OFFSET(ORÇAMENTO!$W$15,ROW(AO25)-ROW(AO$15),0),15-13*ORÇAMENTO!$AF$11)),
         0)</f>
        <v>54.11</v>
      </c>
      <c r="AP25" s="453">
        <f ca="1">IF(AND($D25="Serviço",AP$12&lt;&gt;0,$H25&gt;0,OR(AUTOEVENTO&lt;&gt;"manual",$M25&lt;&gt;$A$15)),
        IF(Import.TipoArredondamento&lt;&gt;"TransfereGOV",
              ROUND(OFFSET($P25,0,AP$13),15-13*ORÇAMENTO!$AF$7)/$H25*OFFSET(ORÇAMENTO!$X$15,ROW(AP25)-ROW(AP$15),0),
              ROUND(ROUND(OFFSET($P25,0,AP$13),15-13*ORÇAMENTO!$AF$7)*OFFSET(ORÇAMENTO!$W$15,ROW(AP25)-ROW(AP$15),0),15-13*ORÇAMENTO!$AF$11)),
         0)</f>
        <v>54.11</v>
      </c>
      <c r="AQ25" s="453">
        <f ca="1">IF(AND($D25="Serviço",AQ$12&lt;&gt;0,$H25&gt;0,OR(AUTOEVENTO&lt;&gt;"manual",$M25&lt;&gt;$A$15)),
        IF(Import.TipoArredondamento&lt;&gt;"TransfereGOV",
              ROUND(OFFSET($P25,0,AQ$13),15-13*ORÇAMENTO!$AF$7)/$H25*OFFSET(ORÇAMENTO!$X$15,ROW(AQ25)-ROW(AQ$15),0),
              ROUND(ROUND(OFFSET($P25,0,AQ$13),15-13*ORÇAMENTO!$AF$7)*OFFSET(ORÇAMENTO!$W$15,ROW(AQ25)-ROW(AQ$15),0),15-13*ORÇAMENTO!$AF$11)),
         0)</f>
        <v>0</v>
      </c>
      <c r="AR25" s="453">
        <f ca="1">IF(AND($D25="Serviço",AR$12&lt;&gt;0,$H25&gt;0,OR(AUTOEVENTO&lt;&gt;"manual",$M25&lt;&gt;$A$15)),
        IF(Import.TipoArredondamento&lt;&gt;"TransfereGOV",
              ROUND(OFFSET($P25,0,AR$13),15-13*ORÇAMENTO!$AF$7)/$H25*OFFSET(ORÇAMENTO!$X$15,ROW(AR25)-ROW(AR$15),0),
              ROUND(ROUND(OFFSET($P25,0,AR$13),15-13*ORÇAMENTO!$AF$7)*OFFSET(ORÇAMENTO!$W$15,ROW(AR25)-ROW(AR$15),0),15-13*ORÇAMENTO!$AF$11)),
         0)</f>
        <v>0</v>
      </c>
      <c r="AS25" s="453">
        <f ca="1">IF(AND($D25="Serviço",AS$12&lt;&gt;0,$H25&gt;0,OR(AUTOEVENTO&lt;&gt;"manual",$M25&lt;&gt;$A$15)),
        IF(Import.TipoArredondamento&lt;&gt;"TransfereGOV",
              ROUND(OFFSET($P25,0,AS$13),15-13*ORÇAMENTO!$AF$7)/$H25*OFFSET(ORÇAMENTO!$X$15,ROW(AS25)-ROW(AS$15),0),
              ROUND(ROUND(OFFSET($P25,0,AS$13),15-13*ORÇAMENTO!$AF$7)*OFFSET(ORÇAMENTO!$W$15,ROW(AS25)-ROW(AS$15),0),15-13*ORÇAMENTO!$AF$11)),
         0)</f>
        <v>0</v>
      </c>
      <c r="AT25" s="453">
        <f ca="1">IF(AND($D25="Serviço",AT$12&lt;&gt;0,$H25&gt;0,OR(AUTOEVENTO&lt;&gt;"manual",$M25&lt;&gt;$A$15)),
        IF(Import.TipoArredondamento&lt;&gt;"TransfereGOV",
              ROUND(OFFSET($P25,0,AT$13),15-13*ORÇAMENTO!$AF$7)/$H25*OFFSET(ORÇAMENTO!$X$15,ROW(AT25)-ROW(AT$15),0),
              ROUND(ROUND(OFFSET($P25,0,AT$13),15-13*ORÇAMENTO!$AF$7)*OFFSET(ORÇAMENTO!$W$15,ROW(AT25)-ROW(AT$15),0),15-13*ORÇAMENTO!$AF$11)),
         0)</f>
        <v>0</v>
      </c>
      <c r="AU25" s="453">
        <f ca="1">IF(AND($D25="Serviço",AU$12&lt;&gt;0,$H25&gt;0,OR(AUTOEVENTO&lt;&gt;"manual",$M25&lt;&gt;$A$15)),
        IF(Import.TipoArredondamento&lt;&gt;"TransfereGOV",
              ROUND(OFFSET($P25,0,AU$13),15-13*ORÇAMENTO!$AF$7)/$H25*OFFSET(ORÇAMENTO!$X$15,ROW(AU25)-ROW(AU$15),0),
              ROUND(ROUND(OFFSET($P25,0,AU$13),15-13*ORÇAMENTO!$AF$7)*OFFSET(ORÇAMENTO!$W$15,ROW(AU25)-ROW(AU$15),0),15-13*ORÇAMENTO!$AF$11)),
         0)</f>
        <v>0</v>
      </c>
      <c r="AV25" s="453">
        <f ca="1">IF(AND($D25="Serviço",AV$12&lt;&gt;0,$H25&gt;0,OR(AUTOEVENTO&lt;&gt;"manual",$M25&lt;&gt;$A$15)),
        IF(Import.TipoArredondamento&lt;&gt;"TransfereGOV",
              ROUND(OFFSET($P25,0,AV$13),15-13*ORÇAMENTO!$AF$7)/$H25*OFFSET(ORÇAMENTO!$X$15,ROW(AV25)-ROW(AV$15),0),
              ROUND(ROUND(OFFSET($P25,0,AV$13),15-13*ORÇAMENTO!$AF$7)*OFFSET(ORÇAMENTO!$W$15,ROW(AV25)-ROW(AV$15),0),15-13*ORÇAMENTO!$AF$11)),
         0)</f>
        <v>0</v>
      </c>
      <c r="AW25" s="453">
        <f ca="1">IF(AND($D25="Serviço",AW$12&lt;&gt;0,$H25&gt;0,OR(AUTOEVENTO&lt;&gt;"manual",$M25&lt;&gt;$A$15)),
        IF(Import.TipoArredondamento&lt;&gt;"TransfereGOV",
              ROUND(OFFSET($P25,0,AW$13),15-13*ORÇAMENTO!$AF$7)/$H25*OFFSET(ORÇAMENTO!$X$15,ROW(AW25)-ROW(AW$15),0),
              ROUND(ROUND(OFFSET($P25,0,AW$13),15-13*ORÇAMENTO!$AF$7)*OFFSET(ORÇAMENTO!$W$15,ROW(AW25)-ROW(AW$15),0),15-13*ORÇAMENTO!$AF$11)),
         0)</f>
        <v>0</v>
      </c>
      <c r="AX25" s="453">
        <f ca="1">IF(AND($D25="Serviço",AX$12&lt;&gt;0,$H25&gt;0,OR(AUTOEVENTO&lt;&gt;"manual",$M25&lt;&gt;$A$15)),
        IF(Import.TipoArredondamento&lt;&gt;"TransfereGOV",
              ROUND(OFFSET($P25,0,AX$13),15-13*ORÇAMENTO!$AF$7)/$H25*OFFSET(ORÇAMENTO!$X$15,ROW(AX25)-ROW(AX$15),0),
              ROUND(ROUND(OFFSET($P25,0,AX$13),15-13*ORÇAMENTO!$AF$7)*OFFSET(ORÇAMENTO!$W$15,ROW(AX25)-ROW(AX$15),0),15-13*ORÇAMENTO!$AF$11)),
         0)</f>
        <v>0</v>
      </c>
      <c r="AY25" s="453">
        <f ca="1">IF(AND($D25="Serviço",AY$12&lt;&gt;0,$H25&gt;0,OR(AUTOEVENTO&lt;&gt;"manual",$M25&lt;&gt;$A$15)),
        IF(Import.TipoArredondamento&lt;&gt;"TransfereGOV",
              ROUND(OFFSET($P25,0,AY$13),15-13*ORÇAMENTO!$AF$7)/$H25*OFFSET(ORÇAMENTO!$X$15,ROW(AY25)-ROW(AY$15),0),
              ROUND(ROUND(OFFSET($P25,0,AY$13),15-13*ORÇAMENTO!$AF$7)*OFFSET(ORÇAMENTO!$W$15,ROW(AY25)-ROW(AY$15),0),15-13*ORÇAMENTO!$AF$11)),
         0)</f>
        <v>0</v>
      </c>
      <c r="AZ25" s="453">
        <f ca="1">IF(AND($D25="Serviço",AZ$12&lt;&gt;0,$H25&gt;0,OR(AUTOEVENTO&lt;&gt;"manual",$M25&lt;&gt;$A$15)),
        IF(Import.TipoArredondamento&lt;&gt;"TransfereGOV",
              ROUND(OFFSET($P25,0,AZ$13),15-13*ORÇAMENTO!$AF$7)/$H25*OFFSET(ORÇAMENTO!$X$15,ROW(AZ25)-ROW(AZ$15),0),
              ROUND(ROUND(OFFSET($P25,0,AZ$13),15-13*ORÇAMENTO!$AF$7)*OFFSET(ORÇAMENTO!$W$15,ROW(AZ25)-ROW(AZ$15),0),15-13*ORÇAMENTO!$AF$11)),
         0)</f>
        <v>0</v>
      </c>
      <c r="BA25" s="453">
        <f ca="1">IF(AND($D25="Serviço",BA$12&lt;&gt;0,$H25&gt;0,OR(AUTOEVENTO&lt;&gt;"manual",$M25&lt;&gt;$A$15)),
        IF(Import.TipoArredondamento&lt;&gt;"TransfereGOV",
              ROUND(OFFSET($P25,0,BA$13),15-13*ORÇAMENTO!$AF$7)/$H25*OFFSET(ORÇAMENTO!$X$15,ROW(BA25)-ROW(BA$15),0),
              ROUND(ROUND(OFFSET($P25,0,BA$13),15-13*ORÇAMENTO!$AF$7)*OFFSET(ORÇAMENTO!$W$15,ROW(BA25)-ROW(BA$15),0),15-13*ORÇAMENTO!$AF$11)),
         0)</f>
        <v>0</v>
      </c>
      <c r="BC25" s="171">
        <f ca="1">IF(OR($D25&lt;&gt;"Serviço",AND(AUTOEVENTO="Manual",$M25=$A$15)),0,
         IF(OFFSET(CRONOPLE!$F$15,$M25-$A$15,BC$13)=0,10^12,OFFSET(CRONOPLE!$F$15,$M25-$A$15,BC$13)))</f>
        <v>10</v>
      </c>
      <c r="BD25" s="171">
        <f ca="1">IF(OR($D25&lt;&gt;"Serviço",AND(AUTOEVENTO="Manual",$M25=$A$15)),0,
         IF(OFFSET(CRONOPLE!$F$15,$M25-$A$15,BD$13)=0,10^12,OFFSET(CRONOPLE!$F$15,$M25-$A$15,BD$13)))</f>
        <v>4</v>
      </c>
      <c r="BE25" s="171">
        <f ca="1">IF(OR($D25&lt;&gt;"Serviço",AND(AUTOEVENTO="Manual",$M25=$A$15)),0,
         IF(OFFSET(CRONOPLE!$F$15,$M25-$A$15,BE$13)=0,10^12,OFFSET(CRONOPLE!$F$15,$M25-$A$15,BE$13)))</f>
        <v>4</v>
      </c>
      <c r="BF25" s="171">
        <f ca="1">IF(OR($D25&lt;&gt;"Serviço",AND(AUTOEVENTO="Manual",$M25=$A$15)),0,
         IF(OFFSET(CRONOPLE!$F$15,$M25-$A$15,BF$13)=0,10^12,OFFSET(CRONOPLE!$F$15,$M25-$A$15,BF$13)))</f>
        <v>1000000000000</v>
      </c>
      <c r="BG25" s="171">
        <f ca="1">IF(OR($D25&lt;&gt;"Serviço",AND(AUTOEVENTO="Manual",$M25=$A$15)),0,
         IF(OFFSET(CRONOPLE!$F$15,$M25-$A$15,BG$13)=0,10^12,OFFSET(CRONOPLE!$F$15,$M25-$A$15,BG$13)))</f>
        <v>6</v>
      </c>
      <c r="BH25" s="171">
        <f ca="1">IF(OR($D25&lt;&gt;"Serviço",AND(AUTOEVENTO="Manual",$M25=$A$15)),0,
         IF(OFFSET(CRONOPLE!$F$15,$M25-$A$15,BH$13)=0,10^12,OFFSET(CRONOPLE!$F$15,$M25-$A$15,BH$13)))</f>
        <v>5</v>
      </c>
      <c r="BI25" s="171">
        <f ca="1">IF(OR($D25&lt;&gt;"Serviço",AND(AUTOEVENTO="Manual",$M25=$A$15)),0,
         IF(OFFSET(CRONOPLE!$F$15,$M25-$A$15,BI$13)=0,10^12,OFFSET(CRONOPLE!$F$15,$M25-$A$15,BI$13)))</f>
        <v>8</v>
      </c>
      <c r="BJ25" s="171">
        <f ca="1">IF(OR($D25&lt;&gt;"Serviço",AND(AUTOEVENTO="Manual",$M25=$A$15)),0,
         IF(OFFSET(CRONOPLE!$F$15,$M25-$A$15,BJ$13)=0,10^12,OFFSET(CRONOPLE!$F$15,$M25-$A$15,BJ$13)))</f>
        <v>1000000000000</v>
      </c>
      <c r="BK25" s="171">
        <f ca="1">IF(OR($D25&lt;&gt;"Serviço",AND(AUTOEVENTO="Manual",$M25=$A$15)),0,
         IF(OFFSET(CRONOPLE!$F$15,$M25-$A$15,BK$13)=0,10^12,OFFSET(CRONOPLE!$F$15,$M25-$A$15,BK$13)))</f>
        <v>1000000000000</v>
      </c>
      <c r="BL25" s="171">
        <f ca="1">IF(OR($D25&lt;&gt;"Serviço",AND(AUTOEVENTO="Manual",$M25=$A$15)),0,
         IF(OFFSET(CRONOPLE!$F$15,$M25-$A$15,BL$13)=0,10^12,OFFSET(CRONOPLE!$F$15,$M25-$A$15,BL$13)))</f>
        <v>1000000000000</v>
      </c>
      <c r="BM25" s="171">
        <f ca="1">IF(OR($D25&lt;&gt;"Serviço",AND(AUTOEVENTO="Manual",$M25=$A$15)),0,
         IF(OFFSET(CRONOPLE!$F$15,$M25-$A$15,BM$13)=0,10^12,OFFSET(CRONOPLE!$F$15,$M25-$A$15,BM$13)))</f>
        <v>1000000000000</v>
      </c>
      <c r="BN25" s="171">
        <f ca="1">IF(OR($D25&lt;&gt;"Serviço",AND(AUTOEVENTO="Manual",$M25=$A$15)),0,
         IF(OFFSET(CRONOPLE!$F$15,$M25-$A$15,BN$13)=0,10^12,OFFSET(CRONOPLE!$F$15,$M25-$A$15,BN$13)))</f>
        <v>1000000000000</v>
      </c>
      <c r="BO25" s="171">
        <f ca="1">IF(OR($D25&lt;&gt;"Serviço",AND(AUTOEVENTO="Manual",$M25=$A$15)),0,
         IF(OFFSET(CRONOPLE!$F$15,$M25-$A$15,BO$13)=0,10^12,OFFSET(CRONOPLE!$F$15,$M25-$A$15,BO$13)))</f>
        <v>1000000000000</v>
      </c>
      <c r="BP25" s="171">
        <f ca="1">IF(OR($D25&lt;&gt;"Serviço",AND(AUTOEVENTO="Manual",$M25=$A$15)),0,
         IF(OFFSET(CRONOPLE!$F$15,$M25-$A$15,BP$13)=0,10^12,OFFSET(CRONOPLE!$F$15,$M25-$A$15,BP$13)))</f>
        <v>1000000000000</v>
      </c>
      <c r="BQ25" s="171">
        <f ca="1">IF(OR($D25&lt;&gt;"Serviço",AND(AUTOEVENTO="Manual",$M25=$A$15)),0,
         IF(OFFSET(CRONOPLE!$F$15,$M25-$A$15,BQ$13)=0,10^12,OFFSET(CRONOPLE!$F$15,$M25-$A$15,BQ$13)))</f>
        <v>1000000000000</v>
      </c>
      <c r="BR25" s="171">
        <f ca="1">IF(OR($D25&lt;&gt;"Serviço",AND(AUTOEVENTO="Manual",$M25=$A$15)),0,
         IF(OFFSET(CRONOPLE!$F$15,$M25-$A$15,BR$13)=0,10^12,OFFSET(CRONOPLE!$F$15,$M25-$A$15,BR$13)))</f>
        <v>1000000000000</v>
      </c>
      <c r="BS25" s="171">
        <f ca="1">IF(OR($D25&lt;&gt;"Serviço",AND(AUTOEVENTO="Manual",$M25=$A$15)),0,
         IF(OFFSET(CRONOPLE!$F$15,$M25-$A$15,BS$13)=0,10^12,OFFSET(CRONOPLE!$F$15,$M25-$A$15,BS$13)))</f>
        <v>1000000000000</v>
      </c>
      <c r="BT25" s="171">
        <f ca="1">IF(OR($D25&lt;&gt;"Serviço",AND(AUTOEVENTO="Manual",$M25=$A$15)),0,
         IF(OFFSET(CRONOPLE!$F$15,$M25-$A$15,BT$13)=0,10^12,OFFSET(CRONOPLE!$F$15,$M25-$A$15,BT$13)))</f>
        <v>1000000000000</v>
      </c>
      <c r="BV25" s="172" cm="1">
        <f t="array" aca="1" ref="BV25" ca="1">IF(OR($D25&lt;&gt;"Serviço",AND(AUTOEVENTO="Manual",$M25=$A$15),$M25&gt;(ROW(PLE.lastrow)-ROW(PLE.firstrow))),0,
           IF(OFFSET(PLE!$G$15,$M25-$A$15,BV$13)="",10^12,OFFSET(PLE!$G$15,$M25-$A$15,BV$13)))</f>
        <v>1000000000000</v>
      </c>
      <c r="BW25" s="172" cm="1">
        <f t="array" aca="1" ref="BW25" ca="1">IF(OR($D25&lt;&gt;"Serviço",AND(AUTOEVENTO="Manual",$M25=$A$15),$M25&gt;(ROW(PLE.lastrow)-ROW(PLE.firstrow))),0,
           IF(OFFSET(PLE!$G$15,$M25-$A$15,BW$13)="",10^12,OFFSET(PLE!$G$15,$M25-$A$15,BW$13)))</f>
        <v>1000000000000</v>
      </c>
      <c r="BX25" s="172" cm="1">
        <f t="array" aca="1" ref="BX25" ca="1">IF(OR($D25&lt;&gt;"Serviço",AND(AUTOEVENTO="Manual",$M25=$A$15),$M25&gt;(ROW(PLE.lastrow)-ROW(PLE.firstrow))),0,
           IF(OFFSET(PLE!$G$15,$M25-$A$15,BX$13)="",10^12,OFFSET(PLE!$G$15,$M25-$A$15,BX$13)))</f>
        <v>1000000000000</v>
      </c>
      <c r="BY25" s="172" cm="1">
        <f t="array" aca="1" ref="BY25" ca="1">IF(OR($D25&lt;&gt;"Serviço",AND(AUTOEVENTO="Manual",$M25=$A$15),$M25&gt;(ROW(PLE.lastrow)-ROW(PLE.firstrow))),0,
           IF(OFFSET(PLE!$G$15,$M25-$A$15,BY$13)="",10^12,OFFSET(PLE!$G$15,$M25-$A$15,BY$13)))</f>
        <v>1000000000000</v>
      </c>
      <c r="BZ25" s="172" cm="1">
        <f t="array" aca="1" ref="BZ25" ca="1">IF(OR($D25&lt;&gt;"Serviço",AND(AUTOEVENTO="Manual",$M25=$A$15),$M25&gt;(ROW(PLE.lastrow)-ROW(PLE.firstrow))),0,
           IF(OFFSET(PLE!$G$15,$M25-$A$15,BZ$13)="",10^12,OFFSET(PLE!$G$15,$M25-$A$15,BZ$13)))</f>
        <v>1000000000000</v>
      </c>
      <c r="CA25" s="172" cm="1">
        <f t="array" aca="1" ref="CA25" ca="1">IF(OR($D25&lt;&gt;"Serviço",AND(AUTOEVENTO="Manual",$M25=$A$15),$M25&gt;(ROW(PLE.lastrow)-ROW(PLE.firstrow))),0,
           IF(OFFSET(PLE!$G$15,$M25-$A$15,CA$13)="",10^12,OFFSET(PLE!$G$15,$M25-$A$15,CA$13)))</f>
        <v>1000000000000</v>
      </c>
      <c r="CB25" s="172" cm="1">
        <f t="array" aca="1" ref="CB25" ca="1">IF(OR($D25&lt;&gt;"Serviço",AND(AUTOEVENTO="Manual",$M25=$A$15),$M25&gt;(ROW(PLE.lastrow)-ROW(PLE.firstrow))),0,
           IF(OFFSET(PLE!$G$15,$M25-$A$15,CB$13)="",10^12,OFFSET(PLE!$G$15,$M25-$A$15,CB$13)))</f>
        <v>1000000000000</v>
      </c>
      <c r="CC25" s="172" cm="1">
        <f t="array" aca="1" ref="CC25" ca="1">IF(OR($D25&lt;&gt;"Serviço",AND(AUTOEVENTO="Manual",$M25=$A$15),$M25&gt;(ROW(PLE.lastrow)-ROW(PLE.firstrow))),0,
           IF(OFFSET(PLE!$G$15,$M25-$A$15,CC$13)="",10^12,OFFSET(PLE!$G$15,$M25-$A$15,CC$13)))</f>
        <v>1000000000000</v>
      </c>
      <c r="CD25" s="172" cm="1">
        <f t="array" aca="1" ref="CD25" ca="1">IF(OR($D25&lt;&gt;"Serviço",AND(AUTOEVENTO="Manual",$M25=$A$15),$M25&gt;(ROW(PLE.lastrow)-ROW(PLE.firstrow))),0,
           IF(OFFSET(PLE!$G$15,$M25-$A$15,CD$13)="",10^12,OFFSET(PLE!$G$15,$M25-$A$15,CD$13)))</f>
        <v>1000000000000</v>
      </c>
      <c r="CE25" s="172" cm="1">
        <f t="array" aca="1" ref="CE25" ca="1">IF(OR($D25&lt;&gt;"Serviço",AND(AUTOEVENTO="Manual",$M25=$A$15),$M25&gt;(ROW(PLE.lastrow)-ROW(PLE.firstrow))),0,
           IF(OFFSET(PLE!$G$15,$M25-$A$15,CE$13)="",10^12,OFFSET(PLE!$G$15,$M25-$A$15,CE$13)))</f>
        <v>1000000000000</v>
      </c>
      <c r="CF25" s="172" cm="1">
        <f t="array" aca="1" ref="CF25" ca="1">IF(OR($D25&lt;&gt;"Serviço",AND(AUTOEVENTO="Manual",$M25=$A$15),$M25&gt;(ROW(PLE.lastrow)-ROW(PLE.firstrow))),0,
           IF(OFFSET(PLE!$G$15,$M25-$A$15,CF$13)="",10^12,OFFSET(PLE!$G$15,$M25-$A$15,CF$13)))</f>
        <v>1000000000000</v>
      </c>
      <c r="CG25" s="172" cm="1">
        <f t="array" aca="1" ref="CG25" ca="1">IF(OR($D25&lt;&gt;"Serviço",AND(AUTOEVENTO="Manual",$M25=$A$15),$M25&gt;(ROW(PLE.lastrow)-ROW(PLE.firstrow))),0,
           IF(OFFSET(PLE!$G$15,$M25-$A$15,CG$13)="",10^12,OFFSET(PLE!$G$15,$M25-$A$15,CG$13)))</f>
        <v>1000000000000</v>
      </c>
      <c r="CH25" s="172" cm="1">
        <f t="array" aca="1" ref="CH25" ca="1">IF(OR($D25&lt;&gt;"Serviço",AND(AUTOEVENTO="Manual",$M25=$A$15),$M25&gt;(ROW(PLE.lastrow)-ROW(PLE.firstrow))),0,
           IF(OFFSET(PLE!$G$15,$M25-$A$15,CH$13)="",10^12,OFFSET(PLE!$G$15,$M25-$A$15,CH$13)))</f>
        <v>1000000000000</v>
      </c>
      <c r="CI25" s="172" cm="1">
        <f t="array" aca="1" ref="CI25" ca="1">IF(OR($D25&lt;&gt;"Serviço",AND(AUTOEVENTO="Manual",$M25=$A$15),$M25&gt;(ROW(PLE.lastrow)-ROW(PLE.firstrow))),0,
           IF(OFFSET(PLE!$G$15,$M25-$A$15,CI$13)="",10^12,OFFSET(PLE!$G$15,$M25-$A$15,CI$13)))</f>
        <v>1000000000000</v>
      </c>
      <c r="CJ25" s="172" cm="1">
        <f t="array" aca="1" ref="CJ25" ca="1">IF(OR($D25&lt;&gt;"Serviço",AND(AUTOEVENTO="Manual",$M25=$A$15),$M25&gt;(ROW(PLE.lastrow)-ROW(PLE.firstrow))),0,
           IF(OFFSET(PLE!$G$15,$M25-$A$15,CJ$13)="",10^12,OFFSET(PLE!$G$15,$M25-$A$15,CJ$13)))</f>
        <v>1000000000000</v>
      </c>
      <c r="CK25" s="172" cm="1">
        <f t="array" aca="1" ref="CK25" ca="1">IF(OR($D25&lt;&gt;"Serviço",AND(AUTOEVENTO="Manual",$M25=$A$15),$M25&gt;(ROW(PLE.lastrow)-ROW(PLE.firstrow))),0,
           IF(OFFSET(PLE!$G$15,$M25-$A$15,CK$13)="",10^12,OFFSET(PLE!$G$15,$M25-$A$15,CK$13)))</f>
        <v>1000000000000</v>
      </c>
      <c r="CL25" s="172" cm="1">
        <f t="array" aca="1" ref="CL25" ca="1">IF(OR($D25&lt;&gt;"Serviço",AND(AUTOEVENTO="Manual",$M25=$A$15),$M25&gt;(ROW(PLE.lastrow)-ROW(PLE.firstrow))),0,
           IF(OFFSET(PLE!$G$15,$M25-$A$15,CL$13)="",10^12,OFFSET(PLE!$G$15,$M25-$A$15,CL$13)))</f>
        <v>1000000000000</v>
      </c>
      <c r="CM25" s="172" cm="1">
        <f t="array" aca="1" ref="CM25" ca="1">IF(OR($D25&lt;&gt;"Serviço",AND(AUTOEVENTO="Manual",$M25=$A$15),$M25&gt;(ROW(PLE.lastrow)-ROW(PLE.firstrow))),0,
           IF(OFFSET(PLE!$G$15,$M25-$A$15,CM$13)="",10^12,OFFSET(PLE!$G$15,$M25-$A$15,CM$13)))</f>
        <v>1000000000000</v>
      </c>
    </row>
    <row r="26" spans="1:91" s="670" customFormat="1" ht="12.75" x14ac:dyDescent="0.2">
      <c r="A26" s="668">
        <f t="shared" ca="1" si="10"/>
        <v>30</v>
      </c>
      <c r="B26" s="668" t="str">
        <f ca="1">OFFSET(ORÇAMENTO!C$15,$L26,0)</f>
        <v>S</v>
      </c>
      <c r="C26" s="668" t="str">
        <f ca="1">OFFSET(ORÇAMENTO!L$15,$L26,0)</f>
        <v>F</v>
      </c>
      <c r="D26" s="116" t="str">
        <f ca="1">OFFSET(ORÇAMENTO!N$15,$L26,0)</f>
        <v>Serviço</v>
      </c>
      <c r="E26" s="117" t="str">
        <f ca="1">OFFSET(ORÇAMENTO!O$15,$L26,0)</f>
        <v>1.2.4.</v>
      </c>
      <c r="F26" s="163" t="str">
        <f ca="1">OFFSET(ORÇAMENTO!R$15,$L26,0)</f>
        <v>LIMPEZA FINAL PARA ENTREGA DA OBRA</v>
      </c>
      <c r="G26" s="164" t="str">
        <f ca="1">IF($D26&lt;&gt;"Serviço","",OFFSET(ORÇAMENTO!S$15,$L26,0))</f>
        <v>m2</v>
      </c>
      <c r="H26" s="122" cm="1">
        <f t="array" aca="1" ref="H26" ca="1">IF($D26&lt;&gt;"Serviço",0,IF(ACOMPANHAMENTO="BM",ROUND(OFFSET(ORÇAMENTO!AJ$15,$L26,0),15-13*ORÇAMENTO!$AF$7),IF(IFERROR(CÁLCULO.FrentesPreenchidas,0)=0,0,SUM(ROUND(OFFSET($P26,0,1,1,CÁLCULO.FrentesPreenchidas),15-13*ORÇAMENTO!$AF$7)))))</f>
        <v>834</v>
      </c>
      <c r="I26" s="468" t="s">
        <v>1256</v>
      </c>
      <c r="J26" s="651" t="str" cm="1">
        <f t="array" aca="1" ref="J26" ca="1">IF(OR(B26&lt;&gt;"S",CÁLCULO.FrentesPreenchidas=0),"",IF(AND(ACOMPANHAMENTO="PLE",AUTOEVENTO="Manual",OR(H26&gt;0,ORÇAMENTO!AC26="QUANT."),OR(K26="",M26=0,N26="")),"►E",IF(AND(ACOMPANHAMENTO="PLE",ORÇAMENTO!AC26="QUANT."),"►Q",IF(AND(ACOMPANHAMENTO="PLE",H26&lt;&gt;SUMPRODUCT(($Q$1:$AI$1=1)*ROUND(Q26:AI26,15))),"►S",IF(AND(COUNTIF($P$11:$AI$11,"▼")=0,H26&gt;0,I26=""),"◄M","")))))</f>
        <v/>
      </c>
      <c r="K26" s="652" t="s">
        <v>1335</v>
      </c>
      <c r="L26" s="165">
        <f t="shared" ca="1" si="11"/>
        <v>11</v>
      </c>
      <c r="M26" s="166">
        <f ca="1">IF($D26&lt;&gt;"Serviço","",
          IF(AUTOEVENTO="manual",$A26,
                IF(ISERROR(MATCH($A26,$A$15:OFFSET($A26,-1,0),0)),MAX($M$15:OFFSET(M26,-1,0))+1,
                      INDEX($M$15:OFFSET(M26,-1,0),MATCH($A26,$A$15:OFFSET($A26,-1,0),0)))))</f>
        <v>30</v>
      </c>
      <c r="N26" s="167" t="str">
        <f ca="1">IF($D26&lt;&gt;"Serviço","",
         IF(AUTOEVENTO="Manual",
                IF($A26=0,"&lt;-- defina o número do agrupador",
                       OFFSET(EVENTOS!$D$15,$A26-$A$15,0)),
                OFFSET($F$15,$A26,0)))</f>
        <v>Limpeza Final</v>
      </c>
      <c r="O26" s="168"/>
      <c r="Q26" s="168"/>
      <c r="R26" s="169">
        <v>834</v>
      </c>
      <c r="S26" s="169"/>
      <c r="T26" s="169"/>
      <c r="U26" s="169"/>
      <c r="V26" s="169"/>
      <c r="W26" s="169"/>
      <c r="X26" s="169"/>
      <c r="Y26" s="169"/>
      <c r="Z26" s="170"/>
      <c r="AA26" s="705"/>
      <c r="AB26" s="705"/>
      <c r="AC26" s="705"/>
      <c r="AD26" s="705"/>
      <c r="AE26" s="705"/>
      <c r="AF26" s="705"/>
      <c r="AG26" s="705"/>
      <c r="AH26" s="706"/>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8606.8799999999992</v>
      </c>
      <c r="AL26" s="453">
        <f ca="1">IF(AND($D26="Serviço",AL$12&lt;&gt;0,$H26&gt;0,OR(AUTOEVENTO&lt;&gt;"manual",$M26&lt;&gt;$A$15)),
        IF(Import.TipoArredondamento&lt;&gt;"TransfereGOV",
              ROUND(OFFSET($P26,0,AL$13),15-13*ORÇAMENTO!$AF$7)/$H26*OFFSET(ORÇAMENTO!$X$15,ROW(AL26)-ROW(AL$15),0),
              ROUND(ROUND(OFFSET($P26,0,AL$13),15-13*ORÇAMENTO!$AF$7)*OFFSET(ORÇAMENTO!$W$15,ROW(AL26)-ROW(AL$15),0),15-13*ORÇAMENTO!$AF$11)),
         0)</f>
        <v>0</v>
      </c>
      <c r="AM26" s="453">
        <f ca="1">IF(AND($D26="Serviço",AM$12&lt;&gt;0,$H26&gt;0,OR(AUTOEVENTO&lt;&gt;"manual",$M26&lt;&gt;$A$15)),
        IF(Import.TipoArredondamento&lt;&gt;"TransfereGOV",
              ROUND(OFFSET($P26,0,AM$13),15-13*ORÇAMENTO!$AF$7)/$H26*OFFSET(ORÇAMENTO!$X$15,ROW(AM26)-ROW(AM$15),0),
              ROUND(ROUND(OFFSET($P26,0,AM$13),15-13*ORÇAMENTO!$AF$7)*OFFSET(ORÇAMENTO!$W$15,ROW(AM26)-ROW(AM$15),0),15-13*ORÇAMENTO!$AF$11)),
         0)</f>
        <v>0</v>
      </c>
      <c r="AN26" s="453">
        <f ca="1">IF(AND($D26="Serviço",AN$12&lt;&gt;0,$H26&gt;0,OR(AUTOEVENTO&lt;&gt;"manual",$M26&lt;&gt;$A$15)),
        IF(Import.TipoArredondamento&lt;&gt;"TransfereGOV",
              ROUND(OFFSET($P26,0,AN$13),15-13*ORÇAMENTO!$AF$7)/$H26*OFFSET(ORÇAMENTO!$X$15,ROW(AN26)-ROW(AN$15),0),
              ROUND(ROUND(OFFSET($P26,0,AN$13),15-13*ORÇAMENTO!$AF$7)*OFFSET(ORÇAMENTO!$W$15,ROW(AN26)-ROW(AN$15),0),15-13*ORÇAMENTO!$AF$11)),
         0)</f>
        <v>0</v>
      </c>
      <c r="AO26" s="453">
        <f ca="1">IF(AND($D26="Serviço",AO$12&lt;&gt;0,$H26&gt;0,OR(AUTOEVENTO&lt;&gt;"manual",$M26&lt;&gt;$A$15)),
        IF(Import.TipoArredondamento&lt;&gt;"TransfereGOV",
              ROUND(OFFSET($P26,0,AO$13),15-13*ORÇAMENTO!$AF$7)/$H26*OFFSET(ORÇAMENTO!$X$15,ROW(AO26)-ROW(AO$15),0),
              ROUND(ROUND(OFFSET($P26,0,AO$13),15-13*ORÇAMENTO!$AF$7)*OFFSET(ORÇAMENTO!$W$15,ROW(AO26)-ROW(AO$15),0),15-13*ORÇAMENTO!$AF$11)),
         0)</f>
        <v>0</v>
      </c>
      <c r="AP26" s="453">
        <f ca="1">IF(AND($D26="Serviço",AP$12&lt;&gt;0,$H26&gt;0,OR(AUTOEVENTO&lt;&gt;"manual",$M26&lt;&gt;$A$15)),
        IF(Import.TipoArredondamento&lt;&gt;"TransfereGOV",
              ROUND(OFFSET($P26,0,AP$13),15-13*ORÇAMENTO!$AF$7)/$H26*OFFSET(ORÇAMENTO!$X$15,ROW(AP26)-ROW(AP$15),0),
              ROUND(ROUND(OFFSET($P26,0,AP$13),15-13*ORÇAMENTO!$AF$7)*OFFSET(ORÇAMENTO!$W$15,ROW(AP26)-ROW(AP$15),0),15-13*ORÇAMENTO!$AF$11)),
         0)</f>
        <v>0</v>
      </c>
      <c r="AQ26" s="453">
        <f ca="1">IF(AND($D26="Serviço",AQ$12&lt;&gt;0,$H26&gt;0,OR(AUTOEVENTO&lt;&gt;"manual",$M26&lt;&gt;$A$15)),
        IF(Import.TipoArredondamento&lt;&gt;"TransfereGOV",
              ROUND(OFFSET($P26,0,AQ$13),15-13*ORÇAMENTO!$AF$7)/$H26*OFFSET(ORÇAMENTO!$X$15,ROW(AQ26)-ROW(AQ$15),0),
              ROUND(ROUND(OFFSET($P26,0,AQ$13),15-13*ORÇAMENTO!$AF$7)*OFFSET(ORÇAMENTO!$W$15,ROW(AQ26)-ROW(AQ$15),0),15-13*ORÇAMENTO!$AF$11)),
         0)</f>
        <v>0</v>
      </c>
      <c r="AR26" s="453">
        <f ca="1">IF(AND($D26="Serviço",AR$12&lt;&gt;0,$H26&gt;0,OR(AUTOEVENTO&lt;&gt;"manual",$M26&lt;&gt;$A$15)),
        IF(Import.TipoArredondamento&lt;&gt;"TransfereGOV",
              ROUND(OFFSET($P26,0,AR$13),15-13*ORÇAMENTO!$AF$7)/$H26*OFFSET(ORÇAMENTO!$X$15,ROW(AR26)-ROW(AR$15),0),
              ROUND(ROUND(OFFSET($P26,0,AR$13),15-13*ORÇAMENTO!$AF$7)*OFFSET(ORÇAMENTO!$W$15,ROW(AR26)-ROW(AR$15),0),15-13*ORÇAMENTO!$AF$11)),
         0)</f>
        <v>0</v>
      </c>
      <c r="AS26" s="453">
        <f ca="1">IF(AND($D26="Serviço",AS$12&lt;&gt;0,$H26&gt;0,OR(AUTOEVENTO&lt;&gt;"manual",$M26&lt;&gt;$A$15)),
        IF(Import.TipoArredondamento&lt;&gt;"TransfereGOV",
              ROUND(OFFSET($P26,0,AS$13),15-13*ORÇAMENTO!$AF$7)/$H26*OFFSET(ORÇAMENTO!$X$15,ROW(AS26)-ROW(AS$15),0),
              ROUND(ROUND(OFFSET($P26,0,AS$13),15-13*ORÇAMENTO!$AF$7)*OFFSET(ORÇAMENTO!$W$15,ROW(AS26)-ROW(AS$15),0),15-13*ORÇAMENTO!$AF$11)),
         0)</f>
        <v>0</v>
      </c>
      <c r="AT26" s="453">
        <f ca="1">IF(AND($D26="Serviço",AT$12&lt;&gt;0,$H26&gt;0,OR(AUTOEVENTO&lt;&gt;"manual",$M26&lt;&gt;$A$15)),
        IF(Import.TipoArredondamento&lt;&gt;"TransfereGOV",
              ROUND(OFFSET($P26,0,AT$13),15-13*ORÇAMENTO!$AF$7)/$H26*OFFSET(ORÇAMENTO!$X$15,ROW(AT26)-ROW(AT$15),0),
              ROUND(ROUND(OFFSET($P26,0,AT$13),15-13*ORÇAMENTO!$AF$7)*OFFSET(ORÇAMENTO!$W$15,ROW(AT26)-ROW(AT$15),0),15-13*ORÇAMENTO!$AF$11)),
         0)</f>
        <v>0</v>
      </c>
      <c r="AU26" s="453">
        <f ca="1">IF(AND($D26="Serviço",AU$12&lt;&gt;0,$H26&gt;0,OR(AUTOEVENTO&lt;&gt;"manual",$M26&lt;&gt;$A$15)),
        IF(Import.TipoArredondamento&lt;&gt;"TransfereGOV",
              ROUND(OFFSET($P26,0,AU$13),15-13*ORÇAMENTO!$AF$7)/$H26*OFFSET(ORÇAMENTO!$X$15,ROW(AU26)-ROW(AU$15),0),
              ROUND(ROUND(OFFSET($P26,0,AU$13),15-13*ORÇAMENTO!$AF$7)*OFFSET(ORÇAMENTO!$W$15,ROW(AU26)-ROW(AU$15),0),15-13*ORÇAMENTO!$AF$11)),
         0)</f>
        <v>0</v>
      </c>
      <c r="AV26" s="453">
        <f ca="1">IF(AND($D26="Serviço",AV$12&lt;&gt;0,$H26&gt;0,OR(AUTOEVENTO&lt;&gt;"manual",$M26&lt;&gt;$A$15)),
        IF(Import.TipoArredondamento&lt;&gt;"TransfereGOV",
              ROUND(OFFSET($P26,0,AV$13),15-13*ORÇAMENTO!$AF$7)/$H26*OFFSET(ORÇAMENTO!$X$15,ROW(AV26)-ROW(AV$15),0),
              ROUND(ROUND(OFFSET($P26,0,AV$13),15-13*ORÇAMENTO!$AF$7)*OFFSET(ORÇAMENTO!$W$15,ROW(AV26)-ROW(AV$15),0),15-13*ORÇAMENTO!$AF$11)),
         0)</f>
        <v>0</v>
      </c>
      <c r="AW26" s="453">
        <f ca="1">IF(AND($D26="Serviço",AW$12&lt;&gt;0,$H26&gt;0,OR(AUTOEVENTO&lt;&gt;"manual",$M26&lt;&gt;$A$15)),
        IF(Import.TipoArredondamento&lt;&gt;"TransfereGOV",
              ROUND(OFFSET($P26,0,AW$13),15-13*ORÇAMENTO!$AF$7)/$H26*OFFSET(ORÇAMENTO!$X$15,ROW(AW26)-ROW(AW$15),0),
              ROUND(ROUND(OFFSET($P26,0,AW$13),15-13*ORÇAMENTO!$AF$7)*OFFSET(ORÇAMENTO!$W$15,ROW(AW26)-ROW(AW$15),0),15-13*ORÇAMENTO!$AF$11)),
         0)</f>
        <v>0</v>
      </c>
      <c r="AX26" s="453">
        <f ca="1">IF(AND($D26="Serviço",AX$12&lt;&gt;0,$H26&gt;0,OR(AUTOEVENTO&lt;&gt;"manual",$M26&lt;&gt;$A$15)),
        IF(Import.TipoArredondamento&lt;&gt;"TransfereGOV",
              ROUND(OFFSET($P26,0,AX$13),15-13*ORÇAMENTO!$AF$7)/$H26*OFFSET(ORÇAMENTO!$X$15,ROW(AX26)-ROW(AX$15),0),
              ROUND(ROUND(OFFSET($P26,0,AX$13),15-13*ORÇAMENTO!$AF$7)*OFFSET(ORÇAMENTO!$W$15,ROW(AX26)-ROW(AX$15),0),15-13*ORÇAMENTO!$AF$11)),
         0)</f>
        <v>0</v>
      </c>
      <c r="AY26" s="453">
        <f ca="1">IF(AND($D26="Serviço",AY$12&lt;&gt;0,$H26&gt;0,OR(AUTOEVENTO&lt;&gt;"manual",$M26&lt;&gt;$A$15)),
        IF(Import.TipoArredondamento&lt;&gt;"TransfereGOV",
              ROUND(OFFSET($P26,0,AY$13),15-13*ORÇAMENTO!$AF$7)/$H26*OFFSET(ORÇAMENTO!$X$15,ROW(AY26)-ROW(AY$15),0),
              ROUND(ROUND(OFFSET($P26,0,AY$13),15-13*ORÇAMENTO!$AF$7)*OFFSET(ORÇAMENTO!$W$15,ROW(AY26)-ROW(AY$15),0),15-13*ORÇAMENTO!$AF$11)),
         0)</f>
        <v>0</v>
      </c>
      <c r="AZ26" s="453">
        <f ca="1">IF(AND($D26="Serviço",AZ$12&lt;&gt;0,$H26&gt;0,OR(AUTOEVENTO&lt;&gt;"manual",$M26&lt;&gt;$A$15)),
        IF(Import.TipoArredondamento&lt;&gt;"TransfereGOV",
              ROUND(OFFSET($P26,0,AZ$13),15-13*ORÇAMENTO!$AF$7)/$H26*OFFSET(ORÇAMENTO!$X$15,ROW(AZ26)-ROW(AZ$15),0),
              ROUND(ROUND(OFFSET($P26,0,AZ$13),15-13*ORÇAMENTO!$AF$7)*OFFSET(ORÇAMENTO!$W$15,ROW(AZ26)-ROW(AZ$15),0),15-13*ORÇAMENTO!$AF$11)),
         0)</f>
        <v>0</v>
      </c>
      <c r="BA26" s="453">
        <f ca="1">IF(AND($D26="Serviço",BA$12&lt;&gt;0,$H26&gt;0,OR(AUTOEVENTO&lt;&gt;"manual",$M26&lt;&gt;$A$15)),
        IF(Import.TipoArredondamento&lt;&gt;"TransfereGOV",
              ROUND(OFFSET($P26,0,BA$13),15-13*ORÇAMENTO!$AF$7)/$H26*OFFSET(ORÇAMENTO!$X$15,ROW(BA26)-ROW(BA$15),0),
              ROUND(ROUND(OFFSET($P26,0,BA$13),15-13*ORÇAMENTO!$AF$7)*OFFSET(ORÇAMENTO!$W$15,ROW(BA26)-ROW(BA$15),0),15-13*ORÇAMENTO!$AF$11)),
         0)</f>
        <v>0</v>
      </c>
      <c r="BC26" s="171">
        <f ca="1">IF(OR($D26&lt;&gt;"Serviço",AND(AUTOEVENTO="Manual",$M26=$A$15)),0,
         IF(OFFSET(CRONOPLE!$F$15,$M26-$A$15,BC$13)=0,10^12,OFFSET(CRONOPLE!$F$15,$M26-$A$15,BC$13)))</f>
        <v>1000000000000</v>
      </c>
      <c r="BD26" s="171">
        <f ca="1">IF(OR($D26&lt;&gt;"Serviço",AND(AUTOEVENTO="Manual",$M26=$A$15)),0,
         IF(OFFSET(CRONOPLE!$F$15,$M26-$A$15,BD$13)=0,10^12,OFFSET(CRONOPLE!$F$15,$M26-$A$15,BD$13)))</f>
        <v>12</v>
      </c>
      <c r="BE26" s="171">
        <f ca="1">IF(OR($D26&lt;&gt;"Serviço",AND(AUTOEVENTO="Manual",$M26=$A$15)),0,
         IF(OFFSET(CRONOPLE!$F$15,$M26-$A$15,BE$13)=0,10^12,OFFSET(CRONOPLE!$F$15,$M26-$A$15,BE$13)))</f>
        <v>1000000000000</v>
      </c>
      <c r="BF26" s="171">
        <f ca="1">IF(OR($D26&lt;&gt;"Serviço",AND(AUTOEVENTO="Manual",$M26=$A$15)),0,
         IF(OFFSET(CRONOPLE!$F$15,$M26-$A$15,BF$13)=0,10^12,OFFSET(CRONOPLE!$F$15,$M26-$A$15,BF$13)))</f>
        <v>12</v>
      </c>
      <c r="BG26" s="171">
        <f ca="1">IF(OR($D26&lt;&gt;"Serviço",AND(AUTOEVENTO="Manual",$M26=$A$15)),0,
         IF(OFFSET(CRONOPLE!$F$15,$M26-$A$15,BG$13)=0,10^12,OFFSET(CRONOPLE!$F$15,$M26-$A$15,BG$13)))</f>
        <v>1000000000000</v>
      </c>
      <c r="BH26" s="171">
        <f ca="1">IF(OR($D26&lt;&gt;"Serviço",AND(AUTOEVENTO="Manual",$M26=$A$15)),0,
         IF(OFFSET(CRONOPLE!$F$15,$M26-$A$15,BH$13)=0,10^12,OFFSET(CRONOPLE!$F$15,$M26-$A$15,BH$13)))</f>
        <v>1000000000000</v>
      </c>
      <c r="BI26" s="171">
        <f ca="1">IF(OR($D26&lt;&gt;"Serviço",AND(AUTOEVENTO="Manual",$M26=$A$15)),0,
         IF(OFFSET(CRONOPLE!$F$15,$M26-$A$15,BI$13)=0,10^12,OFFSET(CRONOPLE!$F$15,$M26-$A$15,BI$13)))</f>
        <v>1000000000000</v>
      </c>
      <c r="BJ26" s="171">
        <f ca="1">IF(OR($D26&lt;&gt;"Serviço",AND(AUTOEVENTO="Manual",$M26=$A$15)),0,
         IF(OFFSET(CRONOPLE!$F$15,$M26-$A$15,BJ$13)=0,10^12,OFFSET(CRONOPLE!$F$15,$M26-$A$15,BJ$13)))</f>
        <v>1000000000000</v>
      </c>
      <c r="BK26" s="171">
        <f ca="1">IF(OR($D26&lt;&gt;"Serviço",AND(AUTOEVENTO="Manual",$M26=$A$15)),0,
         IF(OFFSET(CRONOPLE!$F$15,$M26-$A$15,BK$13)=0,10^12,OFFSET(CRONOPLE!$F$15,$M26-$A$15,BK$13)))</f>
        <v>1000000000000</v>
      </c>
      <c r="BL26" s="171">
        <f ca="1">IF(OR($D26&lt;&gt;"Serviço",AND(AUTOEVENTO="Manual",$M26=$A$15)),0,
         IF(OFFSET(CRONOPLE!$F$15,$M26-$A$15,BL$13)=0,10^12,OFFSET(CRONOPLE!$F$15,$M26-$A$15,BL$13)))</f>
        <v>1000000000000</v>
      </c>
      <c r="BM26" s="171">
        <f ca="1">IF(OR($D26&lt;&gt;"Serviço",AND(AUTOEVENTO="Manual",$M26=$A$15)),0,
         IF(OFFSET(CRONOPLE!$F$15,$M26-$A$15,BM$13)=0,10^12,OFFSET(CRONOPLE!$F$15,$M26-$A$15,BM$13)))</f>
        <v>1000000000000</v>
      </c>
      <c r="BN26" s="171">
        <f ca="1">IF(OR($D26&lt;&gt;"Serviço",AND(AUTOEVENTO="Manual",$M26=$A$15)),0,
         IF(OFFSET(CRONOPLE!$F$15,$M26-$A$15,BN$13)=0,10^12,OFFSET(CRONOPLE!$F$15,$M26-$A$15,BN$13)))</f>
        <v>1000000000000</v>
      </c>
      <c r="BO26" s="171">
        <f ca="1">IF(OR($D26&lt;&gt;"Serviço",AND(AUTOEVENTO="Manual",$M26=$A$15)),0,
         IF(OFFSET(CRONOPLE!$F$15,$M26-$A$15,BO$13)=0,10^12,OFFSET(CRONOPLE!$F$15,$M26-$A$15,BO$13)))</f>
        <v>1000000000000</v>
      </c>
      <c r="BP26" s="171">
        <f ca="1">IF(OR($D26&lt;&gt;"Serviço",AND(AUTOEVENTO="Manual",$M26=$A$15)),0,
         IF(OFFSET(CRONOPLE!$F$15,$M26-$A$15,BP$13)=0,10^12,OFFSET(CRONOPLE!$F$15,$M26-$A$15,BP$13)))</f>
        <v>1000000000000</v>
      </c>
      <c r="BQ26" s="171">
        <f ca="1">IF(OR($D26&lt;&gt;"Serviço",AND(AUTOEVENTO="Manual",$M26=$A$15)),0,
         IF(OFFSET(CRONOPLE!$F$15,$M26-$A$15,BQ$13)=0,10^12,OFFSET(CRONOPLE!$F$15,$M26-$A$15,BQ$13)))</f>
        <v>1000000000000</v>
      </c>
      <c r="BR26" s="171">
        <f ca="1">IF(OR($D26&lt;&gt;"Serviço",AND(AUTOEVENTO="Manual",$M26=$A$15)),0,
         IF(OFFSET(CRONOPLE!$F$15,$M26-$A$15,BR$13)=0,10^12,OFFSET(CRONOPLE!$F$15,$M26-$A$15,BR$13)))</f>
        <v>1000000000000</v>
      </c>
      <c r="BS26" s="171">
        <f ca="1">IF(OR($D26&lt;&gt;"Serviço",AND(AUTOEVENTO="Manual",$M26=$A$15)),0,
         IF(OFFSET(CRONOPLE!$F$15,$M26-$A$15,BS$13)=0,10^12,OFFSET(CRONOPLE!$F$15,$M26-$A$15,BS$13)))</f>
        <v>1000000000000</v>
      </c>
      <c r="BT26" s="171">
        <f ca="1">IF(OR($D26&lt;&gt;"Serviço",AND(AUTOEVENTO="Manual",$M26=$A$15)),0,
         IF(OFFSET(CRONOPLE!$F$15,$M26-$A$15,BT$13)=0,10^12,OFFSET(CRONOPLE!$F$15,$M26-$A$15,BT$13)))</f>
        <v>1000000000000</v>
      </c>
      <c r="BV26" s="172" cm="1">
        <f t="array" aca="1" ref="BV26" ca="1">IF(OR($D26&lt;&gt;"Serviço",AND(AUTOEVENTO="Manual",$M26=$A$15),$M26&gt;(ROW(PLE.lastrow)-ROW(PLE.firstrow))),0,
           IF(OFFSET(PLE!$G$15,$M26-$A$15,BV$13)="",10^12,OFFSET(PLE!$G$15,$M26-$A$15,BV$13)))</f>
        <v>1000000000000</v>
      </c>
      <c r="BW26" s="172" cm="1">
        <f t="array" aca="1" ref="BW26" ca="1">IF(OR($D26&lt;&gt;"Serviço",AND(AUTOEVENTO="Manual",$M26=$A$15),$M26&gt;(ROW(PLE.lastrow)-ROW(PLE.firstrow))),0,
           IF(OFFSET(PLE!$G$15,$M26-$A$15,BW$13)="",10^12,OFFSET(PLE!$G$15,$M26-$A$15,BW$13)))</f>
        <v>1000000000000</v>
      </c>
      <c r="BX26" s="172" cm="1">
        <f t="array" aca="1" ref="BX26" ca="1">IF(OR($D26&lt;&gt;"Serviço",AND(AUTOEVENTO="Manual",$M26=$A$15),$M26&gt;(ROW(PLE.lastrow)-ROW(PLE.firstrow))),0,
           IF(OFFSET(PLE!$G$15,$M26-$A$15,BX$13)="",10^12,OFFSET(PLE!$G$15,$M26-$A$15,BX$13)))</f>
        <v>1000000000000</v>
      </c>
      <c r="BY26" s="172" cm="1">
        <f t="array" aca="1" ref="BY26" ca="1">IF(OR($D26&lt;&gt;"Serviço",AND(AUTOEVENTO="Manual",$M26=$A$15),$M26&gt;(ROW(PLE.lastrow)-ROW(PLE.firstrow))),0,
           IF(OFFSET(PLE!$G$15,$M26-$A$15,BY$13)="",10^12,OFFSET(PLE!$G$15,$M26-$A$15,BY$13)))</f>
        <v>1000000000000</v>
      </c>
      <c r="BZ26" s="172" cm="1">
        <f t="array" aca="1" ref="BZ26" ca="1">IF(OR($D26&lt;&gt;"Serviço",AND(AUTOEVENTO="Manual",$M26=$A$15),$M26&gt;(ROW(PLE.lastrow)-ROW(PLE.firstrow))),0,
           IF(OFFSET(PLE!$G$15,$M26-$A$15,BZ$13)="",10^12,OFFSET(PLE!$G$15,$M26-$A$15,BZ$13)))</f>
        <v>1000000000000</v>
      </c>
      <c r="CA26" s="172" cm="1">
        <f t="array" aca="1" ref="CA26" ca="1">IF(OR($D26&lt;&gt;"Serviço",AND(AUTOEVENTO="Manual",$M26=$A$15),$M26&gt;(ROW(PLE.lastrow)-ROW(PLE.firstrow))),0,
           IF(OFFSET(PLE!$G$15,$M26-$A$15,CA$13)="",10^12,OFFSET(PLE!$G$15,$M26-$A$15,CA$13)))</f>
        <v>1000000000000</v>
      </c>
      <c r="CB26" s="172" cm="1">
        <f t="array" aca="1" ref="CB26" ca="1">IF(OR($D26&lt;&gt;"Serviço",AND(AUTOEVENTO="Manual",$M26=$A$15),$M26&gt;(ROW(PLE.lastrow)-ROW(PLE.firstrow))),0,
           IF(OFFSET(PLE!$G$15,$M26-$A$15,CB$13)="",10^12,OFFSET(PLE!$G$15,$M26-$A$15,CB$13)))</f>
        <v>1000000000000</v>
      </c>
      <c r="CC26" s="172" cm="1">
        <f t="array" aca="1" ref="CC26" ca="1">IF(OR($D26&lt;&gt;"Serviço",AND(AUTOEVENTO="Manual",$M26=$A$15),$M26&gt;(ROW(PLE.lastrow)-ROW(PLE.firstrow))),0,
           IF(OFFSET(PLE!$G$15,$M26-$A$15,CC$13)="",10^12,OFFSET(PLE!$G$15,$M26-$A$15,CC$13)))</f>
        <v>1000000000000</v>
      </c>
      <c r="CD26" s="172" cm="1">
        <f t="array" aca="1" ref="CD26" ca="1">IF(OR($D26&lt;&gt;"Serviço",AND(AUTOEVENTO="Manual",$M26=$A$15),$M26&gt;(ROW(PLE.lastrow)-ROW(PLE.firstrow))),0,
           IF(OFFSET(PLE!$G$15,$M26-$A$15,CD$13)="",10^12,OFFSET(PLE!$G$15,$M26-$A$15,CD$13)))</f>
        <v>1000000000000</v>
      </c>
      <c r="CE26" s="172" cm="1">
        <f t="array" aca="1" ref="CE26" ca="1">IF(OR($D26&lt;&gt;"Serviço",AND(AUTOEVENTO="Manual",$M26=$A$15),$M26&gt;(ROW(PLE.lastrow)-ROW(PLE.firstrow))),0,
           IF(OFFSET(PLE!$G$15,$M26-$A$15,CE$13)="",10^12,OFFSET(PLE!$G$15,$M26-$A$15,CE$13)))</f>
        <v>1000000000000</v>
      </c>
      <c r="CF26" s="172" cm="1">
        <f t="array" aca="1" ref="CF26" ca="1">IF(OR($D26&lt;&gt;"Serviço",AND(AUTOEVENTO="Manual",$M26=$A$15),$M26&gt;(ROW(PLE.lastrow)-ROW(PLE.firstrow))),0,
           IF(OFFSET(PLE!$G$15,$M26-$A$15,CF$13)="",10^12,OFFSET(PLE!$G$15,$M26-$A$15,CF$13)))</f>
        <v>1000000000000</v>
      </c>
      <c r="CG26" s="172" cm="1">
        <f t="array" aca="1" ref="CG26" ca="1">IF(OR($D26&lt;&gt;"Serviço",AND(AUTOEVENTO="Manual",$M26=$A$15),$M26&gt;(ROW(PLE.lastrow)-ROW(PLE.firstrow))),0,
           IF(OFFSET(PLE!$G$15,$M26-$A$15,CG$13)="",10^12,OFFSET(PLE!$G$15,$M26-$A$15,CG$13)))</f>
        <v>1000000000000</v>
      </c>
      <c r="CH26" s="172" cm="1">
        <f t="array" aca="1" ref="CH26" ca="1">IF(OR($D26&lt;&gt;"Serviço",AND(AUTOEVENTO="Manual",$M26=$A$15),$M26&gt;(ROW(PLE.lastrow)-ROW(PLE.firstrow))),0,
           IF(OFFSET(PLE!$G$15,$M26-$A$15,CH$13)="",10^12,OFFSET(PLE!$G$15,$M26-$A$15,CH$13)))</f>
        <v>1000000000000</v>
      </c>
      <c r="CI26" s="172" cm="1">
        <f t="array" aca="1" ref="CI26" ca="1">IF(OR($D26&lt;&gt;"Serviço",AND(AUTOEVENTO="Manual",$M26=$A$15),$M26&gt;(ROW(PLE.lastrow)-ROW(PLE.firstrow))),0,
           IF(OFFSET(PLE!$G$15,$M26-$A$15,CI$13)="",10^12,OFFSET(PLE!$G$15,$M26-$A$15,CI$13)))</f>
        <v>1000000000000</v>
      </c>
      <c r="CJ26" s="172" cm="1">
        <f t="array" aca="1" ref="CJ26" ca="1">IF(OR($D26&lt;&gt;"Serviço",AND(AUTOEVENTO="Manual",$M26=$A$15),$M26&gt;(ROW(PLE.lastrow)-ROW(PLE.firstrow))),0,
           IF(OFFSET(PLE!$G$15,$M26-$A$15,CJ$13)="",10^12,OFFSET(PLE!$G$15,$M26-$A$15,CJ$13)))</f>
        <v>1000000000000</v>
      </c>
      <c r="CK26" s="172" cm="1">
        <f t="array" aca="1" ref="CK26" ca="1">IF(OR($D26&lt;&gt;"Serviço",AND(AUTOEVENTO="Manual",$M26=$A$15),$M26&gt;(ROW(PLE.lastrow)-ROW(PLE.firstrow))),0,
           IF(OFFSET(PLE!$G$15,$M26-$A$15,CK$13)="",10^12,OFFSET(PLE!$G$15,$M26-$A$15,CK$13)))</f>
        <v>1000000000000</v>
      </c>
      <c r="CL26" s="172" cm="1">
        <f t="array" aca="1" ref="CL26" ca="1">IF(OR($D26&lt;&gt;"Serviço",AND(AUTOEVENTO="Manual",$M26=$A$15),$M26&gt;(ROW(PLE.lastrow)-ROW(PLE.firstrow))),0,
           IF(OFFSET(PLE!$G$15,$M26-$A$15,CL$13)="",10^12,OFFSET(PLE!$G$15,$M26-$A$15,CL$13)))</f>
        <v>1000000000000</v>
      </c>
      <c r="CM26" s="172" cm="1">
        <f t="array" aca="1" ref="CM26" ca="1">IF(OR($D26&lt;&gt;"Serviço",AND(AUTOEVENTO="Manual",$M26=$A$15),$M26&gt;(ROW(PLE.lastrow)-ROW(PLE.firstrow))),0,
           IF(OFFSET(PLE!$G$15,$M26-$A$15,CM$13)="",10^12,OFFSET(PLE!$G$15,$M26-$A$15,CM$13)))</f>
        <v>1000000000000</v>
      </c>
    </row>
    <row r="27" spans="1:91" s="670" customFormat="1" ht="12.75" x14ac:dyDescent="0.2">
      <c r="A27" s="668">
        <f t="shared" ca="1" si="10"/>
        <v>0</v>
      </c>
      <c r="B27" s="668">
        <f ca="1">OFFSET(ORÇAMENTO!C$15,$L27,0)</f>
        <v>2</v>
      </c>
      <c r="C27" s="668" t="str">
        <f ca="1">OFFSET(ORÇAMENTO!L$15,$L27,0)</f>
        <v>F</v>
      </c>
      <c r="D27" s="116" t="str">
        <f ca="1">OFFSET(ORÇAMENTO!N$15,$L27,0)</f>
        <v>Nível 2</v>
      </c>
      <c r="E27" s="117" t="str">
        <f ca="1">OFFSET(ORÇAMENTO!O$15,$L27,0)</f>
        <v>1.3.</v>
      </c>
      <c r="F27" s="163" t="str">
        <f ca="1">OFFSET(ORÇAMENTO!R$15,$L27,0)</f>
        <v>ADMINISTRAÇÃO LOCAL</v>
      </c>
      <c r="G27" s="164" t="str">
        <f ca="1">IF($D27&lt;&gt;"Serviço","",OFFSET(ORÇAMENTO!S$15,$L27,0))</f>
        <v/>
      </c>
      <c r="H27" s="122" cm="1">
        <f t="array" aca="1" ref="H27" ca="1">IF($D27&lt;&gt;"Serviço",0,IF(ACOMPANHAMENTO="BM",ROUND(OFFSET(ORÇAMENTO!AJ$15,$L27,0),15-13*ORÇAMENTO!$AF$7),IF(IFERROR(CÁLCULO.FrentesPreenchidas,0)=0,0,SUM(ROUND(OFFSET($P27,0,1,1,CÁLCULO.FrentesPreenchidas),15-13*ORÇAMENTO!$AF$7)))))</f>
        <v>0</v>
      </c>
      <c r="I27" s="468"/>
      <c r="J27" s="651" t="str" cm="1">
        <f t="array" aca="1" ref="J27" ca="1">IF(OR(B27&lt;&gt;"S",CÁLCULO.FrentesPreenchidas=0),"",IF(AND(ACOMPANHAMENTO="PLE",AUTOEVENTO="Manual",OR(H27&gt;0,ORÇAMENTO!AC27="QUANT."),OR(K27="",M27=0,N27="")),"►E",IF(AND(ACOMPANHAMENTO="PLE",ORÇAMENTO!AC27="QUANT."),"►Q",IF(AND(ACOMPANHAMENTO="PLE",H27&lt;&gt;SUMPRODUCT(($Q$1:$AI$1=1)*ROUND(Q27:AI27,15))),"►S",IF(AND(COUNTIF($P$11:$AI$11,"▼")=0,H27&gt;0,I27=""),"◄M","")))))</f>
        <v/>
      </c>
      <c r="K27" s="652"/>
      <c r="L27" s="165">
        <f t="shared" ca="1" si="11"/>
        <v>12</v>
      </c>
      <c r="M27" s="166" t="str">
        <f ca="1">IF($D27&lt;&gt;"Serviço","",
          IF(AUTOEVENTO="manual",$A27,
                IF(ISERROR(MATCH($A27,$A$15:OFFSET($A27,-1,0),0)),MAX($M$15:OFFSET(M27,-1,0))+1,
                      INDEX($M$15:OFFSET(M27,-1,0),MATCH($A27,$A$15:OFFSET($A27,-1,0),0)))))</f>
        <v/>
      </c>
      <c r="N27" s="167" t="str">
        <f ca="1">IF($D27&lt;&gt;"Serviço","",
         IF(AUTOEVENTO="Manual",
                IF($A27=0,"&lt;-- defina o número do agrupador",
                       OFFSET(EVENTOS!$D$15,$A27-$A$15,0)),
                OFFSET($F$15,$A27,0)))</f>
        <v/>
      </c>
      <c r="O27" s="168"/>
      <c r="Q27" s="168"/>
      <c r="R27" s="169" t="s">
        <v>250</v>
      </c>
      <c r="S27" s="169"/>
      <c r="T27" s="169"/>
      <c r="U27" s="169"/>
      <c r="V27" s="169"/>
      <c r="W27" s="169"/>
      <c r="X27" s="169"/>
      <c r="Y27" s="169"/>
      <c r="Z27" s="170"/>
      <c r="AA27" s="705"/>
      <c r="AB27" s="705"/>
      <c r="AC27" s="705"/>
      <c r="AD27" s="705"/>
      <c r="AE27" s="705"/>
      <c r="AF27" s="705"/>
      <c r="AG27" s="705"/>
      <c r="AH27" s="706"/>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L27" s="453">
        <f ca="1">IF(AND($D27="Serviço",AL$12&lt;&gt;0,$H27&gt;0,OR(AUTOEVENTO&lt;&gt;"manual",$M27&lt;&gt;$A$15)),
        IF(Import.TipoArredondamento&lt;&gt;"TransfereGOV",
              ROUND(OFFSET($P27,0,AL$13),15-13*ORÇAMENTO!$AF$7)/$H27*OFFSET(ORÇAMENTO!$X$15,ROW(AL27)-ROW(AL$15),0),
              ROUND(ROUND(OFFSET($P27,0,AL$13),15-13*ORÇAMENTO!$AF$7)*OFFSET(ORÇAMENTO!$W$15,ROW(AL27)-ROW(AL$15),0),15-13*ORÇAMENTO!$AF$11)),
         0)</f>
        <v>0</v>
      </c>
      <c r="AM27" s="453">
        <f ca="1">IF(AND($D27="Serviço",AM$12&lt;&gt;0,$H27&gt;0,OR(AUTOEVENTO&lt;&gt;"manual",$M27&lt;&gt;$A$15)),
        IF(Import.TipoArredondamento&lt;&gt;"TransfereGOV",
              ROUND(OFFSET($P27,0,AM$13),15-13*ORÇAMENTO!$AF$7)/$H27*OFFSET(ORÇAMENTO!$X$15,ROW(AM27)-ROW(AM$15),0),
              ROUND(ROUND(OFFSET($P27,0,AM$13),15-13*ORÇAMENTO!$AF$7)*OFFSET(ORÇAMENTO!$W$15,ROW(AM27)-ROW(AM$15),0),15-13*ORÇAMENTO!$AF$11)),
         0)</f>
        <v>0</v>
      </c>
      <c r="AN27" s="453">
        <f ca="1">IF(AND($D27="Serviço",AN$12&lt;&gt;0,$H27&gt;0,OR(AUTOEVENTO&lt;&gt;"manual",$M27&lt;&gt;$A$15)),
        IF(Import.TipoArredondamento&lt;&gt;"TransfereGOV",
              ROUND(OFFSET($P27,0,AN$13),15-13*ORÇAMENTO!$AF$7)/$H27*OFFSET(ORÇAMENTO!$X$15,ROW(AN27)-ROW(AN$15),0),
              ROUND(ROUND(OFFSET($P27,0,AN$13),15-13*ORÇAMENTO!$AF$7)*OFFSET(ORÇAMENTO!$W$15,ROW(AN27)-ROW(AN$15),0),15-13*ORÇAMENTO!$AF$11)),
         0)</f>
        <v>0</v>
      </c>
      <c r="AO27" s="453">
        <f ca="1">IF(AND($D27="Serviço",AO$12&lt;&gt;0,$H27&gt;0,OR(AUTOEVENTO&lt;&gt;"manual",$M27&lt;&gt;$A$15)),
        IF(Import.TipoArredondamento&lt;&gt;"TransfereGOV",
              ROUND(OFFSET($P27,0,AO$13),15-13*ORÇAMENTO!$AF$7)/$H27*OFFSET(ORÇAMENTO!$X$15,ROW(AO27)-ROW(AO$15),0),
              ROUND(ROUND(OFFSET($P27,0,AO$13),15-13*ORÇAMENTO!$AF$7)*OFFSET(ORÇAMENTO!$W$15,ROW(AO27)-ROW(AO$15),0),15-13*ORÇAMENTO!$AF$11)),
         0)</f>
        <v>0</v>
      </c>
      <c r="AP27" s="453">
        <f ca="1">IF(AND($D27="Serviço",AP$12&lt;&gt;0,$H27&gt;0,OR(AUTOEVENTO&lt;&gt;"manual",$M27&lt;&gt;$A$15)),
        IF(Import.TipoArredondamento&lt;&gt;"TransfereGOV",
              ROUND(OFFSET($P27,0,AP$13),15-13*ORÇAMENTO!$AF$7)/$H27*OFFSET(ORÇAMENTO!$X$15,ROW(AP27)-ROW(AP$15),0),
              ROUND(ROUND(OFFSET($P27,0,AP$13),15-13*ORÇAMENTO!$AF$7)*OFFSET(ORÇAMENTO!$W$15,ROW(AP27)-ROW(AP$15),0),15-13*ORÇAMENTO!$AF$11)),
         0)</f>
        <v>0</v>
      </c>
      <c r="AQ27" s="453">
        <f ca="1">IF(AND($D27="Serviço",AQ$12&lt;&gt;0,$H27&gt;0,OR(AUTOEVENTO&lt;&gt;"manual",$M27&lt;&gt;$A$15)),
        IF(Import.TipoArredondamento&lt;&gt;"TransfereGOV",
              ROUND(OFFSET($P27,0,AQ$13),15-13*ORÇAMENTO!$AF$7)/$H27*OFFSET(ORÇAMENTO!$X$15,ROW(AQ27)-ROW(AQ$15),0),
              ROUND(ROUND(OFFSET($P27,0,AQ$13),15-13*ORÇAMENTO!$AF$7)*OFFSET(ORÇAMENTO!$W$15,ROW(AQ27)-ROW(AQ$15),0),15-13*ORÇAMENTO!$AF$11)),
         0)</f>
        <v>0</v>
      </c>
      <c r="AR27" s="453">
        <f ca="1">IF(AND($D27="Serviço",AR$12&lt;&gt;0,$H27&gt;0,OR(AUTOEVENTO&lt;&gt;"manual",$M27&lt;&gt;$A$15)),
        IF(Import.TipoArredondamento&lt;&gt;"TransfereGOV",
              ROUND(OFFSET($P27,0,AR$13),15-13*ORÇAMENTO!$AF$7)/$H27*OFFSET(ORÇAMENTO!$X$15,ROW(AR27)-ROW(AR$15),0),
              ROUND(ROUND(OFFSET($P27,0,AR$13),15-13*ORÇAMENTO!$AF$7)*OFFSET(ORÇAMENTO!$W$15,ROW(AR27)-ROW(AR$15),0),15-13*ORÇAMENTO!$AF$11)),
         0)</f>
        <v>0</v>
      </c>
      <c r="AS27" s="453">
        <f ca="1">IF(AND($D27="Serviço",AS$12&lt;&gt;0,$H27&gt;0,OR(AUTOEVENTO&lt;&gt;"manual",$M27&lt;&gt;$A$15)),
        IF(Import.TipoArredondamento&lt;&gt;"TransfereGOV",
              ROUND(OFFSET($P27,0,AS$13),15-13*ORÇAMENTO!$AF$7)/$H27*OFFSET(ORÇAMENTO!$X$15,ROW(AS27)-ROW(AS$15),0),
              ROUND(ROUND(OFFSET($P27,0,AS$13),15-13*ORÇAMENTO!$AF$7)*OFFSET(ORÇAMENTO!$W$15,ROW(AS27)-ROW(AS$15),0),15-13*ORÇAMENTO!$AF$11)),
         0)</f>
        <v>0</v>
      </c>
      <c r="AT27" s="453">
        <f ca="1">IF(AND($D27="Serviço",AT$12&lt;&gt;0,$H27&gt;0,OR(AUTOEVENTO&lt;&gt;"manual",$M27&lt;&gt;$A$15)),
        IF(Import.TipoArredondamento&lt;&gt;"TransfereGOV",
              ROUND(OFFSET($P27,0,AT$13),15-13*ORÇAMENTO!$AF$7)/$H27*OFFSET(ORÇAMENTO!$X$15,ROW(AT27)-ROW(AT$15),0),
              ROUND(ROUND(OFFSET($P27,0,AT$13),15-13*ORÇAMENTO!$AF$7)*OFFSET(ORÇAMENTO!$W$15,ROW(AT27)-ROW(AT$15),0),15-13*ORÇAMENTO!$AF$11)),
         0)</f>
        <v>0</v>
      </c>
      <c r="AU27" s="453">
        <f ca="1">IF(AND($D27="Serviço",AU$12&lt;&gt;0,$H27&gt;0,OR(AUTOEVENTO&lt;&gt;"manual",$M27&lt;&gt;$A$15)),
        IF(Import.TipoArredondamento&lt;&gt;"TransfereGOV",
              ROUND(OFFSET($P27,0,AU$13),15-13*ORÇAMENTO!$AF$7)/$H27*OFFSET(ORÇAMENTO!$X$15,ROW(AU27)-ROW(AU$15),0),
              ROUND(ROUND(OFFSET($P27,0,AU$13),15-13*ORÇAMENTO!$AF$7)*OFFSET(ORÇAMENTO!$W$15,ROW(AU27)-ROW(AU$15),0),15-13*ORÇAMENTO!$AF$11)),
         0)</f>
        <v>0</v>
      </c>
      <c r="AV27" s="453">
        <f ca="1">IF(AND($D27="Serviço",AV$12&lt;&gt;0,$H27&gt;0,OR(AUTOEVENTO&lt;&gt;"manual",$M27&lt;&gt;$A$15)),
        IF(Import.TipoArredondamento&lt;&gt;"TransfereGOV",
              ROUND(OFFSET($P27,0,AV$13),15-13*ORÇAMENTO!$AF$7)/$H27*OFFSET(ORÇAMENTO!$X$15,ROW(AV27)-ROW(AV$15),0),
              ROUND(ROUND(OFFSET($P27,0,AV$13),15-13*ORÇAMENTO!$AF$7)*OFFSET(ORÇAMENTO!$W$15,ROW(AV27)-ROW(AV$15),0),15-13*ORÇAMENTO!$AF$11)),
         0)</f>
        <v>0</v>
      </c>
      <c r="AW27" s="453">
        <f ca="1">IF(AND($D27="Serviço",AW$12&lt;&gt;0,$H27&gt;0,OR(AUTOEVENTO&lt;&gt;"manual",$M27&lt;&gt;$A$15)),
        IF(Import.TipoArredondamento&lt;&gt;"TransfereGOV",
              ROUND(OFFSET($P27,0,AW$13),15-13*ORÇAMENTO!$AF$7)/$H27*OFFSET(ORÇAMENTO!$X$15,ROW(AW27)-ROW(AW$15),0),
              ROUND(ROUND(OFFSET($P27,0,AW$13),15-13*ORÇAMENTO!$AF$7)*OFFSET(ORÇAMENTO!$W$15,ROW(AW27)-ROW(AW$15),0),15-13*ORÇAMENTO!$AF$11)),
         0)</f>
        <v>0</v>
      </c>
      <c r="AX27" s="453">
        <f ca="1">IF(AND($D27="Serviço",AX$12&lt;&gt;0,$H27&gt;0,OR(AUTOEVENTO&lt;&gt;"manual",$M27&lt;&gt;$A$15)),
        IF(Import.TipoArredondamento&lt;&gt;"TransfereGOV",
              ROUND(OFFSET($P27,0,AX$13),15-13*ORÇAMENTO!$AF$7)/$H27*OFFSET(ORÇAMENTO!$X$15,ROW(AX27)-ROW(AX$15),0),
              ROUND(ROUND(OFFSET($P27,0,AX$13),15-13*ORÇAMENTO!$AF$7)*OFFSET(ORÇAMENTO!$W$15,ROW(AX27)-ROW(AX$15),0),15-13*ORÇAMENTO!$AF$11)),
         0)</f>
        <v>0</v>
      </c>
      <c r="AY27" s="453">
        <f ca="1">IF(AND($D27="Serviço",AY$12&lt;&gt;0,$H27&gt;0,OR(AUTOEVENTO&lt;&gt;"manual",$M27&lt;&gt;$A$15)),
        IF(Import.TipoArredondamento&lt;&gt;"TransfereGOV",
              ROUND(OFFSET($P27,0,AY$13),15-13*ORÇAMENTO!$AF$7)/$H27*OFFSET(ORÇAMENTO!$X$15,ROW(AY27)-ROW(AY$15),0),
              ROUND(ROUND(OFFSET($P27,0,AY$13),15-13*ORÇAMENTO!$AF$7)*OFFSET(ORÇAMENTO!$W$15,ROW(AY27)-ROW(AY$15),0),15-13*ORÇAMENTO!$AF$11)),
         0)</f>
        <v>0</v>
      </c>
      <c r="AZ27" s="453">
        <f ca="1">IF(AND($D27="Serviço",AZ$12&lt;&gt;0,$H27&gt;0,OR(AUTOEVENTO&lt;&gt;"manual",$M27&lt;&gt;$A$15)),
        IF(Import.TipoArredondamento&lt;&gt;"TransfereGOV",
              ROUND(OFFSET($P27,0,AZ$13),15-13*ORÇAMENTO!$AF$7)/$H27*OFFSET(ORÇAMENTO!$X$15,ROW(AZ27)-ROW(AZ$15),0),
              ROUND(ROUND(OFFSET($P27,0,AZ$13),15-13*ORÇAMENTO!$AF$7)*OFFSET(ORÇAMENTO!$W$15,ROW(AZ27)-ROW(AZ$15),0),15-13*ORÇAMENTO!$AF$11)),
         0)</f>
        <v>0</v>
      </c>
      <c r="BA27" s="453">
        <f ca="1">IF(AND($D27="Serviço",BA$12&lt;&gt;0,$H27&gt;0,OR(AUTOEVENTO&lt;&gt;"manual",$M27&lt;&gt;$A$15)),
        IF(Import.TipoArredondamento&lt;&gt;"TransfereGOV",
              ROUND(OFFSET($P27,0,BA$13),15-13*ORÇAMENTO!$AF$7)/$H27*OFFSET(ORÇAMENTO!$X$15,ROW(BA27)-ROW(BA$15),0),
              ROUND(ROUND(OFFSET($P27,0,BA$13),15-13*ORÇAMENTO!$AF$7)*OFFSET(ORÇAMENTO!$W$15,ROW(BA27)-ROW(BA$15),0),15-13*ORÇAMENTO!$AF$11)),
         0)</f>
        <v>0</v>
      </c>
      <c r="BC27" s="171">
        <f ca="1">IF(OR($D27&lt;&gt;"Serviço",AND(AUTOEVENTO="Manual",$M27=$A$15)),0,
         IF(OFFSET(CRONOPLE!$F$15,$M27-$A$15,BC$13)=0,10^12,OFFSET(CRONOPLE!$F$15,$M27-$A$15,BC$13)))</f>
        <v>0</v>
      </c>
      <c r="BD27" s="171">
        <f ca="1">IF(OR($D27&lt;&gt;"Serviço",AND(AUTOEVENTO="Manual",$M27=$A$15)),0,
         IF(OFFSET(CRONOPLE!$F$15,$M27-$A$15,BD$13)=0,10^12,OFFSET(CRONOPLE!$F$15,$M27-$A$15,BD$13)))</f>
        <v>0</v>
      </c>
      <c r="BE27" s="171">
        <f ca="1">IF(OR($D27&lt;&gt;"Serviço",AND(AUTOEVENTO="Manual",$M27=$A$15)),0,
         IF(OFFSET(CRONOPLE!$F$15,$M27-$A$15,BE$13)=0,10^12,OFFSET(CRONOPLE!$F$15,$M27-$A$15,BE$13)))</f>
        <v>0</v>
      </c>
      <c r="BF27" s="171">
        <f ca="1">IF(OR($D27&lt;&gt;"Serviço",AND(AUTOEVENTO="Manual",$M27=$A$15)),0,
         IF(OFFSET(CRONOPLE!$F$15,$M27-$A$15,BF$13)=0,10^12,OFFSET(CRONOPLE!$F$15,$M27-$A$15,BF$13)))</f>
        <v>0</v>
      </c>
      <c r="BG27" s="171">
        <f ca="1">IF(OR($D27&lt;&gt;"Serviço",AND(AUTOEVENTO="Manual",$M27=$A$15)),0,
         IF(OFFSET(CRONOPLE!$F$15,$M27-$A$15,BG$13)=0,10^12,OFFSET(CRONOPLE!$F$15,$M27-$A$15,BG$13)))</f>
        <v>0</v>
      </c>
      <c r="BH27" s="171">
        <f ca="1">IF(OR($D27&lt;&gt;"Serviço",AND(AUTOEVENTO="Manual",$M27=$A$15)),0,
         IF(OFFSET(CRONOPLE!$F$15,$M27-$A$15,BH$13)=0,10^12,OFFSET(CRONOPLE!$F$15,$M27-$A$15,BH$13)))</f>
        <v>0</v>
      </c>
      <c r="BI27" s="171">
        <f ca="1">IF(OR($D27&lt;&gt;"Serviço",AND(AUTOEVENTO="Manual",$M27=$A$15)),0,
         IF(OFFSET(CRONOPLE!$F$15,$M27-$A$15,BI$13)=0,10^12,OFFSET(CRONOPLE!$F$15,$M27-$A$15,BI$13)))</f>
        <v>0</v>
      </c>
      <c r="BJ27" s="171">
        <f ca="1">IF(OR($D27&lt;&gt;"Serviço",AND(AUTOEVENTO="Manual",$M27=$A$15)),0,
         IF(OFFSET(CRONOPLE!$F$15,$M27-$A$15,BJ$13)=0,10^12,OFFSET(CRONOPLE!$F$15,$M27-$A$15,BJ$13)))</f>
        <v>0</v>
      </c>
      <c r="BK27" s="171">
        <f ca="1">IF(OR($D27&lt;&gt;"Serviço",AND(AUTOEVENTO="Manual",$M27=$A$15)),0,
         IF(OFFSET(CRONOPLE!$F$15,$M27-$A$15,BK$13)=0,10^12,OFFSET(CRONOPLE!$F$15,$M27-$A$15,BK$13)))</f>
        <v>0</v>
      </c>
      <c r="BL27" s="171">
        <f ca="1">IF(OR($D27&lt;&gt;"Serviço",AND(AUTOEVENTO="Manual",$M27=$A$15)),0,
         IF(OFFSET(CRONOPLE!$F$15,$M27-$A$15,BL$13)=0,10^12,OFFSET(CRONOPLE!$F$15,$M27-$A$15,BL$13)))</f>
        <v>0</v>
      </c>
      <c r="BM27" s="171">
        <f ca="1">IF(OR($D27&lt;&gt;"Serviço",AND(AUTOEVENTO="Manual",$M27=$A$15)),0,
         IF(OFFSET(CRONOPLE!$F$15,$M27-$A$15,BM$13)=0,10^12,OFFSET(CRONOPLE!$F$15,$M27-$A$15,BM$13)))</f>
        <v>0</v>
      </c>
      <c r="BN27" s="171">
        <f ca="1">IF(OR($D27&lt;&gt;"Serviço",AND(AUTOEVENTO="Manual",$M27=$A$15)),0,
         IF(OFFSET(CRONOPLE!$F$15,$M27-$A$15,BN$13)=0,10^12,OFFSET(CRONOPLE!$F$15,$M27-$A$15,BN$13)))</f>
        <v>0</v>
      </c>
      <c r="BO27" s="171">
        <f ca="1">IF(OR($D27&lt;&gt;"Serviço",AND(AUTOEVENTO="Manual",$M27=$A$15)),0,
         IF(OFFSET(CRONOPLE!$F$15,$M27-$A$15,BO$13)=0,10^12,OFFSET(CRONOPLE!$F$15,$M27-$A$15,BO$13)))</f>
        <v>0</v>
      </c>
      <c r="BP27" s="171">
        <f ca="1">IF(OR($D27&lt;&gt;"Serviço",AND(AUTOEVENTO="Manual",$M27=$A$15)),0,
         IF(OFFSET(CRONOPLE!$F$15,$M27-$A$15,BP$13)=0,10^12,OFFSET(CRONOPLE!$F$15,$M27-$A$15,BP$13)))</f>
        <v>0</v>
      </c>
      <c r="BQ27" s="171">
        <f ca="1">IF(OR($D27&lt;&gt;"Serviço",AND(AUTOEVENTO="Manual",$M27=$A$15)),0,
         IF(OFFSET(CRONOPLE!$F$15,$M27-$A$15,BQ$13)=0,10^12,OFFSET(CRONOPLE!$F$15,$M27-$A$15,BQ$13)))</f>
        <v>0</v>
      </c>
      <c r="BR27" s="171">
        <f ca="1">IF(OR($D27&lt;&gt;"Serviço",AND(AUTOEVENTO="Manual",$M27=$A$15)),0,
         IF(OFFSET(CRONOPLE!$F$15,$M27-$A$15,BR$13)=0,10^12,OFFSET(CRONOPLE!$F$15,$M27-$A$15,BR$13)))</f>
        <v>0</v>
      </c>
      <c r="BS27" s="171">
        <f ca="1">IF(OR($D27&lt;&gt;"Serviço",AND(AUTOEVENTO="Manual",$M27=$A$15)),0,
         IF(OFFSET(CRONOPLE!$F$15,$M27-$A$15,BS$13)=0,10^12,OFFSET(CRONOPLE!$F$15,$M27-$A$15,BS$13)))</f>
        <v>0</v>
      </c>
      <c r="BT27" s="171">
        <f ca="1">IF(OR($D27&lt;&gt;"Serviço",AND(AUTOEVENTO="Manual",$M27=$A$15)),0,
         IF(OFFSET(CRONOPLE!$F$15,$M27-$A$15,BT$13)=0,10^12,OFFSET(CRONOPLE!$F$15,$M27-$A$15,BT$13)))</f>
        <v>0</v>
      </c>
      <c r="BV27" s="172" cm="1">
        <f t="array" aca="1" ref="BV27" ca="1">IF(OR($D27&lt;&gt;"Serviço",AND(AUTOEVENTO="Manual",$M27=$A$15),$M27&gt;(ROW(PLE.lastrow)-ROW(PLE.firstrow))),0,
           IF(OFFSET(PLE!$G$15,$M27-$A$15,BV$13)="",10^12,OFFSET(PLE!$G$15,$M27-$A$15,BV$13)))</f>
        <v>0</v>
      </c>
      <c r="BW27" s="172" cm="1">
        <f t="array" aca="1" ref="BW27" ca="1">IF(OR($D27&lt;&gt;"Serviço",AND(AUTOEVENTO="Manual",$M27=$A$15),$M27&gt;(ROW(PLE.lastrow)-ROW(PLE.firstrow))),0,
           IF(OFFSET(PLE!$G$15,$M27-$A$15,BW$13)="",10^12,OFFSET(PLE!$G$15,$M27-$A$15,BW$13)))</f>
        <v>0</v>
      </c>
      <c r="BX27" s="172" cm="1">
        <f t="array" aca="1" ref="BX27" ca="1">IF(OR($D27&lt;&gt;"Serviço",AND(AUTOEVENTO="Manual",$M27=$A$15),$M27&gt;(ROW(PLE.lastrow)-ROW(PLE.firstrow))),0,
           IF(OFFSET(PLE!$G$15,$M27-$A$15,BX$13)="",10^12,OFFSET(PLE!$G$15,$M27-$A$15,BX$13)))</f>
        <v>0</v>
      </c>
      <c r="BY27" s="172" cm="1">
        <f t="array" aca="1" ref="BY27" ca="1">IF(OR($D27&lt;&gt;"Serviço",AND(AUTOEVENTO="Manual",$M27=$A$15),$M27&gt;(ROW(PLE.lastrow)-ROW(PLE.firstrow))),0,
           IF(OFFSET(PLE!$G$15,$M27-$A$15,BY$13)="",10^12,OFFSET(PLE!$G$15,$M27-$A$15,BY$13)))</f>
        <v>0</v>
      </c>
      <c r="BZ27" s="172" cm="1">
        <f t="array" aca="1" ref="BZ27" ca="1">IF(OR($D27&lt;&gt;"Serviço",AND(AUTOEVENTO="Manual",$M27=$A$15),$M27&gt;(ROW(PLE.lastrow)-ROW(PLE.firstrow))),0,
           IF(OFFSET(PLE!$G$15,$M27-$A$15,BZ$13)="",10^12,OFFSET(PLE!$G$15,$M27-$A$15,BZ$13)))</f>
        <v>0</v>
      </c>
      <c r="CA27" s="172" cm="1">
        <f t="array" aca="1" ref="CA27" ca="1">IF(OR($D27&lt;&gt;"Serviço",AND(AUTOEVENTO="Manual",$M27=$A$15),$M27&gt;(ROW(PLE.lastrow)-ROW(PLE.firstrow))),0,
           IF(OFFSET(PLE!$G$15,$M27-$A$15,CA$13)="",10^12,OFFSET(PLE!$G$15,$M27-$A$15,CA$13)))</f>
        <v>0</v>
      </c>
      <c r="CB27" s="172" cm="1">
        <f t="array" aca="1" ref="CB27" ca="1">IF(OR($D27&lt;&gt;"Serviço",AND(AUTOEVENTO="Manual",$M27=$A$15),$M27&gt;(ROW(PLE.lastrow)-ROW(PLE.firstrow))),0,
           IF(OFFSET(PLE!$G$15,$M27-$A$15,CB$13)="",10^12,OFFSET(PLE!$G$15,$M27-$A$15,CB$13)))</f>
        <v>0</v>
      </c>
      <c r="CC27" s="172" cm="1">
        <f t="array" aca="1" ref="CC27" ca="1">IF(OR($D27&lt;&gt;"Serviço",AND(AUTOEVENTO="Manual",$M27=$A$15),$M27&gt;(ROW(PLE.lastrow)-ROW(PLE.firstrow))),0,
           IF(OFFSET(PLE!$G$15,$M27-$A$15,CC$13)="",10^12,OFFSET(PLE!$G$15,$M27-$A$15,CC$13)))</f>
        <v>0</v>
      </c>
      <c r="CD27" s="172" cm="1">
        <f t="array" aca="1" ref="CD27" ca="1">IF(OR($D27&lt;&gt;"Serviço",AND(AUTOEVENTO="Manual",$M27=$A$15),$M27&gt;(ROW(PLE.lastrow)-ROW(PLE.firstrow))),0,
           IF(OFFSET(PLE!$G$15,$M27-$A$15,CD$13)="",10^12,OFFSET(PLE!$G$15,$M27-$A$15,CD$13)))</f>
        <v>0</v>
      </c>
      <c r="CE27" s="172" cm="1">
        <f t="array" aca="1" ref="CE27" ca="1">IF(OR($D27&lt;&gt;"Serviço",AND(AUTOEVENTO="Manual",$M27=$A$15),$M27&gt;(ROW(PLE.lastrow)-ROW(PLE.firstrow))),0,
           IF(OFFSET(PLE!$G$15,$M27-$A$15,CE$13)="",10^12,OFFSET(PLE!$G$15,$M27-$A$15,CE$13)))</f>
        <v>0</v>
      </c>
      <c r="CF27" s="172" cm="1">
        <f t="array" aca="1" ref="CF27" ca="1">IF(OR($D27&lt;&gt;"Serviço",AND(AUTOEVENTO="Manual",$M27=$A$15),$M27&gt;(ROW(PLE.lastrow)-ROW(PLE.firstrow))),0,
           IF(OFFSET(PLE!$G$15,$M27-$A$15,CF$13)="",10^12,OFFSET(PLE!$G$15,$M27-$A$15,CF$13)))</f>
        <v>0</v>
      </c>
      <c r="CG27" s="172" cm="1">
        <f t="array" aca="1" ref="CG27" ca="1">IF(OR($D27&lt;&gt;"Serviço",AND(AUTOEVENTO="Manual",$M27=$A$15),$M27&gt;(ROW(PLE.lastrow)-ROW(PLE.firstrow))),0,
           IF(OFFSET(PLE!$G$15,$M27-$A$15,CG$13)="",10^12,OFFSET(PLE!$G$15,$M27-$A$15,CG$13)))</f>
        <v>0</v>
      </c>
      <c r="CH27" s="172" cm="1">
        <f t="array" aca="1" ref="CH27" ca="1">IF(OR($D27&lt;&gt;"Serviço",AND(AUTOEVENTO="Manual",$M27=$A$15),$M27&gt;(ROW(PLE.lastrow)-ROW(PLE.firstrow))),0,
           IF(OFFSET(PLE!$G$15,$M27-$A$15,CH$13)="",10^12,OFFSET(PLE!$G$15,$M27-$A$15,CH$13)))</f>
        <v>0</v>
      </c>
      <c r="CI27" s="172" cm="1">
        <f t="array" aca="1" ref="CI27" ca="1">IF(OR($D27&lt;&gt;"Serviço",AND(AUTOEVENTO="Manual",$M27=$A$15),$M27&gt;(ROW(PLE.lastrow)-ROW(PLE.firstrow))),0,
           IF(OFFSET(PLE!$G$15,$M27-$A$15,CI$13)="",10^12,OFFSET(PLE!$G$15,$M27-$A$15,CI$13)))</f>
        <v>0</v>
      </c>
      <c r="CJ27" s="172" cm="1">
        <f t="array" aca="1" ref="CJ27" ca="1">IF(OR($D27&lt;&gt;"Serviço",AND(AUTOEVENTO="Manual",$M27=$A$15),$M27&gt;(ROW(PLE.lastrow)-ROW(PLE.firstrow))),0,
           IF(OFFSET(PLE!$G$15,$M27-$A$15,CJ$13)="",10^12,OFFSET(PLE!$G$15,$M27-$A$15,CJ$13)))</f>
        <v>0</v>
      </c>
      <c r="CK27" s="172" cm="1">
        <f t="array" aca="1" ref="CK27" ca="1">IF(OR($D27&lt;&gt;"Serviço",AND(AUTOEVENTO="Manual",$M27=$A$15),$M27&gt;(ROW(PLE.lastrow)-ROW(PLE.firstrow))),0,
           IF(OFFSET(PLE!$G$15,$M27-$A$15,CK$13)="",10^12,OFFSET(PLE!$G$15,$M27-$A$15,CK$13)))</f>
        <v>0</v>
      </c>
      <c r="CL27" s="172" cm="1">
        <f t="array" aca="1" ref="CL27" ca="1">IF(OR($D27&lt;&gt;"Serviço",AND(AUTOEVENTO="Manual",$M27=$A$15),$M27&gt;(ROW(PLE.lastrow)-ROW(PLE.firstrow))),0,
           IF(OFFSET(PLE!$G$15,$M27-$A$15,CL$13)="",10^12,OFFSET(PLE!$G$15,$M27-$A$15,CL$13)))</f>
        <v>0</v>
      </c>
      <c r="CM27" s="172" cm="1">
        <f t="array" aca="1" ref="CM27" ca="1">IF(OR($D27&lt;&gt;"Serviço",AND(AUTOEVENTO="Manual",$M27=$A$15),$M27&gt;(ROW(PLE.lastrow)-ROW(PLE.firstrow))),0,
           IF(OFFSET(PLE!$G$15,$M27-$A$15,CM$13)="",10^12,OFFSET(PLE!$G$15,$M27-$A$15,CM$13)))</f>
        <v>0</v>
      </c>
    </row>
    <row r="28" spans="1:91" s="670" customFormat="1" ht="12.75" x14ac:dyDescent="0.2">
      <c r="A28" s="668">
        <f t="shared" ca="1" si="10"/>
        <v>5</v>
      </c>
      <c r="B28" s="668" t="str">
        <f ca="1">OFFSET(ORÇAMENTO!C$15,$L28,0)</f>
        <v>S</v>
      </c>
      <c r="C28" s="668" t="str">
        <f ca="1">OFFSET(ORÇAMENTO!L$15,$L28,0)</f>
        <v>F</v>
      </c>
      <c r="D28" s="116" t="str">
        <f ca="1">OFFSET(ORÇAMENTO!N$15,$L28,0)</f>
        <v>Serviço</v>
      </c>
      <c r="E28" s="117" t="str">
        <f ca="1">OFFSET(ORÇAMENTO!O$15,$L28,0)</f>
        <v>1.3.1.</v>
      </c>
      <c r="F28" s="163" t="str">
        <f ca="1">OFFSET(ORÇAMENTO!R$15,$L28,0)</f>
        <v>TOPOGRAFO COM ENCARGOS COMPLEMENTARES</v>
      </c>
      <c r="G28" s="164" t="str">
        <f ca="1">IF($D28&lt;&gt;"Serviço","",OFFSET(ORÇAMENTO!S$15,$L28,0))</f>
        <v>MES</v>
      </c>
      <c r="H28" s="122" cm="1">
        <f t="array" aca="1" ref="H28" ca="1">IF($D28&lt;&gt;"Serviço",0,IF(ACOMPANHAMENTO="BM",ROUND(OFFSET(ORÇAMENTO!AJ$15,$L28,0),15-13*ORÇAMENTO!$AF$7),IF(IFERROR(CÁLCULO.FrentesPreenchidas,0)=0,0,SUM(ROUND(OFFSET($P28,0,1,1,CÁLCULO.FrentesPreenchidas),15-13*ORÇAMENTO!$AF$7)))))</f>
        <v>0.2</v>
      </c>
      <c r="I28" s="468" t="s">
        <v>1218</v>
      </c>
      <c r="J28" s="651" t="str" cm="1">
        <f t="array" aca="1" ref="J28" ca="1">IF(OR(B28&lt;&gt;"S",CÁLCULO.FrentesPreenchidas=0),"",IF(AND(ACOMPANHAMENTO="PLE",AUTOEVENTO="Manual",OR(H28&gt;0,ORÇAMENTO!AC28="QUANT."),OR(K28="",M28=0,N28="")),"►E",IF(AND(ACOMPANHAMENTO="PLE",ORÇAMENTO!AC28="QUANT."),"►Q",IF(AND(ACOMPANHAMENTO="PLE",H28&lt;&gt;SUMPRODUCT(($Q$1:$AI$1=1)*ROUND(Q28:AI28,15))),"►S",IF(AND(COUNTIF($P$11:$AI$11,"▼")=0,H28&gt;0,I28=""),"◄M","")))))</f>
        <v/>
      </c>
      <c r="K28" s="652" t="s">
        <v>1336</v>
      </c>
      <c r="L28" s="165">
        <f t="shared" ca="1" si="11"/>
        <v>13</v>
      </c>
      <c r="M28" s="166">
        <f ca="1">IF($D28&lt;&gt;"Serviço","",
          IF(AUTOEVENTO="manual",$A28,
                IF(ISERROR(MATCH($A28,$A$15:OFFSET($A28,-1,0),0)),MAX($M$15:OFFSET(M28,-1,0))+1,
                      INDEX($M$15:OFFSET(M28,-1,0),MATCH($A28,$A$15:OFFSET($A28,-1,0),0)))))</f>
        <v>5</v>
      </c>
      <c r="N28" s="167" t="str">
        <f ca="1">IF($D28&lt;&gt;"Serviço","",
         IF(AUTOEVENTO="Manual",
                IF($A28=0,"&lt;-- defina o número do agrupador",
                       OFFSET(EVENTOS!$D$15,$A28-$A$15,0)),
                OFFSET($F$15,$A28,0)))</f>
        <v>Administração Local</v>
      </c>
      <c r="O28" s="168"/>
      <c r="Q28" s="168"/>
      <c r="R28" s="169">
        <v>0.01</v>
      </c>
      <c r="S28" s="169"/>
      <c r="T28" s="169">
        <v>0.02</v>
      </c>
      <c r="U28" s="169">
        <v>0.01</v>
      </c>
      <c r="V28" s="169">
        <v>0.06</v>
      </c>
      <c r="W28" s="169">
        <v>0.01</v>
      </c>
      <c r="X28" s="169">
        <v>0.03</v>
      </c>
      <c r="Y28" s="169">
        <v>0.02</v>
      </c>
      <c r="Z28" s="170">
        <v>0.01</v>
      </c>
      <c r="AA28" s="705">
        <v>0.03</v>
      </c>
      <c r="AB28" s="705"/>
      <c r="AC28" s="705"/>
      <c r="AD28" s="705"/>
      <c r="AE28" s="705"/>
      <c r="AF28" s="705"/>
      <c r="AG28" s="705"/>
      <c r="AH28" s="706"/>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110.42</v>
      </c>
      <c r="AL28" s="453">
        <f ca="1">IF(AND($D28="Serviço",AL$12&lt;&gt;0,$H28&gt;0,OR(AUTOEVENTO&lt;&gt;"manual",$M28&lt;&gt;$A$15)),
        IF(Import.TipoArredondamento&lt;&gt;"TransfereGOV",
              ROUND(OFFSET($P28,0,AL$13),15-13*ORÇAMENTO!$AF$7)/$H28*OFFSET(ORÇAMENTO!$X$15,ROW(AL28)-ROW(AL$15),0),
              ROUND(ROUND(OFFSET($P28,0,AL$13),15-13*ORÇAMENTO!$AF$7)*OFFSET(ORÇAMENTO!$W$15,ROW(AL28)-ROW(AL$15),0),15-13*ORÇAMENTO!$AF$11)),
         0)</f>
        <v>0</v>
      </c>
      <c r="AM28" s="453">
        <f ca="1">IF(AND($D28="Serviço",AM$12&lt;&gt;0,$H28&gt;0,OR(AUTOEVENTO&lt;&gt;"manual",$M28&lt;&gt;$A$15)),
        IF(Import.TipoArredondamento&lt;&gt;"TransfereGOV",
              ROUND(OFFSET($P28,0,AM$13),15-13*ORÇAMENTO!$AF$7)/$H28*OFFSET(ORÇAMENTO!$X$15,ROW(AM28)-ROW(AM$15),0),
              ROUND(ROUND(OFFSET($P28,0,AM$13),15-13*ORÇAMENTO!$AF$7)*OFFSET(ORÇAMENTO!$W$15,ROW(AM28)-ROW(AM$15),0),15-13*ORÇAMENTO!$AF$11)),
         0)</f>
        <v>220.84</v>
      </c>
      <c r="AN28" s="453">
        <f ca="1">IF(AND($D28="Serviço",AN$12&lt;&gt;0,$H28&gt;0,OR(AUTOEVENTO&lt;&gt;"manual",$M28&lt;&gt;$A$15)),
        IF(Import.TipoArredondamento&lt;&gt;"TransfereGOV",
              ROUND(OFFSET($P28,0,AN$13),15-13*ORÇAMENTO!$AF$7)/$H28*OFFSET(ORÇAMENTO!$X$15,ROW(AN28)-ROW(AN$15),0),
              ROUND(ROUND(OFFSET($P28,0,AN$13),15-13*ORÇAMENTO!$AF$7)*OFFSET(ORÇAMENTO!$W$15,ROW(AN28)-ROW(AN$15),0),15-13*ORÇAMENTO!$AF$11)),
         0)</f>
        <v>110.42</v>
      </c>
      <c r="AO28" s="453">
        <f ca="1">IF(AND($D28="Serviço",AO$12&lt;&gt;0,$H28&gt;0,OR(AUTOEVENTO&lt;&gt;"manual",$M28&lt;&gt;$A$15)),
        IF(Import.TipoArredondamento&lt;&gt;"TransfereGOV",
              ROUND(OFFSET($P28,0,AO$13),15-13*ORÇAMENTO!$AF$7)/$H28*OFFSET(ORÇAMENTO!$X$15,ROW(AO28)-ROW(AO$15),0),
              ROUND(ROUND(OFFSET($P28,0,AO$13),15-13*ORÇAMENTO!$AF$7)*OFFSET(ORÇAMENTO!$W$15,ROW(AO28)-ROW(AO$15),0),15-13*ORÇAMENTO!$AF$11)),
         0)</f>
        <v>662.52</v>
      </c>
      <c r="AP28" s="453">
        <f ca="1">IF(AND($D28="Serviço",AP$12&lt;&gt;0,$H28&gt;0,OR(AUTOEVENTO&lt;&gt;"manual",$M28&lt;&gt;$A$15)),
        IF(Import.TipoArredondamento&lt;&gt;"TransfereGOV",
              ROUND(OFFSET($P28,0,AP$13),15-13*ORÇAMENTO!$AF$7)/$H28*OFFSET(ORÇAMENTO!$X$15,ROW(AP28)-ROW(AP$15),0),
              ROUND(ROUND(OFFSET($P28,0,AP$13),15-13*ORÇAMENTO!$AF$7)*OFFSET(ORÇAMENTO!$W$15,ROW(AP28)-ROW(AP$15),0),15-13*ORÇAMENTO!$AF$11)),
         0)</f>
        <v>110.42</v>
      </c>
      <c r="AQ28" s="453">
        <f ca="1">IF(AND($D28="Serviço",AQ$12&lt;&gt;0,$H28&gt;0,OR(AUTOEVENTO&lt;&gt;"manual",$M28&lt;&gt;$A$15)),
        IF(Import.TipoArredondamento&lt;&gt;"TransfereGOV",
              ROUND(OFFSET($P28,0,AQ$13),15-13*ORÇAMENTO!$AF$7)/$H28*OFFSET(ORÇAMENTO!$X$15,ROW(AQ28)-ROW(AQ$15),0),
              ROUND(ROUND(OFFSET($P28,0,AQ$13),15-13*ORÇAMENTO!$AF$7)*OFFSET(ORÇAMENTO!$W$15,ROW(AQ28)-ROW(AQ$15),0),15-13*ORÇAMENTO!$AF$11)),
         0)</f>
        <v>331.26</v>
      </c>
      <c r="AR28" s="453">
        <f ca="1">IF(AND($D28="Serviço",AR$12&lt;&gt;0,$H28&gt;0,OR(AUTOEVENTO&lt;&gt;"manual",$M28&lt;&gt;$A$15)),
        IF(Import.TipoArredondamento&lt;&gt;"TransfereGOV",
              ROUND(OFFSET($P28,0,AR$13),15-13*ORÇAMENTO!$AF$7)/$H28*OFFSET(ORÇAMENTO!$X$15,ROW(AR28)-ROW(AR$15),0),
              ROUND(ROUND(OFFSET($P28,0,AR$13),15-13*ORÇAMENTO!$AF$7)*OFFSET(ORÇAMENTO!$W$15,ROW(AR28)-ROW(AR$15),0),15-13*ORÇAMENTO!$AF$11)),
         0)</f>
        <v>220.84</v>
      </c>
      <c r="AS28" s="453">
        <f ca="1">IF(AND($D28="Serviço",AS$12&lt;&gt;0,$H28&gt;0,OR(AUTOEVENTO&lt;&gt;"manual",$M28&lt;&gt;$A$15)),
        IF(Import.TipoArredondamento&lt;&gt;"TransfereGOV",
              ROUND(OFFSET($P28,0,AS$13),15-13*ORÇAMENTO!$AF$7)/$H28*OFFSET(ORÇAMENTO!$X$15,ROW(AS28)-ROW(AS$15),0),
              ROUND(ROUND(OFFSET($P28,0,AS$13),15-13*ORÇAMENTO!$AF$7)*OFFSET(ORÇAMENTO!$W$15,ROW(AS28)-ROW(AS$15),0),15-13*ORÇAMENTO!$AF$11)),
         0)</f>
        <v>110.42</v>
      </c>
      <c r="AT28" s="453">
        <f ca="1">IF(AND($D28="Serviço",AT$12&lt;&gt;0,$H28&gt;0,OR(AUTOEVENTO&lt;&gt;"manual",$M28&lt;&gt;$A$15)),
        IF(Import.TipoArredondamento&lt;&gt;"TransfereGOV",
              ROUND(OFFSET($P28,0,AT$13),15-13*ORÇAMENTO!$AF$7)/$H28*OFFSET(ORÇAMENTO!$X$15,ROW(AT28)-ROW(AT$15),0),
              ROUND(ROUND(OFFSET($P28,0,AT$13),15-13*ORÇAMENTO!$AF$7)*OFFSET(ORÇAMENTO!$W$15,ROW(AT28)-ROW(AT$15),0),15-13*ORÇAMENTO!$AF$11)),
         0)</f>
        <v>331.26</v>
      </c>
      <c r="AU28" s="453">
        <f ca="1">IF(AND($D28="Serviço",AU$12&lt;&gt;0,$H28&gt;0,OR(AUTOEVENTO&lt;&gt;"manual",$M28&lt;&gt;$A$15)),
        IF(Import.TipoArredondamento&lt;&gt;"TransfereGOV",
              ROUND(OFFSET($P28,0,AU$13),15-13*ORÇAMENTO!$AF$7)/$H28*OFFSET(ORÇAMENTO!$X$15,ROW(AU28)-ROW(AU$15),0),
              ROUND(ROUND(OFFSET($P28,0,AU$13),15-13*ORÇAMENTO!$AF$7)*OFFSET(ORÇAMENTO!$W$15,ROW(AU28)-ROW(AU$15),0),15-13*ORÇAMENTO!$AF$11)),
         0)</f>
        <v>0</v>
      </c>
      <c r="AV28" s="453">
        <f ca="1">IF(AND($D28="Serviço",AV$12&lt;&gt;0,$H28&gt;0,OR(AUTOEVENTO&lt;&gt;"manual",$M28&lt;&gt;$A$15)),
        IF(Import.TipoArredondamento&lt;&gt;"TransfereGOV",
              ROUND(OFFSET($P28,0,AV$13),15-13*ORÇAMENTO!$AF$7)/$H28*OFFSET(ORÇAMENTO!$X$15,ROW(AV28)-ROW(AV$15),0),
              ROUND(ROUND(OFFSET($P28,0,AV$13),15-13*ORÇAMENTO!$AF$7)*OFFSET(ORÇAMENTO!$W$15,ROW(AV28)-ROW(AV$15),0),15-13*ORÇAMENTO!$AF$11)),
         0)</f>
        <v>0</v>
      </c>
      <c r="AW28" s="453">
        <f ca="1">IF(AND($D28="Serviço",AW$12&lt;&gt;0,$H28&gt;0,OR(AUTOEVENTO&lt;&gt;"manual",$M28&lt;&gt;$A$15)),
        IF(Import.TipoArredondamento&lt;&gt;"TransfereGOV",
              ROUND(OFFSET($P28,0,AW$13),15-13*ORÇAMENTO!$AF$7)/$H28*OFFSET(ORÇAMENTO!$X$15,ROW(AW28)-ROW(AW$15),0),
              ROUND(ROUND(OFFSET($P28,0,AW$13),15-13*ORÇAMENTO!$AF$7)*OFFSET(ORÇAMENTO!$W$15,ROW(AW28)-ROW(AW$15),0),15-13*ORÇAMENTO!$AF$11)),
         0)</f>
        <v>0</v>
      </c>
      <c r="AX28" s="453">
        <f ca="1">IF(AND($D28="Serviço",AX$12&lt;&gt;0,$H28&gt;0,OR(AUTOEVENTO&lt;&gt;"manual",$M28&lt;&gt;$A$15)),
        IF(Import.TipoArredondamento&lt;&gt;"TransfereGOV",
              ROUND(OFFSET($P28,0,AX$13),15-13*ORÇAMENTO!$AF$7)/$H28*OFFSET(ORÇAMENTO!$X$15,ROW(AX28)-ROW(AX$15),0),
              ROUND(ROUND(OFFSET($P28,0,AX$13),15-13*ORÇAMENTO!$AF$7)*OFFSET(ORÇAMENTO!$W$15,ROW(AX28)-ROW(AX$15),0),15-13*ORÇAMENTO!$AF$11)),
         0)</f>
        <v>0</v>
      </c>
      <c r="AY28" s="453">
        <f ca="1">IF(AND($D28="Serviço",AY$12&lt;&gt;0,$H28&gt;0,OR(AUTOEVENTO&lt;&gt;"manual",$M28&lt;&gt;$A$15)),
        IF(Import.TipoArredondamento&lt;&gt;"TransfereGOV",
              ROUND(OFFSET($P28,0,AY$13),15-13*ORÇAMENTO!$AF$7)/$H28*OFFSET(ORÇAMENTO!$X$15,ROW(AY28)-ROW(AY$15),0),
              ROUND(ROUND(OFFSET($P28,0,AY$13),15-13*ORÇAMENTO!$AF$7)*OFFSET(ORÇAMENTO!$W$15,ROW(AY28)-ROW(AY$15),0),15-13*ORÇAMENTO!$AF$11)),
         0)</f>
        <v>0</v>
      </c>
      <c r="AZ28" s="453">
        <f ca="1">IF(AND($D28="Serviço",AZ$12&lt;&gt;0,$H28&gt;0,OR(AUTOEVENTO&lt;&gt;"manual",$M28&lt;&gt;$A$15)),
        IF(Import.TipoArredondamento&lt;&gt;"TransfereGOV",
              ROUND(OFFSET($P28,0,AZ$13),15-13*ORÇAMENTO!$AF$7)/$H28*OFFSET(ORÇAMENTO!$X$15,ROW(AZ28)-ROW(AZ$15),0),
              ROUND(ROUND(OFFSET($P28,0,AZ$13),15-13*ORÇAMENTO!$AF$7)*OFFSET(ORÇAMENTO!$W$15,ROW(AZ28)-ROW(AZ$15),0),15-13*ORÇAMENTO!$AF$11)),
         0)</f>
        <v>0</v>
      </c>
      <c r="BA28" s="453">
        <f ca="1">IF(AND($D28="Serviço",BA$12&lt;&gt;0,$H28&gt;0,OR(AUTOEVENTO&lt;&gt;"manual",$M28&lt;&gt;$A$15)),
        IF(Import.TipoArredondamento&lt;&gt;"TransfereGOV",
              ROUND(OFFSET($P28,0,BA$13),15-13*ORÇAMENTO!$AF$7)/$H28*OFFSET(ORÇAMENTO!$X$15,ROW(BA28)-ROW(BA$15),0),
              ROUND(ROUND(OFFSET($P28,0,BA$13),15-13*ORÇAMENTO!$AF$7)*OFFSET(ORÇAMENTO!$W$15,ROW(BA28)-ROW(BA$15),0),15-13*ORÇAMENTO!$AF$11)),
         0)</f>
        <v>0</v>
      </c>
      <c r="BC28" s="171">
        <f ca="1">IF(OR($D28&lt;&gt;"Serviço",AND(AUTOEVENTO="Manual",$M28=$A$15)),0,
         IF(OFFSET(CRONOPLE!$F$15,$M28-$A$15,BC$13)=0,10^12,OFFSET(CRONOPLE!$F$15,$M28-$A$15,BC$13)))</f>
        <v>10</v>
      </c>
      <c r="BD28" s="171">
        <f ca="1">IF(OR($D28&lt;&gt;"Serviço",AND(AUTOEVENTO="Manual",$M28=$A$15)),0,
         IF(OFFSET(CRONOPLE!$F$15,$M28-$A$15,BD$13)=0,10^12,OFFSET(CRONOPLE!$F$15,$M28-$A$15,BD$13)))</f>
        <v>3</v>
      </c>
      <c r="BE28" s="171">
        <f ca="1">IF(OR($D28&lt;&gt;"Serviço",AND(AUTOEVENTO="Manual",$M28=$A$15)),0,
         IF(OFFSET(CRONOPLE!$F$15,$M28-$A$15,BE$13)=0,10^12,OFFSET(CRONOPLE!$F$15,$M28-$A$15,BE$13)))</f>
        <v>4</v>
      </c>
      <c r="BF28" s="171">
        <f ca="1">IF(OR($D28&lt;&gt;"Serviço",AND(AUTOEVENTO="Manual",$M28=$A$15)),0,
         IF(OFFSET(CRONOPLE!$F$15,$M28-$A$15,BF$13)=0,10^12,OFFSET(CRONOPLE!$F$15,$M28-$A$15,BF$13)))</f>
        <v>5</v>
      </c>
      <c r="BG28" s="171">
        <f ca="1">IF(OR($D28&lt;&gt;"Serviço",AND(AUTOEVENTO="Manual",$M28=$A$15)),0,
         IF(OFFSET(CRONOPLE!$F$15,$M28-$A$15,BG$13)=0,10^12,OFFSET(CRONOPLE!$F$15,$M28-$A$15,BG$13)))</f>
        <v>6</v>
      </c>
      <c r="BH28" s="171">
        <f ca="1">IF(OR($D28&lt;&gt;"Serviço",AND(AUTOEVENTO="Manual",$M28=$A$15)),0,
         IF(OFFSET(CRONOPLE!$F$15,$M28-$A$15,BH$13)=0,10^12,OFFSET(CRONOPLE!$F$15,$M28-$A$15,BH$13)))</f>
        <v>7</v>
      </c>
      <c r="BI28" s="171">
        <f ca="1">IF(OR($D28&lt;&gt;"Serviço",AND(AUTOEVENTO="Manual",$M28=$A$15)),0,
         IF(OFFSET(CRONOPLE!$F$15,$M28-$A$15,BI$13)=0,10^12,OFFSET(CRONOPLE!$F$15,$M28-$A$15,BI$13)))</f>
        <v>8</v>
      </c>
      <c r="BJ28" s="171">
        <f ca="1">IF(OR($D28&lt;&gt;"Serviço",AND(AUTOEVENTO="Manual",$M28=$A$15)),0,
         IF(OFFSET(CRONOPLE!$F$15,$M28-$A$15,BJ$13)=0,10^12,OFFSET(CRONOPLE!$F$15,$M28-$A$15,BJ$13)))</f>
        <v>9</v>
      </c>
      <c r="BK28" s="171">
        <f ca="1">IF(OR($D28&lt;&gt;"Serviço",AND(AUTOEVENTO="Manual",$M28=$A$15)),0,
         IF(OFFSET(CRONOPLE!$F$15,$M28-$A$15,BK$13)=0,10^12,OFFSET(CRONOPLE!$F$15,$M28-$A$15,BK$13)))</f>
        <v>10</v>
      </c>
      <c r="BL28" s="171">
        <f ca="1">IF(OR($D28&lt;&gt;"Serviço",AND(AUTOEVENTO="Manual",$M28=$A$15)),0,
         IF(OFFSET(CRONOPLE!$F$15,$M28-$A$15,BL$13)=0,10^12,OFFSET(CRONOPLE!$F$15,$M28-$A$15,BL$13)))</f>
        <v>11</v>
      </c>
      <c r="BM28" s="171">
        <f ca="1">IF(OR($D28&lt;&gt;"Serviço",AND(AUTOEVENTO="Manual",$M28=$A$15)),0,
         IF(OFFSET(CRONOPLE!$F$15,$M28-$A$15,BM$13)=0,10^12,OFFSET(CRONOPLE!$F$15,$M28-$A$15,BM$13)))</f>
        <v>12</v>
      </c>
      <c r="BN28" s="171">
        <f ca="1">IF(OR($D28&lt;&gt;"Serviço",AND(AUTOEVENTO="Manual",$M28=$A$15)),0,
         IF(OFFSET(CRONOPLE!$F$15,$M28-$A$15,BN$13)=0,10^12,OFFSET(CRONOPLE!$F$15,$M28-$A$15,BN$13)))</f>
        <v>1000000000000</v>
      </c>
      <c r="BO28" s="171">
        <f ca="1">IF(OR($D28&lt;&gt;"Serviço",AND(AUTOEVENTO="Manual",$M28=$A$15)),0,
         IF(OFFSET(CRONOPLE!$F$15,$M28-$A$15,BO$13)=0,10^12,OFFSET(CRONOPLE!$F$15,$M28-$A$15,BO$13)))</f>
        <v>1000000000000</v>
      </c>
      <c r="BP28" s="171">
        <f ca="1">IF(OR($D28&lt;&gt;"Serviço",AND(AUTOEVENTO="Manual",$M28=$A$15)),0,
         IF(OFFSET(CRONOPLE!$F$15,$M28-$A$15,BP$13)=0,10^12,OFFSET(CRONOPLE!$F$15,$M28-$A$15,BP$13)))</f>
        <v>1000000000000</v>
      </c>
      <c r="BQ28" s="171">
        <f ca="1">IF(OR($D28&lt;&gt;"Serviço",AND(AUTOEVENTO="Manual",$M28=$A$15)),0,
         IF(OFFSET(CRONOPLE!$F$15,$M28-$A$15,BQ$13)=0,10^12,OFFSET(CRONOPLE!$F$15,$M28-$A$15,BQ$13)))</f>
        <v>1000000000000</v>
      </c>
      <c r="BR28" s="171">
        <f ca="1">IF(OR($D28&lt;&gt;"Serviço",AND(AUTOEVENTO="Manual",$M28=$A$15)),0,
         IF(OFFSET(CRONOPLE!$F$15,$M28-$A$15,BR$13)=0,10^12,OFFSET(CRONOPLE!$F$15,$M28-$A$15,BR$13)))</f>
        <v>1000000000000</v>
      </c>
      <c r="BS28" s="171">
        <f ca="1">IF(OR($D28&lt;&gt;"Serviço",AND(AUTOEVENTO="Manual",$M28=$A$15)),0,
         IF(OFFSET(CRONOPLE!$F$15,$M28-$A$15,BS$13)=0,10^12,OFFSET(CRONOPLE!$F$15,$M28-$A$15,BS$13)))</f>
        <v>1000000000000</v>
      </c>
      <c r="BT28" s="171">
        <f ca="1">IF(OR($D28&lt;&gt;"Serviço",AND(AUTOEVENTO="Manual",$M28=$A$15)),0,
         IF(OFFSET(CRONOPLE!$F$15,$M28-$A$15,BT$13)=0,10^12,OFFSET(CRONOPLE!$F$15,$M28-$A$15,BT$13)))</f>
        <v>1000000000000</v>
      </c>
      <c r="BV28" s="172" cm="1">
        <f t="array" aca="1" ref="BV28" ca="1">IF(OR($D28&lt;&gt;"Serviço",AND(AUTOEVENTO="Manual",$M28=$A$15),$M28&gt;(ROW(PLE.lastrow)-ROW(PLE.firstrow))),0,
           IF(OFFSET(PLE!$G$15,$M28-$A$15,BV$13)="",10^12,OFFSET(PLE!$G$15,$M28-$A$15,BV$13)))</f>
        <v>1000000000000</v>
      </c>
      <c r="BW28" s="172" cm="1">
        <f t="array" aca="1" ref="BW28" ca="1">IF(OR($D28&lt;&gt;"Serviço",AND(AUTOEVENTO="Manual",$M28=$A$15),$M28&gt;(ROW(PLE.lastrow)-ROW(PLE.firstrow))),0,
           IF(OFFSET(PLE!$G$15,$M28-$A$15,BW$13)="",10^12,OFFSET(PLE!$G$15,$M28-$A$15,BW$13)))</f>
        <v>1000000000000</v>
      </c>
      <c r="BX28" s="172" cm="1">
        <f t="array" aca="1" ref="BX28" ca="1">IF(OR($D28&lt;&gt;"Serviço",AND(AUTOEVENTO="Manual",$M28=$A$15),$M28&gt;(ROW(PLE.lastrow)-ROW(PLE.firstrow))),0,
           IF(OFFSET(PLE!$G$15,$M28-$A$15,BX$13)="",10^12,OFFSET(PLE!$G$15,$M28-$A$15,BX$13)))</f>
        <v>1000000000000</v>
      </c>
      <c r="BY28" s="172" cm="1">
        <f t="array" aca="1" ref="BY28" ca="1">IF(OR($D28&lt;&gt;"Serviço",AND(AUTOEVENTO="Manual",$M28=$A$15),$M28&gt;(ROW(PLE.lastrow)-ROW(PLE.firstrow))),0,
           IF(OFFSET(PLE!$G$15,$M28-$A$15,BY$13)="",10^12,OFFSET(PLE!$G$15,$M28-$A$15,BY$13)))</f>
        <v>1000000000000</v>
      </c>
      <c r="BZ28" s="172" cm="1">
        <f t="array" aca="1" ref="BZ28" ca="1">IF(OR($D28&lt;&gt;"Serviço",AND(AUTOEVENTO="Manual",$M28=$A$15),$M28&gt;(ROW(PLE.lastrow)-ROW(PLE.firstrow))),0,
           IF(OFFSET(PLE!$G$15,$M28-$A$15,BZ$13)="",10^12,OFFSET(PLE!$G$15,$M28-$A$15,BZ$13)))</f>
        <v>1000000000000</v>
      </c>
      <c r="CA28" s="172" cm="1">
        <f t="array" aca="1" ref="CA28" ca="1">IF(OR($D28&lt;&gt;"Serviço",AND(AUTOEVENTO="Manual",$M28=$A$15),$M28&gt;(ROW(PLE.lastrow)-ROW(PLE.firstrow))),0,
           IF(OFFSET(PLE!$G$15,$M28-$A$15,CA$13)="",10^12,OFFSET(PLE!$G$15,$M28-$A$15,CA$13)))</f>
        <v>1000000000000</v>
      </c>
      <c r="CB28" s="172" cm="1">
        <f t="array" aca="1" ref="CB28" ca="1">IF(OR($D28&lt;&gt;"Serviço",AND(AUTOEVENTO="Manual",$M28=$A$15),$M28&gt;(ROW(PLE.lastrow)-ROW(PLE.firstrow))),0,
           IF(OFFSET(PLE!$G$15,$M28-$A$15,CB$13)="",10^12,OFFSET(PLE!$G$15,$M28-$A$15,CB$13)))</f>
        <v>1000000000000</v>
      </c>
      <c r="CC28" s="172" cm="1">
        <f t="array" aca="1" ref="CC28" ca="1">IF(OR($D28&lt;&gt;"Serviço",AND(AUTOEVENTO="Manual",$M28=$A$15),$M28&gt;(ROW(PLE.lastrow)-ROW(PLE.firstrow))),0,
           IF(OFFSET(PLE!$G$15,$M28-$A$15,CC$13)="",10^12,OFFSET(PLE!$G$15,$M28-$A$15,CC$13)))</f>
        <v>1000000000000</v>
      </c>
      <c r="CD28" s="172" cm="1">
        <f t="array" aca="1" ref="CD28" ca="1">IF(OR($D28&lt;&gt;"Serviço",AND(AUTOEVENTO="Manual",$M28=$A$15),$M28&gt;(ROW(PLE.lastrow)-ROW(PLE.firstrow))),0,
           IF(OFFSET(PLE!$G$15,$M28-$A$15,CD$13)="",10^12,OFFSET(PLE!$G$15,$M28-$A$15,CD$13)))</f>
        <v>1000000000000</v>
      </c>
      <c r="CE28" s="172" cm="1">
        <f t="array" aca="1" ref="CE28" ca="1">IF(OR($D28&lt;&gt;"Serviço",AND(AUTOEVENTO="Manual",$M28=$A$15),$M28&gt;(ROW(PLE.lastrow)-ROW(PLE.firstrow))),0,
           IF(OFFSET(PLE!$G$15,$M28-$A$15,CE$13)="",10^12,OFFSET(PLE!$G$15,$M28-$A$15,CE$13)))</f>
        <v>1000000000000</v>
      </c>
      <c r="CF28" s="172" cm="1">
        <f t="array" aca="1" ref="CF28" ca="1">IF(OR($D28&lt;&gt;"Serviço",AND(AUTOEVENTO="Manual",$M28=$A$15),$M28&gt;(ROW(PLE.lastrow)-ROW(PLE.firstrow))),0,
           IF(OFFSET(PLE!$G$15,$M28-$A$15,CF$13)="",10^12,OFFSET(PLE!$G$15,$M28-$A$15,CF$13)))</f>
        <v>1000000000000</v>
      </c>
      <c r="CG28" s="172" cm="1">
        <f t="array" aca="1" ref="CG28" ca="1">IF(OR($D28&lt;&gt;"Serviço",AND(AUTOEVENTO="Manual",$M28=$A$15),$M28&gt;(ROW(PLE.lastrow)-ROW(PLE.firstrow))),0,
           IF(OFFSET(PLE!$G$15,$M28-$A$15,CG$13)="",10^12,OFFSET(PLE!$G$15,$M28-$A$15,CG$13)))</f>
        <v>1000000000000</v>
      </c>
      <c r="CH28" s="172" cm="1">
        <f t="array" aca="1" ref="CH28" ca="1">IF(OR($D28&lt;&gt;"Serviço",AND(AUTOEVENTO="Manual",$M28=$A$15),$M28&gt;(ROW(PLE.lastrow)-ROW(PLE.firstrow))),0,
           IF(OFFSET(PLE!$G$15,$M28-$A$15,CH$13)="",10^12,OFFSET(PLE!$G$15,$M28-$A$15,CH$13)))</f>
        <v>1000000000000</v>
      </c>
      <c r="CI28" s="172" cm="1">
        <f t="array" aca="1" ref="CI28" ca="1">IF(OR($D28&lt;&gt;"Serviço",AND(AUTOEVENTO="Manual",$M28=$A$15),$M28&gt;(ROW(PLE.lastrow)-ROW(PLE.firstrow))),0,
           IF(OFFSET(PLE!$G$15,$M28-$A$15,CI$13)="",10^12,OFFSET(PLE!$G$15,$M28-$A$15,CI$13)))</f>
        <v>1000000000000</v>
      </c>
      <c r="CJ28" s="172" cm="1">
        <f t="array" aca="1" ref="CJ28" ca="1">IF(OR($D28&lt;&gt;"Serviço",AND(AUTOEVENTO="Manual",$M28=$A$15),$M28&gt;(ROW(PLE.lastrow)-ROW(PLE.firstrow))),0,
           IF(OFFSET(PLE!$G$15,$M28-$A$15,CJ$13)="",10^12,OFFSET(PLE!$G$15,$M28-$A$15,CJ$13)))</f>
        <v>1000000000000</v>
      </c>
      <c r="CK28" s="172" cm="1">
        <f t="array" aca="1" ref="CK28" ca="1">IF(OR($D28&lt;&gt;"Serviço",AND(AUTOEVENTO="Manual",$M28=$A$15),$M28&gt;(ROW(PLE.lastrow)-ROW(PLE.firstrow))),0,
           IF(OFFSET(PLE!$G$15,$M28-$A$15,CK$13)="",10^12,OFFSET(PLE!$G$15,$M28-$A$15,CK$13)))</f>
        <v>1000000000000</v>
      </c>
      <c r="CL28" s="172" cm="1">
        <f t="array" aca="1" ref="CL28" ca="1">IF(OR($D28&lt;&gt;"Serviço",AND(AUTOEVENTO="Manual",$M28=$A$15),$M28&gt;(ROW(PLE.lastrow)-ROW(PLE.firstrow))),0,
           IF(OFFSET(PLE!$G$15,$M28-$A$15,CL$13)="",10^12,OFFSET(PLE!$G$15,$M28-$A$15,CL$13)))</f>
        <v>1000000000000</v>
      </c>
      <c r="CM28" s="172" cm="1">
        <f t="array" aca="1" ref="CM28" ca="1">IF(OR($D28&lt;&gt;"Serviço",AND(AUTOEVENTO="Manual",$M28=$A$15),$M28&gt;(ROW(PLE.lastrow)-ROW(PLE.firstrow))),0,
           IF(OFFSET(PLE!$G$15,$M28-$A$15,CM$13)="",10^12,OFFSET(PLE!$G$15,$M28-$A$15,CM$13)))</f>
        <v>1000000000000</v>
      </c>
    </row>
    <row r="29" spans="1:91" s="670" customFormat="1" ht="25.5" x14ac:dyDescent="0.2">
      <c r="A29" s="668">
        <f t="shared" ca="1" si="10"/>
        <v>5</v>
      </c>
      <c r="B29" s="668" t="str">
        <f ca="1">OFFSET(ORÇAMENTO!C$15,$L29,0)</f>
        <v>S</v>
      </c>
      <c r="C29" s="668" t="str">
        <f ca="1">OFFSET(ORÇAMENTO!L$15,$L29,0)</f>
        <v>F</v>
      </c>
      <c r="D29" s="116" t="str">
        <f ca="1">OFFSET(ORÇAMENTO!N$15,$L29,0)</f>
        <v>Serviço</v>
      </c>
      <c r="E29" s="117" t="str">
        <f ca="1">OFFSET(ORÇAMENTO!O$15,$L29,0)</f>
        <v>1.3.2.</v>
      </c>
      <c r="F29" s="163" t="str">
        <f ca="1">OFFSET(ORÇAMENTO!R$15,$L29,0)</f>
        <v>TÉCNICO EM SEGURANÇA DO TRABALHO COM ENCARGOS COMPLEMENTARES</v>
      </c>
      <c r="G29" s="164" t="str">
        <f ca="1">IF($D29&lt;&gt;"Serviço","",OFFSET(ORÇAMENTO!S$15,$L29,0))</f>
        <v>MES</v>
      </c>
      <c r="H29" s="122" cm="1">
        <f t="array" aca="1" ref="H29" ca="1">IF($D29&lt;&gt;"Serviço",0,IF(ACOMPANHAMENTO="BM",ROUND(OFFSET(ORÇAMENTO!AJ$15,$L29,0),15-13*ORÇAMENTO!$AF$7),IF(IFERROR(CÁLCULO.FrentesPreenchidas,0)=0,0,SUM(ROUND(OFFSET($P29,0,1,1,CÁLCULO.FrentesPreenchidas),15-13*ORÇAMENTO!$AF$7)))))</f>
        <v>0.2</v>
      </c>
      <c r="I29" s="468" t="s">
        <v>1216</v>
      </c>
      <c r="J29" s="651" t="str" cm="1">
        <f t="array" aca="1" ref="J29" ca="1">IF(OR(B29&lt;&gt;"S",CÁLCULO.FrentesPreenchidas=0),"",IF(AND(ACOMPANHAMENTO="PLE",AUTOEVENTO="Manual",OR(H29&gt;0,ORÇAMENTO!AC29="QUANT."),OR(K29="",M29=0,N29="")),"►E",IF(AND(ACOMPANHAMENTO="PLE",ORÇAMENTO!AC29="QUANT."),"►Q",IF(AND(ACOMPANHAMENTO="PLE",H29&lt;&gt;SUMPRODUCT(($Q$1:$AI$1=1)*ROUND(Q29:AI29,15))),"►S",IF(AND(COUNTIF($P$11:$AI$11,"▼")=0,H29&gt;0,I29=""),"◄M","")))))</f>
        <v/>
      </c>
      <c r="K29" s="652" t="s">
        <v>1336</v>
      </c>
      <c r="L29" s="165">
        <f t="shared" ca="1" si="11"/>
        <v>14</v>
      </c>
      <c r="M29" s="166">
        <f ca="1">IF($D29&lt;&gt;"Serviço","",
          IF(AUTOEVENTO="manual",$A29,
                IF(ISERROR(MATCH($A29,$A$15:OFFSET($A29,-1,0),0)),MAX($M$15:OFFSET(M29,-1,0))+1,
                      INDEX($M$15:OFFSET(M29,-1,0),MATCH($A29,$A$15:OFFSET($A29,-1,0),0)))))</f>
        <v>5</v>
      </c>
      <c r="N29" s="167" t="str">
        <f ca="1">IF($D29&lt;&gt;"Serviço","",
         IF(AUTOEVENTO="Manual",
                IF($A29=0,"&lt;-- defina o número do agrupador",
                       OFFSET(EVENTOS!$D$15,$A29-$A$15,0)),
                OFFSET($F$15,$A29,0)))</f>
        <v>Administração Local</v>
      </c>
      <c r="O29" s="168"/>
      <c r="Q29" s="168"/>
      <c r="R29" s="169">
        <v>0.01</v>
      </c>
      <c r="S29" s="169"/>
      <c r="T29" s="169">
        <v>0.02</v>
      </c>
      <c r="U29" s="169">
        <v>0.01</v>
      </c>
      <c r="V29" s="169">
        <v>0.06</v>
      </c>
      <c r="W29" s="169">
        <v>0.01</v>
      </c>
      <c r="X29" s="169">
        <v>0.03</v>
      </c>
      <c r="Y29" s="169">
        <v>0.02</v>
      </c>
      <c r="Z29" s="170">
        <v>0.01</v>
      </c>
      <c r="AA29" s="705">
        <v>0.03</v>
      </c>
      <c r="AB29" s="705"/>
      <c r="AC29" s="705"/>
      <c r="AD29" s="705"/>
      <c r="AE29" s="705"/>
      <c r="AF29" s="705"/>
      <c r="AG29" s="705"/>
      <c r="AH29" s="706"/>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106.27</v>
      </c>
      <c r="AL29" s="453">
        <f ca="1">IF(AND($D29="Serviço",AL$12&lt;&gt;0,$H29&gt;0,OR(AUTOEVENTO&lt;&gt;"manual",$M29&lt;&gt;$A$15)),
        IF(Import.TipoArredondamento&lt;&gt;"TransfereGOV",
              ROUND(OFFSET($P29,0,AL$13),15-13*ORÇAMENTO!$AF$7)/$H29*OFFSET(ORÇAMENTO!$X$15,ROW(AL29)-ROW(AL$15),0),
              ROUND(ROUND(OFFSET($P29,0,AL$13),15-13*ORÇAMENTO!$AF$7)*OFFSET(ORÇAMENTO!$W$15,ROW(AL29)-ROW(AL$15),0),15-13*ORÇAMENTO!$AF$11)),
         0)</f>
        <v>0</v>
      </c>
      <c r="AM29" s="453">
        <f ca="1">IF(AND($D29="Serviço",AM$12&lt;&gt;0,$H29&gt;0,OR(AUTOEVENTO&lt;&gt;"manual",$M29&lt;&gt;$A$15)),
        IF(Import.TipoArredondamento&lt;&gt;"TransfereGOV",
              ROUND(OFFSET($P29,0,AM$13),15-13*ORÇAMENTO!$AF$7)/$H29*OFFSET(ORÇAMENTO!$X$15,ROW(AM29)-ROW(AM$15),0),
              ROUND(ROUND(OFFSET($P29,0,AM$13),15-13*ORÇAMENTO!$AF$7)*OFFSET(ORÇAMENTO!$W$15,ROW(AM29)-ROW(AM$15),0),15-13*ORÇAMENTO!$AF$11)),
         0)</f>
        <v>212.55</v>
      </c>
      <c r="AN29" s="453">
        <f ca="1">IF(AND($D29="Serviço",AN$12&lt;&gt;0,$H29&gt;0,OR(AUTOEVENTO&lt;&gt;"manual",$M29&lt;&gt;$A$15)),
        IF(Import.TipoArredondamento&lt;&gt;"TransfereGOV",
              ROUND(OFFSET($P29,0,AN$13),15-13*ORÇAMENTO!$AF$7)/$H29*OFFSET(ORÇAMENTO!$X$15,ROW(AN29)-ROW(AN$15),0),
              ROUND(ROUND(OFFSET($P29,0,AN$13),15-13*ORÇAMENTO!$AF$7)*OFFSET(ORÇAMENTO!$W$15,ROW(AN29)-ROW(AN$15),0),15-13*ORÇAMENTO!$AF$11)),
         0)</f>
        <v>106.27</v>
      </c>
      <c r="AO29" s="453">
        <f ca="1">IF(AND($D29="Serviço",AO$12&lt;&gt;0,$H29&gt;0,OR(AUTOEVENTO&lt;&gt;"manual",$M29&lt;&gt;$A$15)),
        IF(Import.TipoArredondamento&lt;&gt;"TransfereGOV",
              ROUND(OFFSET($P29,0,AO$13),15-13*ORÇAMENTO!$AF$7)/$H29*OFFSET(ORÇAMENTO!$X$15,ROW(AO29)-ROW(AO$15),0),
              ROUND(ROUND(OFFSET($P29,0,AO$13),15-13*ORÇAMENTO!$AF$7)*OFFSET(ORÇAMENTO!$W$15,ROW(AO29)-ROW(AO$15),0),15-13*ORÇAMENTO!$AF$11)),
         0)</f>
        <v>637.64</v>
      </c>
      <c r="AP29" s="453">
        <f ca="1">IF(AND($D29="Serviço",AP$12&lt;&gt;0,$H29&gt;0,OR(AUTOEVENTO&lt;&gt;"manual",$M29&lt;&gt;$A$15)),
        IF(Import.TipoArredondamento&lt;&gt;"TransfereGOV",
              ROUND(OFFSET($P29,0,AP$13),15-13*ORÇAMENTO!$AF$7)/$H29*OFFSET(ORÇAMENTO!$X$15,ROW(AP29)-ROW(AP$15),0),
              ROUND(ROUND(OFFSET($P29,0,AP$13),15-13*ORÇAMENTO!$AF$7)*OFFSET(ORÇAMENTO!$W$15,ROW(AP29)-ROW(AP$15),0),15-13*ORÇAMENTO!$AF$11)),
         0)</f>
        <v>106.27</v>
      </c>
      <c r="AQ29" s="453">
        <f ca="1">IF(AND($D29="Serviço",AQ$12&lt;&gt;0,$H29&gt;0,OR(AUTOEVENTO&lt;&gt;"manual",$M29&lt;&gt;$A$15)),
        IF(Import.TipoArredondamento&lt;&gt;"TransfereGOV",
              ROUND(OFFSET($P29,0,AQ$13),15-13*ORÇAMENTO!$AF$7)/$H29*OFFSET(ORÇAMENTO!$X$15,ROW(AQ29)-ROW(AQ$15),0),
              ROUND(ROUND(OFFSET($P29,0,AQ$13),15-13*ORÇAMENTO!$AF$7)*OFFSET(ORÇAMENTO!$W$15,ROW(AQ29)-ROW(AQ$15),0),15-13*ORÇAMENTO!$AF$11)),
         0)</f>
        <v>318.82</v>
      </c>
      <c r="AR29" s="453">
        <f ca="1">IF(AND($D29="Serviço",AR$12&lt;&gt;0,$H29&gt;0,OR(AUTOEVENTO&lt;&gt;"manual",$M29&lt;&gt;$A$15)),
        IF(Import.TipoArredondamento&lt;&gt;"TransfereGOV",
              ROUND(OFFSET($P29,0,AR$13),15-13*ORÇAMENTO!$AF$7)/$H29*OFFSET(ORÇAMENTO!$X$15,ROW(AR29)-ROW(AR$15),0),
              ROUND(ROUND(OFFSET($P29,0,AR$13),15-13*ORÇAMENTO!$AF$7)*OFFSET(ORÇAMENTO!$W$15,ROW(AR29)-ROW(AR$15),0),15-13*ORÇAMENTO!$AF$11)),
         0)</f>
        <v>212.55</v>
      </c>
      <c r="AS29" s="453">
        <f ca="1">IF(AND($D29="Serviço",AS$12&lt;&gt;0,$H29&gt;0,OR(AUTOEVENTO&lt;&gt;"manual",$M29&lt;&gt;$A$15)),
        IF(Import.TipoArredondamento&lt;&gt;"TransfereGOV",
              ROUND(OFFSET($P29,0,AS$13),15-13*ORÇAMENTO!$AF$7)/$H29*OFFSET(ORÇAMENTO!$X$15,ROW(AS29)-ROW(AS$15),0),
              ROUND(ROUND(OFFSET($P29,0,AS$13),15-13*ORÇAMENTO!$AF$7)*OFFSET(ORÇAMENTO!$W$15,ROW(AS29)-ROW(AS$15),0),15-13*ORÇAMENTO!$AF$11)),
         0)</f>
        <v>106.27</v>
      </c>
      <c r="AT29" s="453">
        <f ca="1">IF(AND($D29="Serviço",AT$12&lt;&gt;0,$H29&gt;0,OR(AUTOEVENTO&lt;&gt;"manual",$M29&lt;&gt;$A$15)),
        IF(Import.TipoArredondamento&lt;&gt;"TransfereGOV",
              ROUND(OFFSET($P29,0,AT$13),15-13*ORÇAMENTO!$AF$7)/$H29*OFFSET(ORÇAMENTO!$X$15,ROW(AT29)-ROW(AT$15),0),
              ROUND(ROUND(OFFSET($P29,0,AT$13),15-13*ORÇAMENTO!$AF$7)*OFFSET(ORÇAMENTO!$W$15,ROW(AT29)-ROW(AT$15),0),15-13*ORÇAMENTO!$AF$11)),
         0)</f>
        <v>318.82</v>
      </c>
      <c r="AU29" s="453">
        <f ca="1">IF(AND($D29="Serviço",AU$12&lt;&gt;0,$H29&gt;0,OR(AUTOEVENTO&lt;&gt;"manual",$M29&lt;&gt;$A$15)),
        IF(Import.TipoArredondamento&lt;&gt;"TransfereGOV",
              ROUND(OFFSET($P29,0,AU$13),15-13*ORÇAMENTO!$AF$7)/$H29*OFFSET(ORÇAMENTO!$X$15,ROW(AU29)-ROW(AU$15),0),
              ROUND(ROUND(OFFSET($P29,0,AU$13),15-13*ORÇAMENTO!$AF$7)*OFFSET(ORÇAMENTO!$W$15,ROW(AU29)-ROW(AU$15),0),15-13*ORÇAMENTO!$AF$11)),
         0)</f>
        <v>0</v>
      </c>
      <c r="AV29" s="453">
        <f ca="1">IF(AND($D29="Serviço",AV$12&lt;&gt;0,$H29&gt;0,OR(AUTOEVENTO&lt;&gt;"manual",$M29&lt;&gt;$A$15)),
        IF(Import.TipoArredondamento&lt;&gt;"TransfereGOV",
              ROUND(OFFSET($P29,0,AV$13),15-13*ORÇAMENTO!$AF$7)/$H29*OFFSET(ORÇAMENTO!$X$15,ROW(AV29)-ROW(AV$15),0),
              ROUND(ROUND(OFFSET($P29,0,AV$13),15-13*ORÇAMENTO!$AF$7)*OFFSET(ORÇAMENTO!$W$15,ROW(AV29)-ROW(AV$15),0),15-13*ORÇAMENTO!$AF$11)),
         0)</f>
        <v>0</v>
      </c>
      <c r="AW29" s="453">
        <f ca="1">IF(AND($D29="Serviço",AW$12&lt;&gt;0,$H29&gt;0,OR(AUTOEVENTO&lt;&gt;"manual",$M29&lt;&gt;$A$15)),
        IF(Import.TipoArredondamento&lt;&gt;"TransfereGOV",
              ROUND(OFFSET($P29,0,AW$13),15-13*ORÇAMENTO!$AF$7)/$H29*OFFSET(ORÇAMENTO!$X$15,ROW(AW29)-ROW(AW$15),0),
              ROUND(ROUND(OFFSET($P29,0,AW$13),15-13*ORÇAMENTO!$AF$7)*OFFSET(ORÇAMENTO!$W$15,ROW(AW29)-ROW(AW$15),0),15-13*ORÇAMENTO!$AF$11)),
         0)</f>
        <v>0</v>
      </c>
      <c r="AX29" s="453">
        <f ca="1">IF(AND($D29="Serviço",AX$12&lt;&gt;0,$H29&gt;0,OR(AUTOEVENTO&lt;&gt;"manual",$M29&lt;&gt;$A$15)),
        IF(Import.TipoArredondamento&lt;&gt;"TransfereGOV",
              ROUND(OFFSET($P29,0,AX$13),15-13*ORÇAMENTO!$AF$7)/$H29*OFFSET(ORÇAMENTO!$X$15,ROW(AX29)-ROW(AX$15),0),
              ROUND(ROUND(OFFSET($P29,0,AX$13),15-13*ORÇAMENTO!$AF$7)*OFFSET(ORÇAMENTO!$W$15,ROW(AX29)-ROW(AX$15),0),15-13*ORÇAMENTO!$AF$11)),
         0)</f>
        <v>0</v>
      </c>
      <c r="AY29" s="453">
        <f ca="1">IF(AND($D29="Serviço",AY$12&lt;&gt;0,$H29&gt;0,OR(AUTOEVENTO&lt;&gt;"manual",$M29&lt;&gt;$A$15)),
        IF(Import.TipoArredondamento&lt;&gt;"TransfereGOV",
              ROUND(OFFSET($P29,0,AY$13),15-13*ORÇAMENTO!$AF$7)/$H29*OFFSET(ORÇAMENTO!$X$15,ROW(AY29)-ROW(AY$15),0),
              ROUND(ROUND(OFFSET($P29,0,AY$13),15-13*ORÇAMENTO!$AF$7)*OFFSET(ORÇAMENTO!$W$15,ROW(AY29)-ROW(AY$15),0),15-13*ORÇAMENTO!$AF$11)),
         0)</f>
        <v>0</v>
      </c>
      <c r="AZ29" s="453">
        <f ca="1">IF(AND($D29="Serviço",AZ$12&lt;&gt;0,$H29&gt;0,OR(AUTOEVENTO&lt;&gt;"manual",$M29&lt;&gt;$A$15)),
        IF(Import.TipoArredondamento&lt;&gt;"TransfereGOV",
              ROUND(OFFSET($P29,0,AZ$13),15-13*ORÇAMENTO!$AF$7)/$H29*OFFSET(ORÇAMENTO!$X$15,ROW(AZ29)-ROW(AZ$15),0),
              ROUND(ROUND(OFFSET($P29,0,AZ$13),15-13*ORÇAMENTO!$AF$7)*OFFSET(ORÇAMENTO!$W$15,ROW(AZ29)-ROW(AZ$15),0),15-13*ORÇAMENTO!$AF$11)),
         0)</f>
        <v>0</v>
      </c>
      <c r="BA29" s="453">
        <f ca="1">IF(AND($D29="Serviço",BA$12&lt;&gt;0,$H29&gt;0,OR(AUTOEVENTO&lt;&gt;"manual",$M29&lt;&gt;$A$15)),
        IF(Import.TipoArredondamento&lt;&gt;"TransfereGOV",
              ROUND(OFFSET($P29,0,BA$13),15-13*ORÇAMENTO!$AF$7)/$H29*OFFSET(ORÇAMENTO!$X$15,ROW(BA29)-ROW(BA$15),0),
              ROUND(ROUND(OFFSET($P29,0,BA$13),15-13*ORÇAMENTO!$AF$7)*OFFSET(ORÇAMENTO!$W$15,ROW(BA29)-ROW(BA$15),0),15-13*ORÇAMENTO!$AF$11)),
         0)</f>
        <v>0</v>
      </c>
      <c r="BC29" s="171">
        <f ca="1">IF(OR($D29&lt;&gt;"Serviço",AND(AUTOEVENTO="Manual",$M29=$A$15)),0,
         IF(OFFSET(CRONOPLE!$F$15,$M29-$A$15,BC$13)=0,10^12,OFFSET(CRONOPLE!$F$15,$M29-$A$15,BC$13)))</f>
        <v>10</v>
      </c>
      <c r="BD29" s="171">
        <f ca="1">IF(OR($D29&lt;&gt;"Serviço",AND(AUTOEVENTO="Manual",$M29=$A$15)),0,
         IF(OFFSET(CRONOPLE!$F$15,$M29-$A$15,BD$13)=0,10^12,OFFSET(CRONOPLE!$F$15,$M29-$A$15,BD$13)))</f>
        <v>3</v>
      </c>
      <c r="BE29" s="171">
        <f ca="1">IF(OR($D29&lt;&gt;"Serviço",AND(AUTOEVENTO="Manual",$M29=$A$15)),0,
         IF(OFFSET(CRONOPLE!$F$15,$M29-$A$15,BE$13)=0,10^12,OFFSET(CRONOPLE!$F$15,$M29-$A$15,BE$13)))</f>
        <v>4</v>
      </c>
      <c r="BF29" s="171">
        <f ca="1">IF(OR($D29&lt;&gt;"Serviço",AND(AUTOEVENTO="Manual",$M29=$A$15)),0,
         IF(OFFSET(CRONOPLE!$F$15,$M29-$A$15,BF$13)=0,10^12,OFFSET(CRONOPLE!$F$15,$M29-$A$15,BF$13)))</f>
        <v>5</v>
      </c>
      <c r="BG29" s="171">
        <f ca="1">IF(OR($D29&lt;&gt;"Serviço",AND(AUTOEVENTO="Manual",$M29=$A$15)),0,
         IF(OFFSET(CRONOPLE!$F$15,$M29-$A$15,BG$13)=0,10^12,OFFSET(CRONOPLE!$F$15,$M29-$A$15,BG$13)))</f>
        <v>6</v>
      </c>
      <c r="BH29" s="171">
        <f ca="1">IF(OR($D29&lt;&gt;"Serviço",AND(AUTOEVENTO="Manual",$M29=$A$15)),0,
         IF(OFFSET(CRONOPLE!$F$15,$M29-$A$15,BH$13)=0,10^12,OFFSET(CRONOPLE!$F$15,$M29-$A$15,BH$13)))</f>
        <v>7</v>
      </c>
      <c r="BI29" s="171">
        <f ca="1">IF(OR($D29&lt;&gt;"Serviço",AND(AUTOEVENTO="Manual",$M29=$A$15)),0,
         IF(OFFSET(CRONOPLE!$F$15,$M29-$A$15,BI$13)=0,10^12,OFFSET(CRONOPLE!$F$15,$M29-$A$15,BI$13)))</f>
        <v>8</v>
      </c>
      <c r="BJ29" s="171">
        <f ca="1">IF(OR($D29&lt;&gt;"Serviço",AND(AUTOEVENTO="Manual",$M29=$A$15)),0,
         IF(OFFSET(CRONOPLE!$F$15,$M29-$A$15,BJ$13)=0,10^12,OFFSET(CRONOPLE!$F$15,$M29-$A$15,BJ$13)))</f>
        <v>9</v>
      </c>
      <c r="BK29" s="171">
        <f ca="1">IF(OR($D29&lt;&gt;"Serviço",AND(AUTOEVENTO="Manual",$M29=$A$15)),0,
         IF(OFFSET(CRONOPLE!$F$15,$M29-$A$15,BK$13)=0,10^12,OFFSET(CRONOPLE!$F$15,$M29-$A$15,BK$13)))</f>
        <v>10</v>
      </c>
      <c r="BL29" s="171">
        <f ca="1">IF(OR($D29&lt;&gt;"Serviço",AND(AUTOEVENTO="Manual",$M29=$A$15)),0,
         IF(OFFSET(CRONOPLE!$F$15,$M29-$A$15,BL$13)=0,10^12,OFFSET(CRONOPLE!$F$15,$M29-$A$15,BL$13)))</f>
        <v>11</v>
      </c>
      <c r="BM29" s="171">
        <f ca="1">IF(OR($D29&lt;&gt;"Serviço",AND(AUTOEVENTO="Manual",$M29=$A$15)),0,
         IF(OFFSET(CRONOPLE!$F$15,$M29-$A$15,BM$13)=0,10^12,OFFSET(CRONOPLE!$F$15,$M29-$A$15,BM$13)))</f>
        <v>12</v>
      </c>
      <c r="BN29" s="171">
        <f ca="1">IF(OR($D29&lt;&gt;"Serviço",AND(AUTOEVENTO="Manual",$M29=$A$15)),0,
         IF(OFFSET(CRONOPLE!$F$15,$M29-$A$15,BN$13)=0,10^12,OFFSET(CRONOPLE!$F$15,$M29-$A$15,BN$13)))</f>
        <v>1000000000000</v>
      </c>
      <c r="BO29" s="171">
        <f ca="1">IF(OR($D29&lt;&gt;"Serviço",AND(AUTOEVENTO="Manual",$M29=$A$15)),0,
         IF(OFFSET(CRONOPLE!$F$15,$M29-$A$15,BO$13)=0,10^12,OFFSET(CRONOPLE!$F$15,$M29-$A$15,BO$13)))</f>
        <v>1000000000000</v>
      </c>
      <c r="BP29" s="171">
        <f ca="1">IF(OR($D29&lt;&gt;"Serviço",AND(AUTOEVENTO="Manual",$M29=$A$15)),0,
         IF(OFFSET(CRONOPLE!$F$15,$M29-$A$15,BP$13)=0,10^12,OFFSET(CRONOPLE!$F$15,$M29-$A$15,BP$13)))</f>
        <v>1000000000000</v>
      </c>
      <c r="BQ29" s="171">
        <f ca="1">IF(OR($D29&lt;&gt;"Serviço",AND(AUTOEVENTO="Manual",$M29=$A$15)),0,
         IF(OFFSET(CRONOPLE!$F$15,$M29-$A$15,BQ$13)=0,10^12,OFFSET(CRONOPLE!$F$15,$M29-$A$15,BQ$13)))</f>
        <v>1000000000000</v>
      </c>
      <c r="BR29" s="171">
        <f ca="1">IF(OR($D29&lt;&gt;"Serviço",AND(AUTOEVENTO="Manual",$M29=$A$15)),0,
         IF(OFFSET(CRONOPLE!$F$15,$M29-$A$15,BR$13)=0,10^12,OFFSET(CRONOPLE!$F$15,$M29-$A$15,BR$13)))</f>
        <v>1000000000000</v>
      </c>
      <c r="BS29" s="171">
        <f ca="1">IF(OR($D29&lt;&gt;"Serviço",AND(AUTOEVENTO="Manual",$M29=$A$15)),0,
         IF(OFFSET(CRONOPLE!$F$15,$M29-$A$15,BS$13)=0,10^12,OFFSET(CRONOPLE!$F$15,$M29-$A$15,BS$13)))</f>
        <v>1000000000000</v>
      </c>
      <c r="BT29" s="171">
        <f ca="1">IF(OR($D29&lt;&gt;"Serviço",AND(AUTOEVENTO="Manual",$M29=$A$15)),0,
         IF(OFFSET(CRONOPLE!$F$15,$M29-$A$15,BT$13)=0,10^12,OFFSET(CRONOPLE!$F$15,$M29-$A$15,BT$13)))</f>
        <v>1000000000000</v>
      </c>
      <c r="BV29" s="172" cm="1">
        <f t="array" aca="1" ref="BV29" ca="1">IF(OR($D29&lt;&gt;"Serviço",AND(AUTOEVENTO="Manual",$M29=$A$15),$M29&gt;(ROW(PLE.lastrow)-ROW(PLE.firstrow))),0,
           IF(OFFSET(PLE!$G$15,$M29-$A$15,BV$13)="",10^12,OFFSET(PLE!$G$15,$M29-$A$15,BV$13)))</f>
        <v>1000000000000</v>
      </c>
      <c r="BW29" s="172" cm="1">
        <f t="array" aca="1" ref="BW29" ca="1">IF(OR($D29&lt;&gt;"Serviço",AND(AUTOEVENTO="Manual",$M29=$A$15),$M29&gt;(ROW(PLE.lastrow)-ROW(PLE.firstrow))),0,
           IF(OFFSET(PLE!$G$15,$M29-$A$15,BW$13)="",10^12,OFFSET(PLE!$G$15,$M29-$A$15,BW$13)))</f>
        <v>1000000000000</v>
      </c>
      <c r="BX29" s="172" cm="1">
        <f t="array" aca="1" ref="BX29" ca="1">IF(OR($D29&lt;&gt;"Serviço",AND(AUTOEVENTO="Manual",$M29=$A$15),$M29&gt;(ROW(PLE.lastrow)-ROW(PLE.firstrow))),0,
           IF(OFFSET(PLE!$G$15,$M29-$A$15,BX$13)="",10^12,OFFSET(PLE!$G$15,$M29-$A$15,BX$13)))</f>
        <v>1000000000000</v>
      </c>
      <c r="BY29" s="172" cm="1">
        <f t="array" aca="1" ref="BY29" ca="1">IF(OR($D29&lt;&gt;"Serviço",AND(AUTOEVENTO="Manual",$M29=$A$15),$M29&gt;(ROW(PLE.lastrow)-ROW(PLE.firstrow))),0,
           IF(OFFSET(PLE!$G$15,$M29-$A$15,BY$13)="",10^12,OFFSET(PLE!$G$15,$M29-$A$15,BY$13)))</f>
        <v>1000000000000</v>
      </c>
      <c r="BZ29" s="172" cm="1">
        <f t="array" aca="1" ref="BZ29" ca="1">IF(OR($D29&lt;&gt;"Serviço",AND(AUTOEVENTO="Manual",$M29=$A$15),$M29&gt;(ROW(PLE.lastrow)-ROW(PLE.firstrow))),0,
           IF(OFFSET(PLE!$G$15,$M29-$A$15,BZ$13)="",10^12,OFFSET(PLE!$G$15,$M29-$A$15,BZ$13)))</f>
        <v>1000000000000</v>
      </c>
      <c r="CA29" s="172" cm="1">
        <f t="array" aca="1" ref="CA29" ca="1">IF(OR($D29&lt;&gt;"Serviço",AND(AUTOEVENTO="Manual",$M29=$A$15),$M29&gt;(ROW(PLE.lastrow)-ROW(PLE.firstrow))),0,
           IF(OFFSET(PLE!$G$15,$M29-$A$15,CA$13)="",10^12,OFFSET(PLE!$G$15,$M29-$A$15,CA$13)))</f>
        <v>1000000000000</v>
      </c>
      <c r="CB29" s="172" cm="1">
        <f t="array" aca="1" ref="CB29" ca="1">IF(OR($D29&lt;&gt;"Serviço",AND(AUTOEVENTO="Manual",$M29=$A$15),$M29&gt;(ROW(PLE.lastrow)-ROW(PLE.firstrow))),0,
           IF(OFFSET(PLE!$G$15,$M29-$A$15,CB$13)="",10^12,OFFSET(PLE!$G$15,$M29-$A$15,CB$13)))</f>
        <v>1000000000000</v>
      </c>
      <c r="CC29" s="172" cm="1">
        <f t="array" aca="1" ref="CC29" ca="1">IF(OR($D29&lt;&gt;"Serviço",AND(AUTOEVENTO="Manual",$M29=$A$15),$M29&gt;(ROW(PLE.lastrow)-ROW(PLE.firstrow))),0,
           IF(OFFSET(PLE!$G$15,$M29-$A$15,CC$13)="",10^12,OFFSET(PLE!$G$15,$M29-$A$15,CC$13)))</f>
        <v>1000000000000</v>
      </c>
      <c r="CD29" s="172" cm="1">
        <f t="array" aca="1" ref="CD29" ca="1">IF(OR($D29&lt;&gt;"Serviço",AND(AUTOEVENTO="Manual",$M29=$A$15),$M29&gt;(ROW(PLE.lastrow)-ROW(PLE.firstrow))),0,
           IF(OFFSET(PLE!$G$15,$M29-$A$15,CD$13)="",10^12,OFFSET(PLE!$G$15,$M29-$A$15,CD$13)))</f>
        <v>1000000000000</v>
      </c>
      <c r="CE29" s="172" cm="1">
        <f t="array" aca="1" ref="CE29" ca="1">IF(OR($D29&lt;&gt;"Serviço",AND(AUTOEVENTO="Manual",$M29=$A$15),$M29&gt;(ROW(PLE.lastrow)-ROW(PLE.firstrow))),0,
           IF(OFFSET(PLE!$G$15,$M29-$A$15,CE$13)="",10^12,OFFSET(PLE!$G$15,$M29-$A$15,CE$13)))</f>
        <v>1000000000000</v>
      </c>
      <c r="CF29" s="172" cm="1">
        <f t="array" aca="1" ref="CF29" ca="1">IF(OR($D29&lt;&gt;"Serviço",AND(AUTOEVENTO="Manual",$M29=$A$15),$M29&gt;(ROW(PLE.lastrow)-ROW(PLE.firstrow))),0,
           IF(OFFSET(PLE!$G$15,$M29-$A$15,CF$13)="",10^12,OFFSET(PLE!$G$15,$M29-$A$15,CF$13)))</f>
        <v>1000000000000</v>
      </c>
      <c r="CG29" s="172" cm="1">
        <f t="array" aca="1" ref="CG29" ca="1">IF(OR($D29&lt;&gt;"Serviço",AND(AUTOEVENTO="Manual",$M29=$A$15),$M29&gt;(ROW(PLE.lastrow)-ROW(PLE.firstrow))),0,
           IF(OFFSET(PLE!$G$15,$M29-$A$15,CG$13)="",10^12,OFFSET(PLE!$G$15,$M29-$A$15,CG$13)))</f>
        <v>1000000000000</v>
      </c>
      <c r="CH29" s="172" cm="1">
        <f t="array" aca="1" ref="CH29" ca="1">IF(OR($D29&lt;&gt;"Serviço",AND(AUTOEVENTO="Manual",$M29=$A$15),$M29&gt;(ROW(PLE.lastrow)-ROW(PLE.firstrow))),0,
           IF(OFFSET(PLE!$G$15,$M29-$A$15,CH$13)="",10^12,OFFSET(PLE!$G$15,$M29-$A$15,CH$13)))</f>
        <v>1000000000000</v>
      </c>
      <c r="CI29" s="172" cm="1">
        <f t="array" aca="1" ref="CI29" ca="1">IF(OR($D29&lt;&gt;"Serviço",AND(AUTOEVENTO="Manual",$M29=$A$15),$M29&gt;(ROW(PLE.lastrow)-ROW(PLE.firstrow))),0,
           IF(OFFSET(PLE!$G$15,$M29-$A$15,CI$13)="",10^12,OFFSET(PLE!$G$15,$M29-$A$15,CI$13)))</f>
        <v>1000000000000</v>
      </c>
      <c r="CJ29" s="172" cm="1">
        <f t="array" aca="1" ref="CJ29" ca="1">IF(OR($D29&lt;&gt;"Serviço",AND(AUTOEVENTO="Manual",$M29=$A$15),$M29&gt;(ROW(PLE.lastrow)-ROW(PLE.firstrow))),0,
           IF(OFFSET(PLE!$G$15,$M29-$A$15,CJ$13)="",10^12,OFFSET(PLE!$G$15,$M29-$A$15,CJ$13)))</f>
        <v>1000000000000</v>
      </c>
      <c r="CK29" s="172" cm="1">
        <f t="array" aca="1" ref="CK29" ca="1">IF(OR($D29&lt;&gt;"Serviço",AND(AUTOEVENTO="Manual",$M29=$A$15),$M29&gt;(ROW(PLE.lastrow)-ROW(PLE.firstrow))),0,
           IF(OFFSET(PLE!$G$15,$M29-$A$15,CK$13)="",10^12,OFFSET(PLE!$G$15,$M29-$A$15,CK$13)))</f>
        <v>1000000000000</v>
      </c>
      <c r="CL29" s="172" cm="1">
        <f t="array" aca="1" ref="CL29" ca="1">IF(OR($D29&lt;&gt;"Serviço",AND(AUTOEVENTO="Manual",$M29=$A$15),$M29&gt;(ROW(PLE.lastrow)-ROW(PLE.firstrow))),0,
           IF(OFFSET(PLE!$G$15,$M29-$A$15,CL$13)="",10^12,OFFSET(PLE!$G$15,$M29-$A$15,CL$13)))</f>
        <v>1000000000000</v>
      </c>
      <c r="CM29" s="172" cm="1">
        <f t="array" aca="1" ref="CM29" ca="1">IF(OR($D29&lt;&gt;"Serviço",AND(AUTOEVENTO="Manual",$M29=$A$15),$M29&gt;(ROW(PLE.lastrow)-ROW(PLE.firstrow))),0,
           IF(OFFSET(PLE!$G$15,$M29-$A$15,CM$13)="",10^12,OFFSET(PLE!$G$15,$M29-$A$15,CM$13)))</f>
        <v>1000000000000</v>
      </c>
    </row>
    <row r="30" spans="1:91" s="670" customFormat="1" ht="25.5" x14ac:dyDescent="0.2">
      <c r="A30" s="668">
        <f t="shared" ca="1" si="10"/>
        <v>5</v>
      </c>
      <c r="B30" s="668" t="str">
        <f ca="1">OFFSET(ORÇAMENTO!C$15,$L30,0)</f>
        <v>S</v>
      </c>
      <c r="C30" s="668" t="str">
        <f ca="1">OFFSET(ORÇAMENTO!L$15,$L30,0)</f>
        <v>F</v>
      </c>
      <c r="D30" s="116" t="str">
        <f ca="1">OFFSET(ORÇAMENTO!N$15,$L30,0)</f>
        <v>Serviço</v>
      </c>
      <c r="E30" s="117" t="str">
        <f ca="1">OFFSET(ORÇAMENTO!O$15,$L30,0)</f>
        <v>1.3.3.</v>
      </c>
      <c r="F30" s="163" t="str">
        <f ca="1">OFFSET(ORÇAMENTO!R$15,$L30,0)</f>
        <v>ENCARREGADO GERAL DE OBRAS COM ENCARGOS COMPLEMENTARES</v>
      </c>
      <c r="G30" s="164" t="str">
        <f ca="1">IF($D30&lt;&gt;"Serviço","",OFFSET(ORÇAMENTO!S$15,$L30,0))</f>
        <v>MES</v>
      </c>
      <c r="H30" s="122" cm="1">
        <f t="array" aca="1" ref="H30" ca="1">IF($D30&lt;&gt;"Serviço",0,IF(ACOMPANHAMENTO="BM",ROUND(OFFSET(ORÇAMENTO!AJ$15,$L30,0),15-13*ORÇAMENTO!$AF$7),IF(IFERROR(CÁLCULO.FrentesPreenchidas,0)=0,0,SUM(ROUND(OFFSET($P30,0,1,1,CÁLCULO.FrentesPreenchidas),15-13*ORÇAMENTO!$AF$7)))))</f>
        <v>12</v>
      </c>
      <c r="I30" s="468" t="s">
        <v>1135</v>
      </c>
      <c r="J30" s="651" t="str" cm="1">
        <f t="array" aca="1" ref="J30" ca="1">IF(OR(B30&lt;&gt;"S",CÁLCULO.FrentesPreenchidas=0),"",IF(AND(ACOMPANHAMENTO="PLE",AUTOEVENTO="Manual",OR(H30&gt;0,ORÇAMENTO!AC30="QUANT."),OR(K30="",M30=0,N30="")),"►E",IF(AND(ACOMPANHAMENTO="PLE",ORÇAMENTO!AC30="QUANT."),"►Q",IF(AND(ACOMPANHAMENTO="PLE",H30&lt;&gt;SUMPRODUCT(($Q$1:$AI$1=1)*ROUND(Q30:AI30,15))),"►S",IF(AND(COUNTIF($P$11:$AI$11,"▼")=0,H30&gt;0,I30=""),"◄M","")))))</f>
        <v/>
      </c>
      <c r="K30" s="652" t="s">
        <v>1336</v>
      </c>
      <c r="L30" s="165">
        <f t="shared" ca="1" si="11"/>
        <v>15</v>
      </c>
      <c r="M30" s="166">
        <f ca="1">IF($D30&lt;&gt;"Serviço","",
          IF(AUTOEVENTO="manual",$A30,
                IF(ISERROR(MATCH($A30,$A$15:OFFSET($A30,-1,0),0)),MAX($M$15:OFFSET(M30,-1,0))+1,
                      INDEX($M$15:OFFSET(M30,-1,0),MATCH($A30,$A$15:OFFSET($A30,-1,0),0)))))</f>
        <v>5</v>
      </c>
      <c r="N30" s="167" t="str">
        <f ca="1">IF($D30&lt;&gt;"Serviço","",
         IF(AUTOEVENTO="Manual",
                IF($A30=0,"&lt;-- defina o número do agrupador",
                       OFFSET(EVENTOS!$D$15,$A30-$A$15,0)),
                OFFSET($F$15,$A30,0)))</f>
        <v>Administração Local</v>
      </c>
      <c r="O30" s="168"/>
      <c r="Q30" s="168"/>
      <c r="R30" s="169">
        <v>0.6</v>
      </c>
      <c r="S30" s="169"/>
      <c r="T30" s="169">
        <v>1.2</v>
      </c>
      <c r="U30" s="169">
        <v>0.6</v>
      </c>
      <c r="V30" s="169">
        <v>3.6</v>
      </c>
      <c r="W30" s="169">
        <v>0.6</v>
      </c>
      <c r="X30" s="169">
        <v>1.8</v>
      </c>
      <c r="Y30" s="169">
        <v>1.2</v>
      </c>
      <c r="Z30" s="170">
        <v>0.6</v>
      </c>
      <c r="AA30" s="705">
        <v>1.8</v>
      </c>
      <c r="AB30" s="705"/>
      <c r="AC30" s="705"/>
      <c r="AD30" s="705"/>
      <c r="AE30" s="705"/>
      <c r="AF30" s="705"/>
      <c r="AG30" s="705"/>
      <c r="AH30" s="706"/>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8570.35</v>
      </c>
      <c r="AL30" s="453">
        <f ca="1">IF(AND($D30="Serviço",AL$12&lt;&gt;0,$H30&gt;0,OR(AUTOEVENTO&lt;&gt;"manual",$M30&lt;&gt;$A$15)),
        IF(Import.TipoArredondamento&lt;&gt;"TransfereGOV",
              ROUND(OFFSET($P30,0,AL$13),15-13*ORÇAMENTO!$AF$7)/$H30*OFFSET(ORÇAMENTO!$X$15,ROW(AL30)-ROW(AL$15),0),
              ROUND(ROUND(OFFSET($P30,0,AL$13),15-13*ORÇAMENTO!$AF$7)*OFFSET(ORÇAMENTO!$W$15,ROW(AL30)-ROW(AL$15),0),15-13*ORÇAMENTO!$AF$11)),
         0)</f>
        <v>0</v>
      </c>
      <c r="AM30" s="453">
        <f ca="1">IF(AND($D30="Serviço",AM$12&lt;&gt;0,$H30&gt;0,OR(AUTOEVENTO&lt;&gt;"manual",$M30&lt;&gt;$A$15)),
        IF(Import.TipoArredondamento&lt;&gt;"TransfereGOV",
              ROUND(OFFSET($P30,0,AM$13),15-13*ORÇAMENTO!$AF$7)/$H30*OFFSET(ORÇAMENTO!$X$15,ROW(AM30)-ROW(AM$15),0),
              ROUND(ROUND(OFFSET($P30,0,AM$13),15-13*ORÇAMENTO!$AF$7)*OFFSET(ORÇAMENTO!$W$15,ROW(AM30)-ROW(AM$15),0),15-13*ORÇAMENTO!$AF$11)),
         0)</f>
        <v>17140.7</v>
      </c>
      <c r="AN30" s="453">
        <f ca="1">IF(AND($D30="Serviço",AN$12&lt;&gt;0,$H30&gt;0,OR(AUTOEVENTO&lt;&gt;"manual",$M30&lt;&gt;$A$15)),
        IF(Import.TipoArredondamento&lt;&gt;"TransfereGOV",
              ROUND(OFFSET($P30,0,AN$13),15-13*ORÇAMENTO!$AF$7)/$H30*OFFSET(ORÇAMENTO!$X$15,ROW(AN30)-ROW(AN$15),0),
              ROUND(ROUND(OFFSET($P30,0,AN$13),15-13*ORÇAMENTO!$AF$7)*OFFSET(ORÇAMENTO!$W$15,ROW(AN30)-ROW(AN$15),0),15-13*ORÇAMENTO!$AF$11)),
         0)</f>
        <v>8570.35</v>
      </c>
      <c r="AO30" s="453">
        <f ca="1">IF(AND($D30="Serviço",AO$12&lt;&gt;0,$H30&gt;0,OR(AUTOEVENTO&lt;&gt;"manual",$M30&lt;&gt;$A$15)),
        IF(Import.TipoArredondamento&lt;&gt;"TransfereGOV",
              ROUND(OFFSET($P30,0,AO$13),15-13*ORÇAMENTO!$AF$7)/$H30*OFFSET(ORÇAMENTO!$X$15,ROW(AO30)-ROW(AO$15),0),
              ROUND(ROUND(OFFSET($P30,0,AO$13),15-13*ORÇAMENTO!$AF$7)*OFFSET(ORÇAMENTO!$W$15,ROW(AO30)-ROW(AO$15),0),15-13*ORÇAMENTO!$AF$11)),
         0)</f>
        <v>51422.11</v>
      </c>
      <c r="AP30" s="453">
        <f ca="1">IF(AND($D30="Serviço",AP$12&lt;&gt;0,$H30&gt;0,OR(AUTOEVENTO&lt;&gt;"manual",$M30&lt;&gt;$A$15)),
        IF(Import.TipoArredondamento&lt;&gt;"TransfereGOV",
              ROUND(OFFSET($P30,0,AP$13),15-13*ORÇAMENTO!$AF$7)/$H30*OFFSET(ORÇAMENTO!$X$15,ROW(AP30)-ROW(AP$15),0),
              ROUND(ROUND(OFFSET($P30,0,AP$13),15-13*ORÇAMENTO!$AF$7)*OFFSET(ORÇAMENTO!$W$15,ROW(AP30)-ROW(AP$15),0),15-13*ORÇAMENTO!$AF$11)),
         0)</f>
        <v>8570.35</v>
      </c>
      <c r="AQ30" s="453">
        <f ca="1">IF(AND($D30="Serviço",AQ$12&lt;&gt;0,$H30&gt;0,OR(AUTOEVENTO&lt;&gt;"manual",$M30&lt;&gt;$A$15)),
        IF(Import.TipoArredondamento&lt;&gt;"TransfereGOV",
              ROUND(OFFSET($P30,0,AQ$13),15-13*ORÇAMENTO!$AF$7)/$H30*OFFSET(ORÇAMENTO!$X$15,ROW(AQ30)-ROW(AQ$15),0),
              ROUND(ROUND(OFFSET($P30,0,AQ$13),15-13*ORÇAMENTO!$AF$7)*OFFSET(ORÇAMENTO!$W$15,ROW(AQ30)-ROW(AQ$15),0),15-13*ORÇAMENTO!$AF$11)),
         0)</f>
        <v>25711.06</v>
      </c>
      <c r="AR30" s="453">
        <f ca="1">IF(AND($D30="Serviço",AR$12&lt;&gt;0,$H30&gt;0,OR(AUTOEVENTO&lt;&gt;"manual",$M30&lt;&gt;$A$15)),
        IF(Import.TipoArredondamento&lt;&gt;"TransfereGOV",
              ROUND(OFFSET($P30,0,AR$13),15-13*ORÇAMENTO!$AF$7)/$H30*OFFSET(ORÇAMENTO!$X$15,ROW(AR30)-ROW(AR$15),0),
              ROUND(ROUND(OFFSET($P30,0,AR$13),15-13*ORÇAMENTO!$AF$7)*OFFSET(ORÇAMENTO!$W$15,ROW(AR30)-ROW(AR$15),0),15-13*ORÇAMENTO!$AF$11)),
         0)</f>
        <v>17140.7</v>
      </c>
      <c r="AS30" s="453">
        <f ca="1">IF(AND($D30="Serviço",AS$12&lt;&gt;0,$H30&gt;0,OR(AUTOEVENTO&lt;&gt;"manual",$M30&lt;&gt;$A$15)),
        IF(Import.TipoArredondamento&lt;&gt;"TransfereGOV",
              ROUND(OFFSET($P30,0,AS$13),15-13*ORÇAMENTO!$AF$7)/$H30*OFFSET(ORÇAMENTO!$X$15,ROW(AS30)-ROW(AS$15),0),
              ROUND(ROUND(OFFSET($P30,0,AS$13),15-13*ORÇAMENTO!$AF$7)*OFFSET(ORÇAMENTO!$W$15,ROW(AS30)-ROW(AS$15),0),15-13*ORÇAMENTO!$AF$11)),
         0)</f>
        <v>8570.35</v>
      </c>
      <c r="AT30" s="453">
        <f ca="1">IF(AND($D30="Serviço",AT$12&lt;&gt;0,$H30&gt;0,OR(AUTOEVENTO&lt;&gt;"manual",$M30&lt;&gt;$A$15)),
        IF(Import.TipoArredondamento&lt;&gt;"TransfereGOV",
              ROUND(OFFSET($P30,0,AT$13),15-13*ORÇAMENTO!$AF$7)/$H30*OFFSET(ORÇAMENTO!$X$15,ROW(AT30)-ROW(AT$15),0),
              ROUND(ROUND(OFFSET($P30,0,AT$13),15-13*ORÇAMENTO!$AF$7)*OFFSET(ORÇAMENTO!$W$15,ROW(AT30)-ROW(AT$15),0),15-13*ORÇAMENTO!$AF$11)),
         0)</f>
        <v>25711.06</v>
      </c>
      <c r="AU30" s="453">
        <f ca="1">IF(AND($D30="Serviço",AU$12&lt;&gt;0,$H30&gt;0,OR(AUTOEVENTO&lt;&gt;"manual",$M30&lt;&gt;$A$15)),
        IF(Import.TipoArredondamento&lt;&gt;"TransfereGOV",
              ROUND(OFFSET($P30,0,AU$13),15-13*ORÇAMENTO!$AF$7)/$H30*OFFSET(ORÇAMENTO!$X$15,ROW(AU30)-ROW(AU$15),0),
              ROUND(ROUND(OFFSET($P30,0,AU$13),15-13*ORÇAMENTO!$AF$7)*OFFSET(ORÇAMENTO!$W$15,ROW(AU30)-ROW(AU$15),0),15-13*ORÇAMENTO!$AF$11)),
         0)</f>
        <v>0</v>
      </c>
      <c r="AV30" s="453">
        <f ca="1">IF(AND($D30="Serviço",AV$12&lt;&gt;0,$H30&gt;0,OR(AUTOEVENTO&lt;&gt;"manual",$M30&lt;&gt;$A$15)),
        IF(Import.TipoArredondamento&lt;&gt;"TransfereGOV",
              ROUND(OFFSET($P30,0,AV$13),15-13*ORÇAMENTO!$AF$7)/$H30*OFFSET(ORÇAMENTO!$X$15,ROW(AV30)-ROW(AV$15),0),
              ROUND(ROUND(OFFSET($P30,0,AV$13),15-13*ORÇAMENTO!$AF$7)*OFFSET(ORÇAMENTO!$W$15,ROW(AV30)-ROW(AV$15),0),15-13*ORÇAMENTO!$AF$11)),
         0)</f>
        <v>0</v>
      </c>
      <c r="AW30" s="453">
        <f ca="1">IF(AND($D30="Serviço",AW$12&lt;&gt;0,$H30&gt;0,OR(AUTOEVENTO&lt;&gt;"manual",$M30&lt;&gt;$A$15)),
        IF(Import.TipoArredondamento&lt;&gt;"TransfereGOV",
              ROUND(OFFSET($P30,0,AW$13),15-13*ORÇAMENTO!$AF$7)/$H30*OFFSET(ORÇAMENTO!$X$15,ROW(AW30)-ROW(AW$15),0),
              ROUND(ROUND(OFFSET($P30,0,AW$13),15-13*ORÇAMENTO!$AF$7)*OFFSET(ORÇAMENTO!$W$15,ROW(AW30)-ROW(AW$15),0),15-13*ORÇAMENTO!$AF$11)),
         0)</f>
        <v>0</v>
      </c>
      <c r="AX30" s="453">
        <f ca="1">IF(AND($D30="Serviço",AX$12&lt;&gt;0,$H30&gt;0,OR(AUTOEVENTO&lt;&gt;"manual",$M30&lt;&gt;$A$15)),
        IF(Import.TipoArredondamento&lt;&gt;"TransfereGOV",
              ROUND(OFFSET($P30,0,AX$13),15-13*ORÇAMENTO!$AF$7)/$H30*OFFSET(ORÇAMENTO!$X$15,ROW(AX30)-ROW(AX$15),0),
              ROUND(ROUND(OFFSET($P30,0,AX$13),15-13*ORÇAMENTO!$AF$7)*OFFSET(ORÇAMENTO!$W$15,ROW(AX30)-ROW(AX$15),0),15-13*ORÇAMENTO!$AF$11)),
         0)</f>
        <v>0</v>
      </c>
      <c r="AY30" s="453">
        <f ca="1">IF(AND($D30="Serviço",AY$12&lt;&gt;0,$H30&gt;0,OR(AUTOEVENTO&lt;&gt;"manual",$M30&lt;&gt;$A$15)),
        IF(Import.TipoArredondamento&lt;&gt;"TransfereGOV",
              ROUND(OFFSET($P30,0,AY$13),15-13*ORÇAMENTO!$AF$7)/$H30*OFFSET(ORÇAMENTO!$X$15,ROW(AY30)-ROW(AY$15),0),
              ROUND(ROUND(OFFSET($P30,0,AY$13),15-13*ORÇAMENTO!$AF$7)*OFFSET(ORÇAMENTO!$W$15,ROW(AY30)-ROW(AY$15),0),15-13*ORÇAMENTO!$AF$11)),
         0)</f>
        <v>0</v>
      </c>
      <c r="AZ30" s="453">
        <f ca="1">IF(AND($D30="Serviço",AZ$12&lt;&gt;0,$H30&gt;0,OR(AUTOEVENTO&lt;&gt;"manual",$M30&lt;&gt;$A$15)),
        IF(Import.TipoArredondamento&lt;&gt;"TransfereGOV",
              ROUND(OFFSET($P30,0,AZ$13),15-13*ORÇAMENTO!$AF$7)/$H30*OFFSET(ORÇAMENTO!$X$15,ROW(AZ30)-ROW(AZ$15),0),
              ROUND(ROUND(OFFSET($P30,0,AZ$13),15-13*ORÇAMENTO!$AF$7)*OFFSET(ORÇAMENTO!$W$15,ROW(AZ30)-ROW(AZ$15),0),15-13*ORÇAMENTO!$AF$11)),
         0)</f>
        <v>0</v>
      </c>
      <c r="BA30" s="453">
        <f ca="1">IF(AND($D30="Serviço",BA$12&lt;&gt;0,$H30&gt;0,OR(AUTOEVENTO&lt;&gt;"manual",$M30&lt;&gt;$A$15)),
        IF(Import.TipoArredondamento&lt;&gt;"TransfereGOV",
              ROUND(OFFSET($P30,0,BA$13),15-13*ORÇAMENTO!$AF$7)/$H30*OFFSET(ORÇAMENTO!$X$15,ROW(BA30)-ROW(BA$15),0),
              ROUND(ROUND(OFFSET($P30,0,BA$13),15-13*ORÇAMENTO!$AF$7)*OFFSET(ORÇAMENTO!$W$15,ROW(BA30)-ROW(BA$15),0),15-13*ORÇAMENTO!$AF$11)),
         0)</f>
        <v>0</v>
      </c>
      <c r="BC30" s="171">
        <f ca="1">IF(OR($D30&lt;&gt;"Serviço",AND(AUTOEVENTO="Manual",$M30=$A$15)),0,
         IF(OFFSET(CRONOPLE!$F$15,$M30-$A$15,BC$13)=0,10^12,OFFSET(CRONOPLE!$F$15,$M30-$A$15,BC$13)))</f>
        <v>10</v>
      </c>
      <c r="BD30" s="171">
        <f ca="1">IF(OR($D30&lt;&gt;"Serviço",AND(AUTOEVENTO="Manual",$M30=$A$15)),0,
         IF(OFFSET(CRONOPLE!$F$15,$M30-$A$15,BD$13)=0,10^12,OFFSET(CRONOPLE!$F$15,$M30-$A$15,BD$13)))</f>
        <v>3</v>
      </c>
      <c r="BE30" s="171">
        <f ca="1">IF(OR($D30&lt;&gt;"Serviço",AND(AUTOEVENTO="Manual",$M30=$A$15)),0,
         IF(OFFSET(CRONOPLE!$F$15,$M30-$A$15,BE$13)=0,10^12,OFFSET(CRONOPLE!$F$15,$M30-$A$15,BE$13)))</f>
        <v>4</v>
      </c>
      <c r="BF30" s="171">
        <f ca="1">IF(OR($D30&lt;&gt;"Serviço",AND(AUTOEVENTO="Manual",$M30=$A$15)),0,
         IF(OFFSET(CRONOPLE!$F$15,$M30-$A$15,BF$13)=0,10^12,OFFSET(CRONOPLE!$F$15,$M30-$A$15,BF$13)))</f>
        <v>5</v>
      </c>
      <c r="BG30" s="171">
        <f ca="1">IF(OR($D30&lt;&gt;"Serviço",AND(AUTOEVENTO="Manual",$M30=$A$15)),0,
         IF(OFFSET(CRONOPLE!$F$15,$M30-$A$15,BG$13)=0,10^12,OFFSET(CRONOPLE!$F$15,$M30-$A$15,BG$13)))</f>
        <v>6</v>
      </c>
      <c r="BH30" s="171">
        <f ca="1">IF(OR($D30&lt;&gt;"Serviço",AND(AUTOEVENTO="Manual",$M30=$A$15)),0,
         IF(OFFSET(CRONOPLE!$F$15,$M30-$A$15,BH$13)=0,10^12,OFFSET(CRONOPLE!$F$15,$M30-$A$15,BH$13)))</f>
        <v>7</v>
      </c>
      <c r="BI30" s="171">
        <f ca="1">IF(OR($D30&lt;&gt;"Serviço",AND(AUTOEVENTO="Manual",$M30=$A$15)),0,
         IF(OFFSET(CRONOPLE!$F$15,$M30-$A$15,BI$13)=0,10^12,OFFSET(CRONOPLE!$F$15,$M30-$A$15,BI$13)))</f>
        <v>8</v>
      </c>
      <c r="BJ30" s="171">
        <f ca="1">IF(OR($D30&lt;&gt;"Serviço",AND(AUTOEVENTO="Manual",$M30=$A$15)),0,
         IF(OFFSET(CRONOPLE!$F$15,$M30-$A$15,BJ$13)=0,10^12,OFFSET(CRONOPLE!$F$15,$M30-$A$15,BJ$13)))</f>
        <v>9</v>
      </c>
      <c r="BK30" s="171">
        <f ca="1">IF(OR($D30&lt;&gt;"Serviço",AND(AUTOEVENTO="Manual",$M30=$A$15)),0,
         IF(OFFSET(CRONOPLE!$F$15,$M30-$A$15,BK$13)=0,10^12,OFFSET(CRONOPLE!$F$15,$M30-$A$15,BK$13)))</f>
        <v>10</v>
      </c>
      <c r="BL30" s="171">
        <f ca="1">IF(OR($D30&lt;&gt;"Serviço",AND(AUTOEVENTO="Manual",$M30=$A$15)),0,
         IF(OFFSET(CRONOPLE!$F$15,$M30-$A$15,BL$13)=0,10^12,OFFSET(CRONOPLE!$F$15,$M30-$A$15,BL$13)))</f>
        <v>11</v>
      </c>
      <c r="BM30" s="171">
        <f ca="1">IF(OR($D30&lt;&gt;"Serviço",AND(AUTOEVENTO="Manual",$M30=$A$15)),0,
         IF(OFFSET(CRONOPLE!$F$15,$M30-$A$15,BM$13)=0,10^12,OFFSET(CRONOPLE!$F$15,$M30-$A$15,BM$13)))</f>
        <v>12</v>
      </c>
      <c r="BN30" s="171">
        <f ca="1">IF(OR($D30&lt;&gt;"Serviço",AND(AUTOEVENTO="Manual",$M30=$A$15)),0,
         IF(OFFSET(CRONOPLE!$F$15,$M30-$A$15,BN$13)=0,10^12,OFFSET(CRONOPLE!$F$15,$M30-$A$15,BN$13)))</f>
        <v>1000000000000</v>
      </c>
      <c r="BO30" s="171">
        <f ca="1">IF(OR($D30&lt;&gt;"Serviço",AND(AUTOEVENTO="Manual",$M30=$A$15)),0,
         IF(OFFSET(CRONOPLE!$F$15,$M30-$A$15,BO$13)=0,10^12,OFFSET(CRONOPLE!$F$15,$M30-$A$15,BO$13)))</f>
        <v>1000000000000</v>
      </c>
      <c r="BP30" s="171">
        <f ca="1">IF(OR($D30&lt;&gt;"Serviço",AND(AUTOEVENTO="Manual",$M30=$A$15)),0,
         IF(OFFSET(CRONOPLE!$F$15,$M30-$A$15,BP$13)=0,10^12,OFFSET(CRONOPLE!$F$15,$M30-$A$15,BP$13)))</f>
        <v>1000000000000</v>
      </c>
      <c r="BQ30" s="171">
        <f ca="1">IF(OR($D30&lt;&gt;"Serviço",AND(AUTOEVENTO="Manual",$M30=$A$15)),0,
         IF(OFFSET(CRONOPLE!$F$15,$M30-$A$15,BQ$13)=0,10^12,OFFSET(CRONOPLE!$F$15,$M30-$A$15,BQ$13)))</f>
        <v>1000000000000</v>
      </c>
      <c r="BR30" s="171">
        <f ca="1">IF(OR($D30&lt;&gt;"Serviço",AND(AUTOEVENTO="Manual",$M30=$A$15)),0,
         IF(OFFSET(CRONOPLE!$F$15,$M30-$A$15,BR$13)=0,10^12,OFFSET(CRONOPLE!$F$15,$M30-$A$15,BR$13)))</f>
        <v>1000000000000</v>
      </c>
      <c r="BS30" s="171">
        <f ca="1">IF(OR($D30&lt;&gt;"Serviço",AND(AUTOEVENTO="Manual",$M30=$A$15)),0,
         IF(OFFSET(CRONOPLE!$F$15,$M30-$A$15,BS$13)=0,10^12,OFFSET(CRONOPLE!$F$15,$M30-$A$15,BS$13)))</f>
        <v>1000000000000</v>
      </c>
      <c r="BT30" s="171">
        <f ca="1">IF(OR($D30&lt;&gt;"Serviço",AND(AUTOEVENTO="Manual",$M30=$A$15)),0,
         IF(OFFSET(CRONOPLE!$F$15,$M30-$A$15,BT$13)=0,10^12,OFFSET(CRONOPLE!$F$15,$M30-$A$15,BT$13)))</f>
        <v>1000000000000</v>
      </c>
      <c r="BV30" s="172" cm="1">
        <f t="array" aca="1" ref="BV30" ca="1">IF(OR($D30&lt;&gt;"Serviço",AND(AUTOEVENTO="Manual",$M30=$A$15),$M30&gt;(ROW(PLE.lastrow)-ROW(PLE.firstrow))),0,
           IF(OFFSET(PLE!$G$15,$M30-$A$15,BV$13)="",10^12,OFFSET(PLE!$G$15,$M30-$A$15,BV$13)))</f>
        <v>1000000000000</v>
      </c>
      <c r="BW30" s="172" cm="1">
        <f t="array" aca="1" ref="BW30" ca="1">IF(OR($D30&lt;&gt;"Serviço",AND(AUTOEVENTO="Manual",$M30=$A$15),$M30&gt;(ROW(PLE.lastrow)-ROW(PLE.firstrow))),0,
           IF(OFFSET(PLE!$G$15,$M30-$A$15,BW$13)="",10^12,OFFSET(PLE!$G$15,$M30-$A$15,BW$13)))</f>
        <v>1000000000000</v>
      </c>
      <c r="BX30" s="172" cm="1">
        <f t="array" aca="1" ref="BX30" ca="1">IF(OR($D30&lt;&gt;"Serviço",AND(AUTOEVENTO="Manual",$M30=$A$15),$M30&gt;(ROW(PLE.lastrow)-ROW(PLE.firstrow))),0,
           IF(OFFSET(PLE!$G$15,$M30-$A$15,BX$13)="",10^12,OFFSET(PLE!$G$15,$M30-$A$15,BX$13)))</f>
        <v>1000000000000</v>
      </c>
      <c r="BY30" s="172" cm="1">
        <f t="array" aca="1" ref="BY30" ca="1">IF(OR($D30&lt;&gt;"Serviço",AND(AUTOEVENTO="Manual",$M30=$A$15),$M30&gt;(ROW(PLE.lastrow)-ROW(PLE.firstrow))),0,
           IF(OFFSET(PLE!$G$15,$M30-$A$15,BY$13)="",10^12,OFFSET(PLE!$G$15,$M30-$A$15,BY$13)))</f>
        <v>1000000000000</v>
      </c>
      <c r="BZ30" s="172" cm="1">
        <f t="array" aca="1" ref="BZ30" ca="1">IF(OR($D30&lt;&gt;"Serviço",AND(AUTOEVENTO="Manual",$M30=$A$15),$M30&gt;(ROW(PLE.lastrow)-ROW(PLE.firstrow))),0,
           IF(OFFSET(PLE!$G$15,$M30-$A$15,BZ$13)="",10^12,OFFSET(PLE!$G$15,$M30-$A$15,BZ$13)))</f>
        <v>1000000000000</v>
      </c>
      <c r="CA30" s="172" cm="1">
        <f t="array" aca="1" ref="CA30" ca="1">IF(OR($D30&lt;&gt;"Serviço",AND(AUTOEVENTO="Manual",$M30=$A$15),$M30&gt;(ROW(PLE.lastrow)-ROW(PLE.firstrow))),0,
           IF(OFFSET(PLE!$G$15,$M30-$A$15,CA$13)="",10^12,OFFSET(PLE!$G$15,$M30-$A$15,CA$13)))</f>
        <v>1000000000000</v>
      </c>
      <c r="CB30" s="172" cm="1">
        <f t="array" aca="1" ref="CB30" ca="1">IF(OR($D30&lt;&gt;"Serviço",AND(AUTOEVENTO="Manual",$M30=$A$15),$M30&gt;(ROW(PLE.lastrow)-ROW(PLE.firstrow))),0,
           IF(OFFSET(PLE!$G$15,$M30-$A$15,CB$13)="",10^12,OFFSET(PLE!$G$15,$M30-$A$15,CB$13)))</f>
        <v>1000000000000</v>
      </c>
      <c r="CC30" s="172" cm="1">
        <f t="array" aca="1" ref="CC30" ca="1">IF(OR($D30&lt;&gt;"Serviço",AND(AUTOEVENTO="Manual",$M30=$A$15),$M30&gt;(ROW(PLE.lastrow)-ROW(PLE.firstrow))),0,
           IF(OFFSET(PLE!$G$15,$M30-$A$15,CC$13)="",10^12,OFFSET(PLE!$G$15,$M30-$A$15,CC$13)))</f>
        <v>1000000000000</v>
      </c>
      <c r="CD30" s="172" cm="1">
        <f t="array" aca="1" ref="CD30" ca="1">IF(OR($D30&lt;&gt;"Serviço",AND(AUTOEVENTO="Manual",$M30=$A$15),$M30&gt;(ROW(PLE.lastrow)-ROW(PLE.firstrow))),0,
           IF(OFFSET(PLE!$G$15,$M30-$A$15,CD$13)="",10^12,OFFSET(PLE!$G$15,$M30-$A$15,CD$13)))</f>
        <v>1000000000000</v>
      </c>
      <c r="CE30" s="172" cm="1">
        <f t="array" aca="1" ref="CE30" ca="1">IF(OR($D30&lt;&gt;"Serviço",AND(AUTOEVENTO="Manual",$M30=$A$15),$M30&gt;(ROW(PLE.lastrow)-ROW(PLE.firstrow))),0,
           IF(OFFSET(PLE!$G$15,$M30-$A$15,CE$13)="",10^12,OFFSET(PLE!$G$15,$M30-$A$15,CE$13)))</f>
        <v>1000000000000</v>
      </c>
      <c r="CF30" s="172" cm="1">
        <f t="array" aca="1" ref="CF30" ca="1">IF(OR($D30&lt;&gt;"Serviço",AND(AUTOEVENTO="Manual",$M30=$A$15),$M30&gt;(ROW(PLE.lastrow)-ROW(PLE.firstrow))),0,
           IF(OFFSET(PLE!$G$15,$M30-$A$15,CF$13)="",10^12,OFFSET(PLE!$G$15,$M30-$A$15,CF$13)))</f>
        <v>1000000000000</v>
      </c>
      <c r="CG30" s="172" cm="1">
        <f t="array" aca="1" ref="CG30" ca="1">IF(OR($D30&lt;&gt;"Serviço",AND(AUTOEVENTO="Manual",$M30=$A$15),$M30&gt;(ROW(PLE.lastrow)-ROW(PLE.firstrow))),0,
           IF(OFFSET(PLE!$G$15,$M30-$A$15,CG$13)="",10^12,OFFSET(PLE!$G$15,$M30-$A$15,CG$13)))</f>
        <v>1000000000000</v>
      </c>
      <c r="CH30" s="172" cm="1">
        <f t="array" aca="1" ref="CH30" ca="1">IF(OR($D30&lt;&gt;"Serviço",AND(AUTOEVENTO="Manual",$M30=$A$15),$M30&gt;(ROW(PLE.lastrow)-ROW(PLE.firstrow))),0,
           IF(OFFSET(PLE!$G$15,$M30-$A$15,CH$13)="",10^12,OFFSET(PLE!$G$15,$M30-$A$15,CH$13)))</f>
        <v>1000000000000</v>
      </c>
      <c r="CI30" s="172" cm="1">
        <f t="array" aca="1" ref="CI30" ca="1">IF(OR($D30&lt;&gt;"Serviço",AND(AUTOEVENTO="Manual",$M30=$A$15),$M30&gt;(ROW(PLE.lastrow)-ROW(PLE.firstrow))),0,
           IF(OFFSET(PLE!$G$15,$M30-$A$15,CI$13)="",10^12,OFFSET(PLE!$G$15,$M30-$A$15,CI$13)))</f>
        <v>1000000000000</v>
      </c>
      <c r="CJ30" s="172" cm="1">
        <f t="array" aca="1" ref="CJ30" ca="1">IF(OR($D30&lt;&gt;"Serviço",AND(AUTOEVENTO="Manual",$M30=$A$15),$M30&gt;(ROW(PLE.lastrow)-ROW(PLE.firstrow))),0,
           IF(OFFSET(PLE!$G$15,$M30-$A$15,CJ$13)="",10^12,OFFSET(PLE!$G$15,$M30-$A$15,CJ$13)))</f>
        <v>1000000000000</v>
      </c>
      <c r="CK30" s="172" cm="1">
        <f t="array" aca="1" ref="CK30" ca="1">IF(OR($D30&lt;&gt;"Serviço",AND(AUTOEVENTO="Manual",$M30=$A$15),$M30&gt;(ROW(PLE.lastrow)-ROW(PLE.firstrow))),0,
           IF(OFFSET(PLE!$G$15,$M30-$A$15,CK$13)="",10^12,OFFSET(PLE!$G$15,$M30-$A$15,CK$13)))</f>
        <v>1000000000000</v>
      </c>
      <c r="CL30" s="172" cm="1">
        <f t="array" aca="1" ref="CL30" ca="1">IF(OR($D30&lt;&gt;"Serviço",AND(AUTOEVENTO="Manual",$M30=$A$15),$M30&gt;(ROW(PLE.lastrow)-ROW(PLE.firstrow))),0,
           IF(OFFSET(PLE!$G$15,$M30-$A$15,CL$13)="",10^12,OFFSET(PLE!$G$15,$M30-$A$15,CL$13)))</f>
        <v>1000000000000</v>
      </c>
      <c r="CM30" s="172" cm="1">
        <f t="array" aca="1" ref="CM30" ca="1">IF(OR($D30&lt;&gt;"Serviço",AND(AUTOEVENTO="Manual",$M30=$A$15),$M30&gt;(ROW(PLE.lastrow)-ROW(PLE.firstrow))),0,
           IF(OFFSET(PLE!$G$15,$M30-$A$15,CM$13)="",10^12,OFFSET(PLE!$G$15,$M30-$A$15,CM$13)))</f>
        <v>1000000000000</v>
      </c>
    </row>
    <row r="31" spans="1:91" s="670" customFormat="1" ht="25.5" x14ac:dyDescent="0.2">
      <c r="A31" s="668">
        <f t="shared" ca="1" si="10"/>
        <v>5</v>
      </c>
      <c r="B31" s="668" t="str">
        <f ca="1">OFFSET(ORÇAMENTO!C$15,$L31,0)</f>
        <v>S</v>
      </c>
      <c r="C31" s="668" t="str">
        <f ca="1">OFFSET(ORÇAMENTO!L$15,$L31,0)</f>
        <v>F</v>
      </c>
      <c r="D31" s="116" t="str">
        <f ca="1">OFFSET(ORÇAMENTO!N$15,$L31,0)</f>
        <v>Serviço</v>
      </c>
      <c r="E31" s="117" t="str">
        <f ca="1">OFFSET(ORÇAMENTO!O$15,$L31,0)</f>
        <v>1.3.4.</v>
      </c>
      <c r="F31" s="163" t="str">
        <f ca="1">OFFSET(ORÇAMENTO!R$15,$L31,0)</f>
        <v>ENGENHEIRO CIVIL DE OBRA PLENO COM ENCARGOS COMPLEMENTARES</v>
      </c>
      <c r="G31" s="164" t="str">
        <f ca="1">IF($D31&lt;&gt;"Serviço","",OFFSET(ORÇAMENTO!S$15,$L31,0))</f>
        <v>MES</v>
      </c>
      <c r="H31" s="122" cm="1">
        <f t="array" aca="1" ref="H31" ca="1">IF($D31&lt;&gt;"Serviço",0,IF(ACOMPANHAMENTO="BM",ROUND(OFFSET(ORÇAMENTO!AJ$15,$L31,0),15-13*ORÇAMENTO!$AF$7),IF(IFERROR(CÁLCULO.FrentesPreenchidas,0)=0,0,SUM(ROUND(OFFSET($P31,0,1,1,CÁLCULO.FrentesPreenchidas),15-13*ORÇAMENTO!$AF$7)))))</f>
        <v>2</v>
      </c>
      <c r="I31" s="468" t="s">
        <v>1316</v>
      </c>
      <c r="J31" s="651" t="str" cm="1">
        <f t="array" aca="1" ref="J31" ca="1">IF(OR(B31&lt;&gt;"S",CÁLCULO.FrentesPreenchidas=0),"",IF(AND(ACOMPANHAMENTO="PLE",AUTOEVENTO="Manual",OR(H31&gt;0,ORÇAMENTO!AC31="QUANT."),OR(K31="",M31=0,N31="")),"►E",IF(AND(ACOMPANHAMENTO="PLE",ORÇAMENTO!AC31="QUANT."),"►Q",IF(AND(ACOMPANHAMENTO="PLE",H31&lt;&gt;SUMPRODUCT(($Q$1:$AI$1=1)*ROUND(Q31:AI31,15))),"►S",IF(AND(COUNTIF($P$11:$AI$11,"▼")=0,H31&gt;0,I31=""),"◄M","")))))</f>
        <v/>
      </c>
      <c r="K31" s="652" t="s">
        <v>1336</v>
      </c>
      <c r="L31" s="165">
        <f t="shared" ca="1" si="11"/>
        <v>16</v>
      </c>
      <c r="M31" s="166">
        <f ca="1">IF($D31&lt;&gt;"Serviço","",
          IF(AUTOEVENTO="manual",$A31,
                IF(ISERROR(MATCH($A31,$A$15:OFFSET($A31,-1,0),0)),MAX($M$15:OFFSET(M31,-1,0))+1,
                      INDEX($M$15:OFFSET(M31,-1,0),MATCH($A31,$A$15:OFFSET($A31,-1,0),0)))))</f>
        <v>5</v>
      </c>
      <c r="N31" s="167" t="str">
        <f ca="1">IF($D31&lt;&gt;"Serviço","",
         IF(AUTOEVENTO="Manual",
                IF($A31=0,"&lt;-- defina o número do agrupador",
                       OFFSET(EVENTOS!$D$15,$A31-$A$15,0)),
                OFFSET($F$15,$A31,0)))</f>
        <v>Administração Local</v>
      </c>
      <c r="O31" s="168"/>
      <c r="Q31" s="168"/>
      <c r="R31" s="169">
        <v>0.1</v>
      </c>
      <c r="S31" s="169"/>
      <c r="T31" s="169">
        <v>0.2</v>
      </c>
      <c r="U31" s="169">
        <v>0.1</v>
      </c>
      <c r="V31" s="169">
        <v>0.6</v>
      </c>
      <c r="W31" s="169">
        <v>0.1</v>
      </c>
      <c r="X31" s="169">
        <v>0.3</v>
      </c>
      <c r="Y31" s="169">
        <v>0.2</v>
      </c>
      <c r="Z31" s="170">
        <v>0.1</v>
      </c>
      <c r="AA31" s="705">
        <v>0.3</v>
      </c>
      <c r="AB31" s="705"/>
      <c r="AC31" s="705"/>
      <c r="AD31" s="705"/>
      <c r="AE31" s="705"/>
      <c r="AF31" s="705"/>
      <c r="AG31" s="705"/>
      <c r="AH31" s="706"/>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3176.18</v>
      </c>
      <c r="AL31" s="453">
        <f ca="1">IF(AND($D31="Serviço",AL$12&lt;&gt;0,$H31&gt;0,OR(AUTOEVENTO&lt;&gt;"manual",$M31&lt;&gt;$A$15)),
        IF(Import.TipoArredondamento&lt;&gt;"TransfereGOV",
              ROUND(OFFSET($P31,0,AL$13),15-13*ORÇAMENTO!$AF$7)/$H31*OFFSET(ORÇAMENTO!$X$15,ROW(AL31)-ROW(AL$15),0),
              ROUND(ROUND(OFFSET($P31,0,AL$13),15-13*ORÇAMENTO!$AF$7)*OFFSET(ORÇAMENTO!$W$15,ROW(AL31)-ROW(AL$15),0),15-13*ORÇAMENTO!$AF$11)),
         0)</f>
        <v>0</v>
      </c>
      <c r="AM31" s="453">
        <f ca="1">IF(AND($D31="Serviço",AM$12&lt;&gt;0,$H31&gt;0,OR(AUTOEVENTO&lt;&gt;"manual",$M31&lt;&gt;$A$15)),
        IF(Import.TipoArredondamento&lt;&gt;"TransfereGOV",
              ROUND(OFFSET($P31,0,AM$13),15-13*ORÇAMENTO!$AF$7)/$H31*OFFSET(ORÇAMENTO!$X$15,ROW(AM31)-ROW(AM$15),0),
              ROUND(ROUND(OFFSET($P31,0,AM$13),15-13*ORÇAMENTO!$AF$7)*OFFSET(ORÇAMENTO!$W$15,ROW(AM31)-ROW(AM$15),0),15-13*ORÇAMENTO!$AF$11)),
         0)</f>
        <v>6352.36</v>
      </c>
      <c r="AN31" s="453">
        <f ca="1">IF(AND($D31="Serviço",AN$12&lt;&gt;0,$H31&gt;0,OR(AUTOEVENTO&lt;&gt;"manual",$M31&lt;&gt;$A$15)),
        IF(Import.TipoArredondamento&lt;&gt;"TransfereGOV",
              ROUND(OFFSET($P31,0,AN$13),15-13*ORÇAMENTO!$AF$7)/$H31*OFFSET(ORÇAMENTO!$X$15,ROW(AN31)-ROW(AN$15),0),
              ROUND(ROUND(OFFSET($P31,0,AN$13),15-13*ORÇAMENTO!$AF$7)*OFFSET(ORÇAMENTO!$W$15,ROW(AN31)-ROW(AN$15),0),15-13*ORÇAMENTO!$AF$11)),
         0)</f>
        <v>3176.18</v>
      </c>
      <c r="AO31" s="453">
        <f ca="1">IF(AND($D31="Serviço",AO$12&lt;&gt;0,$H31&gt;0,OR(AUTOEVENTO&lt;&gt;"manual",$M31&lt;&gt;$A$15)),
        IF(Import.TipoArredondamento&lt;&gt;"TransfereGOV",
              ROUND(OFFSET($P31,0,AO$13),15-13*ORÇAMENTO!$AF$7)/$H31*OFFSET(ORÇAMENTO!$X$15,ROW(AO31)-ROW(AO$15),0),
              ROUND(ROUND(OFFSET($P31,0,AO$13),15-13*ORÇAMENTO!$AF$7)*OFFSET(ORÇAMENTO!$W$15,ROW(AO31)-ROW(AO$15),0),15-13*ORÇAMENTO!$AF$11)),
         0)</f>
        <v>19057.07</v>
      </c>
      <c r="AP31" s="453">
        <f ca="1">IF(AND($D31="Serviço",AP$12&lt;&gt;0,$H31&gt;0,OR(AUTOEVENTO&lt;&gt;"manual",$M31&lt;&gt;$A$15)),
        IF(Import.TipoArredondamento&lt;&gt;"TransfereGOV",
              ROUND(OFFSET($P31,0,AP$13),15-13*ORÇAMENTO!$AF$7)/$H31*OFFSET(ORÇAMENTO!$X$15,ROW(AP31)-ROW(AP$15),0),
              ROUND(ROUND(OFFSET($P31,0,AP$13),15-13*ORÇAMENTO!$AF$7)*OFFSET(ORÇAMENTO!$W$15,ROW(AP31)-ROW(AP$15),0),15-13*ORÇAMENTO!$AF$11)),
         0)</f>
        <v>3176.18</v>
      </c>
      <c r="AQ31" s="453">
        <f ca="1">IF(AND($D31="Serviço",AQ$12&lt;&gt;0,$H31&gt;0,OR(AUTOEVENTO&lt;&gt;"manual",$M31&lt;&gt;$A$15)),
        IF(Import.TipoArredondamento&lt;&gt;"TransfereGOV",
              ROUND(OFFSET($P31,0,AQ$13),15-13*ORÇAMENTO!$AF$7)/$H31*OFFSET(ORÇAMENTO!$X$15,ROW(AQ31)-ROW(AQ$15),0),
              ROUND(ROUND(OFFSET($P31,0,AQ$13),15-13*ORÇAMENTO!$AF$7)*OFFSET(ORÇAMENTO!$W$15,ROW(AQ31)-ROW(AQ$15),0),15-13*ORÇAMENTO!$AF$11)),
         0)</f>
        <v>9528.5400000000009</v>
      </c>
      <c r="AR31" s="453">
        <f ca="1">IF(AND($D31="Serviço",AR$12&lt;&gt;0,$H31&gt;0,OR(AUTOEVENTO&lt;&gt;"manual",$M31&lt;&gt;$A$15)),
        IF(Import.TipoArredondamento&lt;&gt;"TransfereGOV",
              ROUND(OFFSET($P31,0,AR$13),15-13*ORÇAMENTO!$AF$7)/$H31*OFFSET(ORÇAMENTO!$X$15,ROW(AR31)-ROW(AR$15),0),
              ROUND(ROUND(OFFSET($P31,0,AR$13),15-13*ORÇAMENTO!$AF$7)*OFFSET(ORÇAMENTO!$W$15,ROW(AR31)-ROW(AR$15),0),15-13*ORÇAMENTO!$AF$11)),
         0)</f>
        <v>6352.36</v>
      </c>
      <c r="AS31" s="453">
        <f ca="1">IF(AND($D31="Serviço",AS$12&lt;&gt;0,$H31&gt;0,OR(AUTOEVENTO&lt;&gt;"manual",$M31&lt;&gt;$A$15)),
        IF(Import.TipoArredondamento&lt;&gt;"TransfereGOV",
              ROUND(OFFSET($P31,0,AS$13),15-13*ORÇAMENTO!$AF$7)/$H31*OFFSET(ORÇAMENTO!$X$15,ROW(AS31)-ROW(AS$15),0),
              ROUND(ROUND(OFFSET($P31,0,AS$13),15-13*ORÇAMENTO!$AF$7)*OFFSET(ORÇAMENTO!$W$15,ROW(AS31)-ROW(AS$15),0),15-13*ORÇAMENTO!$AF$11)),
         0)</f>
        <v>3176.18</v>
      </c>
      <c r="AT31" s="453">
        <f ca="1">IF(AND($D31="Serviço",AT$12&lt;&gt;0,$H31&gt;0,OR(AUTOEVENTO&lt;&gt;"manual",$M31&lt;&gt;$A$15)),
        IF(Import.TipoArredondamento&lt;&gt;"TransfereGOV",
              ROUND(OFFSET($P31,0,AT$13),15-13*ORÇAMENTO!$AF$7)/$H31*OFFSET(ORÇAMENTO!$X$15,ROW(AT31)-ROW(AT$15),0),
              ROUND(ROUND(OFFSET($P31,0,AT$13),15-13*ORÇAMENTO!$AF$7)*OFFSET(ORÇAMENTO!$W$15,ROW(AT31)-ROW(AT$15),0),15-13*ORÇAMENTO!$AF$11)),
         0)</f>
        <v>9528.5400000000009</v>
      </c>
      <c r="AU31" s="453">
        <f ca="1">IF(AND($D31="Serviço",AU$12&lt;&gt;0,$H31&gt;0,OR(AUTOEVENTO&lt;&gt;"manual",$M31&lt;&gt;$A$15)),
        IF(Import.TipoArredondamento&lt;&gt;"TransfereGOV",
              ROUND(OFFSET($P31,0,AU$13),15-13*ORÇAMENTO!$AF$7)/$H31*OFFSET(ORÇAMENTO!$X$15,ROW(AU31)-ROW(AU$15),0),
              ROUND(ROUND(OFFSET($P31,0,AU$13),15-13*ORÇAMENTO!$AF$7)*OFFSET(ORÇAMENTO!$W$15,ROW(AU31)-ROW(AU$15),0),15-13*ORÇAMENTO!$AF$11)),
         0)</f>
        <v>0</v>
      </c>
      <c r="AV31" s="453">
        <f ca="1">IF(AND($D31="Serviço",AV$12&lt;&gt;0,$H31&gt;0,OR(AUTOEVENTO&lt;&gt;"manual",$M31&lt;&gt;$A$15)),
        IF(Import.TipoArredondamento&lt;&gt;"TransfereGOV",
              ROUND(OFFSET($P31,0,AV$13),15-13*ORÇAMENTO!$AF$7)/$H31*OFFSET(ORÇAMENTO!$X$15,ROW(AV31)-ROW(AV$15),0),
              ROUND(ROUND(OFFSET($P31,0,AV$13),15-13*ORÇAMENTO!$AF$7)*OFFSET(ORÇAMENTO!$W$15,ROW(AV31)-ROW(AV$15),0),15-13*ORÇAMENTO!$AF$11)),
         0)</f>
        <v>0</v>
      </c>
      <c r="AW31" s="453">
        <f ca="1">IF(AND($D31="Serviço",AW$12&lt;&gt;0,$H31&gt;0,OR(AUTOEVENTO&lt;&gt;"manual",$M31&lt;&gt;$A$15)),
        IF(Import.TipoArredondamento&lt;&gt;"TransfereGOV",
              ROUND(OFFSET($P31,0,AW$13),15-13*ORÇAMENTO!$AF$7)/$H31*OFFSET(ORÇAMENTO!$X$15,ROW(AW31)-ROW(AW$15),0),
              ROUND(ROUND(OFFSET($P31,0,AW$13),15-13*ORÇAMENTO!$AF$7)*OFFSET(ORÇAMENTO!$W$15,ROW(AW31)-ROW(AW$15),0),15-13*ORÇAMENTO!$AF$11)),
         0)</f>
        <v>0</v>
      </c>
      <c r="AX31" s="453">
        <f ca="1">IF(AND($D31="Serviço",AX$12&lt;&gt;0,$H31&gt;0,OR(AUTOEVENTO&lt;&gt;"manual",$M31&lt;&gt;$A$15)),
        IF(Import.TipoArredondamento&lt;&gt;"TransfereGOV",
              ROUND(OFFSET($P31,0,AX$13),15-13*ORÇAMENTO!$AF$7)/$H31*OFFSET(ORÇAMENTO!$X$15,ROW(AX31)-ROW(AX$15),0),
              ROUND(ROUND(OFFSET($P31,0,AX$13),15-13*ORÇAMENTO!$AF$7)*OFFSET(ORÇAMENTO!$W$15,ROW(AX31)-ROW(AX$15),0),15-13*ORÇAMENTO!$AF$11)),
         0)</f>
        <v>0</v>
      </c>
      <c r="AY31" s="453">
        <f ca="1">IF(AND($D31="Serviço",AY$12&lt;&gt;0,$H31&gt;0,OR(AUTOEVENTO&lt;&gt;"manual",$M31&lt;&gt;$A$15)),
        IF(Import.TipoArredondamento&lt;&gt;"TransfereGOV",
              ROUND(OFFSET($P31,0,AY$13),15-13*ORÇAMENTO!$AF$7)/$H31*OFFSET(ORÇAMENTO!$X$15,ROW(AY31)-ROW(AY$15),0),
              ROUND(ROUND(OFFSET($P31,0,AY$13),15-13*ORÇAMENTO!$AF$7)*OFFSET(ORÇAMENTO!$W$15,ROW(AY31)-ROW(AY$15),0),15-13*ORÇAMENTO!$AF$11)),
         0)</f>
        <v>0</v>
      </c>
      <c r="AZ31" s="453">
        <f ca="1">IF(AND($D31="Serviço",AZ$12&lt;&gt;0,$H31&gt;0,OR(AUTOEVENTO&lt;&gt;"manual",$M31&lt;&gt;$A$15)),
        IF(Import.TipoArredondamento&lt;&gt;"TransfereGOV",
              ROUND(OFFSET($P31,0,AZ$13),15-13*ORÇAMENTO!$AF$7)/$H31*OFFSET(ORÇAMENTO!$X$15,ROW(AZ31)-ROW(AZ$15),0),
              ROUND(ROUND(OFFSET($P31,0,AZ$13),15-13*ORÇAMENTO!$AF$7)*OFFSET(ORÇAMENTO!$W$15,ROW(AZ31)-ROW(AZ$15),0),15-13*ORÇAMENTO!$AF$11)),
         0)</f>
        <v>0</v>
      </c>
      <c r="BA31" s="453">
        <f ca="1">IF(AND($D31="Serviço",BA$12&lt;&gt;0,$H31&gt;0,OR(AUTOEVENTO&lt;&gt;"manual",$M31&lt;&gt;$A$15)),
        IF(Import.TipoArredondamento&lt;&gt;"TransfereGOV",
              ROUND(OFFSET($P31,0,BA$13),15-13*ORÇAMENTO!$AF$7)/$H31*OFFSET(ORÇAMENTO!$X$15,ROW(BA31)-ROW(BA$15),0),
              ROUND(ROUND(OFFSET($P31,0,BA$13),15-13*ORÇAMENTO!$AF$7)*OFFSET(ORÇAMENTO!$W$15,ROW(BA31)-ROW(BA$15),0),15-13*ORÇAMENTO!$AF$11)),
         0)</f>
        <v>0</v>
      </c>
      <c r="BC31" s="171">
        <f ca="1">IF(OR($D31&lt;&gt;"Serviço",AND(AUTOEVENTO="Manual",$M31=$A$15)),0,
         IF(OFFSET(CRONOPLE!$F$15,$M31-$A$15,BC$13)=0,10^12,OFFSET(CRONOPLE!$F$15,$M31-$A$15,BC$13)))</f>
        <v>10</v>
      </c>
      <c r="BD31" s="171">
        <f ca="1">IF(OR($D31&lt;&gt;"Serviço",AND(AUTOEVENTO="Manual",$M31=$A$15)),0,
         IF(OFFSET(CRONOPLE!$F$15,$M31-$A$15,BD$13)=0,10^12,OFFSET(CRONOPLE!$F$15,$M31-$A$15,BD$13)))</f>
        <v>3</v>
      </c>
      <c r="BE31" s="171">
        <f ca="1">IF(OR($D31&lt;&gt;"Serviço",AND(AUTOEVENTO="Manual",$M31=$A$15)),0,
         IF(OFFSET(CRONOPLE!$F$15,$M31-$A$15,BE$13)=0,10^12,OFFSET(CRONOPLE!$F$15,$M31-$A$15,BE$13)))</f>
        <v>4</v>
      </c>
      <c r="BF31" s="171">
        <f ca="1">IF(OR($D31&lt;&gt;"Serviço",AND(AUTOEVENTO="Manual",$M31=$A$15)),0,
         IF(OFFSET(CRONOPLE!$F$15,$M31-$A$15,BF$13)=0,10^12,OFFSET(CRONOPLE!$F$15,$M31-$A$15,BF$13)))</f>
        <v>5</v>
      </c>
      <c r="BG31" s="171">
        <f ca="1">IF(OR($D31&lt;&gt;"Serviço",AND(AUTOEVENTO="Manual",$M31=$A$15)),0,
         IF(OFFSET(CRONOPLE!$F$15,$M31-$A$15,BG$13)=0,10^12,OFFSET(CRONOPLE!$F$15,$M31-$A$15,BG$13)))</f>
        <v>6</v>
      </c>
      <c r="BH31" s="171">
        <f ca="1">IF(OR($D31&lt;&gt;"Serviço",AND(AUTOEVENTO="Manual",$M31=$A$15)),0,
         IF(OFFSET(CRONOPLE!$F$15,$M31-$A$15,BH$13)=0,10^12,OFFSET(CRONOPLE!$F$15,$M31-$A$15,BH$13)))</f>
        <v>7</v>
      </c>
      <c r="BI31" s="171">
        <f ca="1">IF(OR($D31&lt;&gt;"Serviço",AND(AUTOEVENTO="Manual",$M31=$A$15)),0,
         IF(OFFSET(CRONOPLE!$F$15,$M31-$A$15,BI$13)=0,10^12,OFFSET(CRONOPLE!$F$15,$M31-$A$15,BI$13)))</f>
        <v>8</v>
      </c>
      <c r="BJ31" s="171">
        <f ca="1">IF(OR($D31&lt;&gt;"Serviço",AND(AUTOEVENTO="Manual",$M31=$A$15)),0,
         IF(OFFSET(CRONOPLE!$F$15,$M31-$A$15,BJ$13)=0,10^12,OFFSET(CRONOPLE!$F$15,$M31-$A$15,BJ$13)))</f>
        <v>9</v>
      </c>
      <c r="BK31" s="171">
        <f ca="1">IF(OR($D31&lt;&gt;"Serviço",AND(AUTOEVENTO="Manual",$M31=$A$15)),0,
         IF(OFFSET(CRONOPLE!$F$15,$M31-$A$15,BK$13)=0,10^12,OFFSET(CRONOPLE!$F$15,$M31-$A$15,BK$13)))</f>
        <v>10</v>
      </c>
      <c r="BL31" s="171">
        <f ca="1">IF(OR($D31&lt;&gt;"Serviço",AND(AUTOEVENTO="Manual",$M31=$A$15)),0,
         IF(OFFSET(CRONOPLE!$F$15,$M31-$A$15,BL$13)=0,10^12,OFFSET(CRONOPLE!$F$15,$M31-$A$15,BL$13)))</f>
        <v>11</v>
      </c>
      <c r="BM31" s="171">
        <f ca="1">IF(OR($D31&lt;&gt;"Serviço",AND(AUTOEVENTO="Manual",$M31=$A$15)),0,
         IF(OFFSET(CRONOPLE!$F$15,$M31-$A$15,BM$13)=0,10^12,OFFSET(CRONOPLE!$F$15,$M31-$A$15,BM$13)))</f>
        <v>12</v>
      </c>
      <c r="BN31" s="171">
        <f ca="1">IF(OR($D31&lt;&gt;"Serviço",AND(AUTOEVENTO="Manual",$M31=$A$15)),0,
         IF(OFFSET(CRONOPLE!$F$15,$M31-$A$15,BN$13)=0,10^12,OFFSET(CRONOPLE!$F$15,$M31-$A$15,BN$13)))</f>
        <v>1000000000000</v>
      </c>
      <c r="BO31" s="171">
        <f ca="1">IF(OR($D31&lt;&gt;"Serviço",AND(AUTOEVENTO="Manual",$M31=$A$15)),0,
         IF(OFFSET(CRONOPLE!$F$15,$M31-$A$15,BO$13)=0,10^12,OFFSET(CRONOPLE!$F$15,$M31-$A$15,BO$13)))</f>
        <v>1000000000000</v>
      </c>
      <c r="BP31" s="171">
        <f ca="1">IF(OR($D31&lt;&gt;"Serviço",AND(AUTOEVENTO="Manual",$M31=$A$15)),0,
         IF(OFFSET(CRONOPLE!$F$15,$M31-$A$15,BP$13)=0,10^12,OFFSET(CRONOPLE!$F$15,$M31-$A$15,BP$13)))</f>
        <v>1000000000000</v>
      </c>
      <c r="BQ31" s="171">
        <f ca="1">IF(OR($D31&lt;&gt;"Serviço",AND(AUTOEVENTO="Manual",$M31=$A$15)),0,
         IF(OFFSET(CRONOPLE!$F$15,$M31-$A$15,BQ$13)=0,10^12,OFFSET(CRONOPLE!$F$15,$M31-$A$15,BQ$13)))</f>
        <v>1000000000000</v>
      </c>
      <c r="BR31" s="171">
        <f ca="1">IF(OR($D31&lt;&gt;"Serviço",AND(AUTOEVENTO="Manual",$M31=$A$15)),0,
         IF(OFFSET(CRONOPLE!$F$15,$M31-$A$15,BR$13)=0,10^12,OFFSET(CRONOPLE!$F$15,$M31-$A$15,BR$13)))</f>
        <v>1000000000000</v>
      </c>
      <c r="BS31" s="171">
        <f ca="1">IF(OR($D31&lt;&gt;"Serviço",AND(AUTOEVENTO="Manual",$M31=$A$15)),0,
         IF(OFFSET(CRONOPLE!$F$15,$M31-$A$15,BS$13)=0,10^12,OFFSET(CRONOPLE!$F$15,$M31-$A$15,BS$13)))</f>
        <v>1000000000000</v>
      </c>
      <c r="BT31" s="171">
        <f ca="1">IF(OR($D31&lt;&gt;"Serviço",AND(AUTOEVENTO="Manual",$M31=$A$15)),0,
         IF(OFFSET(CRONOPLE!$F$15,$M31-$A$15,BT$13)=0,10^12,OFFSET(CRONOPLE!$F$15,$M31-$A$15,BT$13)))</f>
        <v>1000000000000</v>
      </c>
      <c r="BV31" s="172" cm="1">
        <f t="array" aca="1" ref="BV31" ca="1">IF(OR($D31&lt;&gt;"Serviço",AND(AUTOEVENTO="Manual",$M31=$A$15),$M31&gt;(ROW(PLE.lastrow)-ROW(PLE.firstrow))),0,
           IF(OFFSET(PLE!$G$15,$M31-$A$15,BV$13)="",10^12,OFFSET(PLE!$G$15,$M31-$A$15,BV$13)))</f>
        <v>1000000000000</v>
      </c>
      <c r="BW31" s="172" cm="1">
        <f t="array" aca="1" ref="BW31" ca="1">IF(OR($D31&lt;&gt;"Serviço",AND(AUTOEVENTO="Manual",$M31=$A$15),$M31&gt;(ROW(PLE.lastrow)-ROW(PLE.firstrow))),0,
           IF(OFFSET(PLE!$G$15,$M31-$A$15,BW$13)="",10^12,OFFSET(PLE!$G$15,$M31-$A$15,BW$13)))</f>
        <v>1000000000000</v>
      </c>
      <c r="BX31" s="172" cm="1">
        <f t="array" aca="1" ref="BX31" ca="1">IF(OR($D31&lt;&gt;"Serviço",AND(AUTOEVENTO="Manual",$M31=$A$15),$M31&gt;(ROW(PLE.lastrow)-ROW(PLE.firstrow))),0,
           IF(OFFSET(PLE!$G$15,$M31-$A$15,BX$13)="",10^12,OFFSET(PLE!$G$15,$M31-$A$15,BX$13)))</f>
        <v>1000000000000</v>
      </c>
      <c r="BY31" s="172" cm="1">
        <f t="array" aca="1" ref="BY31" ca="1">IF(OR($D31&lt;&gt;"Serviço",AND(AUTOEVENTO="Manual",$M31=$A$15),$M31&gt;(ROW(PLE.lastrow)-ROW(PLE.firstrow))),0,
           IF(OFFSET(PLE!$G$15,$M31-$A$15,BY$13)="",10^12,OFFSET(PLE!$G$15,$M31-$A$15,BY$13)))</f>
        <v>1000000000000</v>
      </c>
      <c r="BZ31" s="172" cm="1">
        <f t="array" aca="1" ref="BZ31" ca="1">IF(OR($D31&lt;&gt;"Serviço",AND(AUTOEVENTO="Manual",$M31=$A$15),$M31&gt;(ROW(PLE.lastrow)-ROW(PLE.firstrow))),0,
           IF(OFFSET(PLE!$G$15,$M31-$A$15,BZ$13)="",10^12,OFFSET(PLE!$G$15,$M31-$A$15,BZ$13)))</f>
        <v>1000000000000</v>
      </c>
      <c r="CA31" s="172" cm="1">
        <f t="array" aca="1" ref="CA31" ca="1">IF(OR($D31&lt;&gt;"Serviço",AND(AUTOEVENTO="Manual",$M31=$A$15),$M31&gt;(ROW(PLE.lastrow)-ROW(PLE.firstrow))),0,
           IF(OFFSET(PLE!$G$15,$M31-$A$15,CA$13)="",10^12,OFFSET(PLE!$G$15,$M31-$A$15,CA$13)))</f>
        <v>1000000000000</v>
      </c>
      <c r="CB31" s="172" cm="1">
        <f t="array" aca="1" ref="CB31" ca="1">IF(OR($D31&lt;&gt;"Serviço",AND(AUTOEVENTO="Manual",$M31=$A$15),$M31&gt;(ROW(PLE.lastrow)-ROW(PLE.firstrow))),0,
           IF(OFFSET(PLE!$G$15,$M31-$A$15,CB$13)="",10^12,OFFSET(PLE!$G$15,$M31-$A$15,CB$13)))</f>
        <v>1000000000000</v>
      </c>
      <c r="CC31" s="172" cm="1">
        <f t="array" aca="1" ref="CC31" ca="1">IF(OR($D31&lt;&gt;"Serviço",AND(AUTOEVENTO="Manual",$M31=$A$15),$M31&gt;(ROW(PLE.lastrow)-ROW(PLE.firstrow))),0,
           IF(OFFSET(PLE!$G$15,$M31-$A$15,CC$13)="",10^12,OFFSET(PLE!$G$15,$M31-$A$15,CC$13)))</f>
        <v>1000000000000</v>
      </c>
      <c r="CD31" s="172" cm="1">
        <f t="array" aca="1" ref="CD31" ca="1">IF(OR($D31&lt;&gt;"Serviço",AND(AUTOEVENTO="Manual",$M31=$A$15),$M31&gt;(ROW(PLE.lastrow)-ROW(PLE.firstrow))),0,
           IF(OFFSET(PLE!$G$15,$M31-$A$15,CD$13)="",10^12,OFFSET(PLE!$G$15,$M31-$A$15,CD$13)))</f>
        <v>1000000000000</v>
      </c>
      <c r="CE31" s="172" cm="1">
        <f t="array" aca="1" ref="CE31" ca="1">IF(OR($D31&lt;&gt;"Serviço",AND(AUTOEVENTO="Manual",$M31=$A$15),$M31&gt;(ROW(PLE.lastrow)-ROW(PLE.firstrow))),0,
           IF(OFFSET(PLE!$G$15,$M31-$A$15,CE$13)="",10^12,OFFSET(PLE!$G$15,$M31-$A$15,CE$13)))</f>
        <v>1000000000000</v>
      </c>
      <c r="CF31" s="172" cm="1">
        <f t="array" aca="1" ref="CF31" ca="1">IF(OR($D31&lt;&gt;"Serviço",AND(AUTOEVENTO="Manual",$M31=$A$15),$M31&gt;(ROW(PLE.lastrow)-ROW(PLE.firstrow))),0,
           IF(OFFSET(PLE!$G$15,$M31-$A$15,CF$13)="",10^12,OFFSET(PLE!$G$15,$M31-$A$15,CF$13)))</f>
        <v>1000000000000</v>
      </c>
      <c r="CG31" s="172" cm="1">
        <f t="array" aca="1" ref="CG31" ca="1">IF(OR($D31&lt;&gt;"Serviço",AND(AUTOEVENTO="Manual",$M31=$A$15),$M31&gt;(ROW(PLE.lastrow)-ROW(PLE.firstrow))),0,
           IF(OFFSET(PLE!$G$15,$M31-$A$15,CG$13)="",10^12,OFFSET(PLE!$G$15,$M31-$A$15,CG$13)))</f>
        <v>1000000000000</v>
      </c>
      <c r="CH31" s="172" cm="1">
        <f t="array" aca="1" ref="CH31" ca="1">IF(OR($D31&lt;&gt;"Serviço",AND(AUTOEVENTO="Manual",$M31=$A$15),$M31&gt;(ROW(PLE.lastrow)-ROW(PLE.firstrow))),0,
           IF(OFFSET(PLE!$G$15,$M31-$A$15,CH$13)="",10^12,OFFSET(PLE!$G$15,$M31-$A$15,CH$13)))</f>
        <v>1000000000000</v>
      </c>
      <c r="CI31" s="172" cm="1">
        <f t="array" aca="1" ref="CI31" ca="1">IF(OR($D31&lt;&gt;"Serviço",AND(AUTOEVENTO="Manual",$M31=$A$15),$M31&gt;(ROW(PLE.lastrow)-ROW(PLE.firstrow))),0,
           IF(OFFSET(PLE!$G$15,$M31-$A$15,CI$13)="",10^12,OFFSET(PLE!$G$15,$M31-$A$15,CI$13)))</f>
        <v>1000000000000</v>
      </c>
      <c r="CJ31" s="172" cm="1">
        <f t="array" aca="1" ref="CJ31" ca="1">IF(OR($D31&lt;&gt;"Serviço",AND(AUTOEVENTO="Manual",$M31=$A$15),$M31&gt;(ROW(PLE.lastrow)-ROW(PLE.firstrow))),0,
           IF(OFFSET(PLE!$G$15,$M31-$A$15,CJ$13)="",10^12,OFFSET(PLE!$G$15,$M31-$A$15,CJ$13)))</f>
        <v>1000000000000</v>
      </c>
      <c r="CK31" s="172" cm="1">
        <f t="array" aca="1" ref="CK31" ca="1">IF(OR($D31&lt;&gt;"Serviço",AND(AUTOEVENTO="Manual",$M31=$A$15),$M31&gt;(ROW(PLE.lastrow)-ROW(PLE.firstrow))),0,
           IF(OFFSET(PLE!$G$15,$M31-$A$15,CK$13)="",10^12,OFFSET(PLE!$G$15,$M31-$A$15,CK$13)))</f>
        <v>1000000000000</v>
      </c>
      <c r="CL31" s="172" cm="1">
        <f t="array" aca="1" ref="CL31" ca="1">IF(OR($D31&lt;&gt;"Serviço",AND(AUTOEVENTO="Manual",$M31=$A$15),$M31&gt;(ROW(PLE.lastrow)-ROW(PLE.firstrow))),0,
           IF(OFFSET(PLE!$G$15,$M31-$A$15,CL$13)="",10^12,OFFSET(PLE!$G$15,$M31-$A$15,CL$13)))</f>
        <v>1000000000000</v>
      </c>
      <c r="CM31" s="172" cm="1">
        <f t="array" aca="1" ref="CM31" ca="1">IF(OR($D31&lt;&gt;"Serviço",AND(AUTOEVENTO="Manual",$M31=$A$15),$M31&gt;(ROW(PLE.lastrow)-ROW(PLE.firstrow))),0,
           IF(OFFSET(PLE!$G$15,$M31-$A$15,CM$13)="",10^12,OFFSET(PLE!$G$15,$M31-$A$15,CM$13)))</f>
        <v>1000000000000</v>
      </c>
    </row>
    <row r="32" spans="1:91" s="670" customFormat="1" ht="12.75" x14ac:dyDescent="0.2">
      <c r="A32" s="668">
        <f t="shared" ca="1" si="10"/>
        <v>0</v>
      </c>
      <c r="B32" s="668">
        <f ca="1">OFFSET(ORÇAMENTO!C$15,$L32,0)</f>
        <v>2</v>
      </c>
      <c r="C32" s="668" t="str">
        <f ca="1">OFFSET(ORÇAMENTO!L$15,$L32,0)</f>
        <v>F</v>
      </c>
      <c r="D32" s="116" t="str">
        <f ca="1">OFFSET(ORÇAMENTO!N$15,$L32,0)</f>
        <v>Nível 2</v>
      </c>
      <c r="E32" s="117" t="str">
        <f ca="1">OFFSET(ORÇAMENTO!O$15,$L32,0)</f>
        <v>1.4.</v>
      </c>
      <c r="F32" s="163" t="str">
        <f ca="1">OFFSET(ORÇAMENTO!R$15,$L32,0)</f>
        <v>FUNDAÇÕES - Reservatório de 320 m³</v>
      </c>
      <c r="G32" s="164" t="str">
        <f ca="1">IF($D32&lt;&gt;"Serviço","",OFFSET(ORÇAMENTO!S$15,$L32,0))</f>
        <v/>
      </c>
      <c r="H32" s="122" cm="1">
        <f t="array" aca="1" ref="H32" ca="1">IF($D32&lt;&gt;"Serviço",0,IF(ACOMPANHAMENTO="BM",ROUND(OFFSET(ORÇAMENTO!AJ$15,$L32,0),15-13*ORÇAMENTO!$AF$7),IF(IFERROR(CÁLCULO.FrentesPreenchidas,0)=0,0,SUM(ROUND(OFFSET($P32,0,1,1,CÁLCULO.FrentesPreenchidas),15-13*ORÇAMENTO!$AF$7)))))</f>
        <v>0</v>
      </c>
      <c r="I32" s="468"/>
      <c r="J32" s="651" t="str" cm="1">
        <f t="array" aca="1" ref="J32" ca="1">IF(OR(B32&lt;&gt;"S",CÁLCULO.FrentesPreenchidas=0),"",IF(AND(ACOMPANHAMENTO="PLE",AUTOEVENTO="Manual",OR(H32&gt;0,ORÇAMENTO!AC32="QUANT."),OR(K32="",M32=0,N32="")),"►E",IF(AND(ACOMPANHAMENTO="PLE",ORÇAMENTO!AC32="QUANT."),"►Q",IF(AND(ACOMPANHAMENTO="PLE",H32&lt;&gt;SUMPRODUCT(($Q$1:$AI$1=1)*ROUND(Q32:AI32,15))),"►S",IF(AND(COUNTIF($P$11:$AI$11,"▼")=0,H32&gt;0,I32=""),"◄M","")))))</f>
        <v/>
      </c>
      <c r="K32" s="652"/>
      <c r="L32" s="165">
        <f t="shared" ca="1" si="11"/>
        <v>17</v>
      </c>
      <c r="M32" s="166" t="str">
        <f ca="1">IF($D32&lt;&gt;"Serviço","",
          IF(AUTOEVENTO="manual",$A32,
                IF(ISERROR(MATCH($A32,$A$15:OFFSET($A32,-1,0),0)),MAX($M$15:OFFSET(M32,-1,0))+1,
                      INDEX($M$15:OFFSET(M32,-1,0),MATCH($A32,$A$15:OFFSET($A32,-1,0),0)))))</f>
        <v/>
      </c>
      <c r="N32" s="167" t="str">
        <f ca="1">IF($D32&lt;&gt;"Serviço","",
         IF(AUTOEVENTO="Manual",
                IF($A32=0,"&lt;-- defina o número do agrupador",
                       OFFSET(EVENTOS!$D$15,$A32-$A$15,0)),
                OFFSET($F$15,$A32,0)))</f>
        <v/>
      </c>
      <c r="O32" s="168"/>
      <c r="Q32" s="168" t="s">
        <v>250</v>
      </c>
      <c r="R32" s="169"/>
      <c r="S32" s="169"/>
      <c r="T32" s="169"/>
      <c r="U32" s="169"/>
      <c r="V32" s="169"/>
      <c r="W32" s="169"/>
      <c r="X32" s="169"/>
      <c r="Y32" s="169"/>
      <c r="Z32" s="170"/>
      <c r="AA32" s="705"/>
      <c r="AB32" s="705"/>
      <c r="AC32" s="705"/>
      <c r="AD32" s="705"/>
      <c r="AE32" s="705"/>
      <c r="AF32" s="705"/>
      <c r="AG32" s="705"/>
      <c r="AH32" s="706"/>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L32" s="453">
        <f ca="1">IF(AND($D32="Serviço",AL$12&lt;&gt;0,$H32&gt;0,OR(AUTOEVENTO&lt;&gt;"manual",$M32&lt;&gt;$A$15)),
        IF(Import.TipoArredondamento&lt;&gt;"TransfereGOV",
              ROUND(OFFSET($P32,0,AL$13),15-13*ORÇAMENTO!$AF$7)/$H32*OFFSET(ORÇAMENTO!$X$15,ROW(AL32)-ROW(AL$15),0),
              ROUND(ROUND(OFFSET($P32,0,AL$13),15-13*ORÇAMENTO!$AF$7)*OFFSET(ORÇAMENTO!$W$15,ROW(AL32)-ROW(AL$15),0),15-13*ORÇAMENTO!$AF$11)),
         0)</f>
        <v>0</v>
      </c>
      <c r="AM32" s="453">
        <f ca="1">IF(AND($D32="Serviço",AM$12&lt;&gt;0,$H32&gt;0,OR(AUTOEVENTO&lt;&gt;"manual",$M32&lt;&gt;$A$15)),
        IF(Import.TipoArredondamento&lt;&gt;"TransfereGOV",
              ROUND(OFFSET($P32,0,AM$13),15-13*ORÇAMENTO!$AF$7)/$H32*OFFSET(ORÇAMENTO!$X$15,ROW(AM32)-ROW(AM$15),0),
              ROUND(ROUND(OFFSET($P32,0,AM$13),15-13*ORÇAMENTO!$AF$7)*OFFSET(ORÇAMENTO!$W$15,ROW(AM32)-ROW(AM$15),0),15-13*ORÇAMENTO!$AF$11)),
         0)</f>
        <v>0</v>
      </c>
      <c r="AN32" s="453">
        <f ca="1">IF(AND($D32="Serviço",AN$12&lt;&gt;0,$H32&gt;0,OR(AUTOEVENTO&lt;&gt;"manual",$M32&lt;&gt;$A$15)),
        IF(Import.TipoArredondamento&lt;&gt;"TransfereGOV",
              ROUND(OFFSET($P32,0,AN$13),15-13*ORÇAMENTO!$AF$7)/$H32*OFFSET(ORÇAMENTO!$X$15,ROW(AN32)-ROW(AN$15),0),
              ROUND(ROUND(OFFSET($P32,0,AN$13),15-13*ORÇAMENTO!$AF$7)*OFFSET(ORÇAMENTO!$W$15,ROW(AN32)-ROW(AN$15),0),15-13*ORÇAMENTO!$AF$11)),
         0)</f>
        <v>0</v>
      </c>
      <c r="AO32" s="453">
        <f ca="1">IF(AND($D32="Serviço",AO$12&lt;&gt;0,$H32&gt;0,OR(AUTOEVENTO&lt;&gt;"manual",$M32&lt;&gt;$A$15)),
        IF(Import.TipoArredondamento&lt;&gt;"TransfereGOV",
              ROUND(OFFSET($P32,0,AO$13),15-13*ORÇAMENTO!$AF$7)/$H32*OFFSET(ORÇAMENTO!$X$15,ROW(AO32)-ROW(AO$15),0),
              ROUND(ROUND(OFFSET($P32,0,AO$13),15-13*ORÇAMENTO!$AF$7)*OFFSET(ORÇAMENTO!$W$15,ROW(AO32)-ROW(AO$15),0),15-13*ORÇAMENTO!$AF$11)),
         0)</f>
        <v>0</v>
      </c>
      <c r="AP32" s="453">
        <f ca="1">IF(AND($D32="Serviço",AP$12&lt;&gt;0,$H32&gt;0,OR(AUTOEVENTO&lt;&gt;"manual",$M32&lt;&gt;$A$15)),
        IF(Import.TipoArredondamento&lt;&gt;"TransfereGOV",
              ROUND(OFFSET($P32,0,AP$13),15-13*ORÇAMENTO!$AF$7)/$H32*OFFSET(ORÇAMENTO!$X$15,ROW(AP32)-ROW(AP$15),0),
              ROUND(ROUND(OFFSET($P32,0,AP$13),15-13*ORÇAMENTO!$AF$7)*OFFSET(ORÇAMENTO!$W$15,ROW(AP32)-ROW(AP$15),0),15-13*ORÇAMENTO!$AF$11)),
         0)</f>
        <v>0</v>
      </c>
      <c r="AQ32" s="453">
        <f ca="1">IF(AND($D32="Serviço",AQ$12&lt;&gt;0,$H32&gt;0,OR(AUTOEVENTO&lt;&gt;"manual",$M32&lt;&gt;$A$15)),
        IF(Import.TipoArredondamento&lt;&gt;"TransfereGOV",
              ROUND(OFFSET($P32,0,AQ$13),15-13*ORÇAMENTO!$AF$7)/$H32*OFFSET(ORÇAMENTO!$X$15,ROW(AQ32)-ROW(AQ$15),0),
              ROUND(ROUND(OFFSET($P32,0,AQ$13),15-13*ORÇAMENTO!$AF$7)*OFFSET(ORÇAMENTO!$W$15,ROW(AQ32)-ROW(AQ$15),0),15-13*ORÇAMENTO!$AF$11)),
         0)</f>
        <v>0</v>
      </c>
      <c r="AR32" s="453">
        <f ca="1">IF(AND($D32="Serviço",AR$12&lt;&gt;0,$H32&gt;0,OR(AUTOEVENTO&lt;&gt;"manual",$M32&lt;&gt;$A$15)),
        IF(Import.TipoArredondamento&lt;&gt;"TransfereGOV",
              ROUND(OFFSET($P32,0,AR$13),15-13*ORÇAMENTO!$AF$7)/$H32*OFFSET(ORÇAMENTO!$X$15,ROW(AR32)-ROW(AR$15),0),
              ROUND(ROUND(OFFSET($P32,0,AR$13),15-13*ORÇAMENTO!$AF$7)*OFFSET(ORÇAMENTO!$W$15,ROW(AR32)-ROW(AR$15),0),15-13*ORÇAMENTO!$AF$11)),
         0)</f>
        <v>0</v>
      </c>
      <c r="AS32" s="453">
        <f ca="1">IF(AND($D32="Serviço",AS$12&lt;&gt;0,$H32&gt;0,OR(AUTOEVENTO&lt;&gt;"manual",$M32&lt;&gt;$A$15)),
        IF(Import.TipoArredondamento&lt;&gt;"TransfereGOV",
              ROUND(OFFSET($P32,0,AS$13),15-13*ORÇAMENTO!$AF$7)/$H32*OFFSET(ORÇAMENTO!$X$15,ROW(AS32)-ROW(AS$15),0),
              ROUND(ROUND(OFFSET($P32,0,AS$13),15-13*ORÇAMENTO!$AF$7)*OFFSET(ORÇAMENTO!$W$15,ROW(AS32)-ROW(AS$15),0),15-13*ORÇAMENTO!$AF$11)),
         0)</f>
        <v>0</v>
      </c>
      <c r="AT32" s="453">
        <f ca="1">IF(AND($D32="Serviço",AT$12&lt;&gt;0,$H32&gt;0,OR(AUTOEVENTO&lt;&gt;"manual",$M32&lt;&gt;$A$15)),
        IF(Import.TipoArredondamento&lt;&gt;"TransfereGOV",
              ROUND(OFFSET($P32,0,AT$13),15-13*ORÇAMENTO!$AF$7)/$H32*OFFSET(ORÇAMENTO!$X$15,ROW(AT32)-ROW(AT$15),0),
              ROUND(ROUND(OFFSET($P32,0,AT$13),15-13*ORÇAMENTO!$AF$7)*OFFSET(ORÇAMENTO!$W$15,ROW(AT32)-ROW(AT$15),0),15-13*ORÇAMENTO!$AF$11)),
         0)</f>
        <v>0</v>
      </c>
      <c r="AU32" s="453">
        <f ca="1">IF(AND($D32="Serviço",AU$12&lt;&gt;0,$H32&gt;0,OR(AUTOEVENTO&lt;&gt;"manual",$M32&lt;&gt;$A$15)),
        IF(Import.TipoArredondamento&lt;&gt;"TransfereGOV",
              ROUND(OFFSET($P32,0,AU$13),15-13*ORÇAMENTO!$AF$7)/$H32*OFFSET(ORÇAMENTO!$X$15,ROW(AU32)-ROW(AU$15),0),
              ROUND(ROUND(OFFSET($P32,0,AU$13),15-13*ORÇAMENTO!$AF$7)*OFFSET(ORÇAMENTO!$W$15,ROW(AU32)-ROW(AU$15),0),15-13*ORÇAMENTO!$AF$11)),
         0)</f>
        <v>0</v>
      </c>
      <c r="AV32" s="453">
        <f ca="1">IF(AND($D32="Serviço",AV$12&lt;&gt;0,$H32&gt;0,OR(AUTOEVENTO&lt;&gt;"manual",$M32&lt;&gt;$A$15)),
        IF(Import.TipoArredondamento&lt;&gt;"TransfereGOV",
              ROUND(OFFSET($P32,0,AV$13),15-13*ORÇAMENTO!$AF$7)/$H32*OFFSET(ORÇAMENTO!$X$15,ROW(AV32)-ROW(AV$15),0),
              ROUND(ROUND(OFFSET($P32,0,AV$13),15-13*ORÇAMENTO!$AF$7)*OFFSET(ORÇAMENTO!$W$15,ROW(AV32)-ROW(AV$15),0),15-13*ORÇAMENTO!$AF$11)),
         0)</f>
        <v>0</v>
      </c>
      <c r="AW32" s="453">
        <f ca="1">IF(AND($D32="Serviço",AW$12&lt;&gt;0,$H32&gt;0,OR(AUTOEVENTO&lt;&gt;"manual",$M32&lt;&gt;$A$15)),
        IF(Import.TipoArredondamento&lt;&gt;"TransfereGOV",
              ROUND(OFFSET($P32,0,AW$13),15-13*ORÇAMENTO!$AF$7)/$H32*OFFSET(ORÇAMENTO!$X$15,ROW(AW32)-ROW(AW$15),0),
              ROUND(ROUND(OFFSET($P32,0,AW$13),15-13*ORÇAMENTO!$AF$7)*OFFSET(ORÇAMENTO!$W$15,ROW(AW32)-ROW(AW$15),0),15-13*ORÇAMENTO!$AF$11)),
         0)</f>
        <v>0</v>
      </c>
      <c r="AX32" s="453">
        <f ca="1">IF(AND($D32="Serviço",AX$12&lt;&gt;0,$H32&gt;0,OR(AUTOEVENTO&lt;&gt;"manual",$M32&lt;&gt;$A$15)),
        IF(Import.TipoArredondamento&lt;&gt;"TransfereGOV",
              ROUND(OFFSET($P32,0,AX$13),15-13*ORÇAMENTO!$AF$7)/$H32*OFFSET(ORÇAMENTO!$X$15,ROW(AX32)-ROW(AX$15),0),
              ROUND(ROUND(OFFSET($P32,0,AX$13),15-13*ORÇAMENTO!$AF$7)*OFFSET(ORÇAMENTO!$W$15,ROW(AX32)-ROW(AX$15),0),15-13*ORÇAMENTO!$AF$11)),
         0)</f>
        <v>0</v>
      </c>
      <c r="AY32" s="453">
        <f ca="1">IF(AND($D32="Serviço",AY$12&lt;&gt;0,$H32&gt;0,OR(AUTOEVENTO&lt;&gt;"manual",$M32&lt;&gt;$A$15)),
        IF(Import.TipoArredondamento&lt;&gt;"TransfereGOV",
              ROUND(OFFSET($P32,0,AY$13),15-13*ORÇAMENTO!$AF$7)/$H32*OFFSET(ORÇAMENTO!$X$15,ROW(AY32)-ROW(AY$15),0),
              ROUND(ROUND(OFFSET($P32,0,AY$13),15-13*ORÇAMENTO!$AF$7)*OFFSET(ORÇAMENTO!$W$15,ROW(AY32)-ROW(AY$15),0),15-13*ORÇAMENTO!$AF$11)),
         0)</f>
        <v>0</v>
      </c>
      <c r="AZ32" s="453">
        <f ca="1">IF(AND($D32="Serviço",AZ$12&lt;&gt;0,$H32&gt;0,OR(AUTOEVENTO&lt;&gt;"manual",$M32&lt;&gt;$A$15)),
        IF(Import.TipoArredondamento&lt;&gt;"TransfereGOV",
              ROUND(OFFSET($P32,0,AZ$13),15-13*ORÇAMENTO!$AF$7)/$H32*OFFSET(ORÇAMENTO!$X$15,ROW(AZ32)-ROW(AZ$15),0),
              ROUND(ROUND(OFFSET($P32,0,AZ$13),15-13*ORÇAMENTO!$AF$7)*OFFSET(ORÇAMENTO!$W$15,ROW(AZ32)-ROW(AZ$15),0),15-13*ORÇAMENTO!$AF$11)),
         0)</f>
        <v>0</v>
      </c>
      <c r="BA32" s="453">
        <f ca="1">IF(AND($D32="Serviço",BA$12&lt;&gt;0,$H32&gt;0,OR(AUTOEVENTO&lt;&gt;"manual",$M32&lt;&gt;$A$15)),
        IF(Import.TipoArredondamento&lt;&gt;"TransfereGOV",
              ROUND(OFFSET($P32,0,BA$13),15-13*ORÇAMENTO!$AF$7)/$H32*OFFSET(ORÇAMENTO!$X$15,ROW(BA32)-ROW(BA$15),0),
              ROUND(ROUND(OFFSET($P32,0,BA$13),15-13*ORÇAMENTO!$AF$7)*OFFSET(ORÇAMENTO!$W$15,ROW(BA32)-ROW(BA$15),0),15-13*ORÇAMENTO!$AF$11)),
         0)</f>
        <v>0</v>
      </c>
      <c r="BC32" s="171">
        <f ca="1">IF(OR($D32&lt;&gt;"Serviço",AND(AUTOEVENTO="Manual",$M32=$A$15)),0,
         IF(OFFSET(CRONOPLE!$F$15,$M32-$A$15,BC$13)=0,10^12,OFFSET(CRONOPLE!$F$15,$M32-$A$15,BC$13)))</f>
        <v>0</v>
      </c>
      <c r="BD32" s="171">
        <f ca="1">IF(OR($D32&lt;&gt;"Serviço",AND(AUTOEVENTO="Manual",$M32=$A$15)),0,
         IF(OFFSET(CRONOPLE!$F$15,$M32-$A$15,BD$13)=0,10^12,OFFSET(CRONOPLE!$F$15,$M32-$A$15,BD$13)))</f>
        <v>0</v>
      </c>
      <c r="BE32" s="171">
        <f ca="1">IF(OR($D32&lt;&gt;"Serviço",AND(AUTOEVENTO="Manual",$M32=$A$15)),0,
         IF(OFFSET(CRONOPLE!$F$15,$M32-$A$15,BE$13)=0,10^12,OFFSET(CRONOPLE!$F$15,$M32-$A$15,BE$13)))</f>
        <v>0</v>
      </c>
      <c r="BF32" s="171">
        <f ca="1">IF(OR($D32&lt;&gt;"Serviço",AND(AUTOEVENTO="Manual",$M32=$A$15)),0,
         IF(OFFSET(CRONOPLE!$F$15,$M32-$A$15,BF$13)=0,10^12,OFFSET(CRONOPLE!$F$15,$M32-$A$15,BF$13)))</f>
        <v>0</v>
      </c>
      <c r="BG32" s="171">
        <f ca="1">IF(OR($D32&lt;&gt;"Serviço",AND(AUTOEVENTO="Manual",$M32=$A$15)),0,
         IF(OFFSET(CRONOPLE!$F$15,$M32-$A$15,BG$13)=0,10^12,OFFSET(CRONOPLE!$F$15,$M32-$A$15,BG$13)))</f>
        <v>0</v>
      </c>
      <c r="BH32" s="171">
        <f ca="1">IF(OR($D32&lt;&gt;"Serviço",AND(AUTOEVENTO="Manual",$M32=$A$15)),0,
         IF(OFFSET(CRONOPLE!$F$15,$M32-$A$15,BH$13)=0,10^12,OFFSET(CRONOPLE!$F$15,$M32-$A$15,BH$13)))</f>
        <v>0</v>
      </c>
      <c r="BI32" s="171">
        <f ca="1">IF(OR($D32&lt;&gt;"Serviço",AND(AUTOEVENTO="Manual",$M32=$A$15)),0,
         IF(OFFSET(CRONOPLE!$F$15,$M32-$A$15,BI$13)=0,10^12,OFFSET(CRONOPLE!$F$15,$M32-$A$15,BI$13)))</f>
        <v>0</v>
      </c>
      <c r="BJ32" s="171">
        <f ca="1">IF(OR($D32&lt;&gt;"Serviço",AND(AUTOEVENTO="Manual",$M32=$A$15)),0,
         IF(OFFSET(CRONOPLE!$F$15,$M32-$A$15,BJ$13)=0,10^12,OFFSET(CRONOPLE!$F$15,$M32-$A$15,BJ$13)))</f>
        <v>0</v>
      </c>
      <c r="BK32" s="171">
        <f ca="1">IF(OR($D32&lt;&gt;"Serviço",AND(AUTOEVENTO="Manual",$M32=$A$15)),0,
         IF(OFFSET(CRONOPLE!$F$15,$M32-$A$15,BK$13)=0,10^12,OFFSET(CRONOPLE!$F$15,$M32-$A$15,BK$13)))</f>
        <v>0</v>
      </c>
      <c r="BL32" s="171">
        <f ca="1">IF(OR($D32&lt;&gt;"Serviço",AND(AUTOEVENTO="Manual",$M32=$A$15)),0,
         IF(OFFSET(CRONOPLE!$F$15,$M32-$A$15,BL$13)=0,10^12,OFFSET(CRONOPLE!$F$15,$M32-$A$15,BL$13)))</f>
        <v>0</v>
      </c>
      <c r="BM32" s="171">
        <f ca="1">IF(OR($D32&lt;&gt;"Serviço",AND(AUTOEVENTO="Manual",$M32=$A$15)),0,
         IF(OFFSET(CRONOPLE!$F$15,$M32-$A$15,BM$13)=0,10^12,OFFSET(CRONOPLE!$F$15,$M32-$A$15,BM$13)))</f>
        <v>0</v>
      </c>
      <c r="BN32" s="171">
        <f ca="1">IF(OR($D32&lt;&gt;"Serviço",AND(AUTOEVENTO="Manual",$M32=$A$15)),0,
         IF(OFFSET(CRONOPLE!$F$15,$M32-$A$15,BN$13)=0,10^12,OFFSET(CRONOPLE!$F$15,$M32-$A$15,BN$13)))</f>
        <v>0</v>
      </c>
      <c r="BO32" s="171">
        <f ca="1">IF(OR($D32&lt;&gt;"Serviço",AND(AUTOEVENTO="Manual",$M32=$A$15)),0,
         IF(OFFSET(CRONOPLE!$F$15,$M32-$A$15,BO$13)=0,10^12,OFFSET(CRONOPLE!$F$15,$M32-$A$15,BO$13)))</f>
        <v>0</v>
      </c>
      <c r="BP32" s="171">
        <f ca="1">IF(OR($D32&lt;&gt;"Serviço",AND(AUTOEVENTO="Manual",$M32=$A$15)),0,
         IF(OFFSET(CRONOPLE!$F$15,$M32-$A$15,BP$13)=0,10^12,OFFSET(CRONOPLE!$F$15,$M32-$A$15,BP$13)))</f>
        <v>0</v>
      </c>
      <c r="BQ32" s="171">
        <f ca="1">IF(OR($D32&lt;&gt;"Serviço",AND(AUTOEVENTO="Manual",$M32=$A$15)),0,
         IF(OFFSET(CRONOPLE!$F$15,$M32-$A$15,BQ$13)=0,10^12,OFFSET(CRONOPLE!$F$15,$M32-$A$15,BQ$13)))</f>
        <v>0</v>
      </c>
      <c r="BR32" s="171">
        <f ca="1">IF(OR($D32&lt;&gt;"Serviço",AND(AUTOEVENTO="Manual",$M32=$A$15)),0,
         IF(OFFSET(CRONOPLE!$F$15,$M32-$A$15,BR$13)=0,10^12,OFFSET(CRONOPLE!$F$15,$M32-$A$15,BR$13)))</f>
        <v>0</v>
      </c>
      <c r="BS32" s="171">
        <f ca="1">IF(OR($D32&lt;&gt;"Serviço",AND(AUTOEVENTO="Manual",$M32=$A$15)),0,
         IF(OFFSET(CRONOPLE!$F$15,$M32-$A$15,BS$13)=0,10^12,OFFSET(CRONOPLE!$F$15,$M32-$A$15,BS$13)))</f>
        <v>0</v>
      </c>
      <c r="BT32" s="171">
        <f ca="1">IF(OR($D32&lt;&gt;"Serviço",AND(AUTOEVENTO="Manual",$M32=$A$15)),0,
         IF(OFFSET(CRONOPLE!$F$15,$M32-$A$15,BT$13)=0,10^12,OFFSET(CRONOPLE!$F$15,$M32-$A$15,BT$13)))</f>
        <v>0</v>
      </c>
      <c r="BV32" s="172" cm="1">
        <f t="array" aca="1" ref="BV32" ca="1">IF(OR($D32&lt;&gt;"Serviço",AND(AUTOEVENTO="Manual",$M32=$A$15),$M32&gt;(ROW(PLE.lastrow)-ROW(PLE.firstrow))),0,
           IF(OFFSET(PLE!$G$15,$M32-$A$15,BV$13)="",10^12,OFFSET(PLE!$G$15,$M32-$A$15,BV$13)))</f>
        <v>0</v>
      </c>
      <c r="BW32" s="172" cm="1">
        <f t="array" aca="1" ref="BW32" ca="1">IF(OR($D32&lt;&gt;"Serviço",AND(AUTOEVENTO="Manual",$M32=$A$15),$M32&gt;(ROW(PLE.lastrow)-ROW(PLE.firstrow))),0,
           IF(OFFSET(PLE!$G$15,$M32-$A$15,BW$13)="",10^12,OFFSET(PLE!$G$15,$M32-$A$15,BW$13)))</f>
        <v>0</v>
      </c>
      <c r="BX32" s="172" cm="1">
        <f t="array" aca="1" ref="BX32" ca="1">IF(OR($D32&lt;&gt;"Serviço",AND(AUTOEVENTO="Manual",$M32=$A$15),$M32&gt;(ROW(PLE.lastrow)-ROW(PLE.firstrow))),0,
           IF(OFFSET(PLE!$G$15,$M32-$A$15,BX$13)="",10^12,OFFSET(PLE!$G$15,$M32-$A$15,BX$13)))</f>
        <v>0</v>
      </c>
      <c r="BY32" s="172" cm="1">
        <f t="array" aca="1" ref="BY32" ca="1">IF(OR($D32&lt;&gt;"Serviço",AND(AUTOEVENTO="Manual",$M32=$A$15),$M32&gt;(ROW(PLE.lastrow)-ROW(PLE.firstrow))),0,
           IF(OFFSET(PLE!$G$15,$M32-$A$15,BY$13)="",10^12,OFFSET(PLE!$G$15,$M32-$A$15,BY$13)))</f>
        <v>0</v>
      </c>
      <c r="BZ32" s="172" cm="1">
        <f t="array" aca="1" ref="BZ32" ca="1">IF(OR($D32&lt;&gt;"Serviço",AND(AUTOEVENTO="Manual",$M32=$A$15),$M32&gt;(ROW(PLE.lastrow)-ROW(PLE.firstrow))),0,
           IF(OFFSET(PLE!$G$15,$M32-$A$15,BZ$13)="",10^12,OFFSET(PLE!$G$15,$M32-$A$15,BZ$13)))</f>
        <v>0</v>
      </c>
      <c r="CA32" s="172" cm="1">
        <f t="array" aca="1" ref="CA32" ca="1">IF(OR($D32&lt;&gt;"Serviço",AND(AUTOEVENTO="Manual",$M32=$A$15),$M32&gt;(ROW(PLE.lastrow)-ROW(PLE.firstrow))),0,
           IF(OFFSET(PLE!$G$15,$M32-$A$15,CA$13)="",10^12,OFFSET(PLE!$G$15,$M32-$A$15,CA$13)))</f>
        <v>0</v>
      </c>
      <c r="CB32" s="172" cm="1">
        <f t="array" aca="1" ref="CB32" ca="1">IF(OR($D32&lt;&gt;"Serviço",AND(AUTOEVENTO="Manual",$M32=$A$15),$M32&gt;(ROW(PLE.lastrow)-ROW(PLE.firstrow))),0,
           IF(OFFSET(PLE!$G$15,$M32-$A$15,CB$13)="",10^12,OFFSET(PLE!$G$15,$M32-$A$15,CB$13)))</f>
        <v>0</v>
      </c>
      <c r="CC32" s="172" cm="1">
        <f t="array" aca="1" ref="CC32" ca="1">IF(OR($D32&lt;&gt;"Serviço",AND(AUTOEVENTO="Manual",$M32=$A$15),$M32&gt;(ROW(PLE.lastrow)-ROW(PLE.firstrow))),0,
           IF(OFFSET(PLE!$G$15,$M32-$A$15,CC$13)="",10^12,OFFSET(PLE!$G$15,$M32-$A$15,CC$13)))</f>
        <v>0</v>
      </c>
      <c r="CD32" s="172" cm="1">
        <f t="array" aca="1" ref="CD32" ca="1">IF(OR($D32&lt;&gt;"Serviço",AND(AUTOEVENTO="Manual",$M32=$A$15),$M32&gt;(ROW(PLE.lastrow)-ROW(PLE.firstrow))),0,
           IF(OFFSET(PLE!$G$15,$M32-$A$15,CD$13)="",10^12,OFFSET(PLE!$G$15,$M32-$A$15,CD$13)))</f>
        <v>0</v>
      </c>
      <c r="CE32" s="172" cm="1">
        <f t="array" aca="1" ref="CE32" ca="1">IF(OR($D32&lt;&gt;"Serviço",AND(AUTOEVENTO="Manual",$M32=$A$15),$M32&gt;(ROW(PLE.lastrow)-ROW(PLE.firstrow))),0,
           IF(OFFSET(PLE!$G$15,$M32-$A$15,CE$13)="",10^12,OFFSET(PLE!$G$15,$M32-$A$15,CE$13)))</f>
        <v>0</v>
      </c>
      <c r="CF32" s="172" cm="1">
        <f t="array" aca="1" ref="CF32" ca="1">IF(OR($D32&lt;&gt;"Serviço",AND(AUTOEVENTO="Manual",$M32=$A$15),$M32&gt;(ROW(PLE.lastrow)-ROW(PLE.firstrow))),0,
           IF(OFFSET(PLE!$G$15,$M32-$A$15,CF$13)="",10^12,OFFSET(PLE!$G$15,$M32-$A$15,CF$13)))</f>
        <v>0</v>
      </c>
      <c r="CG32" s="172" cm="1">
        <f t="array" aca="1" ref="CG32" ca="1">IF(OR($D32&lt;&gt;"Serviço",AND(AUTOEVENTO="Manual",$M32=$A$15),$M32&gt;(ROW(PLE.lastrow)-ROW(PLE.firstrow))),0,
           IF(OFFSET(PLE!$G$15,$M32-$A$15,CG$13)="",10^12,OFFSET(PLE!$G$15,$M32-$A$15,CG$13)))</f>
        <v>0</v>
      </c>
      <c r="CH32" s="172" cm="1">
        <f t="array" aca="1" ref="CH32" ca="1">IF(OR($D32&lt;&gt;"Serviço",AND(AUTOEVENTO="Manual",$M32=$A$15),$M32&gt;(ROW(PLE.lastrow)-ROW(PLE.firstrow))),0,
           IF(OFFSET(PLE!$G$15,$M32-$A$15,CH$13)="",10^12,OFFSET(PLE!$G$15,$M32-$A$15,CH$13)))</f>
        <v>0</v>
      </c>
      <c r="CI32" s="172" cm="1">
        <f t="array" aca="1" ref="CI32" ca="1">IF(OR($D32&lt;&gt;"Serviço",AND(AUTOEVENTO="Manual",$M32=$A$15),$M32&gt;(ROW(PLE.lastrow)-ROW(PLE.firstrow))),0,
           IF(OFFSET(PLE!$G$15,$M32-$A$15,CI$13)="",10^12,OFFSET(PLE!$G$15,$M32-$A$15,CI$13)))</f>
        <v>0</v>
      </c>
      <c r="CJ32" s="172" cm="1">
        <f t="array" aca="1" ref="CJ32" ca="1">IF(OR($D32&lt;&gt;"Serviço",AND(AUTOEVENTO="Manual",$M32=$A$15),$M32&gt;(ROW(PLE.lastrow)-ROW(PLE.firstrow))),0,
           IF(OFFSET(PLE!$G$15,$M32-$A$15,CJ$13)="",10^12,OFFSET(PLE!$G$15,$M32-$A$15,CJ$13)))</f>
        <v>0</v>
      </c>
      <c r="CK32" s="172" cm="1">
        <f t="array" aca="1" ref="CK32" ca="1">IF(OR($D32&lt;&gt;"Serviço",AND(AUTOEVENTO="Manual",$M32=$A$15),$M32&gt;(ROW(PLE.lastrow)-ROW(PLE.firstrow))),0,
           IF(OFFSET(PLE!$G$15,$M32-$A$15,CK$13)="",10^12,OFFSET(PLE!$G$15,$M32-$A$15,CK$13)))</f>
        <v>0</v>
      </c>
      <c r="CL32" s="172" cm="1">
        <f t="array" aca="1" ref="CL32" ca="1">IF(OR($D32&lt;&gt;"Serviço",AND(AUTOEVENTO="Manual",$M32=$A$15),$M32&gt;(ROW(PLE.lastrow)-ROW(PLE.firstrow))),0,
           IF(OFFSET(PLE!$G$15,$M32-$A$15,CL$13)="",10^12,OFFSET(PLE!$G$15,$M32-$A$15,CL$13)))</f>
        <v>0</v>
      </c>
      <c r="CM32" s="172" cm="1">
        <f t="array" aca="1" ref="CM32" ca="1">IF(OR($D32&lt;&gt;"Serviço",AND(AUTOEVENTO="Manual",$M32=$A$15),$M32&gt;(ROW(PLE.lastrow)-ROW(PLE.firstrow))),0,
           IF(OFFSET(PLE!$G$15,$M32-$A$15,CM$13)="",10^12,OFFSET(PLE!$G$15,$M32-$A$15,CM$13)))</f>
        <v>0</v>
      </c>
    </row>
    <row r="33" spans="1:91" s="670" customFormat="1" ht="25.5" x14ac:dyDescent="0.2">
      <c r="A33" s="668">
        <f t="shared" ca="1" si="10"/>
        <v>7</v>
      </c>
      <c r="B33" s="668" t="str">
        <f ca="1">OFFSET(ORÇAMENTO!C$15,$L33,0)</f>
        <v>S</v>
      </c>
      <c r="C33" s="668" t="str">
        <f ca="1">OFFSET(ORÇAMENTO!L$15,$L33,0)</f>
        <v>F</v>
      </c>
      <c r="D33" s="116" t="str">
        <f ca="1">OFFSET(ORÇAMENTO!N$15,$L33,0)</f>
        <v>Serviço</v>
      </c>
      <c r="E33" s="117" t="str">
        <f ca="1">OFFSET(ORÇAMENTO!O$15,$L33,0)</f>
        <v>1.4.1.</v>
      </c>
      <c r="F33" s="163" t="str">
        <f ca="1">OFFSET(ORÇAMENTO!R$15,$L33,0)</f>
        <v>ESCAVAÇÃO MANUAL PARA BLOCO DE COROAMENTO OU SAPATA (SEM ESCAVAÇÃO PARA COLOCAÇÃO DE FÔRMAS). AF_01/2024</v>
      </c>
      <c r="G33" s="164" t="str">
        <f ca="1">IF($D33&lt;&gt;"Serviço","",OFFSET(ORÇAMENTO!S$15,$L33,0))</f>
        <v>M3</v>
      </c>
      <c r="H33" s="122" cm="1">
        <f t="array" aca="1" ref="H33" ca="1">IF($D33&lt;&gt;"Serviço",0,IF(ACOMPANHAMENTO="BM",ROUND(OFFSET(ORÇAMENTO!AJ$15,$L33,0),15-13*ORÇAMENTO!$AF$7),IF(IFERROR(CÁLCULO.FrentesPreenchidas,0)=0,0,SUM(ROUND(OFFSET($P33,0,1,1,CÁLCULO.FrentesPreenchidas),15-13*ORÇAMENTO!$AF$7)))))</f>
        <v>120</v>
      </c>
      <c r="I33" s="468" t="s">
        <v>1317</v>
      </c>
      <c r="J33" s="651" t="str" cm="1">
        <f t="array" aca="1" ref="J33" ca="1">IF(OR(B33&lt;&gt;"S",CÁLCULO.FrentesPreenchidas=0),"",IF(AND(ACOMPANHAMENTO="PLE",AUTOEVENTO="Manual",OR(H33&gt;0,ORÇAMENTO!AC33="QUANT."),OR(K33="",M33=0,N33="")),"►E",IF(AND(ACOMPANHAMENTO="PLE",ORÇAMENTO!AC33="QUANT."),"►Q",IF(AND(ACOMPANHAMENTO="PLE",H33&lt;&gt;SUMPRODUCT(($Q$1:$AI$1=1)*ROUND(Q33:AI33,15))),"►S",IF(AND(COUNTIF($P$11:$AI$11,"▼")=0,H33&gt;0,I33=""),"◄M","")))))</f>
        <v/>
      </c>
      <c r="K33" s="652" t="s">
        <v>1337</v>
      </c>
      <c r="L33" s="165">
        <f t="shared" ca="1" si="11"/>
        <v>18</v>
      </c>
      <c r="M33" s="166">
        <f ca="1">IF($D33&lt;&gt;"Serviço","",
          IF(AUTOEVENTO="manual",$A33,
                IF(ISERROR(MATCH($A33,$A$15:OFFSET($A33,-1,0),0)),MAX($M$15:OFFSET(M33,-1,0))+1,
                      INDEX($M$15:OFFSET(M33,-1,0),MATCH($A33,$A$15:OFFSET($A33,-1,0),0)))))</f>
        <v>7</v>
      </c>
      <c r="N33" s="167" t="str">
        <f ca="1">IF($D33&lt;&gt;"Serviço","",
         IF(AUTOEVENTO="Manual",
                IF($A33=0,"&lt;-- defina o número do agrupador",
                       OFFSET(EVENTOS!$D$15,$A33-$A$15,0)),
                OFFSET($F$15,$A33,0)))</f>
        <v>Escavação - preparo de fundo de vala</v>
      </c>
      <c r="O33" s="168"/>
      <c r="Q33" s="168"/>
      <c r="R33" s="169"/>
      <c r="S33" s="169">
        <v>120</v>
      </c>
      <c r="T33" s="169"/>
      <c r="U33" s="169"/>
      <c r="V33" s="169"/>
      <c r="W33" s="169"/>
      <c r="X33" s="169"/>
      <c r="Y33" s="169"/>
      <c r="Z33" s="170"/>
      <c r="AA33" s="705"/>
      <c r="AB33" s="705"/>
      <c r="AC33" s="705"/>
      <c r="AD33" s="705"/>
      <c r="AE33" s="705"/>
      <c r="AF33" s="705"/>
      <c r="AG33" s="705"/>
      <c r="AH33" s="706"/>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L33" s="453">
        <f ca="1">IF(AND($D33="Serviço",AL$12&lt;&gt;0,$H33&gt;0,OR(AUTOEVENTO&lt;&gt;"manual",$M33&lt;&gt;$A$15)),
        IF(Import.TipoArredondamento&lt;&gt;"TransfereGOV",
              ROUND(OFFSET($P33,0,AL$13),15-13*ORÇAMENTO!$AF$7)/$H33*OFFSET(ORÇAMENTO!$X$15,ROW(AL33)-ROW(AL$15),0),
              ROUND(ROUND(OFFSET($P33,0,AL$13),15-13*ORÇAMENTO!$AF$7)*OFFSET(ORÇAMENTO!$W$15,ROW(AL33)-ROW(AL$15),0),15-13*ORÇAMENTO!$AF$11)),
         0)</f>
        <v>24860.400000000001</v>
      </c>
      <c r="AM33" s="453">
        <f ca="1">IF(AND($D33="Serviço",AM$12&lt;&gt;0,$H33&gt;0,OR(AUTOEVENTO&lt;&gt;"manual",$M33&lt;&gt;$A$15)),
        IF(Import.TipoArredondamento&lt;&gt;"TransfereGOV",
              ROUND(OFFSET($P33,0,AM$13),15-13*ORÇAMENTO!$AF$7)/$H33*OFFSET(ORÇAMENTO!$X$15,ROW(AM33)-ROW(AM$15),0),
              ROUND(ROUND(OFFSET($P33,0,AM$13),15-13*ORÇAMENTO!$AF$7)*OFFSET(ORÇAMENTO!$W$15,ROW(AM33)-ROW(AM$15),0),15-13*ORÇAMENTO!$AF$11)),
         0)</f>
        <v>0</v>
      </c>
      <c r="AN33" s="453">
        <f ca="1">IF(AND($D33="Serviço",AN$12&lt;&gt;0,$H33&gt;0,OR(AUTOEVENTO&lt;&gt;"manual",$M33&lt;&gt;$A$15)),
        IF(Import.TipoArredondamento&lt;&gt;"TransfereGOV",
              ROUND(OFFSET($P33,0,AN$13),15-13*ORÇAMENTO!$AF$7)/$H33*OFFSET(ORÇAMENTO!$X$15,ROW(AN33)-ROW(AN$15),0),
              ROUND(ROUND(OFFSET($P33,0,AN$13),15-13*ORÇAMENTO!$AF$7)*OFFSET(ORÇAMENTO!$W$15,ROW(AN33)-ROW(AN$15),0),15-13*ORÇAMENTO!$AF$11)),
         0)</f>
        <v>0</v>
      </c>
      <c r="AO33" s="453">
        <f ca="1">IF(AND($D33="Serviço",AO$12&lt;&gt;0,$H33&gt;0,OR(AUTOEVENTO&lt;&gt;"manual",$M33&lt;&gt;$A$15)),
        IF(Import.TipoArredondamento&lt;&gt;"TransfereGOV",
              ROUND(OFFSET($P33,0,AO$13),15-13*ORÇAMENTO!$AF$7)/$H33*OFFSET(ORÇAMENTO!$X$15,ROW(AO33)-ROW(AO$15),0),
              ROUND(ROUND(OFFSET($P33,0,AO$13),15-13*ORÇAMENTO!$AF$7)*OFFSET(ORÇAMENTO!$W$15,ROW(AO33)-ROW(AO$15),0),15-13*ORÇAMENTO!$AF$11)),
         0)</f>
        <v>0</v>
      </c>
      <c r="AP33" s="453">
        <f ca="1">IF(AND($D33="Serviço",AP$12&lt;&gt;0,$H33&gt;0,OR(AUTOEVENTO&lt;&gt;"manual",$M33&lt;&gt;$A$15)),
        IF(Import.TipoArredondamento&lt;&gt;"TransfereGOV",
              ROUND(OFFSET($P33,0,AP$13),15-13*ORÇAMENTO!$AF$7)/$H33*OFFSET(ORÇAMENTO!$X$15,ROW(AP33)-ROW(AP$15),0),
              ROUND(ROUND(OFFSET($P33,0,AP$13),15-13*ORÇAMENTO!$AF$7)*OFFSET(ORÇAMENTO!$W$15,ROW(AP33)-ROW(AP$15),0),15-13*ORÇAMENTO!$AF$11)),
         0)</f>
        <v>0</v>
      </c>
      <c r="AQ33" s="453">
        <f ca="1">IF(AND($D33="Serviço",AQ$12&lt;&gt;0,$H33&gt;0,OR(AUTOEVENTO&lt;&gt;"manual",$M33&lt;&gt;$A$15)),
        IF(Import.TipoArredondamento&lt;&gt;"TransfereGOV",
              ROUND(OFFSET($P33,0,AQ$13),15-13*ORÇAMENTO!$AF$7)/$H33*OFFSET(ORÇAMENTO!$X$15,ROW(AQ33)-ROW(AQ$15),0),
              ROUND(ROUND(OFFSET($P33,0,AQ$13),15-13*ORÇAMENTO!$AF$7)*OFFSET(ORÇAMENTO!$W$15,ROW(AQ33)-ROW(AQ$15),0),15-13*ORÇAMENTO!$AF$11)),
         0)</f>
        <v>0</v>
      </c>
      <c r="AR33" s="453">
        <f ca="1">IF(AND($D33="Serviço",AR$12&lt;&gt;0,$H33&gt;0,OR(AUTOEVENTO&lt;&gt;"manual",$M33&lt;&gt;$A$15)),
        IF(Import.TipoArredondamento&lt;&gt;"TransfereGOV",
              ROUND(OFFSET($P33,0,AR$13),15-13*ORÇAMENTO!$AF$7)/$H33*OFFSET(ORÇAMENTO!$X$15,ROW(AR33)-ROW(AR$15),0),
              ROUND(ROUND(OFFSET($P33,0,AR$13),15-13*ORÇAMENTO!$AF$7)*OFFSET(ORÇAMENTO!$W$15,ROW(AR33)-ROW(AR$15),0),15-13*ORÇAMENTO!$AF$11)),
         0)</f>
        <v>0</v>
      </c>
      <c r="AS33" s="453">
        <f ca="1">IF(AND($D33="Serviço",AS$12&lt;&gt;0,$H33&gt;0,OR(AUTOEVENTO&lt;&gt;"manual",$M33&lt;&gt;$A$15)),
        IF(Import.TipoArredondamento&lt;&gt;"TransfereGOV",
              ROUND(OFFSET($P33,0,AS$13),15-13*ORÇAMENTO!$AF$7)/$H33*OFFSET(ORÇAMENTO!$X$15,ROW(AS33)-ROW(AS$15),0),
              ROUND(ROUND(OFFSET($P33,0,AS$13),15-13*ORÇAMENTO!$AF$7)*OFFSET(ORÇAMENTO!$W$15,ROW(AS33)-ROW(AS$15),0),15-13*ORÇAMENTO!$AF$11)),
         0)</f>
        <v>0</v>
      </c>
      <c r="AT33" s="453">
        <f ca="1">IF(AND($D33="Serviço",AT$12&lt;&gt;0,$H33&gt;0,OR(AUTOEVENTO&lt;&gt;"manual",$M33&lt;&gt;$A$15)),
        IF(Import.TipoArredondamento&lt;&gt;"TransfereGOV",
              ROUND(OFFSET($P33,0,AT$13),15-13*ORÇAMENTO!$AF$7)/$H33*OFFSET(ORÇAMENTO!$X$15,ROW(AT33)-ROW(AT$15),0),
              ROUND(ROUND(OFFSET($P33,0,AT$13),15-13*ORÇAMENTO!$AF$7)*OFFSET(ORÇAMENTO!$W$15,ROW(AT33)-ROW(AT$15),0),15-13*ORÇAMENTO!$AF$11)),
         0)</f>
        <v>0</v>
      </c>
      <c r="AU33" s="453">
        <f ca="1">IF(AND($D33="Serviço",AU$12&lt;&gt;0,$H33&gt;0,OR(AUTOEVENTO&lt;&gt;"manual",$M33&lt;&gt;$A$15)),
        IF(Import.TipoArredondamento&lt;&gt;"TransfereGOV",
              ROUND(OFFSET($P33,0,AU$13),15-13*ORÇAMENTO!$AF$7)/$H33*OFFSET(ORÇAMENTO!$X$15,ROW(AU33)-ROW(AU$15),0),
              ROUND(ROUND(OFFSET($P33,0,AU$13),15-13*ORÇAMENTO!$AF$7)*OFFSET(ORÇAMENTO!$W$15,ROW(AU33)-ROW(AU$15),0),15-13*ORÇAMENTO!$AF$11)),
         0)</f>
        <v>0</v>
      </c>
      <c r="AV33" s="453">
        <f ca="1">IF(AND($D33="Serviço",AV$12&lt;&gt;0,$H33&gt;0,OR(AUTOEVENTO&lt;&gt;"manual",$M33&lt;&gt;$A$15)),
        IF(Import.TipoArredondamento&lt;&gt;"TransfereGOV",
              ROUND(OFFSET($P33,0,AV$13),15-13*ORÇAMENTO!$AF$7)/$H33*OFFSET(ORÇAMENTO!$X$15,ROW(AV33)-ROW(AV$15),0),
              ROUND(ROUND(OFFSET($P33,0,AV$13),15-13*ORÇAMENTO!$AF$7)*OFFSET(ORÇAMENTO!$W$15,ROW(AV33)-ROW(AV$15),0),15-13*ORÇAMENTO!$AF$11)),
         0)</f>
        <v>0</v>
      </c>
      <c r="AW33" s="453">
        <f ca="1">IF(AND($D33="Serviço",AW$12&lt;&gt;0,$H33&gt;0,OR(AUTOEVENTO&lt;&gt;"manual",$M33&lt;&gt;$A$15)),
        IF(Import.TipoArredondamento&lt;&gt;"TransfereGOV",
              ROUND(OFFSET($P33,0,AW$13),15-13*ORÇAMENTO!$AF$7)/$H33*OFFSET(ORÇAMENTO!$X$15,ROW(AW33)-ROW(AW$15),0),
              ROUND(ROUND(OFFSET($P33,0,AW$13),15-13*ORÇAMENTO!$AF$7)*OFFSET(ORÇAMENTO!$W$15,ROW(AW33)-ROW(AW$15),0),15-13*ORÇAMENTO!$AF$11)),
         0)</f>
        <v>0</v>
      </c>
      <c r="AX33" s="453">
        <f ca="1">IF(AND($D33="Serviço",AX$12&lt;&gt;0,$H33&gt;0,OR(AUTOEVENTO&lt;&gt;"manual",$M33&lt;&gt;$A$15)),
        IF(Import.TipoArredondamento&lt;&gt;"TransfereGOV",
              ROUND(OFFSET($P33,0,AX$13),15-13*ORÇAMENTO!$AF$7)/$H33*OFFSET(ORÇAMENTO!$X$15,ROW(AX33)-ROW(AX$15),0),
              ROUND(ROUND(OFFSET($P33,0,AX$13),15-13*ORÇAMENTO!$AF$7)*OFFSET(ORÇAMENTO!$W$15,ROW(AX33)-ROW(AX$15),0),15-13*ORÇAMENTO!$AF$11)),
         0)</f>
        <v>0</v>
      </c>
      <c r="AY33" s="453">
        <f ca="1">IF(AND($D33="Serviço",AY$12&lt;&gt;0,$H33&gt;0,OR(AUTOEVENTO&lt;&gt;"manual",$M33&lt;&gt;$A$15)),
        IF(Import.TipoArredondamento&lt;&gt;"TransfereGOV",
              ROUND(OFFSET($P33,0,AY$13),15-13*ORÇAMENTO!$AF$7)/$H33*OFFSET(ORÇAMENTO!$X$15,ROW(AY33)-ROW(AY$15),0),
              ROUND(ROUND(OFFSET($P33,0,AY$13),15-13*ORÇAMENTO!$AF$7)*OFFSET(ORÇAMENTO!$W$15,ROW(AY33)-ROW(AY$15),0),15-13*ORÇAMENTO!$AF$11)),
         0)</f>
        <v>0</v>
      </c>
      <c r="AZ33" s="453">
        <f ca="1">IF(AND($D33="Serviço",AZ$12&lt;&gt;0,$H33&gt;0,OR(AUTOEVENTO&lt;&gt;"manual",$M33&lt;&gt;$A$15)),
        IF(Import.TipoArredondamento&lt;&gt;"TransfereGOV",
              ROUND(OFFSET($P33,0,AZ$13),15-13*ORÇAMENTO!$AF$7)/$H33*OFFSET(ORÇAMENTO!$X$15,ROW(AZ33)-ROW(AZ$15),0),
              ROUND(ROUND(OFFSET($P33,0,AZ$13),15-13*ORÇAMENTO!$AF$7)*OFFSET(ORÇAMENTO!$W$15,ROW(AZ33)-ROW(AZ$15),0),15-13*ORÇAMENTO!$AF$11)),
         0)</f>
        <v>0</v>
      </c>
      <c r="BA33" s="453">
        <f ca="1">IF(AND($D33="Serviço",BA$12&lt;&gt;0,$H33&gt;0,OR(AUTOEVENTO&lt;&gt;"manual",$M33&lt;&gt;$A$15)),
        IF(Import.TipoArredondamento&lt;&gt;"TransfereGOV",
              ROUND(OFFSET($P33,0,BA$13),15-13*ORÇAMENTO!$AF$7)/$H33*OFFSET(ORÇAMENTO!$X$15,ROW(BA33)-ROW(BA$15),0),
              ROUND(ROUND(OFFSET($P33,0,BA$13),15-13*ORÇAMENTO!$AF$7)*OFFSET(ORÇAMENTO!$W$15,ROW(BA33)-ROW(BA$15),0),15-13*ORÇAMENTO!$AF$11)),
         0)</f>
        <v>0</v>
      </c>
      <c r="BC33" s="171">
        <f ca="1">IF(OR($D33&lt;&gt;"Serviço",AND(AUTOEVENTO="Manual",$M33=$A$15)),0,
         IF(OFFSET(CRONOPLE!$F$15,$M33-$A$15,BC$13)=0,10^12,OFFSET(CRONOPLE!$F$15,$M33-$A$15,BC$13)))</f>
        <v>10</v>
      </c>
      <c r="BD33" s="171">
        <f ca="1">IF(OR($D33&lt;&gt;"Serviço",AND(AUTOEVENTO="Manual",$M33=$A$15)),0,
         IF(OFFSET(CRONOPLE!$F$15,$M33-$A$15,BD$13)=0,10^12,OFFSET(CRONOPLE!$F$15,$M33-$A$15,BD$13)))</f>
        <v>1000000000000</v>
      </c>
      <c r="BE33" s="171">
        <f ca="1">IF(OR($D33&lt;&gt;"Serviço",AND(AUTOEVENTO="Manual",$M33=$A$15)),0,
         IF(OFFSET(CRONOPLE!$F$15,$M33-$A$15,BE$13)=0,10^12,OFFSET(CRONOPLE!$F$15,$M33-$A$15,BE$13)))</f>
        <v>4</v>
      </c>
      <c r="BF33" s="171">
        <f ca="1">IF(OR($D33&lt;&gt;"Serviço",AND(AUTOEVENTO="Manual",$M33=$A$15)),0,
         IF(OFFSET(CRONOPLE!$F$15,$M33-$A$15,BF$13)=0,10^12,OFFSET(CRONOPLE!$F$15,$M33-$A$15,BF$13)))</f>
        <v>9</v>
      </c>
      <c r="BG33" s="171">
        <f ca="1">IF(OR($D33&lt;&gt;"Serviço",AND(AUTOEVENTO="Manual",$M33=$A$15)),0,
         IF(OFFSET(CRONOPLE!$F$15,$M33-$A$15,BG$13)=0,10^12,OFFSET(CRONOPLE!$F$15,$M33-$A$15,BG$13)))</f>
        <v>6</v>
      </c>
      <c r="BH33" s="171">
        <f ca="1">IF(OR($D33&lt;&gt;"Serviço",AND(AUTOEVENTO="Manual",$M33=$A$15)),0,
         IF(OFFSET(CRONOPLE!$F$15,$M33-$A$15,BH$13)=0,10^12,OFFSET(CRONOPLE!$F$15,$M33-$A$15,BH$13)))</f>
        <v>6</v>
      </c>
      <c r="BI33" s="171">
        <f ca="1">IF(OR($D33&lt;&gt;"Serviço",AND(AUTOEVENTO="Manual",$M33=$A$15)),0,
         IF(OFFSET(CRONOPLE!$F$15,$M33-$A$15,BI$13)=0,10^12,OFFSET(CRONOPLE!$F$15,$M33-$A$15,BI$13)))</f>
        <v>9</v>
      </c>
      <c r="BJ33" s="171">
        <f ca="1">IF(OR($D33&lt;&gt;"Serviço",AND(AUTOEVENTO="Manual",$M33=$A$15)),0,
         IF(OFFSET(CRONOPLE!$F$15,$M33-$A$15,BJ$13)=0,10^12,OFFSET(CRONOPLE!$F$15,$M33-$A$15,BJ$13)))</f>
        <v>1000000000000</v>
      </c>
      <c r="BK33" s="171">
        <f ca="1">IF(OR($D33&lt;&gt;"Serviço",AND(AUTOEVENTO="Manual",$M33=$A$15)),0,
         IF(OFFSET(CRONOPLE!$F$15,$M33-$A$15,BK$13)=0,10^12,OFFSET(CRONOPLE!$F$15,$M33-$A$15,BK$13)))</f>
        <v>1000000000000</v>
      </c>
      <c r="BL33" s="171">
        <f ca="1">IF(OR($D33&lt;&gt;"Serviço",AND(AUTOEVENTO="Manual",$M33=$A$15)),0,
         IF(OFFSET(CRONOPLE!$F$15,$M33-$A$15,BL$13)=0,10^12,OFFSET(CRONOPLE!$F$15,$M33-$A$15,BL$13)))</f>
        <v>1000000000000</v>
      </c>
      <c r="BM33" s="171">
        <f ca="1">IF(OR($D33&lt;&gt;"Serviço",AND(AUTOEVENTO="Manual",$M33=$A$15)),0,
         IF(OFFSET(CRONOPLE!$F$15,$M33-$A$15,BM$13)=0,10^12,OFFSET(CRONOPLE!$F$15,$M33-$A$15,BM$13)))</f>
        <v>1000000000000</v>
      </c>
      <c r="BN33" s="171">
        <f ca="1">IF(OR($D33&lt;&gt;"Serviço",AND(AUTOEVENTO="Manual",$M33=$A$15)),0,
         IF(OFFSET(CRONOPLE!$F$15,$M33-$A$15,BN$13)=0,10^12,OFFSET(CRONOPLE!$F$15,$M33-$A$15,BN$13)))</f>
        <v>1000000000000</v>
      </c>
      <c r="BO33" s="171">
        <f ca="1">IF(OR($D33&lt;&gt;"Serviço",AND(AUTOEVENTO="Manual",$M33=$A$15)),0,
         IF(OFFSET(CRONOPLE!$F$15,$M33-$A$15,BO$13)=0,10^12,OFFSET(CRONOPLE!$F$15,$M33-$A$15,BO$13)))</f>
        <v>1000000000000</v>
      </c>
      <c r="BP33" s="171">
        <f ca="1">IF(OR($D33&lt;&gt;"Serviço",AND(AUTOEVENTO="Manual",$M33=$A$15)),0,
         IF(OFFSET(CRONOPLE!$F$15,$M33-$A$15,BP$13)=0,10^12,OFFSET(CRONOPLE!$F$15,$M33-$A$15,BP$13)))</f>
        <v>1000000000000</v>
      </c>
      <c r="BQ33" s="171">
        <f ca="1">IF(OR($D33&lt;&gt;"Serviço",AND(AUTOEVENTO="Manual",$M33=$A$15)),0,
         IF(OFFSET(CRONOPLE!$F$15,$M33-$A$15,BQ$13)=0,10^12,OFFSET(CRONOPLE!$F$15,$M33-$A$15,BQ$13)))</f>
        <v>1000000000000</v>
      </c>
      <c r="BR33" s="171">
        <f ca="1">IF(OR($D33&lt;&gt;"Serviço",AND(AUTOEVENTO="Manual",$M33=$A$15)),0,
         IF(OFFSET(CRONOPLE!$F$15,$M33-$A$15,BR$13)=0,10^12,OFFSET(CRONOPLE!$F$15,$M33-$A$15,BR$13)))</f>
        <v>1000000000000</v>
      </c>
      <c r="BS33" s="171">
        <f ca="1">IF(OR($D33&lt;&gt;"Serviço",AND(AUTOEVENTO="Manual",$M33=$A$15)),0,
         IF(OFFSET(CRONOPLE!$F$15,$M33-$A$15,BS$13)=0,10^12,OFFSET(CRONOPLE!$F$15,$M33-$A$15,BS$13)))</f>
        <v>1000000000000</v>
      </c>
      <c r="BT33" s="171">
        <f ca="1">IF(OR($D33&lt;&gt;"Serviço",AND(AUTOEVENTO="Manual",$M33=$A$15)),0,
         IF(OFFSET(CRONOPLE!$F$15,$M33-$A$15,BT$13)=0,10^12,OFFSET(CRONOPLE!$F$15,$M33-$A$15,BT$13)))</f>
        <v>1000000000000</v>
      </c>
      <c r="BV33" s="172" cm="1">
        <f t="array" aca="1" ref="BV33" ca="1">IF(OR($D33&lt;&gt;"Serviço",AND(AUTOEVENTO="Manual",$M33=$A$15),$M33&gt;(ROW(PLE.lastrow)-ROW(PLE.firstrow))),0,
           IF(OFFSET(PLE!$G$15,$M33-$A$15,BV$13)="",10^12,OFFSET(PLE!$G$15,$M33-$A$15,BV$13)))</f>
        <v>1000000000000</v>
      </c>
      <c r="BW33" s="172" cm="1">
        <f t="array" aca="1" ref="BW33" ca="1">IF(OR($D33&lt;&gt;"Serviço",AND(AUTOEVENTO="Manual",$M33=$A$15),$M33&gt;(ROW(PLE.lastrow)-ROW(PLE.firstrow))),0,
           IF(OFFSET(PLE!$G$15,$M33-$A$15,BW$13)="",10^12,OFFSET(PLE!$G$15,$M33-$A$15,BW$13)))</f>
        <v>1000000000000</v>
      </c>
      <c r="BX33" s="172" cm="1">
        <f t="array" aca="1" ref="BX33" ca="1">IF(OR($D33&lt;&gt;"Serviço",AND(AUTOEVENTO="Manual",$M33=$A$15),$M33&gt;(ROW(PLE.lastrow)-ROW(PLE.firstrow))),0,
           IF(OFFSET(PLE!$G$15,$M33-$A$15,BX$13)="",10^12,OFFSET(PLE!$G$15,$M33-$A$15,BX$13)))</f>
        <v>1000000000000</v>
      </c>
      <c r="BY33" s="172" cm="1">
        <f t="array" aca="1" ref="BY33" ca="1">IF(OR($D33&lt;&gt;"Serviço",AND(AUTOEVENTO="Manual",$M33=$A$15),$M33&gt;(ROW(PLE.lastrow)-ROW(PLE.firstrow))),0,
           IF(OFFSET(PLE!$G$15,$M33-$A$15,BY$13)="",10^12,OFFSET(PLE!$G$15,$M33-$A$15,BY$13)))</f>
        <v>1000000000000</v>
      </c>
      <c r="BZ33" s="172" cm="1">
        <f t="array" aca="1" ref="BZ33" ca="1">IF(OR($D33&lt;&gt;"Serviço",AND(AUTOEVENTO="Manual",$M33=$A$15),$M33&gt;(ROW(PLE.lastrow)-ROW(PLE.firstrow))),0,
           IF(OFFSET(PLE!$G$15,$M33-$A$15,BZ$13)="",10^12,OFFSET(PLE!$G$15,$M33-$A$15,BZ$13)))</f>
        <v>1000000000000</v>
      </c>
      <c r="CA33" s="172" cm="1">
        <f t="array" aca="1" ref="CA33" ca="1">IF(OR($D33&lt;&gt;"Serviço",AND(AUTOEVENTO="Manual",$M33=$A$15),$M33&gt;(ROW(PLE.lastrow)-ROW(PLE.firstrow))),0,
           IF(OFFSET(PLE!$G$15,$M33-$A$15,CA$13)="",10^12,OFFSET(PLE!$G$15,$M33-$A$15,CA$13)))</f>
        <v>1000000000000</v>
      </c>
      <c r="CB33" s="172" cm="1">
        <f t="array" aca="1" ref="CB33" ca="1">IF(OR($D33&lt;&gt;"Serviço",AND(AUTOEVENTO="Manual",$M33=$A$15),$M33&gt;(ROW(PLE.lastrow)-ROW(PLE.firstrow))),0,
           IF(OFFSET(PLE!$G$15,$M33-$A$15,CB$13)="",10^12,OFFSET(PLE!$G$15,$M33-$A$15,CB$13)))</f>
        <v>1000000000000</v>
      </c>
      <c r="CC33" s="172" cm="1">
        <f t="array" aca="1" ref="CC33" ca="1">IF(OR($D33&lt;&gt;"Serviço",AND(AUTOEVENTO="Manual",$M33=$A$15),$M33&gt;(ROW(PLE.lastrow)-ROW(PLE.firstrow))),0,
           IF(OFFSET(PLE!$G$15,$M33-$A$15,CC$13)="",10^12,OFFSET(PLE!$G$15,$M33-$A$15,CC$13)))</f>
        <v>1000000000000</v>
      </c>
      <c r="CD33" s="172" cm="1">
        <f t="array" aca="1" ref="CD33" ca="1">IF(OR($D33&lt;&gt;"Serviço",AND(AUTOEVENTO="Manual",$M33=$A$15),$M33&gt;(ROW(PLE.lastrow)-ROW(PLE.firstrow))),0,
           IF(OFFSET(PLE!$G$15,$M33-$A$15,CD$13)="",10^12,OFFSET(PLE!$G$15,$M33-$A$15,CD$13)))</f>
        <v>1000000000000</v>
      </c>
      <c r="CE33" s="172" cm="1">
        <f t="array" aca="1" ref="CE33" ca="1">IF(OR($D33&lt;&gt;"Serviço",AND(AUTOEVENTO="Manual",$M33=$A$15),$M33&gt;(ROW(PLE.lastrow)-ROW(PLE.firstrow))),0,
           IF(OFFSET(PLE!$G$15,$M33-$A$15,CE$13)="",10^12,OFFSET(PLE!$G$15,$M33-$A$15,CE$13)))</f>
        <v>1000000000000</v>
      </c>
      <c r="CF33" s="172" cm="1">
        <f t="array" aca="1" ref="CF33" ca="1">IF(OR($D33&lt;&gt;"Serviço",AND(AUTOEVENTO="Manual",$M33=$A$15),$M33&gt;(ROW(PLE.lastrow)-ROW(PLE.firstrow))),0,
           IF(OFFSET(PLE!$G$15,$M33-$A$15,CF$13)="",10^12,OFFSET(PLE!$G$15,$M33-$A$15,CF$13)))</f>
        <v>1000000000000</v>
      </c>
      <c r="CG33" s="172" cm="1">
        <f t="array" aca="1" ref="CG33" ca="1">IF(OR($D33&lt;&gt;"Serviço",AND(AUTOEVENTO="Manual",$M33=$A$15),$M33&gt;(ROW(PLE.lastrow)-ROW(PLE.firstrow))),0,
           IF(OFFSET(PLE!$G$15,$M33-$A$15,CG$13)="",10^12,OFFSET(PLE!$G$15,$M33-$A$15,CG$13)))</f>
        <v>1000000000000</v>
      </c>
      <c r="CH33" s="172" cm="1">
        <f t="array" aca="1" ref="CH33" ca="1">IF(OR($D33&lt;&gt;"Serviço",AND(AUTOEVENTO="Manual",$M33=$A$15),$M33&gt;(ROW(PLE.lastrow)-ROW(PLE.firstrow))),0,
           IF(OFFSET(PLE!$G$15,$M33-$A$15,CH$13)="",10^12,OFFSET(PLE!$G$15,$M33-$A$15,CH$13)))</f>
        <v>1000000000000</v>
      </c>
      <c r="CI33" s="172" cm="1">
        <f t="array" aca="1" ref="CI33" ca="1">IF(OR($D33&lt;&gt;"Serviço",AND(AUTOEVENTO="Manual",$M33=$A$15),$M33&gt;(ROW(PLE.lastrow)-ROW(PLE.firstrow))),0,
           IF(OFFSET(PLE!$G$15,$M33-$A$15,CI$13)="",10^12,OFFSET(PLE!$G$15,$M33-$A$15,CI$13)))</f>
        <v>1000000000000</v>
      </c>
      <c r="CJ33" s="172" cm="1">
        <f t="array" aca="1" ref="CJ33" ca="1">IF(OR($D33&lt;&gt;"Serviço",AND(AUTOEVENTO="Manual",$M33=$A$15),$M33&gt;(ROW(PLE.lastrow)-ROW(PLE.firstrow))),0,
           IF(OFFSET(PLE!$G$15,$M33-$A$15,CJ$13)="",10^12,OFFSET(PLE!$G$15,$M33-$A$15,CJ$13)))</f>
        <v>1000000000000</v>
      </c>
      <c r="CK33" s="172" cm="1">
        <f t="array" aca="1" ref="CK33" ca="1">IF(OR($D33&lt;&gt;"Serviço",AND(AUTOEVENTO="Manual",$M33=$A$15),$M33&gt;(ROW(PLE.lastrow)-ROW(PLE.firstrow))),0,
           IF(OFFSET(PLE!$G$15,$M33-$A$15,CK$13)="",10^12,OFFSET(PLE!$G$15,$M33-$A$15,CK$13)))</f>
        <v>1000000000000</v>
      </c>
      <c r="CL33" s="172" cm="1">
        <f t="array" aca="1" ref="CL33" ca="1">IF(OR($D33&lt;&gt;"Serviço",AND(AUTOEVENTO="Manual",$M33=$A$15),$M33&gt;(ROW(PLE.lastrow)-ROW(PLE.firstrow))),0,
           IF(OFFSET(PLE!$G$15,$M33-$A$15,CL$13)="",10^12,OFFSET(PLE!$G$15,$M33-$A$15,CL$13)))</f>
        <v>1000000000000</v>
      </c>
      <c r="CM33" s="172" cm="1">
        <f t="array" aca="1" ref="CM33" ca="1">IF(OR($D33&lt;&gt;"Serviço",AND(AUTOEVENTO="Manual",$M33=$A$15),$M33&gt;(ROW(PLE.lastrow)-ROW(PLE.firstrow))),0,
           IF(OFFSET(PLE!$G$15,$M33-$A$15,CM$13)="",10^12,OFFSET(PLE!$G$15,$M33-$A$15,CM$13)))</f>
        <v>1000000000000</v>
      </c>
    </row>
    <row r="34" spans="1:91" s="670" customFormat="1" ht="89.25" x14ac:dyDescent="0.2">
      <c r="A34" s="668">
        <f t="shared" ca="1" si="10"/>
        <v>13</v>
      </c>
      <c r="B34" s="668" t="str">
        <f ca="1">OFFSET(ORÇAMENTO!C$15,$L34,0)</f>
        <v>S</v>
      </c>
      <c r="C34" s="668" t="str">
        <f ca="1">OFFSET(ORÇAMENTO!L$15,$L34,0)</f>
        <v>F</v>
      </c>
      <c r="D34" s="116" t="str">
        <f ca="1">OFFSET(ORÇAMENTO!N$15,$L34,0)</f>
        <v>Serviço</v>
      </c>
      <c r="E34" s="117" t="str">
        <f ca="1">OFFSET(ORÇAMENTO!O$15,$L34,0)</f>
        <v>1.4.2.</v>
      </c>
      <c r="F34" s="163" t="str">
        <f ca="1">OFFSET(ORÇAMENTO!R$15,$L34,0)</f>
        <v>TUBULÃO A CÉU ABERTO, DIÂMETRO DO FUSTE DE 70CM, ESCAVAÇÃO MECÂNICA, SEM ALARGAMENTO DE BASE, CONCRETO FEITO EM OBRA E LANÇADO COM JERICA. AF_05/2020</v>
      </c>
      <c r="G34" s="164" t="str">
        <f ca="1">IF($D34&lt;&gt;"Serviço","",OFFSET(ORÇAMENTO!S$15,$L34,0))</f>
        <v>M3</v>
      </c>
      <c r="H34" s="122" cm="1">
        <f t="array" aca="1" ref="H34" ca="1">IF($D34&lt;&gt;"Serviço",0,IF(ACOMPANHAMENTO="BM",ROUND(OFFSET(ORÇAMENTO!AJ$15,$L34,0),15-13*ORÇAMENTO!$AF$7),IF(IFERROR(CÁLCULO.FrentesPreenchidas,0)=0,0,SUM(ROUND(OFFSET($P34,0,1,1,CÁLCULO.FrentesPreenchidas),15-13*ORÇAMENTO!$AF$7)))))</f>
        <v>63</v>
      </c>
      <c r="I34" s="468" t="s">
        <v>1137</v>
      </c>
      <c r="J34" s="651" t="str" cm="1">
        <f t="array" aca="1" ref="J34" ca="1">IF(OR(B34&lt;&gt;"S",CÁLCULO.FrentesPreenchidas=0),"",IF(AND(ACOMPANHAMENTO="PLE",AUTOEVENTO="Manual",OR(H34&gt;0,ORÇAMENTO!AC34="QUANT."),OR(K34="",M34=0,N34="")),"►E",IF(AND(ACOMPANHAMENTO="PLE",ORÇAMENTO!AC34="QUANT."),"►Q",IF(AND(ACOMPANHAMENTO="PLE",H34&lt;&gt;SUMPRODUCT(($Q$1:$AI$1=1)*ROUND(Q34:AI34,15))),"►S",IF(AND(COUNTIF($P$11:$AI$11,"▼")=0,H34&gt;0,I34=""),"◄M","")))))</f>
        <v/>
      </c>
      <c r="K34" s="652" t="s">
        <v>1338</v>
      </c>
      <c r="L34" s="165">
        <f t="shared" ca="1" si="11"/>
        <v>19</v>
      </c>
      <c r="M34" s="166">
        <f ca="1">IF($D34&lt;&gt;"Serviço","",
          IF(AUTOEVENTO="manual",$A34,
                IF(ISERROR(MATCH($A34,$A$15:OFFSET($A34,-1,0),0)),MAX($M$15:OFFSET(M34,-1,0))+1,
                      INDEX($M$15:OFFSET(M34,-1,0),MATCH($A34,$A$15:OFFSET($A34,-1,0),0)))))</f>
        <v>13</v>
      </c>
      <c r="N34" s="167" t="str">
        <f ca="1">IF($D34&lt;&gt;"Serviço","",
         IF(AUTOEVENTO="Manual",
                IF($A34=0,"&lt;-- defina o número do agrupador",
                       OFFSET(EVENTOS!$D$15,$A34-$A$15,0)),
                OFFSET($F$15,$A34,0)))</f>
        <v>Fundação - Estacas / Tubulões</v>
      </c>
      <c r="O34" s="168"/>
      <c r="Q34" s="168"/>
      <c r="R34" s="169"/>
      <c r="S34" s="169">
        <v>63</v>
      </c>
      <c r="T34" s="169"/>
      <c r="U34" s="169"/>
      <c r="V34" s="169"/>
      <c r="W34" s="169"/>
      <c r="X34" s="169"/>
      <c r="Y34" s="169"/>
      <c r="Z34" s="170"/>
      <c r="AA34" s="705"/>
      <c r="AB34" s="705"/>
      <c r="AC34" s="705"/>
      <c r="AD34" s="705"/>
      <c r="AE34" s="705"/>
      <c r="AF34" s="705"/>
      <c r="AG34" s="705"/>
      <c r="AH34" s="706"/>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L34" s="453">
        <f ca="1">IF(AND($D34="Serviço",AL$12&lt;&gt;0,$H34&gt;0,OR(AUTOEVENTO&lt;&gt;"manual",$M34&lt;&gt;$A$15)),
        IF(Import.TipoArredondamento&lt;&gt;"TransfereGOV",
              ROUND(OFFSET($P34,0,AL$13),15-13*ORÇAMENTO!$AF$7)/$H34*OFFSET(ORÇAMENTO!$X$15,ROW(AL34)-ROW(AL$15),0),
              ROUND(ROUND(OFFSET($P34,0,AL$13),15-13*ORÇAMENTO!$AF$7)*OFFSET(ORÇAMENTO!$W$15,ROW(AL34)-ROW(AL$15),0),15-13*ORÇAMENTO!$AF$11)),
         0)</f>
        <v>82723.41</v>
      </c>
      <c r="AM34" s="453">
        <f ca="1">IF(AND($D34="Serviço",AM$12&lt;&gt;0,$H34&gt;0,OR(AUTOEVENTO&lt;&gt;"manual",$M34&lt;&gt;$A$15)),
        IF(Import.TipoArredondamento&lt;&gt;"TransfereGOV",
              ROUND(OFFSET($P34,0,AM$13),15-13*ORÇAMENTO!$AF$7)/$H34*OFFSET(ORÇAMENTO!$X$15,ROW(AM34)-ROW(AM$15),0),
              ROUND(ROUND(OFFSET($P34,0,AM$13),15-13*ORÇAMENTO!$AF$7)*OFFSET(ORÇAMENTO!$W$15,ROW(AM34)-ROW(AM$15),0),15-13*ORÇAMENTO!$AF$11)),
         0)</f>
        <v>0</v>
      </c>
      <c r="AN34" s="453">
        <f ca="1">IF(AND($D34="Serviço",AN$12&lt;&gt;0,$H34&gt;0,OR(AUTOEVENTO&lt;&gt;"manual",$M34&lt;&gt;$A$15)),
        IF(Import.TipoArredondamento&lt;&gt;"TransfereGOV",
              ROUND(OFFSET($P34,0,AN$13),15-13*ORÇAMENTO!$AF$7)/$H34*OFFSET(ORÇAMENTO!$X$15,ROW(AN34)-ROW(AN$15),0),
              ROUND(ROUND(OFFSET($P34,0,AN$13),15-13*ORÇAMENTO!$AF$7)*OFFSET(ORÇAMENTO!$W$15,ROW(AN34)-ROW(AN$15),0),15-13*ORÇAMENTO!$AF$11)),
         0)</f>
        <v>0</v>
      </c>
      <c r="AO34" s="453">
        <f ca="1">IF(AND($D34="Serviço",AO$12&lt;&gt;0,$H34&gt;0,OR(AUTOEVENTO&lt;&gt;"manual",$M34&lt;&gt;$A$15)),
        IF(Import.TipoArredondamento&lt;&gt;"TransfereGOV",
              ROUND(OFFSET($P34,0,AO$13),15-13*ORÇAMENTO!$AF$7)/$H34*OFFSET(ORÇAMENTO!$X$15,ROW(AO34)-ROW(AO$15),0),
              ROUND(ROUND(OFFSET($P34,0,AO$13),15-13*ORÇAMENTO!$AF$7)*OFFSET(ORÇAMENTO!$W$15,ROW(AO34)-ROW(AO$15),0),15-13*ORÇAMENTO!$AF$11)),
         0)</f>
        <v>0</v>
      </c>
      <c r="AP34" s="453">
        <f ca="1">IF(AND($D34="Serviço",AP$12&lt;&gt;0,$H34&gt;0,OR(AUTOEVENTO&lt;&gt;"manual",$M34&lt;&gt;$A$15)),
        IF(Import.TipoArredondamento&lt;&gt;"TransfereGOV",
              ROUND(OFFSET($P34,0,AP$13),15-13*ORÇAMENTO!$AF$7)/$H34*OFFSET(ORÇAMENTO!$X$15,ROW(AP34)-ROW(AP$15),0),
              ROUND(ROUND(OFFSET($P34,0,AP$13),15-13*ORÇAMENTO!$AF$7)*OFFSET(ORÇAMENTO!$W$15,ROW(AP34)-ROW(AP$15),0),15-13*ORÇAMENTO!$AF$11)),
         0)</f>
        <v>0</v>
      </c>
      <c r="AQ34" s="453">
        <f ca="1">IF(AND($D34="Serviço",AQ$12&lt;&gt;0,$H34&gt;0,OR(AUTOEVENTO&lt;&gt;"manual",$M34&lt;&gt;$A$15)),
        IF(Import.TipoArredondamento&lt;&gt;"TransfereGOV",
              ROUND(OFFSET($P34,0,AQ$13),15-13*ORÇAMENTO!$AF$7)/$H34*OFFSET(ORÇAMENTO!$X$15,ROW(AQ34)-ROW(AQ$15),0),
              ROUND(ROUND(OFFSET($P34,0,AQ$13),15-13*ORÇAMENTO!$AF$7)*OFFSET(ORÇAMENTO!$W$15,ROW(AQ34)-ROW(AQ$15),0),15-13*ORÇAMENTO!$AF$11)),
         0)</f>
        <v>0</v>
      </c>
      <c r="AR34" s="453">
        <f ca="1">IF(AND($D34="Serviço",AR$12&lt;&gt;0,$H34&gt;0,OR(AUTOEVENTO&lt;&gt;"manual",$M34&lt;&gt;$A$15)),
        IF(Import.TipoArredondamento&lt;&gt;"TransfereGOV",
              ROUND(OFFSET($P34,0,AR$13),15-13*ORÇAMENTO!$AF$7)/$H34*OFFSET(ORÇAMENTO!$X$15,ROW(AR34)-ROW(AR$15),0),
              ROUND(ROUND(OFFSET($P34,0,AR$13),15-13*ORÇAMENTO!$AF$7)*OFFSET(ORÇAMENTO!$W$15,ROW(AR34)-ROW(AR$15),0),15-13*ORÇAMENTO!$AF$11)),
         0)</f>
        <v>0</v>
      </c>
      <c r="AS34" s="453">
        <f ca="1">IF(AND($D34="Serviço",AS$12&lt;&gt;0,$H34&gt;0,OR(AUTOEVENTO&lt;&gt;"manual",$M34&lt;&gt;$A$15)),
        IF(Import.TipoArredondamento&lt;&gt;"TransfereGOV",
              ROUND(OFFSET($P34,0,AS$13),15-13*ORÇAMENTO!$AF$7)/$H34*OFFSET(ORÇAMENTO!$X$15,ROW(AS34)-ROW(AS$15),0),
              ROUND(ROUND(OFFSET($P34,0,AS$13),15-13*ORÇAMENTO!$AF$7)*OFFSET(ORÇAMENTO!$W$15,ROW(AS34)-ROW(AS$15),0),15-13*ORÇAMENTO!$AF$11)),
         0)</f>
        <v>0</v>
      </c>
      <c r="AT34" s="453">
        <f ca="1">IF(AND($D34="Serviço",AT$12&lt;&gt;0,$H34&gt;0,OR(AUTOEVENTO&lt;&gt;"manual",$M34&lt;&gt;$A$15)),
        IF(Import.TipoArredondamento&lt;&gt;"TransfereGOV",
              ROUND(OFFSET($P34,0,AT$13),15-13*ORÇAMENTO!$AF$7)/$H34*OFFSET(ORÇAMENTO!$X$15,ROW(AT34)-ROW(AT$15),0),
              ROUND(ROUND(OFFSET($P34,0,AT$13),15-13*ORÇAMENTO!$AF$7)*OFFSET(ORÇAMENTO!$W$15,ROW(AT34)-ROW(AT$15),0),15-13*ORÇAMENTO!$AF$11)),
         0)</f>
        <v>0</v>
      </c>
      <c r="AU34" s="453">
        <f ca="1">IF(AND($D34="Serviço",AU$12&lt;&gt;0,$H34&gt;0,OR(AUTOEVENTO&lt;&gt;"manual",$M34&lt;&gt;$A$15)),
        IF(Import.TipoArredondamento&lt;&gt;"TransfereGOV",
              ROUND(OFFSET($P34,0,AU$13),15-13*ORÇAMENTO!$AF$7)/$H34*OFFSET(ORÇAMENTO!$X$15,ROW(AU34)-ROW(AU$15),0),
              ROUND(ROUND(OFFSET($P34,0,AU$13),15-13*ORÇAMENTO!$AF$7)*OFFSET(ORÇAMENTO!$W$15,ROW(AU34)-ROW(AU$15),0),15-13*ORÇAMENTO!$AF$11)),
         0)</f>
        <v>0</v>
      </c>
      <c r="AV34" s="453">
        <f ca="1">IF(AND($D34="Serviço",AV$12&lt;&gt;0,$H34&gt;0,OR(AUTOEVENTO&lt;&gt;"manual",$M34&lt;&gt;$A$15)),
        IF(Import.TipoArredondamento&lt;&gt;"TransfereGOV",
              ROUND(OFFSET($P34,0,AV$13),15-13*ORÇAMENTO!$AF$7)/$H34*OFFSET(ORÇAMENTO!$X$15,ROW(AV34)-ROW(AV$15),0),
              ROUND(ROUND(OFFSET($P34,0,AV$13),15-13*ORÇAMENTO!$AF$7)*OFFSET(ORÇAMENTO!$W$15,ROW(AV34)-ROW(AV$15),0),15-13*ORÇAMENTO!$AF$11)),
         0)</f>
        <v>0</v>
      </c>
      <c r="AW34" s="453">
        <f ca="1">IF(AND($D34="Serviço",AW$12&lt;&gt;0,$H34&gt;0,OR(AUTOEVENTO&lt;&gt;"manual",$M34&lt;&gt;$A$15)),
        IF(Import.TipoArredondamento&lt;&gt;"TransfereGOV",
              ROUND(OFFSET($P34,0,AW$13),15-13*ORÇAMENTO!$AF$7)/$H34*OFFSET(ORÇAMENTO!$X$15,ROW(AW34)-ROW(AW$15),0),
              ROUND(ROUND(OFFSET($P34,0,AW$13),15-13*ORÇAMENTO!$AF$7)*OFFSET(ORÇAMENTO!$W$15,ROW(AW34)-ROW(AW$15),0),15-13*ORÇAMENTO!$AF$11)),
         0)</f>
        <v>0</v>
      </c>
      <c r="AX34" s="453">
        <f ca="1">IF(AND($D34="Serviço",AX$12&lt;&gt;0,$H34&gt;0,OR(AUTOEVENTO&lt;&gt;"manual",$M34&lt;&gt;$A$15)),
        IF(Import.TipoArredondamento&lt;&gt;"TransfereGOV",
              ROUND(OFFSET($P34,0,AX$13),15-13*ORÇAMENTO!$AF$7)/$H34*OFFSET(ORÇAMENTO!$X$15,ROW(AX34)-ROW(AX$15),0),
              ROUND(ROUND(OFFSET($P34,0,AX$13),15-13*ORÇAMENTO!$AF$7)*OFFSET(ORÇAMENTO!$W$15,ROW(AX34)-ROW(AX$15),0),15-13*ORÇAMENTO!$AF$11)),
         0)</f>
        <v>0</v>
      </c>
      <c r="AY34" s="453">
        <f ca="1">IF(AND($D34="Serviço",AY$12&lt;&gt;0,$H34&gt;0,OR(AUTOEVENTO&lt;&gt;"manual",$M34&lt;&gt;$A$15)),
        IF(Import.TipoArredondamento&lt;&gt;"TransfereGOV",
              ROUND(OFFSET($P34,0,AY$13),15-13*ORÇAMENTO!$AF$7)/$H34*OFFSET(ORÇAMENTO!$X$15,ROW(AY34)-ROW(AY$15),0),
              ROUND(ROUND(OFFSET($P34,0,AY$13),15-13*ORÇAMENTO!$AF$7)*OFFSET(ORÇAMENTO!$W$15,ROW(AY34)-ROW(AY$15),0),15-13*ORÇAMENTO!$AF$11)),
         0)</f>
        <v>0</v>
      </c>
      <c r="AZ34" s="453">
        <f ca="1">IF(AND($D34="Serviço",AZ$12&lt;&gt;0,$H34&gt;0,OR(AUTOEVENTO&lt;&gt;"manual",$M34&lt;&gt;$A$15)),
        IF(Import.TipoArredondamento&lt;&gt;"TransfereGOV",
              ROUND(OFFSET($P34,0,AZ$13),15-13*ORÇAMENTO!$AF$7)/$H34*OFFSET(ORÇAMENTO!$X$15,ROW(AZ34)-ROW(AZ$15),0),
              ROUND(ROUND(OFFSET($P34,0,AZ$13),15-13*ORÇAMENTO!$AF$7)*OFFSET(ORÇAMENTO!$W$15,ROW(AZ34)-ROW(AZ$15),0),15-13*ORÇAMENTO!$AF$11)),
         0)</f>
        <v>0</v>
      </c>
      <c r="BA34" s="453">
        <f ca="1">IF(AND($D34="Serviço",BA$12&lt;&gt;0,$H34&gt;0,OR(AUTOEVENTO&lt;&gt;"manual",$M34&lt;&gt;$A$15)),
        IF(Import.TipoArredondamento&lt;&gt;"TransfereGOV",
              ROUND(OFFSET($P34,0,BA$13),15-13*ORÇAMENTO!$AF$7)/$H34*OFFSET(ORÇAMENTO!$X$15,ROW(BA34)-ROW(BA$15),0),
              ROUND(ROUND(OFFSET($P34,0,BA$13),15-13*ORÇAMENTO!$AF$7)*OFFSET(ORÇAMENTO!$W$15,ROW(BA34)-ROW(BA$15),0),15-13*ORÇAMENTO!$AF$11)),
         0)</f>
        <v>0</v>
      </c>
      <c r="BC34" s="171">
        <f ca="1">IF(OR($D34&lt;&gt;"Serviço",AND(AUTOEVENTO="Manual",$M34=$A$15)),0,
         IF(OFFSET(CRONOPLE!$F$15,$M34-$A$15,BC$13)=0,10^12,OFFSET(CRONOPLE!$F$15,$M34-$A$15,BC$13)))</f>
        <v>1000000000000</v>
      </c>
      <c r="BD34" s="171">
        <f ca="1">IF(OR($D34&lt;&gt;"Serviço",AND(AUTOEVENTO="Manual",$M34=$A$15)),0,
         IF(OFFSET(CRONOPLE!$F$15,$M34-$A$15,BD$13)=0,10^12,OFFSET(CRONOPLE!$F$15,$M34-$A$15,BD$13)))</f>
        <v>1000000000000</v>
      </c>
      <c r="BE34" s="171">
        <f ca="1">IF(OR($D34&lt;&gt;"Serviço",AND(AUTOEVENTO="Manual",$M34=$A$15)),0,
         IF(OFFSET(CRONOPLE!$F$15,$M34-$A$15,BE$13)=0,10^12,OFFSET(CRONOPLE!$F$15,$M34-$A$15,BE$13)))</f>
        <v>5</v>
      </c>
      <c r="BF34" s="171">
        <f ca="1">IF(OR($D34&lt;&gt;"Serviço",AND(AUTOEVENTO="Manual",$M34=$A$15)),0,
         IF(OFFSET(CRONOPLE!$F$15,$M34-$A$15,BF$13)=0,10^12,OFFSET(CRONOPLE!$F$15,$M34-$A$15,BF$13)))</f>
        <v>1000000000000</v>
      </c>
      <c r="BG34" s="171">
        <f ca="1">IF(OR($D34&lt;&gt;"Serviço",AND(AUTOEVENTO="Manual",$M34=$A$15)),0,
         IF(OFFSET(CRONOPLE!$F$15,$M34-$A$15,BG$13)=0,10^12,OFFSET(CRONOPLE!$F$15,$M34-$A$15,BG$13)))</f>
        <v>8</v>
      </c>
      <c r="BH34" s="171">
        <f ca="1">IF(OR($D34&lt;&gt;"Serviço",AND(AUTOEVENTO="Manual",$M34=$A$15)),0,
         IF(OFFSET(CRONOPLE!$F$15,$M34-$A$15,BH$13)=0,10^12,OFFSET(CRONOPLE!$F$15,$M34-$A$15,BH$13)))</f>
        <v>7</v>
      </c>
      <c r="BI34" s="171">
        <f ca="1">IF(OR($D34&lt;&gt;"Serviço",AND(AUTOEVENTO="Manual",$M34=$A$15)),0,
         IF(OFFSET(CRONOPLE!$F$15,$M34-$A$15,BI$13)=0,10^12,OFFSET(CRONOPLE!$F$15,$M34-$A$15,BI$13)))</f>
        <v>1000000000000</v>
      </c>
      <c r="BJ34" s="171">
        <f ca="1">IF(OR($D34&lt;&gt;"Serviço",AND(AUTOEVENTO="Manual",$M34=$A$15)),0,
         IF(OFFSET(CRONOPLE!$F$15,$M34-$A$15,BJ$13)=0,10^12,OFFSET(CRONOPLE!$F$15,$M34-$A$15,BJ$13)))</f>
        <v>1000000000000</v>
      </c>
      <c r="BK34" s="171">
        <f ca="1">IF(OR($D34&lt;&gt;"Serviço",AND(AUTOEVENTO="Manual",$M34=$A$15)),0,
         IF(OFFSET(CRONOPLE!$F$15,$M34-$A$15,BK$13)=0,10^12,OFFSET(CRONOPLE!$F$15,$M34-$A$15,BK$13)))</f>
        <v>1000000000000</v>
      </c>
      <c r="BL34" s="171">
        <f ca="1">IF(OR($D34&lt;&gt;"Serviço",AND(AUTOEVENTO="Manual",$M34=$A$15)),0,
         IF(OFFSET(CRONOPLE!$F$15,$M34-$A$15,BL$13)=0,10^12,OFFSET(CRONOPLE!$F$15,$M34-$A$15,BL$13)))</f>
        <v>1000000000000</v>
      </c>
      <c r="BM34" s="171">
        <f ca="1">IF(OR($D34&lt;&gt;"Serviço",AND(AUTOEVENTO="Manual",$M34=$A$15)),0,
         IF(OFFSET(CRONOPLE!$F$15,$M34-$A$15,BM$13)=0,10^12,OFFSET(CRONOPLE!$F$15,$M34-$A$15,BM$13)))</f>
        <v>1000000000000</v>
      </c>
      <c r="BN34" s="171">
        <f ca="1">IF(OR($D34&lt;&gt;"Serviço",AND(AUTOEVENTO="Manual",$M34=$A$15)),0,
         IF(OFFSET(CRONOPLE!$F$15,$M34-$A$15,BN$13)=0,10^12,OFFSET(CRONOPLE!$F$15,$M34-$A$15,BN$13)))</f>
        <v>1000000000000</v>
      </c>
      <c r="BO34" s="171">
        <f ca="1">IF(OR($D34&lt;&gt;"Serviço",AND(AUTOEVENTO="Manual",$M34=$A$15)),0,
         IF(OFFSET(CRONOPLE!$F$15,$M34-$A$15,BO$13)=0,10^12,OFFSET(CRONOPLE!$F$15,$M34-$A$15,BO$13)))</f>
        <v>1000000000000</v>
      </c>
      <c r="BP34" s="171">
        <f ca="1">IF(OR($D34&lt;&gt;"Serviço",AND(AUTOEVENTO="Manual",$M34=$A$15)),0,
         IF(OFFSET(CRONOPLE!$F$15,$M34-$A$15,BP$13)=0,10^12,OFFSET(CRONOPLE!$F$15,$M34-$A$15,BP$13)))</f>
        <v>1000000000000</v>
      </c>
      <c r="BQ34" s="171">
        <f ca="1">IF(OR($D34&lt;&gt;"Serviço",AND(AUTOEVENTO="Manual",$M34=$A$15)),0,
         IF(OFFSET(CRONOPLE!$F$15,$M34-$A$15,BQ$13)=0,10^12,OFFSET(CRONOPLE!$F$15,$M34-$A$15,BQ$13)))</f>
        <v>1000000000000</v>
      </c>
      <c r="BR34" s="171">
        <f ca="1">IF(OR($D34&lt;&gt;"Serviço",AND(AUTOEVENTO="Manual",$M34=$A$15)),0,
         IF(OFFSET(CRONOPLE!$F$15,$M34-$A$15,BR$13)=0,10^12,OFFSET(CRONOPLE!$F$15,$M34-$A$15,BR$13)))</f>
        <v>1000000000000</v>
      </c>
      <c r="BS34" s="171">
        <f ca="1">IF(OR($D34&lt;&gt;"Serviço",AND(AUTOEVENTO="Manual",$M34=$A$15)),0,
         IF(OFFSET(CRONOPLE!$F$15,$M34-$A$15,BS$13)=0,10^12,OFFSET(CRONOPLE!$F$15,$M34-$A$15,BS$13)))</f>
        <v>1000000000000</v>
      </c>
      <c r="BT34" s="171">
        <f ca="1">IF(OR($D34&lt;&gt;"Serviço",AND(AUTOEVENTO="Manual",$M34=$A$15)),0,
         IF(OFFSET(CRONOPLE!$F$15,$M34-$A$15,BT$13)=0,10^12,OFFSET(CRONOPLE!$F$15,$M34-$A$15,BT$13)))</f>
        <v>1000000000000</v>
      </c>
      <c r="BV34" s="172" cm="1">
        <f t="array" aca="1" ref="BV34" ca="1">IF(OR($D34&lt;&gt;"Serviço",AND(AUTOEVENTO="Manual",$M34=$A$15),$M34&gt;(ROW(PLE.lastrow)-ROW(PLE.firstrow))),0,
           IF(OFFSET(PLE!$G$15,$M34-$A$15,BV$13)="",10^12,OFFSET(PLE!$G$15,$M34-$A$15,BV$13)))</f>
        <v>1000000000000</v>
      </c>
      <c r="BW34" s="172" cm="1">
        <f t="array" aca="1" ref="BW34" ca="1">IF(OR($D34&lt;&gt;"Serviço",AND(AUTOEVENTO="Manual",$M34=$A$15),$M34&gt;(ROW(PLE.lastrow)-ROW(PLE.firstrow))),0,
           IF(OFFSET(PLE!$G$15,$M34-$A$15,BW$13)="",10^12,OFFSET(PLE!$G$15,$M34-$A$15,BW$13)))</f>
        <v>1000000000000</v>
      </c>
      <c r="BX34" s="172" cm="1">
        <f t="array" aca="1" ref="BX34" ca="1">IF(OR($D34&lt;&gt;"Serviço",AND(AUTOEVENTO="Manual",$M34=$A$15),$M34&gt;(ROW(PLE.lastrow)-ROW(PLE.firstrow))),0,
           IF(OFFSET(PLE!$G$15,$M34-$A$15,BX$13)="",10^12,OFFSET(PLE!$G$15,$M34-$A$15,BX$13)))</f>
        <v>1000000000000</v>
      </c>
      <c r="BY34" s="172" cm="1">
        <f t="array" aca="1" ref="BY34" ca="1">IF(OR($D34&lt;&gt;"Serviço",AND(AUTOEVENTO="Manual",$M34=$A$15),$M34&gt;(ROW(PLE.lastrow)-ROW(PLE.firstrow))),0,
           IF(OFFSET(PLE!$G$15,$M34-$A$15,BY$13)="",10^12,OFFSET(PLE!$G$15,$M34-$A$15,BY$13)))</f>
        <v>1000000000000</v>
      </c>
      <c r="BZ34" s="172" cm="1">
        <f t="array" aca="1" ref="BZ34" ca="1">IF(OR($D34&lt;&gt;"Serviço",AND(AUTOEVENTO="Manual",$M34=$A$15),$M34&gt;(ROW(PLE.lastrow)-ROW(PLE.firstrow))),0,
           IF(OFFSET(PLE!$G$15,$M34-$A$15,BZ$13)="",10^12,OFFSET(PLE!$G$15,$M34-$A$15,BZ$13)))</f>
        <v>1000000000000</v>
      </c>
      <c r="CA34" s="172" cm="1">
        <f t="array" aca="1" ref="CA34" ca="1">IF(OR($D34&lt;&gt;"Serviço",AND(AUTOEVENTO="Manual",$M34=$A$15),$M34&gt;(ROW(PLE.lastrow)-ROW(PLE.firstrow))),0,
           IF(OFFSET(PLE!$G$15,$M34-$A$15,CA$13)="",10^12,OFFSET(PLE!$G$15,$M34-$A$15,CA$13)))</f>
        <v>1000000000000</v>
      </c>
      <c r="CB34" s="172" cm="1">
        <f t="array" aca="1" ref="CB34" ca="1">IF(OR($D34&lt;&gt;"Serviço",AND(AUTOEVENTO="Manual",$M34=$A$15),$M34&gt;(ROW(PLE.lastrow)-ROW(PLE.firstrow))),0,
           IF(OFFSET(PLE!$G$15,$M34-$A$15,CB$13)="",10^12,OFFSET(PLE!$G$15,$M34-$A$15,CB$13)))</f>
        <v>1000000000000</v>
      </c>
      <c r="CC34" s="172" cm="1">
        <f t="array" aca="1" ref="CC34" ca="1">IF(OR($D34&lt;&gt;"Serviço",AND(AUTOEVENTO="Manual",$M34=$A$15),$M34&gt;(ROW(PLE.lastrow)-ROW(PLE.firstrow))),0,
           IF(OFFSET(PLE!$G$15,$M34-$A$15,CC$13)="",10^12,OFFSET(PLE!$G$15,$M34-$A$15,CC$13)))</f>
        <v>1000000000000</v>
      </c>
      <c r="CD34" s="172" cm="1">
        <f t="array" aca="1" ref="CD34" ca="1">IF(OR($D34&lt;&gt;"Serviço",AND(AUTOEVENTO="Manual",$M34=$A$15),$M34&gt;(ROW(PLE.lastrow)-ROW(PLE.firstrow))),0,
           IF(OFFSET(PLE!$G$15,$M34-$A$15,CD$13)="",10^12,OFFSET(PLE!$G$15,$M34-$A$15,CD$13)))</f>
        <v>1000000000000</v>
      </c>
      <c r="CE34" s="172" cm="1">
        <f t="array" aca="1" ref="CE34" ca="1">IF(OR($D34&lt;&gt;"Serviço",AND(AUTOEVENTO="Manual",$M34=$A$15),$M34&gt;(ROW(PLE.lastrow)-ROW(PLE.firstrow))),0,
           IF(OFFSET(PLE!$G$15,$M34-$A$15,CE$13)="",10^12,OFFSET(PLE!$G$15,$M34-$A$15,CE$13)))</f>
        <v>1000000000000</v>
      </c>
      <c r="CF34" s="172" cm="1">
        <f t="array" aca="1" ref="CF34" ca="1">IF(OR($D34&lt;&gt;"Serviço",AND(AUTOEVENTO="Manual",$M34=$A$15),$M34&gt;(ROW(PLE.lastrow)-ROW(PLE.firstrow))),0,
           IF(OFFSET(PLE!$G$15,$M34-$A$15,CF$13)="",10^12,OFFSET(PLE!$G$15,$M34-$A$15,CF$13)))</f>
        <v>1000000000000</v>
      </c>
      <c r="CG34" s="172" cm="1">
        <f t="array" aca="1" ref="CG34" ca="1">IF(OR($D34&lt;&gt;"Serviço",AND(AUTOEVENTO="Manual",$M34=$A$15),$M34&gt;(ROW(PLE.lastrow)-ROW(PLE.firstrow))),0,
           IF(OFFSET(PLE!$G$15,$M34-$A$15,CG$13)="",10^12,OFFSET(PLE!$G$15,$M34-$A$15,CG$13)))</f>
        <v>1000000000000</v>
      </c>
      <c r="CH34" s="172" cm="1">
        <f t="array" aca="1" ref="CH34" ca="1">IF(OR($D34&lt;&gt;"Serviço",AND(AUTOEVENTO="Manual",$M34=$A$15),$M34&gt;(ROW(PLE.lastrow)-ROW(PLE.firstrow))),0,
           IF(OFFSET(PLE!$G$15,$M34-$A$15,CH$13)="",10^12,OFFSET(PLE!$G$15,$M34-$A$15,CH$13)))</f>
        <v>1000000000000</v>
      </c>
      <c r="CI34" s="172" cm="1">
        <f t="array" aca="1" ref="CI34" ca="1">IF(OR($D34&lt;&gt;"Serviço",AND(AUTOEVENTO="Manual",$M34=$A$15),$M34&gt;(ROW(PLE.lastrow)-ROW(PLE.firstrow))),0,
           IF(OFFSET(PLE!$G$15,$M34-$A$15,CI$13)="",10^12,OFFSET(PLE!$G$15,$M34-$A$15,CI$13)))</f>
        <v>1000000000000</v>
      </c>
      <c r="CJ34" s="172" cm="1">
        <f t="array" aca="1" ref="CJ34" ca="1">IF(OR($D34&lt;&gt;"Serviço",AND(AUTOEVENTO="Manual",$M34=$A$15),$M34&gt;(ROW(PLE.lastrow)-ROW(PLE.firstrow))),0,
           IF(OFFSET(PLE!$G$15,$M34-$A$15,CJ$13)="",10^12,OFFSET(PLE!$G$15,$M34-$A$15,CJ$13)))</f>
        <v>1000000000000</v>
      </c>
      <c r="CK34" s="172" cm="1">
        <f t="array" aca="1" ref="CK34" ca="1">IF(OR($D34&lt;&gt;"Serviço",AND(AUTOEVENTO="Manual",$M34=$A$15),$M34&gt;(ROW(PLE.lastrow)-ROW(PLE.firstrow))),0,
           IF(OFFSET(PLE!$G$15,$M34-$A$15,CK$13)="",10^12,OFFSET(PLE!$G$15,$M34-$A$15,CK$13)))</f>
        <v>1000000000000</v>
      </c>
      <c r="CL34" s="172" cm="1">
        <f t="array" aca="1" ref="CL34" ca="1">IF(OR($D34&lt;&gt;"Serviço",AND(AUTOEVENTO="Manual",$M34=$A$15),$M34&gt;(ROW(PLE.lastrow)-ROW(PLE.firstrow))),0,
           IF(OFFSET(PLE!$G$15,$M34-$A$15,CL$13)="",10^12,OFFSET(PLE!$G$15,$M34-$A$15,CL$13)))</f>
        <v>1000000000000</v>
      </c>
      <c r="CM34" s="172" cm="1">
        <f t="array" aca="1" ref="CM34" ca="1">IF(OR($D34&lt;&gt;"Serviço",AND(AUTOEVENTO="Manual",$M34=$A$15),$M34&gt;(ROW(PLE.lastrow)-ROW(PLE.firstrow))),0,
           IF(OFFSET(PLE!$G$15,$M34-$A$15,CM$13)="",10^12,OFFSET(PLE!$G$15,$M34-$A$15,CM$13)))</f>
        <v>1000000000000</v>
      </c>
    </row>
    <row r="35" spans="1:91" s="676" customFormat="1" ht="38.25" x14ac:dyDescent="0.2">
      <c r="A35" s="674">
        <f ca="1">IFERROR(IF(AUTOEVENTO="Manual",IF(K35&lt;&gt;"",MIN(VALUE(LEFT(K35,FIND(".",K35)-1)),COUNTA(EVENTOS.Lista)),0),IF(OR($B35&gt;AUTOEVENTO,$B35="S",$B35=0),SUBSTITUTE(OFFSET($A35,-1,0),IF($D35="Serviço",".",""),""),$L35&amp;".")),0)</f>
        <v>12</v>
      </c>
      <c r="B35" s="674" t="str">
        <f ca="1">OFFSET(ORÇAMENTO!C$15,$L35,0)</f>
        <v>S</v>
      </c>
      <c r="C35" s="674" t="str">
        <f ca="1">OFFSET(ORÇAMENTO!L$15,$L35,0)</f>
        <v>F</v>
      </c>
      <c r="D35" s="116" t="str">
        <f ca="1">OFFSET(ORÇAMENTO!N$15,$L35,0)</f>
        <v>Serviço</v>
      </c>
      <c r="E35" s="117" t="str">
        <f ca="1">OFFSET(ORÇAMENTO!O$15,$L35,0)</f>
        <v>1.4.3.</v>
      </c>
      <c r="F35" s="163" t="str">
        <f ca="1">OFFSET(ORÇAMENTO!R$15,$L35,0)</f>
        <v>FORNECIMENTO DE CONCRETO ESTRUTURAL, USINADO BOMBEADO, COM FCK 40MPA, INCLUSIVE LANÇAMENTO, ADENSAMENTO E ACABAMENTO</v>
      </c>
      <c r="G35" s="164" t="str">
        <f ca="1">IF($D35&lt;&gt;"Serviço","",OFFSET(ORÇAMENTO!S$15,$L35,0))</f>
        <v>m3</v>
      </c>
      <c r="H35" s="122" cm="1">
        <f t="array" aca="1" ref="H35" ca="1">IF($D35&lt;&gt;"Serviço",0,IF(ACOMPANHAMENTO="BM",ROUND(OFFSET(ORÇAMENTO!AJ$15,$L35,0),15-13*ORÇAMENTO!$AF$7),IF(IFERROR(CÁLCULO.FrentesPreenchidas,0)=0,0,SUM(ROUND(OFFSET($P35,0,1,1,CÁLCULO.FrentesPreenchidas),15-13*ORÇAMENTO!$AF$7)))))</f>
        <v>40</v>
      </c>
      <c r="I35" s="468" t="s">
        <v>1318</v>
      </c>
      <c r="J35" s="651" t="str" cm="1">
        <f t="array" aca="1" ref="J35" ca="1">IF(OR(B35&lt;&gt;"S",CÁLCULO.FrentesPreenchidas=0),"",IF(AND(ACOMPANHAMENTO="PLE",AUTOEVENTO="Manual",OR(H35&gt;0,ORÇAMENTO!AC35="QUANT."),OR(K35="",M35=0,N35="")),"►E",IF(AND(ACOMPANHAMENTO="PLE",ORÇAMENTO!AC35="QUANT."),"►Q",IF(AND(ACOMPANHAMENTO="PLE",H35&lt;&gt;SUMPRODUCT(($Q$1:$AI$1=1)*ROUND(Q35:AI35,15))),"►S",IF(AND(COUNTIF($P$11:$AI$11,"▼")=0,H35&gt;0,I35=""),"◄M","")))))</f>
        <v/>
      </c>
      <c r="K35" s="652" t="s">
        <v>1339</v>
      </c>
      <c r="L35" s="165">
        <f ca="1">OFFSET(L35,-1,0)+1</f>
        <v>20</v>
      </c>
      <c r="M35" s="166">
        <f ca="1">IF($D35&lt;&gt;"Serviço","",
          IF(AUTOEVENTO="manual",$A35,
                IF(ISERROR(MATCH($A35,$A$15:OFFSET($A35,-1,0),0)),MAX($M$15:OFFSET(M35,-1,0))+1,
                      INDEX($M$15:OFFSET(M35,-1,0),MATCH($A35,$A$15:OFFSET($A35,-1,0),0)))))</f>
        <v>12</v>
      </c>
      <c r="N35" s="167" t="str">
        <f ca="1">IF($D35&lt;&gt;"Serviço","",
         IF(AUTOEVENTO="Manual",
                IF($A35=0,"&lt;-- defina o número do agrupador",
                       OFFSET(EVENTOS!$D$15,$A35-$A$15,0)),
                OFFSET($F$15,$A35,0)))</f>
        <v>Fundação - Concretagem</v>
      </c>
      <c r="O35" s="168"/>
      <c r="Q35" s="168"/>
      <c r="R35" s="169"/>
      <c r="S35" s="169">
        <v>40</v>
      </c>
      <c r="T35" s="169"/>
      <c r="U35" s="169"/>
      <c r="V35" s="169"/>
      <c r="W35" s="169"/>
      <c r="X35" s="169"/>
      <c r="Y35" s="169"/>
      <c r="Z35" s="170"/>
      <c r="AA35" s="705"/>
      <c r="AB35" s="705"/>
      <c r="AC35" s="705"/>
      <c r="AD35" s="705"/>
      <c r="AE35" s="705"/>
      <c r="AF35" s="705"/>
      <c r="AG35" s="705"/>
      <c r="AH35" s="706"/>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L35" s="453">
        <f ca="1">IF(AND($D35="Serviço",AL$12&lt;&gt;0,$H35&gt;0,OR(AUTOEVENTO&lt;&gt;"manual",$M35&lt;&gt;$A$15)),
        IF(Import.TipoArredondamento&lt;&gt;"TransfereGOV",
              ROUND(OFFSET($P35,0,AL$13),15-13*ORÇAMENTO!$AF$7)/$H35*OFFSET(ORÇAMENTO!$X$15,ROW(AL35)-ROW(AL$15),0),
              ROUND(ROUND(OFFSET($P35,0,AL$13),15-13*ORÇAMENTO!$AF$7)*OFFSET(ORÇAMENTO!$W$15,ROW(AL35)-ROW(AL$15),0),15-13*ORÇAMENTO!$AF$11)),
         0)</f>
        <v>37921.599999999999</v>
      </c>
      <c r="AM35" s="453">
        <f ca="1">IF(AND($D35="Serviço",AM$12&lt;&gt;0,$H35&gt;0,OR(AUTOEVENTO&lt;&gt;"manual",$M35&lt;&gt;$A$15)),
        IF(Import.TipoArredondamento&lt;&gt;"TransfereGOV",
              ROUND(OFFSET($P35,0,AM$13),15-13*ORÇAMENTO!$AF$7)/$H35*OFFSET(ORÇAMENTO!$X$15,ROW(AM35)-ROW(AM$15),0),
              ROUND(ROUND(OFFSET($P35,0,AM$13),15-13*ORÇAMENTO!$AF$7)*OFFSET(ORÇAMENTO!$W$15,ROW(AM35)-ROW(AM$15),0),15-13*ORÇAMENTO!$AF$11)),
         0)</f>
        <v>0</v>
      </c>
      <c r="AN35" s="453">
        <f ca="1">IF(AND($D35="Serviço",AN$12&lt;&gt;0,$H35&gt;0,OR(AUTOEVENTO&lt;&gt;"manual",$M35&lt;&gt;$A$15)),
        IF(Import.TipoArredondamento&lt;&gt;"TransfereGOV",
              ROUND(OFFSET($P35,0,AN$13),15-13*ORÇAMENTO!$AF$7)/$H35*OFFSET(ORÇAMENTO!$X$15,ROW(AN35)-ROW(AN$15),0),
              ROUND(ROUND(OFFSET($P35,0,AN$13),15-13*ORÇAMENTO!$AF$7)*OFFSET(ORÇAMENTO!$W$15,ROW(AN35)-ROW(AN$15),0),15-13*ORÇAMENTO!$AF$11)),
         0)</f>
        <v>0</v>
      </c>
      <c r="AO35" s="453">
        <f ca="1">IF(AND($D35="Serviço",AO$12&lt;&gt;0,$H35&gt;0,OR(AUTOEVENTO&lt;&gt;"manual",$M35&lt;&gt;$A$15)),
        IF(Import.TipoArredondamento&lt;&gt;"TransfereGOV",
              ROUND(OFFSET($P35,0,AO$13),15-13*ORÇAMENTO!$AF$7)/$H35*OFFSET(ORÇAMENTO!$X$15,ROW(AO35)-ROW(AO$15),0),
              ROUND(ROUND(OFFSET($P35,0,AO$13),15-13*ORÇAMENTO!$AF$7)*OFFSET(ORÇAMENTO!$W$15,ROW(AO35)-ROW(AO$15),0),15-13*ORÇAMENTO!$AF$11)),
         0)</f>
        <v>0</v>
      </c>
      <c r="AP35" s="453">
        <f ca="1">IF(AND($D35="Serviço",AP$12&lt;&gt;0,$H35&gt;0,OR(AUTOEVENTO&lt;&gt;"manual",$M35&lt;&gt;$A$15)),
        IF(Import.TipoArredondamento&lt;&gt;"TransfereGOV",
              ROUND(OFFSET($P35,0,AP$13),15-13*ORÇAMENTO!$AF$7)/$H35*OFFSET(ORÇAMENTO!$X$15,ROW(AP35)-ROW(AP$15),0),
              ROUND(ROUND(OFFSET($P35,0,AP$13),15-13*ORÇAMENTO!$AF$7)*OFFSET(ORÇAMENTO!$W$15,ROW(AP35)-ROW(AP$15),0),15-13*ORÇAMENTO!$AF$11)),
         0)</f>
        <v>0</v>
      </c>
      <c r="AQ35" s="453">
        <f ca="1">IF(AND($D35="Serviço",AQ$12&lt;&gt;0,$H35&gt;0,OR(AUTOEVENTO&lt;&gt;"manual",$M35&lt;&gt;$A$15)),
        IF(Import.TipoArredondamento&lt;&gt;"TransfereGOV",
              ROUND(OFFSET($P35,0,AQ$13),15-13*ORÇAMENTO!$AF$7)/$H35*OFFSET(ORÇAMENTO!$X$15,ROW(AQ35)-ROW(AQ$15),0),
              ROUND(ROUND(OFFSET($P35,0,AQ$13),15-13*ORÇAMENTO!$AF$7)*OFFSET(ORÇAMENTO!$W$15,ROW(AQ35)-ROW(AQ$15),0),15-13*ORÇAMENTO!$AF$11)),
         0)</f>
        <v>0</v>
      </c>
      <c r="AR35" s="453">
        <f ca="1">IF(AND($D35="Serviço",AR$12&lt;&gt;0,$H35&gt;0,OR(AUTOEVENTO&lt;&gt;"manual",$M35&lt;&gt;$A$15)),
        IF(Import.TipoArredondamento&lt;&gt;"TransfereGOV",
              ROUND(OFFSET($P35,0,AR$13),15-13*ORÇAMENTO!$AF$7)/$H35*OFFSET(ORÇAMENTO!$X$15,ROW(AR35)-ROW(AR$15),0),
              ROUND(ROUND(OFFSET($P35,0,AR$13),15-13*ORÇAMENTO!$AF$7)*OFFSET(ORÇAMENTO!$W$15,ROW(AR35)-ROW(AR$15),0),15-13*ORÇAMENTO!$AF$11)),
         0)</f>
        <v>0</v>
      </c>
      <c r="AS35" s="453">
        <f ca="1">IF(AND($D35="Serviço",AS$12&lt;&gt;0,$H35&gt;0,OR(AUTOEVENTO&lt;&gt;"manual",$M35&lt;&gt;$A$15)),
        IF(Import.TipoArredondamento&lt;&gt;"TransfereGOV",
              ROUND(OFFSET($P35,0,AS$13),15-13*ORÇAMENTO!$AF$7)/$H35*OFFSET(ORÇAMENTO!$X$15,ROW(AS35)-ROW(AS$15),0),
              ROUND(ROUND(OFFSET($P35,0,AS$13),15-13*ORÇAMENTO!$AF$7)*OFFSET(ORÇAMENTO!$W$15,ROW(AS35)-ROW(AS$15),0),15-13*ORÇAMENTO!$AF$11)),
         0)</f>
        <v>0</v>
      </c>
      <c r="AT35" s="453">
        <f ca="1">IF(AND($D35="Serviço",AT$12&lt;&gt;0,$H35&gt;0,OR(AUTOEVENTO&lt;&gt;"manual",$M35&lt;&gt;$A$15)),
        IF(Import.TipoArredondamento&lt;&gt;"TransfereGOV",
              ROUND(OFFSET($P35,0,AT$13),15-13*ORÇAMENTO!$AF$7)/$H35*OFFSET(ORÇAMENTO!$X$15,ROW(AT35)-ROW(AT$15),0),
              ROUND(ROUND(OFFSET($P35,0,AT$13),15-13*ORÇAMENTO!$AF$7)*OFFSET(ORÇAMENTO!$W$15,ROW(AT35)-ROW(AT$15),0),15-13*ORÇAMENTO!$AF$11)),
         0)</f>
        <v>0</v>
      </c>
      <c r="AU35" s="453">
        <f ca="1">IF(AND($D35="Serviço",AU$12&lt;&gt;0,$H35&gt;0,OR(AUTOEVENTO&lt;&gt;"manual",$M35&lt;&gt;$A$15)),
        IF(Import.TipoArredondamento&lt;&gt;"TransfereGOV",
              ROUND(OFFSET($P35,0,AU$13),15-13*ORÇAMENTO!$AF$7)/$H35*OFFSET(ORÇAMENTO!$X$15,ROW(AU35)-ROW(AU$15),0),
              ROUND(ROUND(OFFSET($P35,0,AU$13),15-13*ORÇAMENTO!$AF$7)*OFFSET(ORÇAMENTO!$W$15,ROW(AU35)-ROW(AU$15),0),15-13*ORÇAMENTO!$AF$11)),
         0)</f>
        <v>0</v>
      </c>
      <c r="AV35" s="453">
        <f ca="1">IF(AND($D35="Serviço",AV$12&lt;&gt;0,$H35&gt;0,OR(AUTOEVENTO&lt;&gt;"manual",$M35&lt;&gt;$A$15)),
        IF(Import.TipoArredondamento&lt;&gt;"TransfereGOV",
              ROUND(OFFSET($P35,0,AV$13),15-13*ORÇAMENTO!$AF$7)/$H35*OFFSET(ORÇAMENTO!$X$15,ROW(AV35)-ROW(AV$15),0),
              ROUND(ROUND(OFFSET($P35,0,AV$13),15-13*ORÇAMENTO!$AF$7)*OFFSET(ORÇAMENTO!$W$15,ROW(AV35)-ROW(AV$15),0),15-13*ORÇAMENTO!$AF$11)),
         0)</f>
        <v>0</v>
      </c>
      <c r="AW35" s="453">
        <f ca="1">IF(AND($D35="Serviço",AW$12&lt;&gt;0,$H35&gt;0,OR(AUTOEVENTO&lt;&gt;"manual",$M35&lt;&gt;$A$15)),
        IF(Import.TipoArredondamento&lt;&gt;"TransfereGOV",
              ROUND(OFFSET($P35,0,AW$13),15-13*ORÇAMENTO!$AF$7)/$H35*OFFSET(ORÇAMENTO!$X$15,ROW(AW35)-ROW(AW$15),0),
              ROUND(ROUND(OFFSET($P35,0,AW$13),15-13*ORÇAMENTO!$AF$7)*OFFSET(ORÇAMENTO!$W$15,ROW(AW35)-ROW(AW$15),0),15-13*ORÇAMENTO!$AF$11)),
         0)</f>
        <v>0</v>
      </c>
      <c r="AX35" s="453">
        <f ca="1">IF(AND($D35="Serviço",AX$12&lt;&gt;0,$H35&gt;0,OR(AUTOEVENTO&lt;&gt;"manual",$M35&lt;&gt;$A$15)),
        IF(Import.TipoArredondamento&lt;&gt;"TransfereGOV",
              ROUND(OFFSET($P35,0,AX$13),15-13*ORÇAMENTO!$AF$7)/$H35*OFFSET(ORÇAMENTO!$X$15,ROW(AX35)-ROW(AX$15),0),
              ROUND(ROUND(OFFSET($P35,0,AX$13),15-13*ORÇAMENTO!$AF$7)*OFFSET(ORÇAMENTO!$W$15,ROW(AX35)-ROW(AX$15),0),15-13*ORÇAMENTO!$AF$11)),
         0)</f>
        <v>0</v>
      </c>
      <c r="AY35" s="453">
        <f ca="1">IF(AND($D35="Serviço",AY$12&lt;&gt;0,$H35&gt;0,OR(AUTOEVENTO&lt;&gt;"manual",$M35&lt;&gt;$A$15)),
        IF(Import.TipoArredondamento&lt;&gt;"TransfereGOV",
              ROUND(OFFSET($P35,0,AY$13),15-13*ORÇAMENTO!$AF$7)/$H35*OFFSET(ORÇAMENTO!$X$15,ROW(AY35)-ROW(AY$15),0),
              ROUND(ROUND(OFFSET($P35,0,AY$13),15-13*ORÇAMENTO!$AF$7)*OFFSET(ORÇAMENTO!$W$15,ROW(AY35)-ROW(AY$15),0),15-13*ORÇAMENTO!$AF$11)),
         0)</f>
        <v>0</v>
      </c>
      <c r="AZ35" s="453">
        <f ca="1">IF(AND($D35="Serviço",AZ$12&lt;&gt;0,$H35&gt;0,OR(AUTOEVENTO&lt;&gt;"manual",$M35&lt;&gt;$A$15)),
        IF(Import.TipoArredondamento&lt;&gt;"TransfereGOV",
              ROUND(OFFSET($P35,0,AZ$13),15-13*ORÇAMENTO!$AF$7)/$H35*OFFSET(ORÇAMENTO!$X$15,ROW(AZ35)-ROW(AZ$15),0),
              ROUND(ROUND(OFFSET($P35,0,AZ$13),15-13*ORÇAMENTO!$AF$7)*OFFSET(ORÇAMENTO!$W$15,ROW(AZ35)-ROW(AZ$15),0),15-13*ORÇAMENTO!$AF$11)),
         0)</f>
        <v>0</v>
      </c>
      <c r="BA35" s="453">
        <f ca="1">IF(AND($D35="Serviço",BA$12&lt;&gt;0,$H35&gt;0,OR(AUTOEVENTO&lt;&gt;"manual",$M35&lt;&gt;$A$15)),
        IF(Import.TipoArredondamento&lt;&gt;"TransfereGOV",
              ROUND(OFFSET($P35,0,BA$13),15-13*ORÇAMENTO!$AF$7)/$H35*OFFSET(ORÇAMENTO!$X$15,ROW(BA35)-ROW(BA$15),0),
              ROUND(ROUND(OFFSET($P35,0,BA$13),15-13*ORÇAMENTO!$AF$7)*OFFSET(ORÇAMENTO!$W$15,ROW(BA35)-ROW(BA$15),0),15-13*ORÇAMENTO!$AF$11)),
         0)</f>
        <v>0</v>
      </c>
      <c r="BC35" s="171">
        <f ca="1">IF(OR($D35&lt;&gt;"Serviço",AND(AUTOEVENTO="Manual",$M35=$A$15)),0,
         IF(OFFSET(CRONOPLE!$F$15,$M35-$A$15,BC$13)=0,10^12,OFFSET(CRONOPLE!$F$15,$M35-$A$15,BC$13)))</f>
        <v>1000000000000</v>
      </c>
      <c r="BD35" s="171">
        <f ca="1">IF(OR($D35&lt;&gt;"Serviço",AND(AUTOEVENTO="Manual",$M35=$A$15)),0,
         IF(OFFSET(CRONOPLE!$F$15,$M35-$A$15,BD$13)=0,10^12,OFFSET(CRONOPLE!$F$15,$M35-$A$15,BD$13)))</f>
        <v>1000000000000</v>
      </c>
      <c r="BE35" s="171">
        <f ca="1">IF(OR($D35&lt;&gt;"Serviço",AND(AUTOEVENTO="Manual",$M35=$A$15)),0,
         IF(OFFSET(CRONOPLE!$F$15,$M35-$A$15,BE$13)=0,10^12,OFFSET(CRONOPLE!$F$15,$M35-$A$15,BE$13)))</f>
        <v>6</v>
      </c>
      <c r="BF35" s="171">
        <f ca="1">IF(OR($D35&lt;&gt;"Serviço",AND(AUTOEVENTO="Manual",$M35=$A$15)),0,
         IF(OFFSET(CRONOPLE!$F$15,$M35-$A$15,BF$13)=0,10^12,OFFSET(CRONOPLE!$F$15,$M35-$A$15,BF$13)))</f>
        <v>1000000000000</v>
      </c>
      <c r="BG35" s="171">
        <f ca="1">IF(OR($D35&lt;&gt;"Serviço",AND(AUTOEVENTO="Manual",$M35=$A$15)),0,
         IF(OFFSET(CRONOPLE!$F$15,$M35-$A$15,BG$13)=0,10^12,OFFSET(CRONOPLE!$F$15,$M35-$A$15,BG$13)))</f>
        <v>9</v>
      </c>
      <c r="BH35" s="171">
        <f ca="1">IF(OR($D35&lt;&gt;"Serviço",AND(AUTOEVENTO="Manual",$M35=$A$15)),0,
         IF(OFFSET(CRONOPLE!$F$15,$M35-$A$15,BH$13)=0,10^12,OFFSET(CRONOPLE!$F$15,$M35-$A$15,BH$13)))</f>
        <v>7</v>
      </c>
      <c r="BI35" s="171">
        <f ca="1">IF(OR($D35&lt;&gt;"Serviço",AND(AUTOEVENTO="Manual",$M35=$A$15)),0,
         IF(OFFSET(CRONOPLE!$F$15,$M35-$A$15,BI$13)=0,10^12,OFFSET(CRONOPLE!$F$15,$M35-$A$15,BI$13)))</f>
        <v>10</v>
      </c>
      <c r="BJ35" s="171">
        <f ca="1">IF(OR($D35&lt;&gt;"Serviço",AND(AUTOEVENTO="Manual",$M35=$A$15)),0,
         IF(OFFSET(CRONOPLE!$F$15,$M35-$A$15,BJ$13)=0,10^12,OFFSET(CRONOPLE!$F$15,$M35-$A$15,BJ$13)))</f>
        <v>1000000000000</v>
      </c>
      <c r="BK35" s="171">
        <f ca="1">IF(OR($D35&lt;&gt;"Serviço",AND(AUTOEVENTO="Manual",$M35=$A$15)),0,
         IF(OFFSET(CRONOPLE!$F$15,$M35-$A$15,BK$13)=0,10^12,OFFSET(CRONOPLE!$F$15,$M35-$A$15,BK$13)))</f>
        <v>1000000000000</v>
      </c>
      <c r="BL35" s="171">
        <f ca="1">IF(OR($D35&lt;&gt;"Serviço",AND(AUTOEVENTO="Manual",$M35=$A$15)),0,
         IF(OFFSET(CRONOPLE!$F$15,$M35-$A$15,BL$13)=0,10^12,OFFSET(CRONOPLE!$F$15,$M35-$A$15,BL$13)))</f>
        <v>1000000000000</v>
      </c>
      <c r="BM35" s="171">
        <f ca="1">IF(OR($D35&lt;&gt;"Serviço",AND(AUTOEVENTO="Manual",$M35=$A$15)),0,
         IF(OFFSET(CRONOPLE!$F$15,$M35-$A$15,BM$13)=0,10^12,OFFSET(CRONOPLE!$F$15,$M35-$A$15,BM$13)))</f>
        <v>1000000000000</v>
      </c>
      <c r="BN35" s="171">
        <f ca="1">IF(OR($D35&lt;&gt;"Serviço",AND(AUTOEVENTO="Manual",$M35=$A$15)),0,
         IF(OFFSET(CRONOPLE!$F$15,$M35-$A$15,BN$13)=0,10^12,OFFSET(CRONOPLE!$F$15,$M35-$A$15,BN$13)))</f>
        <v>1000000000000</v>
      </c>
      <c r="BO35" s="171">
        <f ca="1">IF(OR($D35&lt;&gt;"Serviço",AND(AUTOEVENTO="Manual",$M35=$A$15)),0,
         IF(OFFSET(CRONOPLE!$F$15,$M35-$A$15,BO$13)=0,10^12,OFFSET(CRONOPLE!$F$15,$M35-$A$15,BO$13)))</f>
        <v>1000000000000</v>
      </c>
      <c r="BP35" s="171">
        <f ca="1">IF(OR($D35&lt;&gt;"Serviço",AND(AUTOEVENTO="Manual",$M35=$A$15)),0,
         IF(OFFSET(CRONOPLE!$F$15,$M35-$A$15,BP$13)=0,10^12,OFFSET(CRONOPLE!$F$15,$M35-$A$15,BP$13)))</f>
        <v>1000000000000</v>
      </c>
      <c r="BQ35" s="171">
        <f ca="1">IF(OR($D35&lt;&gt;"Serviço",AND(AUTOEVENTO="Manual",$M35=$A$15)),0,
         IF(OFFSET(CRONOPLE!$F$15,$M35-$A$15,BQ$13)=0,10^12,OFFSET(CRONOPLE!$F$15,$M35-$A$15,BQ$13)))</f>
        <v>1000000000000</v>
      </c>
      <c r="BR35" s="171">
        <f ca="1">IF(OR($D35&lt;&gt;"Serviço",AND(AUTOEVENTO="Manual",$M35=$A$15)),0,
         IF(OFFSET(CRONOPLE!$F$15,$M35-$A$15,BR$13)=0,10^12,OFFSET(CRONOPLE!$F$15,$M35-$A$15,BR$13)))</f>
        <v>1000000000000</v>
      </c>
      <c r="BS35" s="171">
        <f ca="1">IF(OR($D35&lt;&gt;"Serviço",AND(AUTOEVENTO="Manual",$M35=$A$15)),0,
         IF(OFFSET(CRONOPLE!$F$15,$M35-$A$15,BS$13)=0,10^12,OFFSET(CRONOPLE!$F$15,$M35-$A$15,BS$13)))</f>
        <v>1000000000000</v>
      </c>
      <c r="BT35" s="171">
        <f ca="1">IF(OR($D35&lt;&gt;"Serviço",AND(AUTOEVENTO="Manual",$M35=$A$15)),0,
         IF(OFFSET(CRONOPLE!$F$15,$M35-$A$15,BT$13)=0,10^12,OFFSET(CRONOPLE!$F$15,$M35-$A$15,BT$13)))</f>
        <v>1000000000000</v>
      </c>
      <c r="BV35" s="172" cm="1">
        <f t="array" aca="1" ref="BV35" ca="1">IF(OR($D35&lt;&gt;"Serviço",AND(AUTOEVENTO="Manual",$M35=$A$15),$M35&gt;(ROW(PLE.lastrow)-ROW(PLE.firstrow))),0,
           IF(OFFSET(PLE!$G$15,$M35-$A$15,BV$13)="",10^12,OFFSET(PLE!$G$15,$M35-$A$15,BV$13)))</f>
        <v>1000000000000</v>
      </c>
      <c r="BW35" s="172" cm="1">
        <f t="array" aca="1" ref="BW35" ca="1">IF(OR($D35&lt;&gt;"Serviço",AND(AUTOEVENTO="Manual",$M35=$A$15),$M35&gt;(ROW(PLE.lastrow)-ROW(PLE.firstrow))),0,
           IF(OFFSET(PLE!$G$15,$M35-$A$15,BW$13)="",10^12,OFFSET(PLE!$G$15,$M35-$A$15,BW$13)))</f>
        <v>1000000000000</v>
      </c>
      <c r="BX35" s="172" cm="1">
        <f t="array" aca="1" ref="BX35" ca="1">IF(OR($D35&lt;&gt;"Serviço",AND(AUTOEVENTO="Manual",$M35=$A$15),$M35&gt;(ROW(PLE.lastrow)-ROW(PLE.firstrow))),0,
           IF(OFFSET(PLE!$G$15,$M35-$A$15,BX$13)="",10^12,OFFSET(PLE!$G$15,$M35-$A$15,BX$13)))</f>
        <v>1000000000000</v>
      </c>
      <c r="BY35" s="172" cm="1">
        <f t="array" aca="1" ref="BY35" ca="1">IF(OR($D35&lt;&gt;"Serviço",AND(AUTOEVENTO="Manual",$M35=$A$15),$M35&gt;(ROW(PLE.lastrow)-ROW(PLE.firstrow))),0,
           IF(OFFSET(PLE!$G$15,$M35-$A$15,BY$13)="",10^12,OFFSET(PLE!$G$15,$M35-$A$15,BY$13)))</f>
        <v>1000000000000</v>
      </c>
      <c r="BZ35" s="172" cm="1">
        <f t="array" aca="1" ref="BZ35" ca="1">IF(OR($D35&lt;&gt;"Serviço",AND(AUTOEVENTO="Manual",$M35=$A$15),$M35&gt;(ROW(PLE.lastrow)-ROW(PLE.firstrow))),0,
           IF(OFFSET(PLE!$G$15,$M35-$A$15,BZ$13)="",10^12,OFFSET(PLE!$G$15,$M35-$A$15,BZ$13)))</f>
        <v>1000000000000</v>
      </c>
      <c r="CA35" s="172" cm="1">
        <f t="array" aca="1" ref="CA35" ca="1">IF(OR($D35&lt;&gt;"Serviço",AND(AUTOEVENTO="Manual",$M35=$A$15),$M35&gt;(ROW(PLE.lastrow)-ROW(PLE.firstrow))),0,
           IF(OFFSET(PLE!$G$15,$M35-$A$15,CA$13)="",10^12,OFFSET(PLE!$G$15,$M35-$A$15,CA$13)))</f>
        <v>1000000000000</v>
      </c>
      <c r="CB35" s="172" cm="1">
        <f t="array" aca="1" ref="CB35" ca="1">IF(OR($D35&lt;&gt;"Serviço",AND(AUTOEVENTO="Manual",$M35=$A$15),$M35&gt;(ROW(PLE.lastrow)-ROW(PLE.firstrow))),0,
           IF(OFFSET(PLE!$G$15,$M35-$A$15,CB$13)="",10^12,OFFSET(PLE!$G$15,$M35-$A$15,CB$13)))</f>
        <v>1000000000000</v>
      </c>
      <c r="CC35" s="172" cm="1">
        <f t="array" aca="1" ref="CC35" ca="1">IF(OR($D35&lt;&gt;"Serviço",AND(AUTOEVENTO="Manual",$M35=$A$15),$M35&gt;(ROW(PLE.lastrow)-ROW(PLE.firstrow))),0,
           IF(OFFSET(PLE!$G$15,$M35-$A$15,CC$13)="",10^12,OFFSET(PLE!$G$15,$M35-$A$15,CC$13)))</f>
        <v>1000000000000</v>
      </c>
      <c r="CD35" s="172" cm="1">
        <f t="array" aca="1" ref="CD35" ca="1">IF(OR($D35&lt;&gt;"Serviço",AND(AUTOEVENTO="Manual",$M35=$A$15),$M35&gt;(ROW(PLE.lastrow)-ROW(PLE.firstrow))),0,
           IF(OFFSET(PLE!$G$15,$M35-$A$15,CD$13)="",10^12,OFFSET(PLE!$G$15,$M35-$A$15,CD$13)))</f>
        <v>1000000000000</v>
      </c>
      <c r="CE35" s="172" cm="1">
        <f t="array" aca="1" ref="CE35" ca="1">IF(OR($D35&lt;&gt;"Serviço",AND(AUTOEVENTO="Manual",$M35=$A$15),$M35&gt;(ROW(PLE.lastrow)-ROW(PLE.firstrow))),0,
           IF(OFFSET(PLE!$G$15,$M35-$A$15,CE$13)="",10^12,OFFSET(PLE!$G$15,$M35-$A$15,CE$13)))</f>
        <v>1000000000000</v>
      </c>
      <c r="CF35" s="172" cm="1">
        <f t="array" aca="1" ref="CF35" ca="1">IF(OR($D35&lt;&gt;"Serviço",AND(AUTOEVENTO="Manual",$M35=$A$15),$M35&gt;(ROW(PLE.lastrow)-ROW(PLE.firstrow))),0,
           IF(OFFSET(PLE!$G$15,$M35-$A$15,CF$13)="",10^12,OFFSET(PLE!$G$15,$M35-$A$15,CF$13)))</f>
        <v>1000000000000</v>
      </c>
      <c r="CG35" s="172" cm="1">
        <f t="array" aca="1" ref="CG35" ca="1">IF(OR($D35&lt;&gt;"Serviço",AND(AUTOEVENTO="Manual",$M35=$A$15),$M35&gt;(ROW(PLE.lastrow)-ROW(PLE.firstrow))),0,
           IF(OFFSET(PLE!$G$15,$M35-$A$15,CG$13)="",10^12,OFFSET(PLE!$G$15,$M35-$A$15,CG$13)))</f>
        <v>1000000000000</v>
      </c>
      <c r="CH35" s="172" cm="1">
        <f t="array" aca="1" ref="CH35" ca="1">IF(OR($D35&lt;&gt;"Serviço",AND(AUTOEVENTO="Manual",$M35=$A$15),$M35&gt;(ROW(PLE.lastrow)-ROW(PLE.firstrow))),0,
           IF(OFFSET(PLE!$G$15,$M35-$A$15,CH$13)="",10^12,OFFSET(PLE!$G$15,$M35-$A$15,CH$13)))</f>
        <v>1000000000000</v>
      </c>
      <c r="CI35" s="172" cm="1">
        <f t="array" aca="1" ref="CI35" ca="1">IF(OR($D35&lt;&gt;"Serviço",AND(AUTOEVENTO="Manual",$M35=$A$15),$M35&gt;(ROW(PLE.lastrow)-ROW(PLE.firstrow))),0,
           IF(OFFSET(PLE!$G$15,$M35-$A$15,CI$13)="",10^12,OFFSET(PLE!$G$15,$M35-$A$15,CI$13)))</f>
        <v>1000000000000</v>
      </c>
      <c r="CJ35" s="172" cm="1">
        <f t="array" aca="1" ref="CJ35" ca="1">IF(OR($D35&lt;&gt;"Serviço",AND(AUTOEVENTO="Manual",$M35=$A$15),$M35&gt;(ROW(PLE.lastrow)-ROW(PLE.firstrow))),0,
           IF(OFFSET(PLE!$G$15,$M35-$A$15,CJ$13)="",10^12,OFFSET(PLE!$G$15,$M35-$A$15,CJ$13)))</f>
        <v>1000000000000</v>
      </c>
      <c r="CK35" s="172" cm="1">
        <f t="array" aca="1" ref="CK35" ca="1">IF(OR($D35&lt;&gt;"Serviço",AND(AUTOEVENTO="Manual",$M35=$A$15),$M35&gt;(ROW(PLE.lastrow)-ROW(PLE.firstrow))),0,
           IF(OFFSET(PLE!$G$15,$M35-$A$15,CK$13)="",10^12,OFFSET(PLE!$G$15,$M35-$A$15,CK$13)))</f>
        <v>1000000000000</v>
      </c>
      <c r="CL35" s="172" cm="1">
        <f t="array" aca="1" ref="CL35" ca="1">IF(OR($D35&lt;&gt;"Serviço",AND(AUTOEVENTO="Manual",$M35=$A$15),$M35&gt;(ROW(PLE.lastrow)-ROW(PLE.firstrow))),0,
           IF(OFFSET(PLE!$G$15,$M35-$A$15,CL$13)="",10^12,OFFSET(PLE!$G$15,$M35-$A$15,CL$13)))</f>
        <v>1000000000000</v>
      </c>
      <c r="CM35" s="172" cm="1">
        <f t="array" aca="1" ref="CM35" ca="1">IF(OR($D35&lt;&gt;"Serviço",AND(AUTOEVENTO="Manual",$M35=$A$15),$M35&gt;(ROW(PLE.lastrow)-ROW(PLE.firstrow))),0,
           IF(OFFSET(PLE!$G$15,$M35-$A$15,CM$13)="",10^12,OFFSET(PLE!$G$15,$M35-$A$15,CM$13)))</f>
        <v>1000000000000</v>
      </c>
    </row>
    <row r="36" spans="1:91" s="670" customFormat="1" ht="89.25" x14ac:dyDescent="0.2">
      <c r="A36" s="668">
        <f t="shared" ca="1" si="10"/>
        <v>11</v>
      </c>
      <c r="B36" s="668" t="str">
        <f ca="1">OFFSET(ORÇAMENTO!C$15,$L36,0)</f>
        <v>S</v>
      </c>
      <c r="C36" s="668" t="str">
        <f ca="1">OFFSET(ORÇAMENTO!L$15,$L36,0)</f>
        <v>F</v>
      </c>
      <c r="D36" s="116" t="str">
        <f ca="1">OFFSET(ORÇAMENTO!N$15,$L36,0)</f>
        <v>Serviço</v>
      </c>
      <c r="E36" s="117" t="str">
        <f ca="1">OFFSET(ORÇAMENTO!O$15,$L36,0)</f>
        <v>1.4.4.</v>
      </c>
      <c r="F36" s="163" t="str">
        <f ca="1">OFFSET(ORÇAMENTO!R$15,$L36,0)</f>
        <v>CORTE E DOBRA DE AÇO CA-25, DIÂMETRO DE 20,0 MM. AF_06/2022</v>
      </c>
      <c r="G36" s="164" t="str">
        <f ca="1">IF($D36&lt;&gt;"Serviço","",OFFSET(ORÇAMENTO!S$15,$L36,0))</f>
        <v>KG</v>
      </c>
      <c r="H36" s="122" cm="1">
        <f t="array" aca="1" ref="H36" ca="1">IF($D36&lt;&gt;"Serviço",0,IF(ACOMPANHAMENTO="BM",ROUND(OFFSET(ORÇAMENTO!AJ$15,$L36,0),15-13*ORÇAMENTO!$AF$7),IF(IFERROR(CÁLCULO.FrentesPreenchidas,0)=0,0,SUM(ROUND(OFFSET($P36,0,1,1,CÁLCULO.FrentesPreenchidas),15-13*ORÇAMENTO!$AF$7)))))</f>
        <v>4400</v>
      </c>
      <c r="I36" s="468" t="s">
        <v>1136</v>
      </c>
      <c r="J36" s="651" t="str" cm="1">
        <f t="array" aca="1" ref="J36" ca="1">IF(OR(B36&lt;&gt;"S",CÁLCULO.FrentesPreenchidas=0),"",IF(AND(ACOMPANHAMENTO="PLE",AUTOEVENTO="Manual",OR(H36&gt;0,ORÇAMENTO!AC36="QUANT."),OR(K36="",M36=0,N36="")),"►E",IF(AND(ACOMPANHAMENTO="PLE",ORÇAMENTO!AC36="QUANT."),"►Q",IF(AND(ACOMPANHAMENTO="PLE",H36&lt;&gt;SUMPRODUCT(($Q$1:$AI$1=1)*ROUND(Q36:AI36,15))),"►S",IF(AND(COUNTIF($P$11:$AI$11,"▼")=0,H36&gt;0,I36=""),"◄M","")))))</f>
        <v/>
      </c>
      <c r="K36" s="652" t="s">
        <v>1340</v>
      </c>
      <c r="L36" s="165">
        <f t="shared" ca="1" si="11"/>
        <v>21</v>
      </c>
      <c r="M36" s="166">
        <f ca="1">IF($D36&lt;&gt;"Serviço","",
          IF(AUTOEVENTO="manual",$A36,
                IF(ISERROR(MATCH($A36,$A$15:OFFSET($A36,-1,0),0)),MAX($M$15:OFFSET(M36,-1,0))+1,
                      INDEX($M$15:OFFSET(M36,-1,0),MATCH($A36,$A$15:OFFSET($A36,-1,0),0)))))</f>
        <v>11</v>
      </c>
      <c r="N36" s="167" t="str">
        <f ca="1">IF($D36&lt;&gt;"Serviço","",
         IF(AUTOEVENTO="Manual",
                IF($A36=0,"&lt;-- defina o número do agrupador",
                       OFFSET(EVENTOS!$D$15,$A36-$A$15,0)),
                OFFSET($F$15,$A36,0)))</f>
        <v>Fundação - Armação</v>
      </c>
      <c r="O36" s="168"/>
      <c r="Q36" s="168"/>
      <c r="R36" s="169"/>
      <c r="S36" s="169">
        <v>4400</v>
      </c>
      <c r="T36" s="169"/>
      <c r="U36" s="169"/>
      <c r="V36" s="169"/>
      <c r="W36" s="169"/>
      <c r="X36" s="169"/>
      <c r="Y36" s="169"/>
      <c r="Z36" s="170"/>
      <c r="AA36" s="705"/>
      <c r="AB36" s="705"/>
      <c r="AC36" s="705"/>
      <c r="AD36" s="705"/>
      <c r="AE36" s="705"/>
      <c r="AF36" s="705"/>
      <c r="AG36" s="705"/>
      <c r="AH36" s="706"/>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L36" s="453">
        <f ca="1">IF(AND($D36="Serviço",AL$12&lt;&gt;0,$H36&gt;0,OR(AUTOEVENTO&lt;&gt;"manual",$M36&lt;&gt;$A$15)),
        IF(Import.TipoArredondamento&lt;&gt;"TransfereGOV",
              ROUND(OFFSET($P36,0,AL$13),15-13*ORÇAMENTO!$AF$7)/$H36*OFFSET(ORÇAMENTO!$X$15,ROW(AL36)-ROW(AL$15),0),
              ROUND(ROUND(OFFSET($P36,0,AL$13),15-13*ORÇAMENTO!$AF$7)*OFFSET(ORÇAMENTO!$W$15,ROW(AL36)-ROW(AL$15),0),15-13*ORÇAMENTO!$AF$11)),
         0)</f>
        <v>46244</v>
      </c>
      <c r="AM36" s="453">
        <f ca="1">IF(AND($D36="Serviço",AM$12&lt;&gt;0,$H36&gt;0,OR(AUTOEVENTO&lt;&gt;"manual",$M36&lt;&gt;$A$15)),
        IF(Import.TipoArredondamento&lt;&gt;"TransfereGOV",
              ROUND(OFFSET($P36,0,AM$13),15-13*ORÇAMENTO!$AF$7)/$H36*OFFSET(ORÇAMENTO!$X$15,ROW(AM36)-ROW(AM$15),0),
              ROUND(ROUND(OFFSET($P36,0,AM$13),15-13*ORÇAMENTO!$AF$7)*OFFSET(ORÇAMENTO!$W$15,ROW(AM36)-ROW(AM$15),0),15-13*ORÇAMENTO!$AF$11)),
         0)</f>
        <v>0</v>
      </c>
      <c r="AN36" s="453">
        <f ca="1">IF(AND($D36="Serviço",AN$12&lt;&gt;0,$H36&gt;0,OR(AUTOEVENTO&lt;&gt;"manual",$M36&lt;&gt;$A$15)),
        IF(Import.TipoArredondamento&lt;&gt;"TransfereGOV",
              ROUND(OFFSET($P36,0,AN$13),15-13*ORÇAMENTO!$AF$7)/$H36*OFFSET(ORÇAMENTO!$X$15,ROW(AN36)-ROW(AN$15),0),
              ROUND(ROUND(OFFSET($P36,0,AN$13),15-13*ORÇAMENTO!$AF$7)*OFFSET(ORÇAMENTO!$W$15,ROW(AN36)-ROW(AN$15),0),15-13*ORÇAMENTO!$AF$11)),
         0)</f>
        <v>0</v>
      </c>
      <c r="AO36" s="453">
        <f ca="1">IF(AND($D36="Serviço",AO$12&lt;&gt;0,$H36&gt;0,OR(AUTOEVENTO&lt;&gt;"manual",$M36&lt;&gt;$A$15)),
        IF(Import.TipoArredondamento&lt;&gt;"TransfereGOV",
              ROUND(OFFSET($P36,0,AO$13),15-13*ORÇAMENTO!$AF$7)/$H36*OFFSET(ORÇAMENTO!$X$15,ROW(AO36)-ROW(AO$15),0),
              ROUND(ROUND(OFFSET($P36,0,AO$13),15-13*ORÇAMENTO!$AF$7)*OFFSET(ORÇAMENTO!$W$15,ROW(AO36)-ROW(AO$15),0),15-13*ORÇAMENTO!$AF$11)),
         0)</f>
        <v>0</v>
      </c>
      <c r="AP36" s="453">
        <f ca="1">IF(AND($D36="Serviço",AP$12&lt;&gt;0,$H36&gt;0,OR(AUTOEVENTO&lt;&gt;"manual",$M36&lt;&gt;$A$15)),
        IF(Import.TipoArredondamento&lt;&gt;"TransfereGOV",
              ROUND(OFFSET($P36,0,AP$13),15-13*ORÇAMENTO!$AF$7)/$H36*OFFSET(ORÇAMENTO!$X$15,ROW(AP36)-ROW(AP$15),0),
              ROUND(ROUND(OFFSET($P36,0,AP$13),15-13*ORÇAMENTO!$AF$7)*OFFSET(ORÇAMENTO!$W$15,ROW(AP36)-ROW(AP$15),0),15-13*ORÇAMENTO!$AF$11)),
         0)</f>
        <v>0</v>
      </c>
      <c r="AQ36" s="453">
        <f ca="1">IF(AND($D36="Serviço",AQ$12&lt;&gt;0,$H36&gt;0,OR(AUTOEVENTO&lt;&gt;"manual",$M36&lt;&gt;$A$15)),
        IF(Import.TipoArredondamento&lt;&gt;"TransfereGOV",
              ROUND(OFFSET($P36,0,AQ$13),15-13*ORÇAMENTO!$AF$7)/$H36*OFFSET(ORÇAMENTO!$X$15,ROW(AQ36)-ROW(AQ$15),0),
              ROUND(ROUND(OFFSET($P36,0,AQ$13),15-13*ORÇAMENTO!$AF$7)*OFFSET(ORÇAMENTO!$W$15,ROW(AQ36)-ROW(AQ$15),0),15-13*ORÇAMENTO!$AF$11)),
         0)</f>
        <v>0</v>
      </c>
      <c r="AR36" s="453">
        <f ca="1">IF(AND($D36="Serviço",AR$12&lt;&gt;0,$H36&gt;0,OR(AUTOEVENTO&lt;&gt;"manual",$M36&lt;&gt;$A$15)),
        IF(Import.TipoArredondamento&lt;&gt;"TransfereGOV",
              ROUND(OFFSET($P36,0,AR$13),15-13*ORÇAMENTO!$AF$7)/$H36*OFFSET(ORÇAMENTO!$X$15,ROW(AR36)-ROW(AR$15),0),
              ROUND(ROUND(OFFSET($P36,0,AR$13),15-13*ORÇAMENTO!$AF$7)*OFFSET(ORÇAMENTO!$W$15,ROW(AR36)-ROW(AR$15),0),15-13*ORÇAMENTO!$AF$11)),
         0)</f>
        <v>0</v>
      </c>
      <c r="AS36" s="453">
        <f ca="1">IF(AND($D36="Serviço",AS$12&lt;&gt;0,$H36&gt;0,OR(AUTOEVENTO&lt;&gt;"manual",$M36&lt;&gt;$A$15)),
        IF(Import.TipoArredondamento&lt;&gt;"TransfereGOV",
              ROUND(OFFSET($P36,0,AS$13),15-13*ORÇAMENTO!$AF$7)/$H36*OFFSET(ORÇAMENTO!$X$15,ROW(AS36)-ROW(AS$15),0),
              ROUND(ROUND(OFFSET($P36,0,AS$13),15-13*ORÇAMENTO!$AF$7)*OFFSET(ORÇAMENTO!$W$15,ROW(AS36)-ROW(AS$15),0),15-13*ORÇAMENTO!$AF$11)),
         0)</f>
        <v>0</v>
      </c>
      <c r="AT36" s="453">
        <f ca="1">IF(AND($D36="Serviço",AT$12&lt;&gt;0,$H36&gt;0,OR(AUTOEVENTO&lt;&gt;"manual",$M36&lt;&gt;$A$15)),
        IF(Import.TipoArredondamento&lt;&gt;"TransfereGOV",
              ROUND(OFFSET($P36,0,AT$13),15-13*ORÇAMENTO!$AF$7)/$H36*OFFSET(ORÇAMENTO!$X$15,ROW(AT36)-ROW(AT$15),0),
              ROUND(ROUND(OFFSET($P36,0,AT$13),15-13*ORÇAMENTO!$AF$7)*OFFSET(ORÇAMENTO!$W$15,ROW(AT36)-ROW(AT$15),0),15-13*ORÇAMENTO!$AF$11)),
         0)</f>
        <v>0</v>
      </c>
      <c r="AU36" s="453">
        <f ca="1">IF(AND($D36="Serviço",AU$12&lt;&gt;0,$H36&gt;0,OR(AUTOEVENTO&lt;&gt;"manual",$M36&lt;&gt;$A$15)),
        IF(Import.TipoArredondamento&lt;&gt;"TransfereGOV",
              ROUND(OFFSET($P36,0,AU$13),15-13*ORÇAMENTO!$AF$7)/$H36*OFFSET(ORÇAMENTO!$X$15,ROW(AU36)-ROW(AU$15),0),
              ROUND(ROUND(OFFSET($P36,0,AU$13),15-13*ORÇAMENTO!$AF$7)*OFFSET(ORÇAMENTO!$W$15,ROW(AU36)-ROW(AU$15),0),15-13*ORÇAMENTO!$AF$11)),
         0)</f>
        <v>0</v>
      </c>
      <c r="AV36" s="453">
        <f ca="1">IF(AND($D36="Serviço",AV$12&lt;&gt;0,$H36&gt;0,OR(AUTOEVENTO&lt;&gt;"manual",$M36&lt;&gt;$A$15)),
        IF(Import.TipoArredondamento&lt;&gt;"TransfereGOV",
              ROUND(OFFSET($P36,0,AV$13),15-13*ORÇAMENTO!$AF$7)/$H36*OFFSET(ORÇAMENTO!$X$15,ROW(AV36)-ROW(AV$15),0),
              ROUND(ROUND(OFFSET($P36,0,AV$13),15-13*ORÇAMENTO!$AF$7)*OFFSET(ORÇAMENTO!$W$15,ROW(AV36)-ROW(AV$15),0),15-13*ORÇAMENTO!$AF$11)),
         0)</f>
        <v>0</v>
      </c>
      <c r="AW36" s="453">
        <f ca="1">IF(AND($D36="Serviço",AW$12&lt;&gt;0,$H36&gt;0,OR(AUTOEVENTO&lt;&gt;"manual",$M36&lt;&gt;$A$15)),
        IF(Import.TipoArredondamento&lt;&gt;"TransfereGOV",
              ROUND(OFFSET($P36,0,AW$13),15-13*ORÇAMENTO!$AF$7)/$H36*OFFSET(ORÇAMENTO!$X$15,ROW(AW36)-ROW(AW$15),0),
              ROUND(ROUND(OFFSET($P36,0,AW$13),15-13*ORÇAMENTO!$AF$7)*OFFSET(ORÇAMENTO!$W$15,ROW(AW36)-ROW(AW$15),0),15-13*ORÇAMENTO!$AF$11)),
         0)</f>
        <v>0</v>
      </c>
      <c r="AX36" s="453">
        <f ca="1">IF(AND($D36="Serviço",AX$12&lt;&gt;0,$H36&gt;0,OR(AUTOEVENTO&lt;&gt;"manual",$M36&lt;&gt;$A$15)),
        IF(Import.TipoArredondamento&lt;&gt;"TransfereGOV",
              ROUND(OFFSET($P36,0,AX$13),15-13*ORÇAMENTO!$AF$7)/$H36*OFFSET(ORÇAMENTO!$X$15,ROW(AX36)-ROW(AX$15),0),
              ROUND(ROUND(OFFSET($P36,0,AX$13),15-13*ORÇAMENTO!$AF$7)*OFFSET(ORÇAMENTO!$W$15,ROW(AX36)-ROW(AX$15),0),15-13*ORÇAMENTO!$AF$11)),
         0)</f>
        <v>0</v>
      </c>
      <c r="AY36" s="453">
        <f ca="1">IF(AND($D36="Serviço",AY$12&lt;&gt;0,$H36&gt;0,OR(AUTOEVENTO&lt;&gt;"manual",$M36&lt;&gt;$A$15)),
        IF(Import.TipoArredondamento&lt;&gt;"TransfereGOV",
              ROUND(OFFSET($P36,0,AY$13),15-13*ORÇAMENTO!$AF$7)/$H36*OFFSET(ORÇAMENTO!$X$15,ROW(AY36)-ROW(AY$15),0),
              ROUND(ROUND(OFFSET($P36,0,AY$13),15-13*ORÇAMENTO!$AF$7)*OFFSET(ORÇAMENTO!$W$15,ROW(AY36)-ROW(AY$15),0),15-13*ORÇAMENTO!$AF$11)),
         0)</f>
        <v>0</v>
      </c>
      <c r="AZ36" s="453">
        <f ca="1">IF(AND($D36="Serviço",AZ$12&lt;&gt;0,$H36&gt;0,OR(AUTOEVENTO&lt;&gt;"manual",$M36&lt;&gt;$A$15)),
        IF(Import.TipoArredondamento&lt;&gt;"TransfereGOV",
              ROUND(OFFSET($P36,0,AZ$13),15-13*ORÇAMENTO!$AF$7)/$H36*OFFSET(ORÇAMENTO!$X$15,ROW(AZ36)-ROW(AZ$15),0),
              ROUND(ROUND(OFFSET($P36,0,AZ$13),15-13*ORÇAMENTO!$AF$7)*OFFSET(ORÇAMENTO!$W$15,ROW(AZ36)-ROW(AZ$15),0),15-13*ORÇAMENTO!$AF$11)),
         0)</f>
        <v>0</v>
      </c>
      <c r="BA36" s="453">
        <f ca="1">IF(AND($D36="Serviço",BA$12&lt;&gt;0,$H36&gt;0,OR(AUTOEVENTO&lt;&gt;"manual",$M36&lt;&gt;$A$15)),
        IF(Import.TipoArredondamento&lt;&gt;"TransfereGOV",
              ROUND(OFFSET($P36,0,BA$13),15-13*ORÇAMENTO!$AF$7)/$H36*OFFSET(ORÇAMENTO!$X$15,ROW(BA36)-ROW(BA$15),0),
              ROUND(ROUND(OFFSET($P36,0,BA$13),15-13*ORÇAMENTO!$AF$7)*OFFSET(ORÇAMENTO!$W$15,ROW(BA36)-ROW(BA$15),0),15-13*ORÇAMENTO!$AF$11)),
         0)</f>
        <v>0</v>
      </c>
      <c r="BC36" s="171">
        <f ca="1">IF(OR($D36&lt;&gt;"Serviço",AND(AUTOEVENTO="Manual",$M36=$A$15)),0,
         IF(OFFSET(CRONOPLE!$F$15,$M36-$A$15,BC$13)=0,10^12,OFFSET(CRONOPLE!$F$15,$M36-$A$15,BC$13)))</f>
        <v>1000000000000</v>
      </c>
      <c r="BD36" s="171">
        <f ca="1">IF(OR($D36&lt;&gt;"Serviço",AND(AUTOEVENTO="Manual",$M36=$A$15)),0,
         IF(OFFSET(CRONOPLE!$F$15,$M36-$A$15,BD$13)=0,10^12,OFFSET(CRONOPLE!$F$15,$M36-$A$15,BD$13)))</f>
        <v>1000000000000</v>
      </c>
      <c r="BE36" s="171">
        <f ca="1">IF(OR($D36&lt;&gt;"Serviço",AND(AUTOEVENTO="Manual",$M36=$A$15)),0,
         IF(OFFSET(CRONOPLE!$F$15,$M36-$A$15,BE$13)=0,10^12,OFFSET(CRONOPLE!$F$15,$M36-$A$15,BE$13)))</f>
        <v>6</v>
      </c>
      <c r="BF36" s="171">
        <f ca="1">IF(OR($D36&lt;&gt;"Serviço",AND(AUTOEVENTO="Manual",$M36=$A$15)),0,
         IF(OFFSET(CRONOPLE!$F$15,$M36-$A$15,BF$13)=0,10^12,OFFSET(CRONOPLE!$F$15,$M36-$A$15,BF$13)))</f>
        <v>10</v>
      </c>
      <c r="BG36" s="171">
        <f ca="1">IF(OR($D36&lt;&gt;"Serviço",AND(AUTOEVENTO="Manual",$M36=$A$15)),0,
         IF(OFFSET(CRONOPLE!$F$15,$M36-$A$15,BG$13)=0,10^12,OFFSET(CRONOPLE!$F$15,$M36-$A$15,BG$13)))</f>
        <v>9</v>
      </c>
      <c r="BH36" s="171">
        <f ca="1">IF(OR($D36&lt;&gt;"Serviço",AND(AUTOEVENTO="Manual",$M36=$A$15)),0,
         IF(OFFSET(CRONOPLE!$F$15,$M36-$A$15,BH$13)=0,10^12,OFFSET(CRONOPLE!$F$15,$M36-$A$15,BH$13)))</f>
        <v>7</v>
      </c>
      <c r="BI36" s="171">
        <f ca="1">IF(OR($D36&lt;&gt;"Serviço",AND(AUTOEVENTO="Manual",$M36=$A$15)),0,
         IF(OFFSET(CRONOPLE!$F$15,$M36-$A$15,BI$13)=0,10^12,OFFSET(CRONOPLE!$F$15,$M36-$A$15,BI$13)))</f>
        <v>10</v>
      </c>
      <c r="BJ36" s="171">
        <f ca="1">IF(OR($D36&lt;&gt;"Serviço",AND(AUTOEVENTO="Manual",$M36=$A$15)),0,
         IF(OFFSET(CRONOPLE!$F$15,$M36-$A$15,BJ$13)=0,10^12,OFFSET(CRONOPLE!$F$15,$M36-$A$15,BJ$13)))</f>
        <v>1000000000000</v>
      </c>
      <c r="BK36" s="171">
        <f ca="1">IF(OR($D36&lt;&gt;"Serviço",AND(AUTOEVENTO="Manual",$M36=$A$15)),0,
         IF(OFFSET(CRONOPLE!$F$15,$M36-$A$15,BK$13)=0,10^12,OFFSET(CRONOPLE!$F$15,$M36-$A$15,BK$13)))</f>
        <v>1000000000000</v>
      </c>
      <c r="BL36" s="171">
        <f ca="1">IF(OR($D36&lt;&gt;"Serviço",AND(AUTOEVENTO="Manual",$M36=$A$15)),0,
         IF(OFFSET(CRONOPLE!$F$15,$M36-$A$15,BL$13)=0,10^12,OFFSET(CRONOPLE!$F$15,$M36-$A$15,BL$13)))</f>
        <v>1000000000000</v>
      </c>
      <c r="BM36" s="171">
        <f ca="1">IF(OR($D36&lt;&gt;"Serviço",AND(AUTOEVENTO="Manual",$M36=$A$15)),0,
         IF(OFFSET(CRONOPLE!$F$15,$M36-$A$15,BM$13)=0,10^12,OFFSET(CRONOPLE!$F$15,$M36-$A$15,BM$13)))</f>
        <v>1000000000000</v>
      </c>
      <c r="BN36" s="171">
        <f ca="1">IF(OR($D36&lt;&gt;"Serviço",AND(AUTOEVENTO="Manual",$M36=$A$15)),0,
         IF(OFFSET(CRONOPLE!$F$15,$M36-$A$15,BN$13)=0,10^12,OFFSET(CRONOPLE!$F$15,$M36-$A$15,BN$13)))</f>
        <v>1000000000000</v>
      </c>
      <c r="BO36" s="171">
        <f ca="1">IF(OR($D36&lt;&gt;"Serviço",AND(AUTOEVENTO="Manual",$M36=$A$15)),0,
         IF(OFFSET(CRONOPLE!$F$15,$M36-$A$15,BO$13)=0,10^12,OFFSET(CRONOPLE!$F$15,$M36-$A$15,BO$13)))</f>
        <v>1000000000000</v>
      </c>
      <c r="BP36" s="171">
        <f ca="1">IF(OR($D36&lt;&gt;"Serviço",AND(AUTOEVENTO="Manual",$M36=$A$15)),0,
         IF(OFFSET(CRONOPLE!$F$15,$M36-$A$15,BP$13)=0,10^12,OFFSET(CRONOPLE!$F$15,$M36-$A$15,BP$13)))</f>
        <v>1000000000000</v>
      </c>
      <c r="BQ36" s="171">
        <f ca="1">IF(OR($D36&lt;&gt;"Serviço",AND(AUTOEVENTO="Manual",$M36=$A$15)),0,
         IF(OFFSET(CRONOPLE!$F$15,$M36-$A$15,BQ$13)=0,10^12,OFFSET(CRONOPLE!$F$15,$M36-$A$15,BQ$13)))</f>
        <v>1000000000000</v>
      </c>
      <c r="BR36" s="171">
        <f ca="1">IF(OR($D36&lt;&gt;"Serviço",AND(AUTOEVENTO="Manual",$M36=$A$15)),0,
         IF(OFFSET(CRONOPLE!$F$15,$M36-$A$15,BR$13)=0,10^12,OFFSET(CRONOPLE!$F$15,$M36-$A$15,BR$13)))</f>
        <v>1000000000000</v>
      </c>
      <c r="BS36" s="171">
        <f ca="1">IF(OR($D36&lt;&gt;"Serviço",AND(AUTOEVENTO="Manual",$M36=$A$15)),0,
         IF(OFFSET(CRONOPLE!$F$15,$M36-$A$15,BS$13)=0,10^12,OFFSET(CRONOPLE!$F$15,$M36-$A$15,BS$13)))</f>
        <v>1000000000000</v>
      </c>
      <c r="BT36" s="171">
        <f ca="1">IF(OR($D36&lt;&gt;"Serviço",AND(AUTOEVENTO="Manual",$M36=$A$15)),0,
         IF(OFFSET(CRONOPLE!$F$15,$M36-$A$15,BT$13)=0,10^12,OFFSET(CRONOPLE!$F$15,$M36-$A$15,BT$13)))</f>
        <v>1000000000000</v>
      </c>
      <c r="BV36" s="172" cm="1">
        <f t="array" aca="1" ref="BV36" ca="1">IF(OR($D36&lt;&gt;"Serviço",AND(AUTOEVENTO="Manual",$M36=$A$15),$M36&gt;(ROW(PLE.lastrow)-ROW(PLE.firstrow))),0,
           IF(OFFSET(PLE!$G$15,$M36-$A$15,BV$13)="",10^12,OFFSET(PLE!$G$15,$M36-$A$15,BV$13)))</f>
        <v>1000000000000</v>
      </c>
      <c r="BW36" s="172" cm="1">
        <f t="array" aca="1" ref="BW36" ca="1">IF(OR($D36&lt;&gt;"Serviço",AND(AUTOEVENTO="Manual",$M36=$A$15),$M36&gt;(ROW(PLE.lastrow)-ROW(PLE.firstrow))),0,
           IF(OFFSET(PLE!$G$15,$M36-$A$15,BW$13)="",10^12,OFFSET(PLE!$G$15,$M36-$A$15,BW$13)))</f>
        <v>1000000000000</v>
      </c>
      <c r="BX36" s="172" cm="1">
        <f t="array" aca="1" ref="BX36" ca="1">IF(OR($D36&lt;&gt;"Serviço",AND(AUTOEVENTO="Manual",$M36=$A$15),$M36&gt;(ROW(PLE.lastrow)-ROW(PLE.firstrow))),0,
           IF(OFFSET(PLE!$G$15,$M36-$A$15,BX$13)="",10^12,OFFSET(PLE!$G$15,$M36-$A$15,BX$13)))</f>
        <v>1000000000000</v>
      </c>
      <c r="BY36" s="172" cm="1">
        <f t="array" aca="1" ref="BY36" ca="1">IF(OR($D36&lt;&gt;"Serviço",AND(AUTOEVENTO="Manual",$M36=$A$15),$M36&gt;(ROW(PLE.lastrow)-ROW(PLE.firstrow))),0,
           IF(OFFSET(PLE!$G$15,$M36-$A$15,BY$13)="",10^12,OFFSET(PLE!$G$15,$M36-$A$15,BY$13)))</f>
        <v>1000000000000</v>
      </c>
      <c r="BZ36" s="172" cm="1">
        <f t="array" aca="1" ref="BZ36" ca="1">IF(OR($D36&lt;&gt;"Serviço",AND(AUTOEVENTO="Manual",$M36=$A$15),$M36&gt;(ROW(PLE.lastrow)-ROW(PLE.firstrow))),0,
           IF(OFFSET(PLE!$G$15,$M36-$A$15,BZ$13)="",10^12,OFFSET(PLE!$G$15,$M36-$A$15,BZ$13)))</f>
        <v>1000000000000</v>
      </c>
      <c r="CA36" s="172" cm="1">
        <f t="array" aca="1" ref="CA36" ca="1">IF(OR($D36&lt;&gt;"Serviço",AND(AUTOEVENTO="Manual",$M36=$A$15),$M36&gt;(ROW(PLE.lastrow)-ROW(PLE.firstrow))),0,
           IF(OFFSET(PLE!$G$15,$M36-$A$15,CA$13)="",10^12,OFFSET(PLE!$G$15,$M36-$A$15,CA$13)))</f>
        <v>1000000000000</v>
      </c>
      <c r="CB36" s="172" cm="1">
        <f t="array" aca="1" ref="CB36" ca="1">IF(OR($D36&lt;&gt;"Serviço",AND(AUTOEVENTO="Manual",$M36=$A$15),$M36&gt;(ROW(PLE.lastrow)-ROW(PLE.firstrow))),0,
           IF(OFFSET(PLE!$G$15,$M36-$A$15,CB$13)="",10^12,OFFSET(PLE!$G$15,$M36-$A$15,CB$13)))</f>
        <v>1000000000000</v>
      </c>
      <c r="CC36" s="172" cm="1">
        <f t="array" aca="1" ref="CC36" ca="1">IF(OR($D36&lt;&gt;"Serviço",AND(AUTOEVENTO="Manual",$M36=$A$15),$M36&gt;(ROW(PLE.lastrow)-ROW(PLE.firstrow))),0,
           IF(OFFSET(PLE!$G$15,$M36-$A$15,CC$13)="",10^12,OFFSET(PLE!$G$15,$M36-$A$15,CC$13)))</f>
        <v>1000000000000</v>
      </c>
      <c r="CD36" s="172" cm="1">
        <f t="array" aca="1" ref="CD36" ca="1">IF(OR($D36&lt;&gt;"Serviço",AND(AUTOEVENTO="Manual",$M36=$A$15),$M36&gt;(ROW(PLE.lastrow)-ROW(PLE.firstrow))),0,
           IF(OFFSET(PLE!$G$15,$M36-$A$15,CD$13)="",10^12,OFFSET(PLE!$G$15,$M36-$A$15,CD$13)))</f>
        <v>1000000000000</v>
      </c>
      <c r="CE36" s="172" cm="1">
        <f t="array" aca="1" ref="CE36" ca="1">IF(OR($D36&lt;&gt;"Serviço",AND(AUTOEVENTO="Manual",$M36=$A$15),$M36&gt;(ROW(PLE.lastrow)-ROW(PLE.firstrow))),0,
           IF(OFFSET(PLE!$G$15,$M36-$A$15,CE$13)="",10^12,OFFSET(PLE!$G$15,$M36-$A$15,CE$13)))</f>
        <v>1000000000000</v>
      </c>
      <c r="CF36" s="172" cm="1">
        <f t="array" aca="1" ref="CF36" ca="1">IF(OR($D36&lt;&gt;"Serviço",AND(AUTOEVENTO="Manual",$M36=$A$15),$M36&gt;(ROW(PLE.lastrow)-ROW(PLE.firstrow))),0,
           IF(OFFSET(PLE!$G$15,$M36-$A$15,CF$13)="",10^12,OFFSET(PLE!$G$15,$M36-$A$15,CF$13)))</f>
        <v>1000000000000</v>
      </c>
      <c r="CG36" s="172" cm="1">
        <f t="array" aca="1" ref="CG36" ca="1">IF(OR($D36&lt;&gt;"Serviço",AND(AUTOEVENTO="Manual",$M36=$A$15),$M36&gt;(ROW(PLE.lastrow)-ROW(PLE.firstrow))),0,
           IF(OFFSET(PLE!$G$15,$M36-$A$15,CG$13)="",10^12,OFFSET(PLE!$G$15,$M36-$A$15,CG$13)))</f>
        <v>1000000000000</v>
      </c>
      <c r="CH36" s="172" cm="1">
        <f t="array" aca="1" ref="CH36" ca="1">IF(OR($D36&lt;&gt;"Serviço",AND(AUTOEVENTO="Manual",$M36=$A$15),$M36&gt;(ROW(PLE.lastrow)-ROW(PLE.firstrow))),0,
           IF(OFFSET(PLE!$G$15,$M36-$A$15,CH$13)="",10^12,OFFSET(PLE!$G$15,$M36-$A$15,CH$13)))</f>
        <v>1000000000000</v>
      </c>
      <c r="CI36" s="172" cm="1">
        <f t="array" aca="1" ref="CI36" ca="1">IF(OR($D36&lt;&gt;"Serviço",AND(AUTOEVENTO="Manual",$M36=$A$15),$M36&gt;(ROW(PLE.lastrow)-ROW(PLE.firstrow))),0,
           IF(OFFSET(PLE!$G$15,$M36-$A$15,CI$13)="",10^12,OFFSET(PLE!$G$15,$M36-$A$15,CI$13)))</f>
        <v>1000000000000</v>
      </c>
      <c r="CJ36" s="172" cm="1">
        <f t="array" aca="1" ref="CJ36" ca="1">IF(OR($D36&lt;&gt;"Serviço",AND(AUTOEVENTO="Manual",$M36=$A$15),$M36&gt;(ROW(PLE.lastrow)-ROW(PLE.firstrow))),0,
           IF(OFFSET(PLE!$G$15,$M36-$A$15,CJ$13)="",10^12,OFFSET(PLE!$G$15,$M36-$A$15,CJ$13)))</f>
        <v>1000000000000</v>
      </c>
      <c r="CK36" s="172" cm="1">
        <f t="array" aca="1" ref="CK36" ca="1">IF(OR($D36&lt;&gt;"Serviço",AND(AUTOEVENTO="Manual",$M36=$A$15),$M36&gt;(ROW(PLE.lastrow)-ROW(PLE.firstrow))),0,
           IF(OFFSET(PLE!$G$15,$M36-$A$15,CK$13)="",10^12,OFFSET(PLE!$G$15,$M36-$A$15,CK$13)))</f>
        <v>1000000000000</v>
      </c>
      <c r="CL36" s="172" cm="1">
        <f t="array" aca="1" ref="CL36" ca="1">IF(OR($D36&lt;&gt;"Serviço",AND(AUTOEVENTO="Manual",$M36=$A$15),$M36&gt;(ROW(PLE.lastrow)-ROW(PLE.firstrow))),0,
           IF(OFFSET(PLE!$G$15,$M36-$A$15,CL$13)="",10^12,OFFSET(PLE!$G$15,$M36-$A$15,CL$13)))</f>
        <v>1000000000000</v>
      </c>
      <c r="CM36" s="172" cm="1">
        <f t="array" aca="1" ref="CM36" ca="1">IF(OR($D36&lt;&gt;"Serviço",AND(AUTOEVENTO="Manual",$M36=$A$15),$M36&gt;(ROW(PLE.lastrow)-ROW(PLE.firstrow))),0,
           IF(OFFSET(PLE!$G$15,$M36-$A$15,CM$13)="",10^12,OFFSET(PLE!$G$15,$M36-$A$15,CM$13)))</f>
        <v>1000000000000</v>
      </c>
    </row>
    <row r="37" spans="1:91" s="680" customFormat="1" ht="25.5" x14ac:dyDescent="0.2">
      <c r="A37" s="681">
        <f ca="1">IFERROR(IF(AUTOEVENTO="Manual",IF(K37&lt;&gt;"",MIN(VALUE(LEFT(K37,FIND(".",K37)-1)),COUNTA(EVENTOS.Lista)),0),IF(OR($B37&gt;AUTOEVENTO,$B37="S",$B37=0),SUBSTITUTE(OFFSET($A37,-1,0),IF($D37="Serviço",".",""),""),$L37&amp;".")),0)</f>
        <v>11</v>
      </c>
      <c r="B37" s="681" t="str">
        <f ca="1">OFFSET(ORÇAMENTO!C$15,$L37,0)</f>
        <v>S</v>
      </c>
      <c r="C37" s="681" t="str">
        <f ca="1">OFFSET(ORÇAMENTO!L$15,$L37,0)</f>
        <v>F</v>
      </c>
      <c r="D37" s="686" t="str">
        <f ca="1">OFFSET(ORÇAMENTO!N$15,$L37,0)</f>
        <v>Serviço</v>
      </c>
      <c r="E37" s="687" t="str">
        <f ca="1">OFFSET(ORÇAMENTO!O$15,$L37,0)</f>
        <v>1.4.5.</v>
      </c>
      <c r="F37" s="699" t="str">
        <f ca="1">OFFSET(ORÇAMENTO!R$15,$L37,0)</f>
        <v>ARMAÇÃO DE BLOCO, SAPATA ISOLADA E SAPATA CORRIDA UTILIZANDO AÇO CA-50 DE 20 MM - MONTAGEM. AF_01/2024</v>
      </c>
      <c r="G37" s="700" t="str">
        <f ca="1">IF($D37&lt;&gt;"Serviço","",OFFSET(ORÇAMENTO!S$15,$L37,0))</f>
        <v>KG</v>
      </c>
      <c r="H37" s="692" cm="1">
        <f t="array" aca="1" ref="H37" ca="1">IF($D37&lt;&gt;"Serviço",0,IF(ACOMPANHAMENTO="BM",ROUND(OFFSET(ORÇAMENTO!AJ$15,$L37,0),15-13*ORÇAMENTO!$AF$7),IF(IFERROR(CÁLCULO.FrentesPreenchidas,0)=0,0,SUM(ROUND(OFFSET($P37,0,1,1,CÁLCULO.FrentesPreenchidas),15-13*ORÇAMENTO!$AF$7)))))</f>
        <v>4400</v>
      </c>
      <c r="I37" s="720" t="s">
        <v>1227</v>
      </c>
      <c r="J37" s="724" t="str" cm="1">
        <f t="array" aca="1" ref="J37" ca="1">IF(OR(B37&lt;&gt;"S",CÁLCULO.FrentesPreenchidas=0),"",IF(AND(ACOMPANHAMENTO="PLE",AUTOEVENTO="Manual",OR(H37&gt;0,ORÇAMENTO!AC37="QUANT."),OR(K37="",M37=0,N37="")),"►E",IF(AND(ACOMPANHAMENTO="PLE",ORÇAMENTO!AC37="QUANT."),"►Q",IF(AND(ACOMPANHAMENTO="PLE",H37&lt;&gt;SUMPRODUCT(($Q$1:$AI$1=1)*ROUND(Q37:AI37,15))),"►S",IF(AND(COUNTIF($P$11:$AI$11,"▼")=0,H37&gt;0,I37=""),"◄M","")))))</f>
        <v/>
      </c>
      <c r="K37" s="652" t="s">
        <v>1340</v>
      </c>
      <c r="L37" s="701">
        <f ca="1">OFFSET(L37,-1,0)+1</f>
        <v>22</v>
      </c>
      <c r="M37" s="702">
        <f ca="1">IF($D37&lt;&gt;"Serviço","",
          IF(AUTOEVENTO="manual",$A37,
                IF(ISERROR(MATCH($A37,$A$15:OFFSET($A37,-1,0),0)),MAX($M$15:OFFSET(M37,-1,0))+1,
                      INDEX($M$15:OFFSET(M37,-1,0),MATCH($A37,$A$15:OFFSET($A37,-1,0),0)))))</f>
        <v>11</v>
      </c>
      <c r="N37" s="703" t="str">
        <f ca="1">IF($D37&lt;&gt;"Serviço","",
         IF(AUTOEVENTO="Manual",
                IF($A37=0,"&lt;-- defina o número do agrupador",
                       OFFSET(EVENTOS!$D$15,$A37-$A$15,0)),
                OFFSET($F$15,$A37,0)))</f>
        <v>Fundação - Armação</v>
      </c>
      <c r="O37" s="704"/>
      <c r="Q37" s="704"/>
      <c r="R37" s="705"/>
      <c r="S37" s="705">
        <v>4400</v>
      </c>
      <c r="T37" s="705"/>
      <c r="U37" s="705"/>
      <c r="V37" s="705"/>
      <c r="W37" s="705"/>
      <c r="X37" s="705"/>
      <c r="Y37" s="705"/>
      <c r="Z37" s="706"/>
      <c r="AA37" s="705"/>
      <c r="AB37" s="705"/>
      <c r="AC37" s="705"/>
      <c r="AD37" s="705"/>
      <c r="AE37" s="705"/>
      <c r="AF37" s="705"/>
      <c r="AG37" s="705"/>
      <c r="AH37" s="706"/>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L37" s="453">
        <f ca="1">IF(AND($D37="Serviço",AL$12&lt;&gt;0,$H37&gt;0,OR(AUTOEVENTO&lt;&gt;"manual",$M37&lt;&gt;$A$15)),
        IF(Import.TipoArredondamento&lt;&gt;"TransfereGOV",
              ROUND(OFFSET($P37,0,AL$13),15-13*ORÇAMENTO!$AF$7)/$H37*OFFSET(ORÇAMENTO!$X$15,ROW(AL37)-ROW(AL$15),0),
              ROUND(ROUND(OFFSET($P37,0,AL$13),15-13*ORÇAMENTO!$AF$7)*OFFSET(ORÇAMENTO!$W$15,ROW(AL37)-ROW(AL$15),0),15-13*ORÇAMENTO!$AF$11)),
         0)</f>
        <v>57816</v>
      </c>
      <c r="AM37" s="453">
        <f ca="1">IF(AND($D37="Serviço",AM$12&lt;&gt;0,$H37&gt;0,OR(AUTOEVENTO&lt;&gt;"manual",$M37&lt;&gt;$A$15)),
        IF(Import.TipoArredondamento&lt;&gt;"TransfereGOV",
              ROUND(OFFSET($P37,0,AM$13),15-13*ORÇAMENTO!$AF$7)/$H37*OFFSET(ORÇAMENTO!$X$15,ROW(AM37)-ROW(AM$15),0),
              ROUND(ROUND(OFFSET($P37,0,AM$13),15-13*ORÇAMENTO!$AF$7)*OFFSET(ORÇAMENTO!$W$15,ROW(AM37)-ROW(AM$15),0),15-13*ORÇAMENTO!$AF$11)),
         0)</f>
        <v>0</v>
      </c>
      <c r="AN37" s="453">
        <f ca="1">IF(AND($D37="Serviço",AN$12&lt;&gt;0,$H37&gt;0,OR(AUTOEVENTO&lt;&gt;"manual",$M37&lt;&gt;$A$15)),
        IF(Import.TipoArredondamento&lt;&gt;"TransfereGOV",
              ROUND(OFFSET($P37,0,AN$13),15-13*ORÇAMENTO!$AF$7)/$H37*OFFSET(ORÇAMENTO!$X$15,ROW(AN37)-ROW(AN$15),0),
              ROUND(ROUND(OFFSET($P37,0,AN$13),15-13*ORÇAMENTO!$AF$7)*OFFSET(ORÇAMENTO!$W$15,ROW(AN37)-ROW(AN$15),0),15-13*ORÇAMENTO!$AF$11)),
         0)</f>
        <v>0</v>
      </c>
      <c r="AO37" s="453">
        <f ca="1">IF(AND($D37="Serviço",AO$12&lt;&gt;0,$H37&gt;0,OR(AUTOEVENTO&lt;&gt;"manual",$M37&lt;&gt;$A$15)),
        IF(Import.TipoArredondamento&lt;&gt;"TransfereGOV",
              ROUND(OFFSET($P37,0,AO$13),15-13*ORÇAMENTO!$AF$7)/$H37*OFFSET(ORÇAMENTO!$X$15,ROW(AO37)-ROW(AO$15),0),
              ROUND(ROUND(OFFSET($P37,0,AO$13),15-13*ORÇAMENTO!$AF$7)*OFFSET(ORÇAMENTO!$W$15,ROW(AO37)-ROW(AO$15),0),15-13*ORÇAMENTO!$AF$11)),
         0)</f>
        <v>0</v>
      </c>
      <c r="AP37" s="453">
        <f ca="1">IF(AND($D37="Serviço",AP$12&lt;&gt;0,$H37&gt;0,OR(AUTOEVENTO&lt;&gt;"manual",$M37&lt;&gt;$A$15)),
        IF(Import.TipoArredondamento&lt;&gt;"TransfereGOV",
              ROUND(OFFSET($P37,0,AP$13),15-13*ORÇAMENTO!$AF$7)/$H37*OFFSET(ORÇAMENTO!$X$15,ROW(AP37)-ROW(AP$15),0),
              ROUND(ROUND(OFFSET($P37,0,AP$13),15-13*ORÇAMENTO!$AF$7)*OFFSET(ORÇAMENTO!$W$15,ROW(AP37)-ROW(AP$15),0),15-13*ORÇAMENTO!$AF$11)),
         0)</f>
        <v>0</v>
      </c>
      <c r="AQ37" s="453">
        <f ca="1">IF(AND($D37="Serviço",AQ$12&lt;&gt;0,$H37&gt;0,OR(AUTOEVENTO&lt;&gt;"manual",$M37&lt;&gt;$A$15)),
        IF(Import.TipoArredondamento&lt;&gt;"TransfereGOV",
              ROUND(OFFSET($P37,0,AQ$13),15-13*ORÇAMENTO!$AF$7)/$H37*OFFSET(ORÇAMENTO!$X$15,ROW(AQ37)-ROW(AQ$15),0),
              ROUND(ROUND(OFFSET($P37,0,AQ$13),15-13*ORÇAMENTO!$AF$7)*OFFSET(ORÇAMENTO!$W$15,ROW(AQ37)-ROW(AQ$15),0),15-13*ORÇAMENTO!$AF$11)),
         0)</f>
        <v>0</v>
      </c>
      <c r="AR37" s="453">
        <f ca="1">IF(AND($D37="Serviço",AR$12&lt;&gt;0,$H37&gt;0,OR(AUTOEVENTO&lt;&gt;"manual",$M37&lt;&gt;$A$15)),
        IF(Import.TipoArredondamento&lt;&gt;"TransfereGOV",
              ROUND(OFFSET($P37,0,AR$13),15-13*ORÇAMENTO!$AF$7)/$H37*OFFSET(ORÇAMENTO!$X$15,ROW(AR37)-ROW(AR$15),0),
              ROUND(ROUND(OFFSET($P37,0,AR$13),15-13*ORÇAMENTO!$AF$7)*OFFSET(ORÇAMENTO!$W$15,ROW(AR37)-ROW(AR$15),0),15-13*ORÇAMENTO!$AF$11)),
         0)</f>
        <v>0</v>
      </c>
      <c r="AS37" s="453">
        <f ca="1">IF(AND($D37="Serviço",AS$12&lt;&gt;0,$H37&gt;0,OR(AUTOEVENTO&lt;&gt;"manual",$M37&lt;&gt;$A$15)),
        IF(Import.TipoArredondamento&lt;&gt;"TransfereGOV",
              ROUND(OFFSET($P37,0,AS$13),15-13*ORÇAMENTO!$AF$7)/$H37*OFFSET(ORÇAMENTO!$X$15,ROW(AS37)-ROW(AS$15),0),
              ROUND(ROUND(OFFSET($P37,0,AS$13),15-13*ORÇAMENTO!$AF$7)*OFFSET(ORÇAMENTO!$W$15,ROW(AS37)-ROW(AS$15),0),15-13*ORÇAMENTO!$AF$11)),
         0)</f>
        <v>0</v>
      </c>
      <c r="AT37" s="453">
        <f ca="1">IF(AND($D37="Serviço",AT$12&lt;&gt;0,$H37&gt;0,OR(AUTOEVENTO&lt;&gt;"manual",$M37&lt;&gt;$A$15)),
        IF(Import.TipoArredondamento&lt;&gt;"TransfereGOV",
              ROUND(OFFSET($P37,0,AT$13),15-13*ORÇAMENTO!$AF$7)/$H37*OFFSET(ORÇAMENTO!$X$15,ROW(AT37)-ROW(AT$15),0),
              ROUND(ROUND(OFFSET($P37,0,AT$13),15-13*ORÇAMENTO!$AF$7)*OFFSET(ORÇAMENTO!$W$15,ROW(AT37)-ROW(AT$15),0),15-13*ORÇAMENTO!$AF$11)),
         0)</f>
        <v>0</v>
      </c>
      <c r="AU37" s="453">
        <f ca="1">IF(AND($D37="Serviço",AU$12&lt;&gt;0,$H37&gt;0,OR(AUTOEVENTO&lt;&gt;"manual",$M37&lt;&gt;$A$15)),
        IF(Import.TipoArredondamento&lt;&gt;"TransfereGOV",
              ROUND(OFFSET($P37,0,AU$13),15-13*ORÇAMENTO!$AF$7)/$H37*OFFSET(ORÇAMENTO!$X$15,ROW(AU37)-ROW(AU$15),0),
              ROUND(ROUND(OFFSET($P37,0,AU$13),15-13*ORÇAMENTO!$AF$7)*OFFSET(ORÇAMENTO!$W$15,ROW(AU37)-ROW(AU$15),0),15-13*ORÇAMENTO!$AF$11)),
         0)</f>
        <v>0</v>
      </c>
      <c r="AV37" s="453">
        <f ca="1">IF(AND($D37="Serviço",AV$12&lt;&gt;0,$H37&gt;0,OR(AUTOEVENTO&lt;&gt;"manual",$M37&lt;&gt;$A$15)),
        IF(Import.TipoArredondamento&lt;&gt;"TransfereGOV",
              ROUND(OFFSET($P37,0,AV$13),15-13*ORÇAMENTO!$AF$7)/$H37*OFFSET(ORÇAMENTO!$X$15,ROW(AV37)-ROW(AV$15),0),
              ROUND(ROUND(OFFSET($P37,0,AV$13),15-13*ORÇAMENTO!$AF$7)*OFFSET(ORÇAMENTO!$W$15,ROW(AV37)-ROW(AV$15),0),15-13*ORÇAMENTO!$AF$11)),
         0)</f>
        <v>0</v>
      </c>
      <c r="AW37" s="453">
        <f ca="1">IF(AND($D37="Serviço",AW$12&lt;&gt;0,$H37&gt;0,OR(AUTOEVENTO&lt;&gt;"manual",$M37&lt;&gt;$A$15)),
        IF(Import.TipoArredondamento&lt;&gt;"TransfereGOV",
              ROUND(OFFSET($P37,0,AW$13),15-13*ORÇAMENTO!$AF$7)/$H37*OFFSET(ORÇAMENTO!$X$15,ROW(AW37)-ROW(AW$15),0),
              ROUND(ROUND(OFFSET($P37,0,AW$13),15-13*ORÇAMENTO!$AF$7)*OFFSET(ORÇAMENTO!$W$15,ROW(AW37)-ROW(AW$15),0),15-13*ORÇAMENTO!$AF$11)),
         0)</f>
        <v>0</v>
      </c>
      <c r="AX37" s="453">
        <f ca="1">IF(AND($D37="Serviço",AX$12&lt;&gt;0,$H37&gt;0,OR(AUTOEVENTO&lt;&gt;"manual",$M37&lt;&gt;$A$15)),
        IF(Import.TipoArredondamento&lt;&gt;"TransfereGOV",
              ROUND(OFFSET($P37,0,AX$13),15-13*ORÇAMENTO!$AF$7)/$H37*OFFSET(ORÇAMENTO!$X$15,ROW(AX37)-ROW(AX$15),0),
              ROUND(ROUND(OFFSET($P37,0,AX$13),15-13*ORÇAMENTO!$AF$7)*OFFSET(ORÇAMENTO!$W$15,ROW(AX37)-ROW(AX$15),0),15-13*ORÇAMENTO!$AF$11)),
         0)</f>
        <v>0</v>
      </c>
      <c r="AY37" s="453">
        <f ca="1">IF(AND($D37="Serviço",AY$12&lt;&gt;0,$H37&gt;0,OR(AUTOEVENTO&lt;&gt;"manual",$M37&lt;&gt;$A$15)),
        IF(Import.TipoArredondamento&lt;&gt;"TransfereGOV",
              ROUND(OFFSET($P37,0,AY$13),15-13*ORÇAMENTO!$AF$7)/$H37*OFFSET(ORÇAMENTO!$X$15,ROW(AY37)-ROW(AY$15),0),
              ROUND(ROUND(OFFSET($P37,0,AY$13),15-13*ORÇAMENTO!$AF$7)*OFFSET(ORÇAMENTO!$W$15,ROW(AY37)-ROW(AY$15),0),15-13*ORÇAMENTO!$AF$11)),
         0)</f>
        <v>0</v>
      </c>
      <c r="AZ37" s="453">
        <f ca="1">IF(AND($D37="Serviço",AZ$12&lt;&gt;0,$H37&gt;0,OR(AUTOEVENTO&lt;&gt;"manual",$M37&lt;&gt;$A$15)),
        IF(Import.TipoArredondamento&lt;&gt;"TransfereGOV",
              ROUND(OFFSET($P37,0,AZ$13),15-13*ORÇAMENTO!$AF$7)/$H37*OFFSET(ORÇAMENTO!$X$15,ROW(AZ37)-ROW(AZ$15),0),
              ROUND(ROUND(OFFSET($P37,0,AZ$13),15-13*ORÇAMENTO!$AF$7)*OFFSET(ORÇAMENTO!$W$15,ROW(AZ37)-ROW(AZ$15),0),15-13*ORÇAMENTO!$AF$11)),
         0)</f>
        <v>0</v>
      </c>
      <c r="BA37" s="453">
        <f ca="1">IF(AND($D37="Serviço",BA$12&lt;&gt;0,$H37&gt;0,OR(AUTOEVENTO&lt;&gt;"manual",$M37&lt;&gt;$A$15)),
        IF(Import.TipoArredondamento&lt;&gt;"TransfereGOV",
              ROUND(OFFSET($P37,0,BA$13),15-13*ORÇAMENTO!$AF$7)/$H37*OFFSET(ORÇAMENTO!$X$15,ROW(BA37)-ROW(BA$15),0),
              ROUND(ROUND(OFFSET($P37,0,BA$13),15-13*ORÇAMENTO!$AF$7)*OFFSET(ORÇAMENTO!$W$15,ROW(BA37)-ROW(BA$15),0),15-13*ORÇAMENTO!$AF$11)),
         0)</f>
        <v>0</v>
      </c>
      <c r="BC37" s="171">
        <f ca="1">IF(OR($D37&lt;&gt;"Serviço",AND(AUTOEVENTO="Manual",$M37=$A$15)),0,
         IF(OFFSET(CRONOPLE!$F$15,$M37-$A$15,BC$13)=0,10^12,OFFSET(CRONOPLE!$F$15,$M37-$A$15,BC$13)))</f>
        <v>1000000000000</v>
      </c>
      <c r="BD37" s="171">
        <f ca="1">IF(OR($D37&lt;&gt;"Serviço",AND(AUTOEVENTO="Manual",$M37=$A$15)),0,
         IF(OFFSET(CRONOPLE!$F$15,$M37-$A$15,BD$13)=0,10^12,OFFSET(CRONOPLE!$F$15,$M37-$A$15,BD$13)))</f>
        <v>1000000000000</v>
      </c>
      <c r="BE37" s="171">
        <f ca="1">IF(OR($D37&lt;&gt;"Serviço",AND(AUTOEVENTO="Manual",$M37=$A$15)),0,
         IF(OFFSET(CRONOPLE!$F$15,$M37-$A$15,BE$13)=0,10^12,OFFSET(CRONOPLE!$F$15,$M37-$A$15,BE$13)))</f>
        <v>6</v>
      </c>
      <c r="BF37" s="171">
        <f ca="1">IF(OR($D37&lt;&gt;"Serviço",AND(AUTOEVENTO="Manual",$M37=$A$15)),0,
         IF(OFFSET(CRONOPLE!$F$15,$M37-$A$15,BF$13)=0,10^12,OFFSET(CRONOPLE!$F$15,$M37-$A$15,BF$13)))</f>
        <v>10</v>
      </c>
      <c r="BG37" s="171">
        <f ca="1">IF(OR($D37&lt;&gt;"Serviço",AND(AUTOEVENTO="Manual",$M37=$A$15)),0,
         IF(OFFSET(CRONOPLE!$F$15,$M37-$A$15,BG$13)=0,10^12,OFFSET(CRONOPLE!$F$15,$M37-$A$15,BG$13)))</f>
        <v>9</v>
      </c>
      <c r="BH37" s="171">
        <f ca="1">IF(OR($D37&lt;&gt;"Serviço",AND(AUTOEVENTO="Manual",$M37=$A$15)),0,
         IF(OFFSET(CRONOPLE!$F$15,$M37-$A$15,BH$13)=0,10^12,OFFSET(CRONOPLE!$F$15,$M37-$A$15,BH$13)))</f>
        <v>7</v>
      </c>
      <c r="BI37" s="171">
        <f ca="1">IF(OR($D37&lt;&gt;"Serviço",AND(AUTOEVENTO="Manual",$M37=$A$15)),0,
         IF(OFFSET(CRONOPLE!$F$15,$M37-$A$15,BI$13)=0,10^12,OFFSET(CRONOPLE!$F$15,$M37-$A$15,BI$13)))</f>
        <v>10</v>
      </c>
      <c r="BJ37" s="171">
        <f ca="1">IF(OR($D37&lt;&gt;"Serviço",AND(AUTOEVENTO="Manual",$M37=$A$15)),0,
         IF(OFFSET(CRONOPLE!$F$15,$M37-$A$15,BJ$13)=0,10^12,OFFSET(CRONOPLE!$F$15,$M37-$A$15,BJ$13)))</f>
        <v>1000000000000</v>
      </c>
      <c r="BK37" s="171">
        <f ca="1">IF(OR($D37&lt;&gt;"Serviço",AND(AUTOEVENTO="Manual",$M37=$A$15)),0,
         IF(OFFSET(CRONOPLE!$F$15,$M37-$A$15,BK$13)=0,10^12,OFFSET(CRONOPLE!$F$15,$M37-$A$15,BK$13)))</f>
        <v>1000000000000</v>
      </c>
      <c r="BL37" s="171">
        <f ca="1">IF(OR($D37&lt;&gt;"Serviço",AND(AUTOEVENTO="Manual",$M37=$A$15)),0,
         IF(OFFSET(CRONOPLE!$F$15,$M37-$A$15,BL$13)=0,10^12,OFFSET(CRONOPLE!$F$15,$M37-$A$15,BL$13)))</f>
        <v>1000000000000</v>
      </c>
      <c r="BM37" s="171">
        <f ca="1">IF(OR($D37&lt;&gt;"Serviço",AND(AUTOEVENTO="Manual",$M37=$A$15)),0,
         IF(OFFSET(CRONOPLE!$F$15,$M37-$A$15,BM$13)=0,10^12,OFFSET(CRONOPLE!$F$15,$M37-$A$15,BM$13)))</f>
        <v>1000000000000</v>
      </c>
      <c r="BN37" s="171">
        <f ca="1">IF(OR($D37&lt;&gt;"Serviço",AND(AUTOEVENTO="Manual",$M37=$A$15)),0,
         IF(OFFSET(CRONOPLE!$F$15,$M37-$A$15,BN$13)=0,10^12,OFFSET(CRONOPLE!$F$15,$M37-$A$15,BN$13)))</f>
        <v>1000000000000</v>
      </c>
      <c r="BO37" s="171">
        <f ca="1">IF(OR($D37&lt;&gt;"Serviço",AND(AUTOEVENTO="Manual",$M37=$A$15)),0,
         IF(OFFSET(CRONOPLE!$F$15,$M37-$A$15,BO$13)=0,10^12,OFFSET(CRONOPLE!$F$15,$M37-$A$15,BO$13)))</f>
        <v>1000000000000</v>
      </c>
      <c r="BP37" s="171">
        <f ca="1">IF(OR($D37&lt;&gt;"Serviço",AND(AUTOEVENTO="Manual",$M37=$A$15)),0,
         IF(OFFSET(CRONOPLE!$F$15,$M37-$A$15,BP$13)=0,10^12,OFFSET(CRONOPLE!$F$15,$M37-$A$15,BP$13)))</f>
        <v>1000000000000</v>
      </c>
      <c r="BQ37" s="171">
        <f ca="1">IF(OR($D37&lt;&gt;"Serviço",AND(AUTOEVENTO="Manual",$M37=$A$15)),0,
         IF(OFFSET(CRONOPLE!$F$15,$M37-$A$15,BQ$13)=0,10^12,OFFSET(CRONOPLE!$F$15,$M37-$A$15,BQ$13)))</f>
        <v>1000000000000</v>
      </c>
      <c r="BR37" s="171">
        <f ca="1">IF(OR($D37&lt;&gt;"Serviço",AND(AUTOEVENTO="Manual",$M37=$A$15)),0,
         IF(OFFSET(CRONOPLE!$F$15,$M37-$A$15,BR$13)=0,10^12,OFFSET(CRONOPLE!$F$15,$M37-$A$15,BR$13)))</f>
        <v>1000000000000</v>
      </c>
      <c r="BS37" s="171">
        <f ca="1">IF(OR($D37&lt;&gt;"Serviço",AND(AUTOEVENTO="Manual",$M37=$A$15)),0,
         IF(OFFSET(CRONOPLE!$F$15,$M37-$A$15,BS$13)=0,10^12,OFFSET(CRONOPLE!$F$15,$M37-$A$15,BS$13)))</f>
        <v>1000000000000</v>
      </c>
      <c r="BT37" s="171">
        <f ca="1">IF(OR($D37&lt;&gt;"Serviço",AND(AUTOEVENTO="Manual",$M37=$A$15)),0,
         IF(OFFSET(CRONOPLE!$F$15,$M37-$A$15,BT$13)=0,10^12,OFFSET(CRONOPLE!$F$15,$M37-$A$15,BT$13)))</f>
        <v>1000000000000</v>
      </c>
      <c r="BV37" s="172" cm="1">
        <f t="array" aca="1" ref="BV37" ca="1">IF(OR($D37&lt;&gt;"Serviço",AND(AUTOEVENTO="Manual",$M37=$A$15),$M37&gt;(ROW(PLE.lastrow)-ROW(PLE.firstrow))),0,
           IF(OFFSET(PLE!$G$15,$M37-$A$15,BV$13)="",10^12,OFFSET(PLE!$G$15,$M37-$A$15,BV$13)))</f>
        <v>1000000000000</v>
      </c>
      <c r="BW37" s="172" cm="1">
        <f t="array" aca="1" ref="BW37" ca="1">IF(OR($D37&lt;&gt;"Serviço",AND(AUTOEVENTO="Manual",$M37=$A$15),$M37&gt;(ROW(PLE.lastrow)-ROW(PLE.firstrow))),0,
           IF(OFFSET(PLE!$G$15,$M37-$A$15,BW$13)="",10^12,OFFSET(PLE!$G$15,$M37-$A$15,BW$13)))</f>
        <v>1000000000000</v>
      </c>
      <c r="BX37" s="172" cm="1">
        <f t="array" aca="1" ref="BX37" ca="1">IF(OR($D37&lt;&gt;"Serviço",AND(AUTOEVENTO="Manual",$M37=$A$15),$M37&gt;(ROW(PLE.lastrow)-ROW(PLE.firstrow))),0,
           IF(OFFSET(PLE!$G$15,$M37-$A$15,BX$13)="",10^12,OFFSET(PLE!$G$15,$M37-$A$15,BX$13)))</f>
        <v>1000000000000</v>
      </c>
      <c r="BY37" s="172" cm="1">
        <f t="array" aca="1" ref="BY37" ca="1">IF(OR($D37&lt;&gt;"Serviço",AND(AUTOEVENTO="Manual",$M37=$A$15),$M37&gt;(ROW(PLE.lastrow)-ROW(PLE.firstrow))),0,
           IF(OFFSET(PLE!$G$15,$M37-$A$15,BY$13)="",10^12,OFFSET(PLE!$G$15,$M37-$A$15,BY$13)))</f>
        <v>1000000000000</v>
      </c>
      <c r="BZ37" s="172" cm="1">
        <f t="array" aca="1" ref="BZ37" ca="1">IF(OR($D37&lt;&gt;"Serviço",AND(AUTOEVENTO="Manual",$M37=$A$15),$M37&gt;(ROW(PLE.lastrow)-ROW(PLE.firstrow))),0,
           IF(OFFSET(PLE!$G$15,$M37-$A$15,BZ$13)="",10^12,OFFSET(PLE!$G$15,$M37-$A$15,BZ$13)))</f>
        <v>1000000000000</v>
      </c>
      <c r="CA37" s="172" cm="1">
        <f t="array" aca="1" ref="CA37" ca="1">IF(OR($D37&lt;&gt;"Serviço",AND(AUTOEVENTO="Manual",$M37=$A$15),$M37&gt;(ROW(PLE.lastrow)-ROW(PLE.firstrow))),0,
           IF(OFFSET(PLE!$G$15,$M37-$A$15,CA$13)="",10^12,OFFSET(PLE!$G$15,$M37-$A$15,CA$13)))</f>
        <v>1000000000000</v>
      </c>
      <c r="CB37" s="172" cm="1">
        <f t="array" aca="1" ref="CB37" ca="1">IF(OR($D37&lt;&gt;"Serviço",AND(AUTOEVENTO="Manual",$M37=$A$15),$M37&gt;(ROW(PLE.lastrow)-ROW(PLE.firstrow))),0,
           IF(OFFSET(PLE!$G$15,$M37-$A$15,CB$13)="",10^12,OFFSET(PLE!$G$15,$M37-$A$15,CB$13)))</f>
        <v>1000000000000</v>
      </c>
      <c r="CC37" s="172" cm="1">
        <f t="array" aca="1" ref="CC37" ca="1">IF(OR($D37&lt;&gt;"Serviço",AND(AUTOEVENTO="Manual",$M37=$A$15),$M37&gt;(ROW(PLE.lastrow)-ROW(PLE.firstrow))),0,
           IF(OFFSET(PLE!$G$15,$M37-$A$15,CC$13)="",10^12,OFFSET(PLE!$G$15,$M37-$A$15,CC$13)))</f>
        <v>1000000000000</v>
      </c>
      <c r="CD37" s="172" cm="1">
        <f t="array" aca="1" ref="CD37" ca="1">IF(OR($D37&lt;&gt;"Serviço",AND(AUTOEVENTO="Manual",$M37=$A$15),$M37&gt;(ROW(PLE.lastrow)-ROW(PLE.firstrow))),0,
           IF(OFFSET(PLE!$G$15,$M37-$A$15,CD$13)="",10^12,OFFSET(PLE!$G$15,$M37-$A$15,CD$13)))</f>
        <v>1000000000000</v>
      </c>
      <c r="CE37" s="172" cm="1">
        <f t="array" aca="1" ref="CE37" ca="1">IF(OR($D37&lt;&gt;"Serviço",AND(AUTOEVENTO="Manual",$M37=$A$15),$M37&gt;(ROW(PLE.lastrow)-ROW(PLE.firstrow))),0,
           IF(OFFSET(PLE!$G$15,$M37-$A$15,CE$13)="",10^12,OFFSET(PLE!$G$15,$M37-$A$15,CE$13)))</f>
        <v>1000000000000</v>
      </c>
      <c r="CF37" s="172" cm="1">
        <f t="array" aca="1" ref="CF37" ca="1">IF(OR($D37&lt;&gt;"Serviço",AND(AUTOEVENTO="Manual",$M37=$A$15),$M37&gt;(ROW(PLE.lastrow)-ROW(PLE.firstrow))),0,
           IF(OFFSET(PLE!$G$15,$M37-$A$15,CF$13)="",10^12,OFFSET(PLE!$G$15,$M37-$A$15,CF$13)))</f>
        <v>1000000000000</v>
      </c>
      <c r="CG37" s="172" cm="1">
        <f t="array" aca="1" ref="CG37" ca="1">IF(OR($D37&lt;&gt;"Serviço",AND(AUTOEVENTO="Manual",$M37=$A$15),$M37&gt;(ROW(PLE.lastrow)-ROW(PLE.firstrow))),0,
           IF(OFFSET(PLE!$G$15,$M37-$A$15,CG$13)="",10^12,OFFSET(PLE!$G$15,$M37-$A$15,CG$13)))</f>
        <v>1000000000000</v>
      </c>
      <c r="CH37" s="172" cm="1">
        <f t="array" aca="1" ref="CH37" ca="1">IF(OR($D37&lt;&gt;"Serviço",AND(AUTOEVENTO="Manual",$M37=$A$15),$M37&gt;(ROW(PLE.lastrow)-ROW(PLE.firstrow))),0,
           IF(OFFSET(PLE!$G$15,$M37-$A$15,CH$13)="",10^12,OFFSET(PLE!$G$15,$M37-$A$15,CH$13)))</f>
        <v>1000000000000</v>
      </c>
      <c r="CI37" s="172" cm="1">
        <f t="array" aca="1" ref="CI37" ca="1">IF(OR($D37&lt;&gt;"Serviço",AND(AUTOEVENTO="Manual",$M37=$A$15),$M37&gt;(ROW(PLE.lastrow)-ROW(PLE.firstrow))),0,
           IF(OFFSET(PLE!$G$15,$M37-$A$15,CI$13)="",10^12,OFFSET(PLE!$G$15,$M37-$A$15,CI$13)))</f>
        <v>1000000000000</v>
      </c>
      <c r="CJ37" s="172" cm="1">
        <f t="array" aca="1" ref="CJ37" ca="1">IF(OR($D37&lt;&gt;"Serviço",AND(AUTOEVENTO="Manual",$M37=$A$15),$M37&gt;(ROW(PLE.lastrow)-ROW(PLE.firstrow))),0,
           IF(OFFSET(PLE!$G$15,$M37-$A$15,CJ$13)="",10^12,OFFSET(PLE!$G$15,$M37-$A$15,CJ$13)))</f>
        <v>1000000000000</v>
      </c>
      <c r="CK37" s="172" cm="1">
        <f t="array" aca="1" ref="CK37" ca="1">IF(OR($D37&lt;&gt;"Serviço",AND(AUTOEVENTO="Manual",$M37=$A$15),$M37&gt;(ROW(PLE.lastrow)-ROW(PLE.firstrow))),0,
           IF(OFFSET(PLE!$G$15,$M37-$A$15,CK$13)="",10^12,OFFSET(PLE!$G$15,$M37-$A$15,CK$13)))</f>
        <v>1000000000000</v>
      </c>
      <c r="CL37" s="172" cm="1">
        <f t="array" aca="1" ref="CL37" ca="1">IF(OR($D37&lt;&gt;"Serviço",AND(AUTOEVENTO="Manual",$M37=$A$15),$M37&gt;(ROW(PLE.lastrow)-ROW(PLE.firstrow))),0,
           IF(OFFSET(PLE!$G$15,$M37-$A$15,CL$13)="",10^12,OFFSET(PLE!$G$15,$M37-$A$15,CL$13)))</f>
        <v>1000000000000</v>
      </c>
      <c r="CM37" s="172" cm="1">
        <f t="array" aca="1" ref="CM37" ca="1">IF(OR($D37&lt;&gt;"Serviço",AND(AUTOEVENTO="Manual",$M37=$A$15),$M37&gt;(ROW(PLE.lastrow)-ROW(PLE.firstrow))),0,
           IF(OFFSET(PLE!$G$15,$M37-$A$15,CM$13)="",10^12,OFFSET(PLE!$G$15,$M37-$A$15,CM$13)))</f>
        <v>1000000000000</v>
      </c>
    </row>
    <row r="38" spans="1:91" s="670" customFormat="1" ht="12.75" x14ac:dyDescent="0.2">
      <c r="A38" s="668">
        <f t="shared" ca="1" si="10"/>
        <v>0</v>
      </c>
      <c r="B38" s="668">
        <f ca="1">OFFSET(ORÇAMENTO!C$15,$L38,0)</f>
        <v>2</v>
      </c>
      <c r="C38" s="668" t="str">
        <f ca="1">OFFSET(ORÇAMENTO!L$15,$L38,0)</f>
        <v>F</v>
      </c>
      <c r="D38" s="116" t="str">
        <f ca="1">OFFSET(ORÇAMENTO!N$15,$L38,0)</f>
        <v>Nível 2</v>
      </c>
      <c r="E38" s="117" t="str">
        <f ca="1">OFFSET(ORÇAMENTO!O$15,$L38,0)</f>
        <v>1.5.</v>
      </c>
      <c r="F38" s="163" t="str">
        <f ca="1">OFFSET(ORÇAMENTO!R$15,$L38,0)</f>
        <v>ESTRUTURAS - Reservatório de 320 m³</v>
      </c>
      <c r="G38" s="164" t="str">
        <f ca="1">IF($D38&lt;&gt;"Serviço","",OFFSET(ORÇAMENTO!S$15,$L38,0))</f>
        <v/>
      </c>
      <c r="H38" s="122" cm="1">
        <f t="array" aca="1" ref="H38" ca="1">IF($D38&lt;&gt;"Serviço",0,IF(ACOMPANHAMENTO="BM",ROUND(OFFSET(ORÇAMENTO!AJ$15,$L38,0),15-13*ORÇAMENTO!$AF$7),IF(IFERROR(CÁLCULO.FrentesPreenchidas,0)=0,0,SUM(ROUND(OFFSET($P38,0,1,1,CÁLCULO.FrentesPreenchidas),15-13*ORÇAMENTO!$AF$7)))))</f>
        <v>0</v>
      </c>
      <c r="I38" s="468"/>
      <c r="J38" s="651" t="str" cm="1">
        <f t="array" aca="1" ref="J38" ca="1">IF(OR(B38&lt;&gt;"S",CÁLCULO.FrentesPreenchidas=0),"",IF(AND(ACOMPANHAMENTO="PLE",AUTOEVENTO="Manual",OR(H38&gt;0,ORÇAMENTO!AC38="QUANT."),OR(K38="",M38=0,N38="")),"►E",IF(AND(ACOMPANHAMENTO="PLE",ORÇAMENTO!AC38="QUANT."),"►Q",IF(AND(ACOMPANHAMENTO="PLE",H38&lt;&gt;SUMPRODUCT(($Q$1:$AI$1=1)*ROUND(Q38:AI38,15))),"►S",IF(AND(COUNTIF($P$11:$AI$11,"▼")=0,H38&gt;0,I38=""),"◄M","")))))</f>
        <v/>
      </c>
      <c r="K38" s="652"/>
      <c r="L38" s="165">
        <f t="shared" ca="1" si="11"/>
        <v>23</v>
      </c>
      <c r="M38" s="166" t="str">
        <f ca="1">IF($D38&lt;&gt;"Serviço","",
          IF(AUTOEVENTO="manual",$A38,
                IF(ISERROR(MATCH($A38,$A$15:OFFSET($A38,-1,0),0)),MAX($M$15:OFFSET(M38,-1,0))+1,
                      INDEX($M$15:OFFSET(M38,-1,0),MATCH($A38,$A$15:OFFSET($A38,-1,0),0)))))</f>
        <v/>
      </c>
      <c r="N38" s="167" t="str">
        <f ca="1">IF($D38&lt;&gt;"Serviço","",
         IF(AUTOEVENTO="Manual",
                IF($A38=0,"&lt;-- defina o número do agrupador",
                       OFFSET(EVENTOS!$D$15,$A38-$A$15,0)),
                OFFSET($F$15,$A38,0)))</f>
        <v/>
      </c>
      <c r="O38" s="168"/>
      <c r="Q38" s="168"/>
      <c r="R38" s="169"/>
      <c r="S38" s="169" t="s">
        <v>250</v>
      </c>
      <c r="T38" s="169"/>
      <c r="U38" s="169"/>
      <c r="V38" s="169"/>
      <c r="W38" s="169"/>
      <c r="X38" s="169"/>
      <c r="Y38" s="169"/>
      <c r="Z38" s="170"/>
      <c r="AA38" s="705"/>
      <c r="AB38" s="705"/>
      <c r="AC38" s="705"/>
      <c r="AD38" s="705"/>
      <c r="AE38" s="705"/>
      <c r="AF38" s="705"/>
      <c r="AG38" s="705"/>
      <c r="AH38" s="706"/>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L38" s="453">
        <f ca="1">IF(AND($D38="Serviço",AL$12&lt;&gt;0,$H38&gt;0,OR(AUTOEVENTO&lt;&gt;"manual",$M38&lt;&gt;$A$15)),
        IF(Import.TipoArredondamento&lt;&gt;"TransfereGOV",
              ROUND(OFFSET($P38,0,AL$13),15-13*ORÇAMENTO!$AF$7)/$H38*OFFSET(ORÇAMENTO!$X$15,ROW(AL38)-ROW(AL$15),0),
              ROUND(ROUND(OFFSET($P38,0,AL$13),15-13*ORÇAMENTO!$AF$7)*OFFSET(ORÇAMENTO!$W$15,ROW(AL38)-ROW(AL$15),0),15-13*ORÇAMENTO!$AF$11)),
         0)</f>
        <v>0</v>
      </c>
      <c r="AM38" s="453">
        <f ca="1">IF(AND($D38="Serviço",AM$12&lt;&gt;0,$H38&gt;0,OR(AUTOEVENTO&lt;&gt;"manual",$M38&lt;&gt;$A$15)),
        IF(Import.TipoArredondamento&lt;&gt;"TransfereGOV",
              ROUND(OFFSET($P38,0,AM$13),15-13*ORÇAMENTO!$AF$7)/$H38*OFFSET(ORÇAMENTO!$X$15,ROW(AM38)-ROW(AM$15),0),
              ROUND(ROUND(OFFSET($P38,0,AM$13),15-13*ORÇAMENTO!$AF$7)*OFFSET(ORÇAMENTO!$W$15,ROW(AM38)-ROW(AM$15),0),15-13*ORÇAMENTO!$AF$11)),
         0)</f>
        <v>0</v>
      </c>
      <c r="AN38" s="453">
        <f ca="1">IF(AND($D38="Serviço",AN$12&lt;&gt;0,$H38&gt;0,OR(AUTOEVENTO&lt;&gt;"manual",$M38&lt;&gt;$A$15)),
        IF(Import.TipoArredondamento&lt;&gt;"TransfereGOV",
              ROUND(OFFSET($P38,0,AN$13),15-13*ORÇAMENTO!$AF$7)/$H38*OFFSET(ORÇAMENTO!$X$15,ROW(AN38)-ROW(AN$15),0),
              ROUND(ROUND(OFFSET($P38,0,AN$13),15-13*ORÇAMENTO!$AF$7)*OFFSET(ORÇAMENTO!$W$15,ROW(AN38)-ROW(AN$15),0),15-13*ORÇAMENTO!$AF$11)),
         0)</f>
        <v>0</v>
      </c>
      <c r="AO38" s="453">
        <f ca="1">IF(AND($D38="Serviço",AO$12&lt;&gt;0,$H38&gt;0,OR(AUTOEVENTO&lt;&gt;"manual",$M38&lt;&gt;$A$15)),
        IF(Import.TipoArredondamento&lt;&gt;"TransfereGOV",
              ROUND(OFFSET($P38,0,AO$13),15-13*ORÇAMENTO!$AF$7)/$H38*OFFSET(ORÇAMENTO!$X$15,ROW(AO38)-ROW(AO$15),0),
              ROUND(ROUND(OFFSET($P38,0,AO$13),15-13*ORÇAMENTO!$AF$7)*OFFSET(ORÇAMENTO!$W$15,ROW(AO38)-ROW(AO$15),0),15-13*ORÇAMENTO!$AF$11)),
         0)</f>
        <v>0</v>
      </c>
      <c r="AP38" s="453">
        <f ca="1">IF(AND($D38="Serviço",AP$12&lt;&gt;0,$H38&gt;0,OR(AUTOEVENTO&lt;&gt;"manual",$M38&lt;&gt;$A$15)),
        IF(Import.TipoArredondamento&lt;&gt;"TransfereGOV",
              ROUND(OFFSET($P38,0,AP$13),15-13*ORÇAMENTO!$AF$7)/$H38*OFFSET(ORÇAMENTO!$X$15,ROW(AP38)-ROW(AP$15),0),
              ROUND(ROUND(OFFSET($P38,0,AP$13),15-13*ORÇAMENTO!$AF$7)*OFFSET(ORÇAMENTO!$W$15,ROW(AP38)-ROW(AP$15),0),15-13*ORÇAMENTO!$AF$11)),
         0)</f>
        <v>0</v>
      </c>
      <c r="AQ38" s="453">
        <f ca="1">IF(AND($D38="Serviço",AQ$12&lt;&gt;0,$H38&gt;0,OR(AUTOEVENTO&lt;&gt;"manual",$M38&lt;&gt;$A$15)),
        IF(Import.TipoArredondamento&lt;&gt;"TransfereGOV",
              ROUND(OFFSET($P38,0,AQ$13),15-13*ORÇAMENTO!$AF$7)/$H38*OFFSET(ORÇAMENTO!$X$15,ROW(AQ38)-ROW(AQ$15),0),
              ROUND(ROUND(OFFSET($P38,0,AQ$13),15-13*ORÇAMENTO!$AF$7)*OFFSET(ORÇAMENTO!$W$15,ROW(AQ38)-ROW(AQ$15),0),15-13*ORÇAMENTO!$AF$11)),
         0)</f>
        <v>0</v>
      </c>
      <c r="AR38" s="453">
        <f ca="1">IF(AND($D38="Serviço",AR$12&lt;&gt;0,$H38&gt;0,OR(AUTOEVENTO&lt;&gt;"manual",$M38&lt;&gt;$A$15)),
        IF(Import.TipoArredondamento&lt;&gt;"TransfereGOV",
              ROUND(OFFSET($P38,0,AR$13),15-13*ORÇAMENTO!$AF$7)/$H38*OFFSET(ORÇAMENTO!$X$15,ROW(AR38)-ROW(AR$15),0),
              ROUND(ROUND(OFFSET($P38,0,AR$13),15-13*ORÇAMENTO!$AF$7)*OFFSET(ORÇAMENTO!$W$15,ROW(AR38)-ROW(AR$15),0),15-13*ORÇAMENTO!$AF$11)),
         0)</f>
        <v>0</v>
      </c>
      <c r="AS38" s="453">
        <f ca="1">IF(AND($D38="Serviço",AS$12&lt;&gt;0,$H38&gt;0,OR(AUTOEVENTO&lt;&gt;"manual",$M38&lt;&gt;$A$15)),
        IF(Import.TipoArredondamento&lt;&gt;"TransfereGOV",
              ROUND(OFFSET($P38,0,AS$13),15-13*ORÇAMENTO!$AF$7)/$H38*OFFSET(ORÇAMENTO!$X$15,ROW(AS38)-ROW(AS$15),0),
              ROUND(ROUND(OFFSET($P38,0,AS$13),15-13*ORÇAMENTO!$AF$7)*OFFSET(ORÇAMENTO!$W$15,ROW(AS38)-ROW(AS$15),0),15-13*ORÇAMENTO!$AF$11)),
         0)</f>
        <v>0</v>
      </c>
      <c r="AT38" s="453">
        <f ca="1">IF(AND($D38="Serviço",AT$12&lt;&gt;0,$H38&gt;0,OR(AUTOEVENTO&lt;&gt;"manual",$M38&lt;&gt;$A$15)),
        IF(Import.TipoArredondamento&lt;&gt;"TransfereGOV",
              ROUND(OFFSET($P38,0,AT$13),15-13*ORÇAMENTO!$AF$7)/$H38*OFFSET(ORÇAMENTO!$X$15,ROW(AT38)-ROW(AT$15),0),
              ROUND(ROUND(OFFSET($P38,0,AT$13),15-13*ORÇAMENTO!$AF$7)*OFFSET(ORÇAMENTO!$W$15,ROW(AT38)-ROW(AT$15),0),15-13*ORÇAMENTO!$AF$11)),
         0)</f>
        <v>0</v>
      </c>
      <c r="AU38" s="453">
        <f ca="1">IF(AND($D38="Serviço",AU$12&lt;&gt;0,$H38&gt;0,OR(AUTOEVENTO&lt;&gt;"manual",$M38&lt;&gt;$A$15)),
        IF(Import.TipoArredondamento&lt;&gt;"TransfereGOV",
              ROUND(OFFSET($P38,0,AU$13),15-13*ORÇAMENTO!$AF$7)/$H38*OFFSET(ORÇAMENTO!$X$15,ROW(AU38)-ROW(AU$15),0),
              ROUND(ROUND(OFFSET($P38,0,AU$13),15-13*ORÇAMENTO!$AF$7)*OFFSET(ORÇAMENTO!$W$15,ROW(AU38)-ROW(AU$15),0),15-13*ORÇAMENTO!$AF$11)),
         0)</f>
        <v>0</v>
      </c>
      <c r="AV38" s="453">
        <f ca="1">IF(AND($D38="Serviço",AV$12&lt;&gt;0,$H38&gt;0,OR(AUTOEVENTO&lt;&gt;"manual",$M38&lt;&gt;$A$15)),
        IF(Import.TipoArredondamento&lt;&gt;"TransfereGOV",
              ROUND(OFFSET($P38,0,AV$13),15-13*ORÇAMENTO!$AF$7)/$H38*OFFSET(ORÇAMENTO!$X$15,ROW(AV38)-ROW(AV$15),0),
              ROUND(ROUND(OFFSET($P38,0,AV$13),15-13*ORÇAMENTO!$AF$7)*OFFSET(ORÇAMENTO!$W$15,ROW(AV38)-ROW(AV$15),0),15-13*ORÇAMENTO!$AF$11)),
         0)</f>
        <v>0</v>
      </c>
      <c r="AW38" s="453">
        <f ca="1">IF(AND($D38="Serviço",AW$12&lt;&gt;0,$H38&gt;0,OR(AUTOEVENTO&lt;&gt;"manual",$M38&lt;&gt;$A$15)),
        IF(Import.TipoArredondamento&lt;&gt;"TransfereGOV",
              ROUND(OFFSET($P38,0,AW$13),15-13*ORÇAMENTO!$AF$7)/$H38*OFFSET(ORÇAMENTO!$X$15,ROW(AW38)-ROW(AW$15),0),
              ROUND(ROUND(OFFSET($P38,0,AW$13),15-13*ORÇAMENTO!$AF$7)*OFFSET(ORÇAMENTO!$W$15,ROW(AW38)-ROW(AW$15),0),15-13*ORÇAMENTO!$AF$11)),
         0)</f>
        <v>0</v>
      </c>
      <c r="AX38" s="453">
        <f ca="1">IF(AND($D38="Serviço",AX$12&lt;&gt;0,$H38&gt;0,OR(AUTOEVENTO&lt;&gt;"manual",$M38&lt;&gt;$A$15)),
        IF(Import.TipoArredondamento&lt;&gt;"TransfereGOV",
              ROUND(OFFSET($P38,0,AX$13),15-13*ORÇAMENTO!$AF$7)/$H38*OFFSET(ORÇAMENTO!$X$15,ROW(AX38)-ROW(AX$15),0),
              ROUND(ROUND(OFFSET($P38,0,AX$13),15-13*ORÇAMENTO!$AF$7)*OFFSET(ORÇAMENTO!$W$15,ROW(AX38)-ROW(AX$15),0),15-13*ORÇAMENTO!$AF$11)),
         0)</f>
        <v>0</v>
      </c>
      <c r="AY38" s="453">
        <f ca="1">IF(AND($D38="Serviço",AY$12&lt;&gt;0,$H38&gt;0,OR(AUTOEVENTO&lt;&gt;"manual",$M38&lt;&gt;$A$15)),
        IF(Import.TipoArredondamento&lt;&gt;"TransfereGOV",
              ROUND(OFFSET($P38,0,AY$13),15-13*ORÇAMENTO!$AF$7)/$H38*OFFSET(ORÇAMENTO!$X$15,ROW(AY38)-ROW(AY$15),0),
              ROUND(ROUND(OFFSET($P38,0,AY$13),15-13*ORÇAMENTO!$AF$7)*OFFSET(ORÇAMENTO!$W$15,ROW(AY38)-ROW(AY$15),0),15-13*ORÇAMENTO!$AF$11)),
         0)</f>
        <v>0</v>
      </c>
      <c r="AZ38" s="453">
        <f ca="1">IF(AND($D38="Serviço",AZ$12&lt;&gt;0,$H38&gt;0,OR(AUTOEVENTO&lt;&gt;"manual",$M38&lt;&gt;$A$15)),
        IF(Import.TipoArredondamento&lt;&gt;"TransfereGOV",
              ROUND(OFFSET($P38,0,AZ$13),15-13*ORÇAMENTO!$AF$7)/$H38*OFFSET(ORÇAMENTO!$X$15,ROW(AZ38)-ROW(AZ$15),0),
              ROUND(ROUND(OFFSET($P38,0,AZ$13),15-13*ORÇAMENTO!$AF$7)*OFFSET(ORÇAMENTO!$W$15,ROW(AZ38)-ROW(AZ$15),0),15-13*ORÇAMENTO!$AF$11)),
         0)</f>
        <v>0</v>
      </c>
      <c r="BA38" s="453">
        <f ca="1">IF(AND($D38="Serviço",BA$12&lt;&gt;0,$H38&gt;0,OR(AUTOEVENTO&lt;&gt;"manual",$M38&lt;&gt;$A$15)),
        IF(Import.TipoArredondamento&lt;&gt;"TransfereGOV",
              ROUND(OFFSET($P38,0,BA$13),15-13*ORÇAMENTO!$AF$7)/$H38*OFFSET(ORÇAMENTO!$X$15,ROW(BA38)-ROW(BA$15),0),
              ROUND(ROUND(OFFSET($P38,0,BA$13),15-13*ORÇAMENTO!$AF$7)*OFFSET(ORÇAMENTO!$W$15,ROW(BA38)-ROW(BA$15),0),15-13*ORÇAMENTO!$AF$11)),
         0)</f>
        <v>0</v>
      </c>
      <c r="BC38" s="171">
        <f ca="1">IF(OR($D38&lt;&gt;"Serviço",AND(AUTOEVENTO="Manual",$M38=$A$15)),0,
         IF(OFFSET(CRONOPLE!$F$15,$M38-$A$15,BC$13)=0,10^12,OFFSET(CRONOPLE!$F$15,$M38-$A$15,BC$13)))</f>
        <v>0</v>
      </c>
      <c r="BD38" s="171">
        <f ca="1">IF(OR($D38&lt;&gt;"Serviço",AND(AUTOEVENTO="Manual",$M38=$A$15)),0,
         IF(OFFSET(CRONOPLE!$F$15,$M38-$A$15,BD$13)=0,10^12,OFFSET(CRONOPLE!$F$15,$M38-$A$15,BD$13)))</f>
        <v>0</v>
      </c>
      <c r="BE38" s="171">
        <f ca="1">IF(OR($D38&lt;&gt;"Serviço",AND(AUTOEVENTO="Manual",$M38=$A$15)),0,
         IF(OFFSET(CRONOPLE!$F$15,$M38-$A$15,BE$13)=0,10^12,OFFSET(CRONOPLE!$F$15,$M38-$A$15,BE$13)))</f>
        <v>0</v>
      </c>
      <c r="BF38" s="171">
        <f ca="1">IF(OR($D38&lt;&gt;"Serviço",AND(AUTOEVENTO="Manual",$M38=$A$15)),0,
         IF(OFFSET(CRONOPLE!$F$15,$M38-$A$15,BF$13)=0,10^12,OFFSET(CRONOPLE!$F$15,$M38-$A$15,BF$13)))</f>
        <v>0</v>
      </c>
      <c r="BG38" s="171">
        <f ca="1">IF(OR($D38&lt;&gt;"Serviço",AND(AUTOEVENTO="Manual",$M38=$A$15)),0,
         IF(OFFSET(CRONOPLE!$F$15,$M38-$A$15,BG$13)=0,10^12,OFFSET(CRONOPLE!$F$15,$M38-$A$15,BG$13)))</f>
        <v>0</v>
      </c>
      <c r="BH38" s="171">
        <f ca="1">IF(OR($D38&lt;&gt;"Serviço",AND(AUTOEVENTO="Manual",$M38=$A$15)),0,
         IF(OFFSET(CRONOPLE!$F$15,$M38-$A$15,BH$13)=0,10^12,OFFSET(CRONOPLE!$F$15,$M38-$A$15,BH$13)))</f>
        <v>0</v>
      </c>
      <c r="BI38" s="171">
        <f ca="1">IF(OR($D38&lt;&gt;"Serviço",AND(AUTOEVENTO="Manual",$M38=$A$15)),0,
         IF(OFFSET(CRONOPLE!$F$15,$M38-$A$15,BI$13)=0,10^12,OFFSET(CRONOPLE!$F$15,$M38-$A$15,BI$13)))</f>
        <v>0</v>
      </c>
      <c r="BJ38" s="171">
        <f ca="1">IF(OR($D38&lt;&gt;"Serviço",AND(AUTOEVENTO="Manual",$M38=$A$15)),0,
         IF(OFFSET(CRONOPLE!$F$15,$M38-$A$15,BJ$13)=0,10^12,OFFSET(CRONOPLE!$F$15,$M38-$A$15,BJ$13)))</f>
        <v>0</v>
      </c>
      <c r="BK38" s="171">
        <f ca="1">IF(OR($D38&lt;&gt;"Serviço",AND(AUTOEVENTO="Manual",$M38=$A$15)),0,
         IF(OFFSET(CRONOPLE!$F$15,$M38-$A$15,BK$13)=0,10^12,OFFSET(CRONOPLE!$F$15,$M38-$A$15,BK$13)))</f>
        <v>0</v>
      </c>
      <c r="BL38" s="171">
        <f ca="1">IF(OR($D38&lt;&gt;"Serviço",AND(AUTOEVENTO="Manual",$M38=$A$15)),0,
         IF(OFFSET(CRONOPLE!$F$15,$M38-$A$15,BL$13)=0,10^12,OFFSET(CRONOPLE!$F$15,$M38-$A$15,BL$13)))</f>
        <v>0</v>
      </c>
      <c r="BM38" s="171">
        <f ca="1">IF(OR($D38&lt;&gt;"Serviço",AND(AUTOEVENTO="Manual",$M38=$A$15)),0,
         IF(OFFSET(CRONOPLE!$F$15,$M38-$A$15,BM$13)=0,10^12,OFFSET(CRONOPLE!$F$15,$M38-$A$15,BM$13)))</f>
        <v>0</v>
      </c>
      <c r="BN38" s="171">
        <f ca="1">IF(OR($D38&lt;&gt;"Serviço",AND(AUTOEVENTO="Manual",$M38=$A$15)),0,
         IF(OFFSET(CRONOPLE!$F$15,$M38-$A$15,BN$13)=0,10^12,OFFSET(CRONOPLE!$F$15,$M38-$A$15,BN$13)))</f>
        <v>0</v>
      </c>
      <c r="BO38" s="171">
        <f ca="1">IF(OR($D38&lt;&gt;"Serviço",AND(AUTOEVENTO="Manual",$M38=$A$15)),0,
         IF(OFFSET(CRONOPLE!$F$15,$M38-$A$15,BO$13)=0,10^12,OFFSET(CRONOPLE!$F$15,$M38-$A$15,BO$13)))</f>
        <v>0</v>
      </c>
      <c r="BP38" s="171">
        <f ca="1">IF(OR($D38&lt;&gt;"Serviço",AND(AUTOEVENTO="Manual",$M38=$A$15)),0,
         IF(OFFSET(CRONOPLE!$F$15,$M38-$A$15,BP$13)=0,10^12,OFFSET(CRONOPLE!$F$15,$M38-$A$15,BP$13)))</f>
        <v>0</v>
      </c>
      <c r="BQ38" s="171">
        <f ca="1">IF(OR($D38&lt;&gt;"Serviço",AND(AUTOEVENTO="Manual",$M38=$A$15)),0,
         IF(OFFSET(CRONOPLE!$F$15,$M38-$A$15,BQ$13)=0,10^12,OFFSET(CRONOPLE!$F$15,$M38-$A$15,BQ$13)))</f>
        <v>0</v>
      </c>
      <c r="BR38" s="171">
        <f ca="1">IF(OR($D38&lt;&gt;"Serviço",AND(AUTOEVENTO="Manual",$M38=$A$15)),0,
         IF(OFFSET(CRONOPLE!$F$15,$M38-$A$15,BR$13)=0,10^12,OFFSET(CRONOPLE!$F$15,$M38-$A$15,BR$13)))</f>
        <v>0</v>
      </c>
      <c r="BS38" s="171">
        <f ca="1">IF(OR($D38&lt;&gt;"Serviço",AND(AUTOEVENTO="Manual",$M38=$A$15)),0,
         IF(OFFSET(CRONOPLE!$F$15,$M38-$A$15,BS$13)=0,10^12,OFFSET(CRONOPLE!$F$15,$M38-$A$15,BS$13)))</f>
        <v>0</v>
      </c>
      <c r="BT38" s="171">
        <f ca="1">IF(OR($D38&lt;&gt;"Serviço",AND(AUTOEVENTO="Manual",$M38=$A$15)),0,
         IF(OFFSET(CRONOPLE!$F$15,$M38-$A$15,BT$13)=0,10^12,OFFSET(CRONOPLE!$F$15,$M38-$A$15,BT$13)))</f>
        <v>0</v>
      </c>
      <c r="BV38" s="172" cm="1">
        <f t="array" aca="1" ref="BV38" ca="1">IF(OR($D38&lt;&gt;"Serviço",AND(AUTOEVENTO="Manual",$M38=$A$15),$M38&gt;(ROW(PLE.lastrow)-ROW(PLE.firstrow))),0,
           IF(OFFSET(PLE!$G$15,$M38-$A$15,BV$13)="",10^12,OFFSET(PLE!$G$15,$M38-$A$15,BV$13)))</f>
        <v>0</v>
      </c>
      <c r="BW38" s="172" cm="1">
        <f t="array" aca="1" ref="BW38" ca="1">IF(OR($D38&lt;&gt;"Serviço",AND(AUTOEVENTO="Manual",$M38=$A$15),$M38&gt;(ROW(PLE.lastrow)-ROW(PLE.firstrow))),0,
           IF(OFFSET(PLE!$G$15,$M38-$A$15,BW$13)="",10^12,OFFSET(PLE!$G$15,$M38-$A$15,BW$13)))</f>
        <v>0</v>
      </c>
      <c r="BX38" s="172" cm="1">
        <f t="array" aca="1" ref="BX38" ca="1">IF(OR($D38&lt;&gt;"Serviço",AND(AUTOEVENTO="Manual",$M38=$A$15),$M38&gt;(ROW(PLE.lastrow)-ROW(PLE.firstrow))),0,
           IF(OFFSET(PLE!$G$15,$M38-$A$15,BX$13)="",10^12,OFFSET(PLE!$G$15,$M38-$A$15,BX$13)))</f>
        <v>0</v>
      </c>
      <c r="BY38" s="172" cm="1">
        <f t="array" aca="1" ref="BY38" ca="1">IF(OR($D38&lt;&gt;"Serviço",AND(AUTOEVENTO="Manual",$M38=$A$15),$M38&gt;(ROW(PLE.lastrow)-ROW(PLE.firstrow))),0,
           IF(OFFSET(PLE!$G$15,$M38-$A$15,BY$13)="",10^12,OFFSET(PLE!$G$15,$M38-$A$15,BY$13)))</f>
        <v>0</v>
      </c>
      <c r="BZ38" s="172" cm="1">
        <f t="array" aca="1" ref="BZ38" ca="1">IF(OR($D38&lt;&gt;"Serviço",AND(AUTOEVENTO="Manual",$M38=$A$15),$M38&gt;(ROW(PLE.lastrow)-ROW(PLE.firstrow))),0,
           IF(OFFSET(PLE!$G$15,$M38-$A$15,BZ$13)="",10^12,OFFSET(PLE!$G$15,$M38-$A$15,BZ$13)))</f>
        <v>0</v>
      </c>
      <c r="CA38" s="172" cm="1">
        <f t="array" aca="1" ref="CA38" ca="1">IF(OR($D38&lt;&gt;"Serviço",AND(AUTOEVENTO="Manual",$M38=$A$15),$M38&gt;(ROW(PLE.lastrow)-ROW(PLE.firstrow))),0,
           IF(OFFSET(PLE!$G$15,$M38-$A$15,CA$13)="",10^12,OFFSET(PLE!$G$15,$M38-$A$15,CA$13)))</f>
        <v>0</v>
      </c>
      <c r="CB38" s="172" cm="1">
        <f t="array" aca="1" ref="CB38" ca="1">IF(OR($D38&lt;&gt;"Serviço",AND(AUTOEVENTO="Manual",$M38=$A$15),$M38&gt;(ROW(PLE.lastrow)-ROW(PLE.firstrow))),0,
           IF(OFFSET(PLE!$G$15,$M38-$A$15,CB$13)="",10^12,OFFSET(PLE!$G$15,$M38-$A$15,CB$13)))</f>
        <v>0</v>
      </c>
      <c r="CC38" s="172" cm="1">
        <f t="array" aca="1" ref="CC38" ca="1">IF(OR($D38&lt;&gt;"Serviço",AND(AUTOEVENTO="Manual",$M38=$A$15),$M38&gt;(ROW(PLE.lastrow)-ROW(PLE.firstrow))),0,
           IF(OFFSET(PLE!$G$15,$M38-$A$15,CC$13)="",10^12,OFFSET(PLE!$G$15,$M38-$A$15,CC$13)))</f>
        <v>0</v>
      </c>
      <c r="CD38" s="172" cm="1">
        <f t="array" aca="1" ref="CD38" ca="1">IF(OR($D38&lt;&gt;"Serviço",AND(AUTOEVENTO="Manual",$M38=$A$15),$M38&gt;(ROW(PLE.lastrow)-ROW(PLE.firstrow))),0,
           IF(OFFSET(PLE!$G$15,$M38-$A$15,CD$13)="",10^12,OFFSET(PLE!$G$15,$M38-$A$15,CD$13)))</f>
        <v>0</v>
      </c>
      <c r="CE38" s="172" cm="1">
        <f t="array" aca="1" ref="CE38" ca="1">IF(OR($D38&lt;&gt;"Serviço",AND(AUTOEVENTO="Manual",$M38=$A$15),$M38&gt;(ROW(PLE.lastrow)-ROW(PLE.firstrow))),0,
           IF(OFFSET(PLE!$G$15,$M38-$A$15,CE$13)="",10^12,OFFSET(PLE!$G$15,$M38-$A$15,CE$13)))</f>
        <v>0</v>
      </c>
      <c r="CF38" s="172" cm="1">
        <f t="array" aca="1" ref="CF38" ca="1">IF(OR($D38&lt;&gt;"Serviço",AND(AUTOEVENTO="Manual",$M38=$A$15),$M38&gt;(ROW(PLE.lastrow)-ROW(PLE.firstrow))),0,
           IF(OFFSET(PLE!$G$15,$M38-$A$15,CF$13)="",10^12,OFFSET(PLE!$G$15,$M38-$A$15,CF$13)))</f>
        <v>0</v>
      </c>
      <c r="CG38" s="172" cm="1">
        <f t="array" aca="1" ref="CG38" ca="1">IF(OR($D38&lt;&gt;"Serviço",AND(AUTOEVENTO="Manual",$M38=$A$15),$M38&gt;(ROW(PLE.lastrow)-ROW(PLE.firstrow))),0,
           IF(OFFSET(PLE!$G$15,$M38-$A$15,CG$13)="",10^12,OFFSET(PLE!$G$15,$M38-$A$15,CG$13)))</f>
        <v>0</v>
      </c>
      <c r="CH38" s="172" cm="1">
        <f t="array" aca="1" ref="CH38" ca="1">IF(OR($D38&lt;&gt;"Serviço",AND(AUTOEVENTO="Manual",$M38=$A$15),$M38&gt;(ROW(PLE.lastrow)-ROW(PLE.firstrow))),0,
           IF(OFFSET(PLE!$G$15,$M38-$A$15,CH$13)="",10^12,OFFSET(PLE!$G$15,$M38-$A$15,CH$13)))</f>
        <v>0</v>
      </c>
      <c r="CI38" s="172" cm="1">
        <f t="array" aca="1" ref="CI38" ca="1">IF(OR($D38&lt;&gt;"Serviço",AND(AUTOEVENTO="Manual",$M38=$A$15),$M38&gt;(ROW(PLE.lastrow)-ROW(PLE.firstrow))),0,
           IF(OFFSET(PLE!$G$15,$M38-$A$15,CI$13)="",10^12,OFFSET(PLE!$G$15,$M38-$A$15,CI$13)))</f>
        <v>0</v>
      </c>
      <c r="CJ38" s="172" cm="1">
        <f t="array" aca="1" ref="CJ38" ca="1">IF(OR($D38&lt;&gt;"Serviço",AND(AUTOEVENTO="Manual",$M38=$A$15),$M38&gt;(ROW(PLE.lastrow)-ROW(PLE.firstrow))),0,
           IF(OFFSET(PLE!$G$15,$M38-$A$15,CJ$13)="",10^12,OFFSET(PLE!$G$15,$M38-$A$15,CJ$13)))</f>
        <v>0</v>
      </c>
      <c r="CK38" s="172" cm="1">
        <f t="array" aca="1" ref="CK38" ca="1">IF(OR($D38&lt;&gt;"Serviço",AND(AUTOEVENTO="Manual",$M38=$A$15),$M38&gt;(ROW(PLE.lastrow)-ROW(PLE.firstrow))),0,
           IF(OFFSET(PLE!$G$15,$M38-$A$15,CK$13)="",10^12,OFFSET(PLE!$G$15,$M38-$A$15,CK$13)))</f>
        <v>0</v>
      </c>
      <c r="CL38" s="172" cm="1">
        <f t="array" aca="1" ref="CL38" ca="1">IF(OR($D38&lt;&gt;"Serviço",AND(AUTOEVENTO="Manual",$M38=$A$15),$M38&gt;(ROW(PLE.lastrow)-ROW(PLE.firstrow))),0,
           IF(OFFSET(PLE!$G$15,$M38-$A$15,CL$13)="",10^12,OFFSET(PLE!$G$15,$M38-$A$15,CL$13)))</f>
        <v>0</v>
      </c>
      <c r="CM38" s="172" cm="1">
        <f t="array" aca="1" ref="CM38" ca="1">IF(OR($D38&lt;&gt;"Serviço",AND(AUTOEVENTO="Manual",$M38=$A$15),$M38&gt;(ROW(PLE.lastrow)-ROW(PLE.firstrow))),0,
           IF(OFFSET(PLE!$G$15,$M38-$A$15,CM$13)="",10^12,OFFSET(PLE!$G$15,$M38-$A$15,CM$13)))</f>
        <v>0</v>
      </c>
    </row>
    <row r="39" spans="1:91" s="670" customFormat="1" ht="102" x14ac:dyDescent="0.2">
      <c r="A39" s="668">
        <f t="shared" ca="1" si="10"/>
        <v>16</v>
      </c>
      <c r="B39" s="668" t="str">
        <f ca="1">OFFSET(ORÇAMENTO!C$15,$L39,0)</f>
        <v>S</v>
      </c>
      <c r="C39" s="668" t="str">
        <f ca="1">OFFSET(ORÇAMENTO!L$15,$L39,0)</f>
        <v>F</v>
      </c>
      <c r="D39" s="116" t="str">
        <f ca="1">OFFSET(ORÇAMENTO!N$15,$L39,0)</f>
        <v>Serviço</v>
      </c>
      <c r="E39" s="117" t="str">
        <f ca="1">OFFSET(ORÇAMENTO!O$15,$L39,0)</f>
        <v>1.5.1.</v>
      </c>
      <c r="F39" s="163" t="str">
        <f ca="1">OFFSET(ORÇAMENTO!R$15,$L39,0)</f>
        <v>CONCRETO FCK = 40MPA, TRAÇO 1:1,6:1,9 (EM MASSA SECA DE CIMENTO/ AREIA MÉDIA/ BRITA 1) - PREPARO MECÂNICO COM BETONEIRA 400 L. AF_05/2021</v>
      </c>
      <c r="G39" s="164" t="str">
        <f ca="1">IF($D39&lt;&gt;"Serviço","",OFFSET(ORÇAMENTO!S$15,$L39,0))</f>
        <v>M3</v>
      </c>
      <c r="H39" s="122" cm="1">
        <f t="array" aca="1" ref="H39" ca="1">IF($D39&lt;&gt;"Serviço",0,IF(ACOMPANHAMENTO="BM",ROUND(OFFSET(ORÇAMENTO!AJ$15,$L39,0),15-13*ORÇAMENTO!$AF$7),IF(IFERROR(CÁLCULO.FrentesPreenchidas,0)=0,0,SUM(ROUND(OFFSET($P39,0,1,1,CÁLCULO.FrentesPreenchidas),15-13*ORÇAMENTO!$AF$7)))))</f>
        <v>17.5</v>
      </c>
      <c r="I39" s="679" t="s">
        <v>1138</v>
      </c>
      <c r="J39" s="651" t="str" cm="1">
        <f t="array" aca="1" ref="J39" ca="1">IF(OR(B39&lt;&gt;"S",CÁLCULO.FrentesPreenchidas=0),"",IF(AND(ACOMPANHAMENTO="PLE",AUTOEVENTO="Manual",OR(H39&gt;0,ORÇAMENTO!AC39="QUANT."),OR(K39="",M39=0,N39="")),"►E",IF(AND(ACOMPANHAMENTO="PLE",ORÇAMENTO!AC39="QUANT."),"►Q",IF(AND(ACOMPANHAMENTO="PLE",H39&lt;&gt;SUMPRODUCT(($Q$1:$AI$1=1)*ROUND(Q39:AI39,15))),"►S",IF(AND(COUNTIF($P$11:$AI$11,"▼")=0,H39&gt;0,I39=""),"◄M","")))))</f>
        <v/>
      </c>
      <c r="K39" s="652" t="s">
        <v>1341</v>
      </c>
      <c r="L39" s="165">
        <f t="shared" ca="1" si="11"/>
        <v>24</v>
      </c>
      <c r="M39" s="166">
        <f ca="1">IF($D39&lt;&gt;"Serviço","",
          IF(AUTOEVENTO="manual",$A39,
                IF(ISERROR(MATCH($A39,$A$15:OFFSET($A39,-1,0),0)),MAX($M$15:OFFSET(M39,-1,0))+1,
                      INDEX($M$15:OFFSET(M39,-1,0),MATCH($A39,$A$15:OFFSET($A39,-1,0),0)))))</f>
        <v>16</v>
      </c>
      <c r="N39" s="167" t="str">
        <f ca="1">IF($D39&lt;&gt;"Serviço","",
         IF(AUTOEVENTO="Manual",
                IF($A39=0,"&lt;-- defina o número do agrupador",
                       OFFSET(EVENTOS!$D$15,$A39-$A$15,0)),
                OFFSET($F$15,$A39,0)))</f>
        <v>Estrutura - Concretagem</v>
      </c>
      <c r="O39" s="168"/>
      <c r="Q39" s="168"/>
      <c r="R39" s="169"/>
      <c r="S39" s="169">
        <v>17.5</v>
      </c>
      <c r="T39" s="169"/>
      <c r="U39" s="169"/>
      <c r="V39" s="169"/>
      <c r="W39" s="169"/>
      <c r="X39" s="169"/>
      <c r="Y39" s="169"/>
      <c r="Z39" s="170"/>
      <c r="AA39" s="705"/>
      <c r="AB39" s="705"/>
      <c r="AC39" s="705"/>
      <c r="AD39" s="705"/>
      <c r="AE39" s="705"/>
      <c r="AF39" s="705"/>
      <c r="AG39" s="705"/>
      <c r="AH39" s="706"/>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L39" s="453">
        <f ca="1">IF(AND($D39="Serviço",AL$12&lt;&gt;0,$H39&gt;0,OR(AUTOEVENTO&lt;&gt;"manual",$M39&lt;&gt;$A$15)),
        IF(Import.TipoArredondamento&lt;&gt;"TransfereGOV",
              ROUND(OFFSET($P39,0,AL$13),15-13*ORÇAMENTO!$AF$7)/$H39*OFFSET(ORÇAMENTO!$X$15,ROW(AL39)-ROW(AL$15),0),
              ROUND(ROUND(OFFSET($P39,0,AL$13),15-13*ORÇAMENTO!$AF$7)*OFFSET(ORÇAMENTO!$W$15,ROW(AL39)-ROW(AL$15),0),15-13*ORÇAMENTO!$AF$11)),
         0)</f>
        <v>14624.58</v>
      </c>
      <c r="AM39" s="453">
        <f ca="1">IF(AND($D39="Serviço",AM$12&lt;&gt;0,$H39&gt;0,OR(AUTOEVENTO&lt;&gt;"manual",$M39&lt;&gt;$A$15)),
        IF(Import.TipoArredondamento&lt;&gt;"TransfereGOV",
              ROUND(OFFSET($P39,0,AM$13),15-13*ORÇAMENTO!$AF$7)/$H39*OFFSET(ORÇAMENTO!$X$15,ROW(AM39)-ROW(AM$15),0),
              ROUND(ROUND(OFFSET($P39,0,AM$13),15-13*ORÇAMENTO!$AF$7)*OFFSET(ORÇAMENTO!$W$15,ROW(AM39)-ROW(AM$15),0),15-13*ORÇAMENTO!$AF$11)),
         0)</f>
        <v>0</v>
      </c>
      <c r="AN39" s="453">
        <f ca="1">IF(AND($D39="Serviço",AN$12&lt;&gt;0,$H39&gt;0,OR(AUTOEVENTO&lt;&gt;"manual",$M39&lt;&gt;$A$15)),
        IF(Import.TipoArredondamento&lt;&gt;"TransfereGOV",
              ROUND(OFFSET($P39,0,AN$13),15-13*ORÇAMENTO!$AF$7)/$H39*OFFSET(ORÇAMENTO!$X$15,ROW(AN39)-ROW(AN$15),0),
              ROUND(ROUND(OFFSET($P39,0,AN$13),15-13*ORÇAMENTO!$AF$7)*OFFSET(ORÇAMENTO!$W$15,ROW(AN39)-ROW(AN$15),0),15-13*ORÇAMENTO!$AF$11)),
         0)</f>
        <v>0</v>
      </c>
      <c r="AO39" s="453">
        <f ca="1">IF(AND($D39="Serviço",AO$12&lt;&gt;0,$H39&gt;0,OR(AUTOEVENTO&lt;&gt;"manual",$M39&lt;&gt;$A$15)),
        IF(Import.TipoArredondamento&lt;&gt;"TransfereGOV",
              ROUND(OFFSET($P39,0,AO$13),15-13*ORÇAMENTO!$AF$7)/$H39*OFFSET(ORÇAMENTO!$X$15,ROW(AO39)-ROW(AO$15),0),
              ROUND(ROUND(OFFSET($P39,0,AO$13),15-13*ORÇAMENTO!$AF$7)*OFFSET(ORÇAMENTO!$W$15,ROW(AO39)-ROW(AO$15),0),15-13*ORÇAMENTO!$AF$11)),
         0)</f>
        <v>0</v>
      </c>
      <c r="AP39" s="453">
        <f ca="1">IF(AND($D39="Serviço",AP$12&lt;&gt;0,$H39&gt;0,OR(AUTOEVENTO&lt;&gt;"manual",$M39&lt;&gt;$A$15)),
        IF(Import.TipoArredondamento&lt;&gt;"TransfereGOV",
              ROUND(OFFSET($P39,0,AP$13),15-13*ORÇAMENTO!$AF$7)/$H39*OFFSET(ORÇAMENTO!$X$15,ROW(AP39)-ROW(AP$15),0),
              ROUND(ROUND(OFFSET($P39,0,AP$13),15-13*ORÇAMENTO!$AF$7)*OFFSET(ORÇAMENTO!$W$15,ROW(AP39)-ROW(AP$15),0),15-13*ORÇAMENTO!$AF$11)),
         0)</f>
        <v>0</v>
      </c>
      <c r="AQ39" s="453">
        <f ca="1">IF(AND($D39="Serviço",AQ$12&lt;&gt;0,$H39&gt;0,OR(AUTOEVENTO&lt;&gt;"manual",$M39&lt;&gt;$A$15)),
        IF(Import.TipoArredondamento&lt;&gt;"TransfereGOV",
              ROUND(OFFSET($P39,0,AQ$13),15-13*ORÇAMENTO!$AF$7)/$H39*OFFSET(ORÇAMENTO!$X$15,ROW(AQ39)-ROW(AQ$15),0),
              ROUND(ROUND(OFFSET($P39,0,AQ$13),15-13*ORÇAMENTO!$AF$7)*OFFSET(ORÇAMENTO!$W$15,ROW(AQ39)-ROW(AQ$15),0),15-13*ORÇAMENTO!$AF$11)),
         0)</f>
        <v>0</v>
      </c>
      <c r="AR39" s="453">
        <f ca="1">IF(AND($D39="Serviço",AR$12&lt;&gt;0,$H39&gt;0,OR(AUTOEVENTO&lt;&gt;"manual",$M39&lt;&gt;$A$15)),
        IF(Import.TipoArredondamento&lt;&gt;"TransfereGOV",
              ROUND(OFFSET($P39,0,AR$13),15-13*ORÇAMENTO!$AF$7)/$H39*OFFSET(ORÇAMENTO!$X$15,ROW(AR39)-ROW(AR$15),0),
              ROUND(ROUND(OFFSET($P39,0,AR$13),15-13*ORÇAMENTO!$AF$7)*OFFSET(ORÇAMENTO!$W$15,ROW(AR39)-ROW(AR$15),0),15-13*ORÇAMENTO!$AF$11)),
         0)</f>
        <v>0</v>
      </c>
      <c r="AS39" s="453">
        <f ca="1">IF(AND($D39="Serviço",AS$12&lt;&gt;0,$H39&gt;0,OR(AUTOEVENTO&lt;&gt;"manual",$M39&lt;&gt;$A$15)),
        IF(Import.TipoArredondamento&lt;&gt;"TransfereGOV",
              ROUND(OFFSET($P39,0,AS$13),15-13*ORÇAMENTO!$AF$7)/$H39*OFFSET(ORÇAMENTO!$X$15,ROW(AS39)-ROW(AS$15),0),
              ROUND(ROUND(OFFSET($P39,0,AS$13),15-13*ORÇAMENTO!$AF$7)*OFFSET(ORÇAMENTO!$W$15,ROW(AS39)-ROW(AS$15),0),15-13*ORÇAMENTO!$AF$11)),
         0)</f>
        <v>0</v>
      </c>
      <c r="AT39" s="453">
        <f ca="1">IF(AND($D39="Serviço",AT$12&lt;&gt;0,$H39&gt;0,OR(AUTOEVENTO&lt;&gt;"manual",$M39&lt;&gt;$A$15)),
        IF(Import.TipoArredondamento&lt;&gt;"TransfereGOV",
              ROUND(OFFSET($P39,0,AT$13),15-13*ORÇAMENTO!$AF$7)/$H39*OFFSET(ORÇAMENTO!$X$15,ROW(AT39)-ROW(AT$15),0),
              ROUND(ROUND(OFFSET($P39,0,AT$13),15-13*ORÇAMENTO!$AF$7)*OFFSET(ORÇAMENTO!$W$15,ROW(AT39)-ROW(AT$15),0),15-13*ORÇAMENTO!$AF$11)),
         0)</f>
        <v>0</v>
      </c>
      <c r="AU39" s="453">
        <f ca="1">IF(AND($D39="Serviço",AU$12&lt;&gt;0,$H39&gt;0,OR(AUTOEVENTO&lt;&gt;"manual",$M39&lt;&gt;$A$15)),
        IF(Import.TipoArredondamento&lt;&gt;"TransfereGOV",
              ROUND(OFFSET($P39,0,AU$13),15-13*ORÇAMENTO!$AF$7)/$H39*OFFSET(ORÇAMENTO!$X$15,ROW(AU39)-ROW(AU$15),0),
              ROUND(ROUND(OFFSET($P39,0,AU$13),15-13*ORÇAMENTO!$AF$7)*OFFSET(ORÇAMENTO!$W$15,ROW(AU39)-ROW(AU$15),0),15-13*ORÇAMENTO!$AF$11)),
         0)</f>
        <v>0</v>
      </c>
      <c r="AV39" s="453">
        <f ca="1">IF(AND($D39="Serviço",AV$12&lt;&gt;0,$H39&gt;0,OR(AUTOEVENTO&lt;&gt;"manual",$M39&lt;&gt;$A$15)),
        IF(Import.TipoArredondamento&lt;&gt;"TransfereGOV",
              ROUND(OFFSET($P39,0,AV$13),15-13*ORÇAMENTO!$AF$7)/$H39*OFFSET(ORÇAMENTO!$X$15,ROW(AV39)-ROW(AV$15),0),
              ROUND(ROUND(OFFSET($P39,0,AV$13),15-13*ORÇAMENTO!$AF$7)*OFFSET(ORÇAMENTO!$W$15,ROW(AV39)-ROW(AV$15),0),15-13*ORÇAMENTO!$AF$11)),
         0)</f>
        <v>0</v>
      </c>
      <c r="AW39" s="453">
        <f ca="1">IF(AND($D39="Serviço",AW$12&lt;&gt;0,$H39&gt;0,OR(AUTOEVENTO&lt;&gt;"manual",$M39&lt;&gt;$A$15)),
        IF(Import.TipoArredondamento&lt;&gt;"TransfereGOV",
              ROUND(OFFSET($P39,0,AW$13),15-13*ORÇAMENTO!$AF$7)/$H39*OFFSET(ORÇAMENTO!$X$15,ROW(AW39)-ROW(AW$15),0),
              ROUND(ROUND(OFFSET($P39,0,AW$13),15-13*ORÇAMENTO!$AF$7)*OFFSET(ORÇAMENTO!$W$15,ROW(AW39)-ROW(AW$15),0),15-13*ORÇAMENTO!$AF$11)),
         0)</f>
        <v>0</v>
      </c>
      <c r="AX39" s="453">
        <f ca="1">IF(AND($D39="Serviço",AX$12&lt;&gt;0,$H39&gt;0,OR(AUTOEVENTO&lt;&gt;"manual",$M39&lt;&gt;$A$15)),
        IF(Import.TipoArredondamento&lt;&gt;"TransfereGOV",
              ROUND(OFFSET($P39,0,AX$13),15-13*ORÇAMENTO!$AF$7)/$H39*OFFSET(ORÇAMENTO!$X$15,ROW(AX39)-ROW(AX$15),0),
              ROUND(ROUND(OFFSET($P39,0,AX$13),15-13*ORÇAMENTO!$AF$7)*OFFSET(ORÇAMENTO!$W$15,ROW(AX39)-ROW(AX$15),0),15-13*ORÇAMENTO!$AF$11)),
         0)</f>
        <v>0</v>
      </c>
      <c r="AY39" s="453">
        <f ca="1">IF(AND($D39="Serviço",AY$12&lt;&gt;0,$H39&gt;0,OR(AUTOEVENTO&lt;&gt;"manual",$M39&lt;&gt;$A$15)),
        IF(Import.TipoArredondamento&lt;&gt;"TransfereGOV",
              ROUND(OFFSET($P39,0,AY$13),15-13*ORÇAMENTO!$AF$7)/$H39*OFFSET(ORÇAMENTO!$X$15,ROW(AY39)-ROW(AY$15),0),
              ROUND(ROUND(OFFSET($P39,0,AY$13),15-13*ORÇAMENTO!$AF$7)*OFFSET(ORÇAMENTO!$W$15,ROW(AY39)-ROW(AY$15),0),15-13*ORÇAMENTO!$AF$11)),
         0)</f>
        <v>0</v>
      </c>
      <c r="AZ39" s="453">
        <f ca="1">IF(AND($D39="Serviço",AZ$12&lt;&gt;0,$H39&gt;0,OR(AUTOEVENTO&lt;&gt;"manual",$M39&lt;&gt;$A$15)),
        IF(Import.TipoArredondamento&lt;&gt;"TransfereGOV",
              ROUND(OFFSET($P39,0,AZ$13),15-13*ORÇAMENTO!$AF$7)/$H39*OFFSET(ORÇAMENTO!$X$15,ROW(AZ39)-ROW(AZ$15),0),
              ROUND(ROUND(OFFSET($P39,0,AZ$13),15-13*ORÇAMENTO!$AF$7)*OFFSET(ORÇAMENTO!$W$15,ROW(AZ39)-ROW(AZ$15),0),15-13*ORÇAMENTO!$AF$11)),
         0)</f>
        <v>0</v>
      </c>
      <c r="BA39" s="453">
        <f ca="1">IF(AND($D39="Serviço",BA$12&lt;&gt;0,$H39&gt;0,OR(AUTOEVENTO&lt;&gt;"manual",$M39&lt;&gt;$A$15)),
        IF(Import.TipoArredondamento&lt;&gt;"TransfereGOV",
              ROUND(OFFSET($P39,0,BA$13),15-13*ORÇAMENTO!$AF$7)/$H39*OFFSET(ORÇAMENTO!$X$15,ROW(BA39)-ROW(BA$15),0),
              ROUND(ROUND(OFFSET($P39,0,BA$13),15-13*ORÇAMENTO!$AF$7)*OFFSET(ORÇAMENTO!$W$15,ROW(BA39)-ROW(BA$15),0),15-13*ORÇAMENTO!$AF$11)),
         0)</f>
        <v>0</v>
      </c>
      <c r="BC39" s="171">
        <f ca="1">IF(OR($D39&lt;&gt;"Serviço",AND(AUTOEVENTO="Manual",$M39=$A$15)),0,
         IF(OFFSET(CRONOPLE!$F$15,$M39-$A$15,BC$13)=0,10^12,OFFSET(CRONOPLE!$F$15,$M39-$A$15,BC$13)))</f>
        <v>1000000000000</v>
      </c>
      <c r="BD39" s="171">
        <f ca="1">IF(OR($D39&lt;&gt;"Serviço",AND(AUTOEVENTO="Manual",$M39=$A$15)),0,
         IF(OFFSET(CRONOPLE!$F$15,$M39-$A$15,BD$13)=0,10^12,OFFSET(CRONOPLE!$F$15,$M39-$A$15,BD$13)))</f>
        <v>1000000000000</v>
      </c>
      <c r="BE39" s="171">
        <f ca="1">IF(OR($D39&lt;&gt;"Serviço",AND(AUTOEVENTO="Manual",$M39=$A$15)),0,
         IF(OFFSET(CRONOPLE!$F$15,$M39-$A$15,BE$13)=0,10^12,OFFSET(CRONOPLE!$F$15,$M39-$A$15,BE$13)))</f>
        <v>7</v>
      </c>
      <c r="BF39" s="171">
        <f ca="1">IF(OR($D39&lt;&gt;"Serviço",AND(AUTOEVENTO="Manual",$M39=$A$15)),0,
         IF(OFFSET(CRONOPLE!$F$15,$M39-$A$15,BF$13)=0,10^12,OFFSET(CRONOPLE!$F$15,$M39-$A$15,BF$13)))</f>
        <v>11</v>
      </c>
      <c r="BG39" s="171">
        <f ca="1">IF(OR($D39&lt;&gt;"Serviço",AND(AUTOEVENTO="Manual",$M39=$A$15)),0,
         IF(OFFSET(CRONOPLE!$F$15,$M39-$A$15,BG$13)=0,10^12,OFFSET(CRONOPLE!$F$15,$M39-$A$15,BG$13)))</f>
        <v>1000000000000</v>
      </c>
      <c r="BH39" s="171">
        <f ca="1">IF(OR($D39&lt;&gt;"Serviço",AND(AUTOEVENTO="Manual",$M39=$A$15)),0,
         IF(OFFSET(CRONOPLE!$F$15,$M39-$A$15,BH$13)=0,10^12,OFFSET(CRONOPLE!$F$15,$M39-$A$15,BH$13)))</f>
        <v>8</v>
      </c>
      <c r="BI39" s="171">
        <f ca="1">IF(OR($D39&lt;&gt;"Serviço",AND(AUTOEVENTO="Manual",$M39=$A$15)),0,
         IF(OFFSET(CRONOPLE!$F$15,$M39-$A$15,BI$13)=0,10^12,OFFSET(CRONOPLE!$F$15,$M39-$A$15,BI$13)))</f>
        <v>1000000000000</v>
      </c>
      <c r="BJ39" s="171">
        <f ca="1">IF(OR($D39&lt;&gt;"Serviço",AND(AUTOEVENTO="Manual",$M39=$A$15)),0,
         IF(OFFSET(CRONOPLE!$F$15,$M39-$A$15,BJ$13)=0,10^12,OFFSET(CRONOPLE!$F$15,$M39-$A$15,BJ$13)))</f>
        <v>1000000000000</v>
      </c>
      <c r="BK39" s="171">
        <f ca="1">IF(OR($D39&lt;&gt;"Serviço",AND(AUTOEVENTO="Manual",$M39=$A$15)),0,
         IF(OFFSET(CRONOPLE!$F$15,$M39-$A$15,BK$13)=0,10^12,OFFSET(CRONOPLE!$F$15,$M39-$A$15,BK$13)))</f>
        <v>1000000000000</v>
      </c>
      <c r="BL39" s="171">
        <f ca="1">IF(OR($D39&lt;&gt;"Serviço",AND(AUTOEVENTO="Manual",$M39=$A$15)),0,
         IF(OFFSET(CRONOPLE!$F$15,$M39-$A$15,BL$13)=0,10^12,OFFSET(CRONOPLE!$F$15,$M39-$A$15,BL$13)))</f>
        <v>1000000000000</v>
      </c>
      <c r="BM39" s="171">
        <f ca="1">IF(OR($D39&lt;&gt;"Serviço",AND(AUTOEVENTO="Manual",$M39=$A$15)),0,
         IF(OFFSET(CRONOPLE!$F$15,$M39-$A$15,BM$13)=0,10^12,OFFSET(CRONOPLE!$F$15,$M39-$A$15,BM$13)))</f>
        <v>1000000000000</v>
      </c>
      <c r="BN39" s="171">
        <f ca="1">IF(OR($D39&lt;&gt;"Serviço",AND(AUTOEVENTO="Manual",$M39=$A$15)),0,
         IF(OFFSET(CRONOPLE!$F$15,$M39-$A$15,BN$13)=0,10^12,OFFSET(CRONOPLE!$F$15,$M39-$A$15,BN$13)))</f>
        <v>1000000000000</v>
      </c>
      <c r="BO39" s="171">
        <f ca="1">IF(OR($D39&lt;&gt;"Serviço",AND(AUTOEVENTO="Manual",$M39=$A$15)),0,
         IF(OFFSET(CRONOPLE!$F$15,$M39-$A$15,BO$13)=0,10^12,OFFSET(CRONOPLE!$F$15,$M39-$A$15,BO$13)))</f>
        <v>1000000000000</v>
      </c>
      <c r="BP39" s="171">
        <f ca="1">IF(OR($D39&lt;&gt;"Serviço",AND(AUTOEVENTO="Manual",$M39=$A$15)),0,
         IF(OFFSET(CRONOPLE!$F$15,$M39-$A$15,BP$13)=0,10^12,OFFSET(CRONOPLE!$F$15,$M39-$A$15,BP$13)))</f>
        <v>1000000000000</v>
      </c>
      <c r="BQ39" s="171">
        <f ca="1">IF(OR($D39&lt;&gt;"Serviço",AND(AUTOEVENTO="Manual",$M39=$A$15)),0,
         IF(OFFSET(CRONOPLE!$F$15,$M39-$A$15,BQ$13)=0,10^12,OFFSET(CRONOPLE!$F$15,$M39-$A$15,BQ$13)))</f>
        <v>1000000000000</v>
      </c>
      <c r="BR39" s="171">
        <f ca="1">IF(OR($D39&lt;&gt;"Serviço",AND(AUTOEVENTO="Manual",$M39=$A$15)),0,
         IF(OFFSET(CRONOPLE!$F$15,$M39-$A$15,BR$13)=0,10^12,OFFSET(CRONOPLE!$F$15,$M39-$A$15,BR$13)))</f>
        <v>1000000000000</v>
      </c>
      <c r="BS39" s="171">
        <f ca="1">IF(OR($D39&lt;&gt;"Serviço",AND(AUTOEVENTO="Manual",$M39=$A$15)),0,
         IF(OFFSET(CRONOPLE!$F$15,$M39-$A$15,BS$13)=0,10^12,OFFSET(CRONOPLE!$F$15,$M39-$A$15,BS$13)))</f>
        <v>1000000000000</v>
      </c>
      <c r="BT39" s="171">
        <f ca="1">IF(OR($D39&lt;&gt;"Serviço",AND(AUTOEVENTO="Manual",$M39=$A$15)),0,
         IF(OFFSET(CRONOPLE!$F$15,$M39-$A$15,BT$13)=0,10^12,OFFSET(CRONOPLE!$F$15,$M39-$A$15,BT$13)))</f>
        <v>1000000000000</v>
      </c>
      <c r="BV39" s="172" cm="1">
        <f t="array" aca="1" ref="BV39" ca="1">IF(OR($D39&lt;&gt;"Serviço",AND(AUTOEVENTO="Manual",$M39=$A$15),$M39&gt;(ROW(PLE.lastrow)-ROW(PLE.firstrow))),0,
           IF(OFFSET(PLE!$G$15,$M39-$A$15,BV$13)="",10^12,OFFSET(PLE!$G$15,$M39-$A$15,BV$13)))</f>
        <v>1000000000000</v>
      </c>
      <c r="BW39" s="172" cm="1">
        <f t="array" aca="1" ref="BW39" ca="1">IF(OR($D39&lt;&gt;"Serviço",AND(AUTOEVENTO="Manual",$M39=$A$15),$M39&gt;(ROW(PLE.lastrow)-ROW(PLE.firstrow))),0,
           IF(OFFSET(PLE!$G$15,$M39-$A$15,BW$13)="",10^12,OFFSET(PLE!$G$15,$M39-$A$15,BW$13)))</f>
        <v>1000000000000</v>
      </c>
      <c r="BX39" s="172" cm="1">
        <f t="array" aca="1" ref="BX39" ca="1">IF(OR($D39&lt;&gt;"Serviço",AND(AUTOEVENTO="Manual",$M39=$A$15),$M39&gt;(ROW(PLE.lastrow)-ROW(PLE.firstrow))),0,
           IF(OFFSET(PLE!$G$15,$M39-$A$15,BX$13)="",10^12,OFFSET(PLE!$G$15,$M39-$A$15,BX$13)))</f>
        <v>1000000000000</v>
      </c>
      <c r="BY39" s="172" cm="1">
        <f t="array" aca="1" ref="BY39" ca="1">IF(OR($D39&lt;&gt;"Serviço",AND(AUTOEVENTO="Manual",$M39=$A$15),$M39&gt;(ROW(PLE.lastrow)-ROW(PLE.firstrow))),0,
           IF(OFFSET(PLE!$G$15,$M39-$A$15,BY$13)="",10^12,OFFSET(PLE!$G$15,$M39-$A$15,BY$13)))</f>
        <v>1000000000000</v>
      </c>
      <c r="BZ39" s="172" cm="1">
        <f t="array" aca="1" ref="BZ39" ca="1">IF(OR($D39&lt;&gt;"Serviço",AND(AUTOEVENTO="Manual",$M39=$A$15),$M39&gt;(ROW(PLE.lastrow)-ROW(PLE.firstrow))),0,
           IF(OFFSET(PLE!$G$15,$M39-$A$15,BZ$13)="",10^12,OFFSET(PLE!$G$15,$M39-$A$15,BZ$13)))</f>
        <v>1000000000000</v>
      </c>
      <c r="CA39" s="172" cm="1">
        <f t="array" aca="1" ref="CA39" ca="1">IF(OR($D39&lt;&gt;"Serviço",AND(AUTOEVENTO="Manual",$M39=$A$15),$M39&gt;(ROW(PLE.lastrow)-ROW(PLE.firstrow))),0,
           IF(OFFSET(PLE!$G$15,$M39-$A$15,CA$13)="",10^12,OFFSET(PLE!$G$15,$M39-$A$15,CA$13)))</f>
        <v>1000000000000</v>
      </c>
      <c r="CB39" s="172" cm="1">
        <f t="array" aca="1" ref="CB39" ca="1">IF(OR($D39&lt;&gt;"Serviço",AND(AUTOEVENTO="Manual",$M39=$A$15),$M39&gt;(ROW(PLE.lastrow)-ROW(PLE.firstrow))),0,
           IF(OFFSET(PLE!$G$15,$M39-$A$15,CB$13)="",10^12,OFFSET(PLE!$G$15,$M39-$A$15,CB$13)))</f>
        <v>1000000000000</v>
      </c>
      <c r="CC39" s="172" cm="1">
        <f t="array" aca="1" ref="CC39" ca="1">IF(OR($D39&lt;&gt;"Serviço",AND(AUTOEVENTO="Manual",$M39=$A$15),$M39&gt;(ROW(PLE.lastrow)-ROW(PLE.firstrow))),0,
           IF(OFFSET(PLE!$G$15,$M39-$A$15,CC$13)="",10^12,OFFSET(PLE!$G$15,$M39-$A$15,CC$13)))</f>
        <v>1000000000000</v>
      </c>
      <c r="CD39" s="172" cm="1">
        <f t="array" aca="1" ref="CD39" ca="1">IF(OR($D39&lt;&gt;"Serviço",AND(AUTOEVENTO="Manual",$M39=$A$15),$M39&gt;(ROW(PLE.lastrow)-ROW(PLE.firstrow))),0,
           IF(OFFSET(PLE!$G$15,$M39-$A$15,CD$13)="",10^12,OFFSET(PLE!$G$15,$M39-$A$15,CD$13)))</f>
        <v>1000000000000</v>
      </c>
      <c r="CE39" s="172" cm="1">
        <f t="array" aca="1" ref="CE39" ca="1">IF(OR($D39&lt;&gt;"Serviço",AND(AUTOEVENTO="Manual",$M39=$A$15),$M39&gt;(ROW(PLE.lastrow)-ROW(PLE.firstrow))),0,
           IF(OFFSET(PLE!$G$15,$M39-$A$15,CE$13)="",10^12,OFFSET(PLE!$G$15,$M39-$A$15,CE$13)))</f>
        <v>1000000000000</v>
      </c>
      <c r="CF39" s="172" cm="1">
        <f t="array" aca="1" ref="CF39" ca="1">IF(OR($D39&lt;&gt;"Serviço",AND(AUTOEVENTO="Manual",$M39=$A$15),$M39&gt;(ROW(PLE.lastrow)-ROW(PLE.firstrow))),0,
           IF(OFFSET(PLE!$G$15,$M39-$A$15,CF$13)="",10^12,OFFSET(PLE!$G$15,$M39-$A$15,CF$13)))</f>
        <v>1000000000000</v>
      </c>
      <c r="CG39" s="172" cm="1">
        <f t="array" aca="1" ref="CG39" ca="1">IF(OR($D39&lt;&gt;"Serviço",AND(AUTOEVENTO="Manual",$M39=$A$15),$M39&gt;(ROW(PLE.lastrow)-ROW(PLE.firstrow))),0,
           IF(OFFSET(PLE!$G$15,$M39-$A$15,CG$13)="",10^12,OFFSET(PLE!$G$15,$M39-$A$15,CG$13)))</f>
        <v>1000000000000</v>
      </c>
      <c r="CH39" s="172" cm="1">
        <f t="array" aca="1" ref="CH39" ca="1">IF(OR($D39&lt;&gt;"Serviço",AND(AUTOEVENTO="Manual",$M39=$A$15),$M39&gt;(ROW(PLE.lastrow)-ROW(PLE.firstrow))),0,
           IF(OFFSET(PLE!$G$15,$M39-$A$15,CH$13)="",10^12,OFFSET(PLE!$G$15,$M39-$A$15,CH$13)))</f>
        <v>1000000000000</v>
      </c>
      <c r="CI39" s="172" cm="1">
        <f t="array" aca="1" ref="CI39" ca="1">IF(OR($D39&lt;&gt;"Serviço",AND(AUTOEVENTO="Manual",$M39=$A$15),$M39&gt;(ROW(PLE.lastrow)-ROW(PLE.firstrow))),0,
           IF(OFFSET(PLE!$G$15,$M39-$A$15,CI$13)="",10^12,OFFSET(PLE!$G$15,$M39-$A$15,CI$13)))</f>
        <v>1000000000000</v>
      </c>
      <c r="CJ39" s="172" cm="1">
        <f t="array" aca="1" ref="CJ39" ca="1">IF(OR($D39&lt;&gt;"Serviço",AND(AUTOEVENTO="Manual",$M39=$A$15),$M39&gt;(ROW(PLE.lastrow)-ROW(PLE.firstrow))),0,
           IF(OFFSET(PLE!$G$15,$M39-$A$15,CJ$13)="",10^12,OFFSET(PLE!$G$15,$M39-$A$15,CJ$13)))</f>
        <v>1000000000000</v>
      </c>
      <c r="CK39" s="172" cm="1">
        <f t="array" aca="1" ref="CK39" ca="1">IF(OR($D39&lt;&gt;"Serviço",AND(AUTOEVENTO="Manual",$M39=$A$15),$M39&gt;(ROW(PLE.lastrow)-ROW(PLE.firstrow))),0,
           IF(OFFSET(PLE!$G$15,$M39-$A$15,CK$13)="",10^12,OFFSET(PLE!$G$15,$M39-$A$15,CK$13)))</f>
        <v>1000000000000</v>
      </c>
      <c r="CL39" s="172" cm="1">
        <f t="array" aca="1" ref="CL39" ca="1">IF(OR($D39&lt;&gt;"Serviço",AND(AUTOEVENTO="Manual",$M39=$A$15),$M39&gt;(ROW(PLE.lastrow)-ROW(PLE.firstrow))),0,
           IF(OFFSET(PLE!$G$15,$M39-$A$15,CL$13)="",10^12,OFFSET(PLE!$G$15,$M39-$A$15,CL$13)))</f>
        <v>1000000000000</v>
      </c>
      <c r="CM39" s="172" cm="1">
        <f t="array" aca="1" ref="CM39" ca="1">IF(OR($D39&lt;&gt;"Serviço",AND(AUTOEVENTO="Manual",$M39=$A$15),$M39&gt;(ROW(PLE.lastrow)-ROW(PLE.firstrow))),0,
           IF(OFFSET(PLE!$G$15,$M39-$A$15,CM$13)="",10^12,OFFSET(PLE!$G$15,$M39-$A$15,CM$13)))</f>
        <v>1000000000000</v>
      </c>
    </row>
    <row r="40" spans="1:91" s="670" customFormat="1" ht="102" x14ac:dyDescent="0.2">
      <c r="A40" s="668">
        <f t="shared" ca="1" si="10"/>
        <v>16</v>
      </c>
      <c r="B40" s="668" t="str">
        <f ca="1">OFFSET(ORÇAMENTO!C$15,$L40,0)</f>
        <v>S</v>
      </c>
      <c r="C40" s="668" t="str">
        <f ca="1">OFFSET(ORÇAMENTO!L$15,$L40,0)</f>
        <v>F</v>
      </c>
      <c r="D40" s="116" t="str">
        <f ca="1">OFFSET(ORÇAMENTO!N$15,$L40,0)</f>
        <v>Serviço</v>
      </c>
      <c r="E40" s="117" t="str">
        <f ca="1">OFFSET(ORÇAMENTO!O$15,$L40,0)</f>
        <v>1.5.2.</v>
      </c>
      <c r="F40" s="163" t="str">
        <f ca="1">OFFSET(ORÇAMENTO!R$15,$L40,0)</f>
        <v>FORNECIMENTO DE CONCRETO ESTRUTURAL, USINADO BOMBEADO, COM FCK 40MPA, INCLUSIVE LANÇAMENTO, ADENSAMENTO E ACABAMENTO</v>
      </c>
      <c r="G40" s="164" t="str">
        <f ca="1">IF($D40&lt;&gt;"Serviço","",OFFSET(ORÇAMENTO!S$15,$L40,0))</f>
        <v>m3</v>
      </c>
      <c r="H40" s="122" cm="1">
        <f t="array" aca="1" ref="H40" ca="1">IF($D40&lt;&gt;"Serviço",0,IF(ACOMPANHAMENTO="BM",ROUND(OFFSET(ORÇAMENTO!AJ$15,$L40,0),15-13*ORÇAMENTO!$AF$7),IF(IFERROR(CÁLCULO.FrentesPreenchidas,0)=0,0,SUM(ROUND(OFFSET($P40,0,1,1,CÁLCULO.FrentesPreenchidas),15-13*ORÇAMENTO!$AF$7)))))</f>
        <v>91</v>
      </c>
      <c r="I40" s="468" t="s">
        <v>1139</v>
      </c>
      <c r="J40" s="651" t="str" cm="1">
        <f t="array" aca="1" ref="J40" ca="1">IF(OR(B40&lt;&gt;"S",CÁLCULO.FrentesPreenchidas=0),"",IF(AND(ACOMPANHAMENTO="PLE",AUTOEVENTO="Manual",OR(H40&gt;0,ORÇAMENTO!AC40="QUANT."),OR(K40="",M40=0,N40="")),"►E",IF(AND(ACOMPANHAMENTO="PLE",ORÇAMENTO!AC40="QUANT."),"►Q",IF(AND(ACOMPANHAMENTO="PLE",H40&lt;&gt;SUMPRODUCT(($Q$1:$AI$1=1)*ROUND(Q40:AI40,15))),"►S",IF(AND(COUNTIF($P$11:$AI$11,"▼")=0,H40&gt;0,I40=""),"◄M","")))))</f>
        <v/>
      </c>
      <c r="K40" s="652" t="s">
        <v>1341</v>
      </c>
      <c r="L40" s="165">
        <f t="shared" ca="1" si="11"/>
        <v>25</v>
      </c>
      <c r="M40" s="166">
        <f ca="1">IF($D40&lt;&gt;"Serviço","",
          IF(AUTOEVENTO="manual",$A40,
                IF(ISERROR(MATCH($A40,$A$15:OFFSET($A40,-1,0),0)),MAX($M$15:OFFSET(M40,-1,0))+1,
                      INDEX($M$15:OFFSET(M40,-1,0),MATCH($A40,$A$15:OFFSET($A40,-1,0),0)))))</f>
        <v>16</v>
      </c>
      <c r="N40" s="167" t="str">
        <f ca="1">IF($D40&lt;&gt;"Serviço","",
         IF(AUTOEVENTO="Manual",
                IF($A40=0,"&lt;-- defina o número do agrupador",
                       OFFSET(EVENTOS!$D$15,$A40-$A$15,0)),
                OFFSET($F$15,$A40,0)))</f>
        <v>Estrutura - Concretagem</v>
      </c>
      <c r="O40" s="168"/>
      <c r="Q40" s="168"/>
      <c r="R40" s="169"/>
      <c r="S40" s="169">
        <v>91</v>
      </c>
      <c r="T40" s="169"/>
      <c r="U40" s="169"/>
      <c r="V40" s="169"/>
      <c r="W40" s="169"/>
      <c r="X40" s="169"/>
      <c r="Y40" s="169"/>
      <c r="Z40" s="170"/>
      <c r="AA40" s="705"/>
      <c r="AB40" s="705"/>
      <c r="AC40" s="705"/>
      <c r="AD40" s="705"/>
      <c r="AE40" s="705"/>
      <c r="AF40" s="705"/>
      <c r="AG40" s="705"/>
      <c r="AH40" s="706"/>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L40" s="453">
        <f ca="1">IF(AND($D40="Serviço",AL$12&lt;&gt;0,$H40&gt;0,OR(AUTOEVENTO&lt;&gt;"manual",$M40&lt;&gt;$A$15)),
        IF(Import.TipoArredondamento&lt;&gt;"TransfereGOV",
              ROUND(OFFSET($P40,0,AL$13),15-13*ORÇAMENTO!$AF$7)/$H40*OFFSET(ORÇAMENTO!$X$15,ROW(AL40)-ROW(AL$15),0),
              ROUND(ROUND(OFFSET($P40,0,AL$13),15-13*ORÇAMENTO!$AF$7)*OFFSET(ORÇAMENTO!$W$15,ROW(AL40)-ROW(AL$15),0),15-13*ORÇAMENTO!$AF$11)),
         0)</f>
        <v>86271.64</v>
      </c>
      <c r="AM40" s="453">
        <f ca="1">IF(AND($D40="Serviço",AM$12&lt;&gt;0,$H40&gt;0,OR(AUTOEVENTO&lt;&gt;"manual",$M40&lt;&gt;$A$15)),
        IF(Import.TipoArredondamento&lt;&gt;"TransfereGOV",
              ROUND(OFFSET($P40,0,AM$13),15-13*ORÇAMENTO!$AF$7)/$H40*OFFSET(ORÇAMENTO!$X$15,ROW(AM40)-ROW(AM$15),0),
              ROUND(ROUND(OFFSET($P40,0,AM$13),15-13*ORÇAMENTO!$AF$7)*OFFSET(ORÇAMENTO!$W$15,ROW(AM40)-ROW(AM$15),0),15-13*ORÇAMENTO!$AF$11)),
         0)</f>
        <v>0</v>
      </c>
      <c r="AN40" s="453">
        <f ca="1">IF(AND($D40="Serviço",AN$12&lt;&gt;0,$H40&gt;0,OR(AUTOEVENTO&lt;&gt;"manual",$M40&lt;&gt;$A$15)),
        IF(Import.TipoArredondamento&lt;&gt;"TransfereGOV",
              ROUND(OFFSET($P40,0,AN$13),15-13*ORÇAMENTO!$AF$7)/$H40*OFFSET(ORÇAMENTO!$X$15,ROW(AN40)-ROW(AN$15),0),
              ROUND(ROUND(OFFSET($P40,0,AN$13),15-13*ORÇAMENTO!$AF$7)*OFFSET(ORÇAMENTO!$W$15,ROW(AN40)-ROW(AN$15),0),15-13*ORÇAMENTO!$AF$11)),
         0)</f>
        <v>0</v>
      </c>
      <c r="AO40" s="453">
        <f ca="1">IF(AND($D40="Serviço",AO$12&lt;&gt;0,$H40&gt;0,OR(AUTOEVENTO&lt;&gt;"manual",$M40&lt;&gt;$A$15)),
        IF(Import.TipoArredondamento&lt;&gt;"TransfereGOV",
              ROUND(OFFSET($P40,0,AO$13),15-13*ORÇAMENTO!$AF$7)/$H40*OFFSET(ORÇAMENTO!$X$15,ROW(AO40)-ROW(AO$15),0),
              ROUND(ROUND(OFFSET($P40,0,AO$13),15-13*ORÇAMENTO!$AF$7)*OFFSET(ORÇAMENTO!$W$15,ROW(AO40)-ROW(AO$15),0),15-13*ORÇAMENTO!$AF$11)),
         0)</f>
        <v>0</v>
      </c>
      <c r="AP40" s="453">
        <f ca="1">IF(AND($D40="Serviço",AP$12&lt;&gt;0,$H40&gt;0,OR(AUTOEVENTO&lt;&gt;"manual",$M40&lt;&gt;$A$15)),
        IF(Import.TipoArredondamento&lt;&gt;"TransfereGOV",
              ROUND(OFFSET($P40,0,AP$13),15-13*ORÇAMENTO!$AF$7)/$H40*OFFSET(ORÇAMENTO!$X$15,ROW(AP40)-ROW(AP$15),0),
              ROUND(ROUND(OFFSET($P40,0,AP$13),15-13*ORÇAMENTO!$AF$7)*OFFSET(ORÇAMENTO!$W$15,ROW(AP40)-ROW(AP$15),0),15-13*ORÇAMENTO!$AF$11)),
         0)</f>
        <v>0</v>
      </c>
      <c r="AQ40" s="453">
        <f ca="1">IF(AND($D40="Serviço",AQ$12&lt;&gt;0,$H40&gt;0,OR(AUTOEVENTO&lt;&gt;"manual",$M40&lt;&gt;$A$15)),
        IF(Import.TipoArredondamento&lt;&gt;"TransfereGOV",
              ROUND(OFFSET($P40,0,AQ$13),15-13*ORÇAMENTO!$AF$7)/$H40*OFFSET(ORÇAMENTO!$X$15,ROW(AQ40)-ROW(AQ$15),0),
              ROUND(ROUND(OFFSET($P40,0,AQ$13),15-13*ORÇAMENTO!$AF$7)*OFFSET(ORÇAMENTO!$W$15,ROW(AQ40)-ROW(AQ$15),0),15-13*ORÇAMENTO!$AF$11)),
         0)</f>
        <v>0</v>
      </c>
      <c r="AR40" s="453">
        <f ca="1">IF(AND($D40="Serviço",AR$12&lt;&gt;0,$H40&gt;0,OR(AUTOEVENTO&lt;&gt;"manual",$M40&lt;&gt;$A$15)),
        IF(Import.TipoArredondamento&lt;&gt;"TransfereGOV",
              ROUND(OFFSET($P40,0,AR$13),15-13*ORÇAMENTO!$AF$7)/$H40*OFFSET(ORÇAMENTO!$X$15,ROW(AR40)-ROW(AR$15),0),
              ROUND(ROUND(OFFSET($P40,0,AR$13),15-13*ORÇAMENTO!$AF$7)*OFFSET(ORÇAMENTO!$W$15,ROW(AR40)-ROW(AR$15),0),15-13*ORÇAMENTO!$AF$11)),
         0)</f>
        <v>0</v>
      </c>
      <c r="AS40" s="453">
        <f ca="1">IF(AND($D40="Serviço",AS$12&lt;&gt;0,$H40&gt;0,OR(AUTOEVENTO&lt;&gt;"manual",$M40&lt;&gt;$A$15)),
        IF(Import.TipoArredondamento&lt;&gt;"TransfereGOV",
              ROUND(OFFSET($P40,0,AS$13),15-13*ORÇAMENTO!$AF$7)/$H40*OFFSET(ORÇAMENTO!$X$15,ROW(AS40)-ROW(AS$15),0),
              ROUND(ROUND(OFFSET($P40,0,AS$13),15-13*ORÇAMENTO!$AF$7)*OFFSET(ORÇAMENTO!$W$15,ROW(AS40)-ROW(AS$15),0),15-13*ORÇAMENTO!$AF$11)),
         0)</f>
        <v>0</v>
      </c>
      <c r="AT40" s="453">
        <f ca="1">IF(AND($D40="Serviço",AT$12&lt;&gt;0,$H40&gt;0,OR(AUTOEVENTO&lt;&gt;"manual",$M40&lt;&gt;$A$15)),
        IF(Import.TipoArredondamento&lt;&gt;"TransfereGOV",
              ROUND(OFFSET($P40,0,AT$13),15-13*ORÇAMENTO!$AF$7)/$H40*OFFSET(ORÇAMENTO!$X$15,ROW(AT40)-ROW(AT$15),0),
              ROUND(ROUND(OFFSET($P40,0,AT$13),15-13*ORÇAMENTO!$AF$7)*OFFSET(ORÇAMENTO!$W$15,ROW(AT40)-ROW(AT$15),0),15-13*ORÇAMENTO!$AF$11)),
         0)</f>
        <v>0</v>
      </c>
      <c r="AU40" s="453">
        <f ca="1">IF(AND($D40="Serviço",AU$12&lt;&gt;0,$H40&gt;0,OR(AUTOEVENTO&lt;&gt;"manual",$M40&lt;&gt;$A$15)),
        IF(Import.TipoArredondamento&lt;&gt;"TransfereGOV",
              ROUND(OFFSET($P40,0,AU$13),15-13*ORÇAMENTO!$AF$7)/$H40*OFFSET(ORÇAMENTO!$X$15,ROW(AU40)-ROW(AU$15),0),
              ROUND(ROUND(OFFSET($P40,0,AU$13),15-13*ORÇAMENTO!$AF$7)*OFFSET(ORÇAMENTO!$W$15,ROW(AU40)-ROW(AU$15),0),15-13*ORÇAMENTO!$AF$11)),
         0)</f>
        <v>0</v>
      </c>
      <c r="AV40" s="453">
        <f ca="1">IF(AND($D40="Serviço",AV$12&lt;&gt;0,$H40&gt;0,OR(AUTOEVENTO&lt;&gt;"manual",$M40&lt;&gt;$A$15)),
        IF(Import.TipoArredondamento&lt;&gt;"TransfereGOV",
              ROUND(OFFSET($P40,0,AV$13),15-13*ORÇAMENTO!$AF$7)/$H40*OFFSET(ORÇAMENTO!$X$15,ROW(AV40)-ROW(AV$15),0),
              ROUND(ROUND(OFFSET($P40,0,AV$13),15-13*ORÇAMENTO!$AF$7)*OFFSET(ORÇAMENTO!$W$15,ROW(AV40)-ROW(AV$15),0),15-13*ORÇAMENTO!$AF$11)),
         0)</f>
        <v>0</v>
      </c>
      <c r="AW40" s="453">
        <f ca="1">IF(AND($D40="Serviço",AW$12&lt;&gt;0,$H40&gt;0,OR(AUTOEVENTO&lt;&gt;"manual",$M40&lt;&gt;$A$15)),
        IF(Import.TipoArredondamento&lt;&gt;"TransfereGOV",
              ROUND(OFFSET($P40,0,AW$13),15-13*ORÇAMENTO!$AF$7)/$H40*OFFSET(ORÇAMENTO!$X$15,ROW(AW40)-ROW(AW$15),0),
              ROUND(ROUND(OFFSET($P40,0,AW$13),15-13*ORÇAMENTO!$AF$7)*OFFSET(ORÇAMENTO!$W$15,ROW(AW40)-ROW(AW$15),0),15-13*ORÇAMENTO!$AF$11)),
         0)</f>
        <v>0</v>
      </c>
      <c r="AX40" s="453">
        <f ca="1">IF(AND($D40="Serviço",AX$12&lt;&gt;0,$H40&gt;0,OR(AUTOEVENTO&lt;&gt;"manual",$M40&lt;&gt;$A$15)),
        IF(Import.TipoArredondamento&lt;&gt;"TransfereGOV",
              ROUND(OFFSET($P40,0,AX$13),15-13*ORÇAMENTO!$AF$7)/$H40*OFFSET(ORÇAMENTO!$X$15,ROW(AX40)-ROW(AX$15),0),
              ROUND(ROUND(OFFSET($P40,0,AX$13),15-13*ORÇAMENTO!$AF$7)*OFFSET(ORÇAMENTO!$W$15,ROW(AX40)-ROW(AX$15),0),15-13*ORÇAMENTO!$AF$11)),
         0)</f>
        <v>0</v>
      </c>
      <c r="AY40" s="453">
        <f ca="1">IF(AND($D40="Serviço",AY$12&lt;&gt;0,$H40&gt;0,OR(AUTOEVENTO&lt;&gt;"manual",$M40&lt;&gt;$A$15)),
        IF(Import.TipoArredondamento&lt;&gt;"TransfereGOV",
              ROUND(OFFSET($P40,0,AY$13),15-13*ORÇAMENTO!$AF$7)/$H40*OFFSET(ORÇAMENTO!$X$15,ROW(AY40)-ROW(AY$15),0),
              ROUND(ROUND(OFFSET($P40,0,AY$13),15-13*ORÇAMENTO!$AF$7)*OFFSET(ORÇAMENTO!$W$15,ROW(AY40)-ROW(AY$15),0),15-13*ORÇAMENTO!$AF$11)),
         0)</f>
        <v>0</v>
      </c>
      <c r="AZ40" s="453">
        <f ca="1">IF(AND($D40="Serviço",AZ$12&lt;&gt;0,$H40&gt;0,OR(AUTOEVENTO&lt;&gt;"manual",$M40&lt;&gt;$A$15)),
        IF(Import.TipoArredondamento&lt;&gt;"TransfereGOV",
              ROUND(OFFSET($P40,0,AZ$13),15-13*ORÇAMENTO!$AF$7)/$H40*OFFSET(ORÇAMENTO!$X$15,ROW(AZ40)-ROW(AZ$15),0),
              ROUND(ROUND(OFFSET($P40,0,AZ$13),15-13*ORÇAMENTO!$AF$7)*OFFSET(ORÇAMENTO!$W$15,ROW(AZ40)-ROW(AZ$15),0),15-13*ORÇAMENTO!$AF$11)),
         0)</f>
        <v>0</v>
      </c>
      <c r="BA40" s="453">
        <f ca="1">IF(AND($D40="Serviço",BA$12&lt;&gt;0,$H40&gt;0,OR(AUTOEVENTO&lt;&gt;"manual",$M40&lt;&gt;$A$15)),
        IF(Import.TipoArredondamento&lt;&gt;"TransfereGOV",
              ROUND(OFFSET($P40,0,BA$13),15-13*ORÇAMENTO!$AF$7)/$H40*OFFSET(ORÇAMENTO!$X$15,ROW(BA40)-ROW(BA$15),0),
              ROUND(ROUND(OFFSET($P40,0,BA$13),15-13*ORÇAMENTO!$AF$7)*OFFSET(ORÇAMENTO!$W$15,ROW(BA40)-ROW(BA$15),0),15-13*ORÇAMENTO!$AF$11)),
         0)</f>
        <v>0</v>
      </c>
      <c r="BC40" s="171">
        <f ca="1">IF(OR($D40&lt;&gt;"Serviço",AND(AUTOEVENTO="Manual",$M40=$A$15)),0,
         IF(OFFSET(CRONOPLE!$F$15,$M40-$A$15,BC$13)=0,10^12,OFFSET(CRONOPLE!$F$15,$M40-$A$15,BC$13)))</f>
        <v>1000000000000</v>
      </c>
      <c r="BD40" s="171">
        <f ca="1">IF(OR($D40&lt;&gt;"Serviço",AND(AUTOEVENTO="Manual",$M40=$A$15)),0,
         IF(OFFSET(CRONOPLE!$F$15,$M40-$A$15,BD$13)=0,10^12,OFFSET(CRONOPLE!$F$15,$M40-$A$15,BD$13)))</f>
        <v>1000000000000</v>
      </c>
      <c r="BE40" s="171">
        <f ca="1">IF(OR($D40&lt;&gt;"Serviço",AND(AUTOEVENTO="Manual",$M40=$A$15)),0,
         IF(OFFSET(CRONOPLE!$F$15,$M40-$A$15,BE$13)=0,10^12,OFFSET(CRONOPLE!$F$15,$M40-$A$15,BE$13)))</f>
        <v>7</v>
      </c>
      <c r="BF40" s="171">
        <f ca="1">IF(OR($D40&lt;&gt;"Serviço",AND(AUTOEVENTO="Manual",$M40=$A$15)),0,
         IF(OFFSET(CRONOPLE!$F$15,$M40-$A$15,BF$13)=0,10^12,OFFSET(CRONOPLE!$F$15,$M40-$A$15,BF$13)))</f>
        <v>11</v>
      </c>
      <c r="BG40" s="171">
        <f ca="1">IF(OR($D40&lt;&gt;"Serviço",AND(AUTOEVENTO="Manual",$M40=$A$15)),0,
         IF(OFFSET(CRONOPLE!$F$15,$M40-$A$15,BG$13)=0,10^12,OFFSET(CRONOPLE!$F$15,$M40-$A$15,BG$13)))</f>
        <v>1000000000000</v>
      </c>
      <c r="BH40" s="171">
        <f ca="1">IF(OR($D40&lt;&gt;"Serviço",AND(AUTOEVENTO="Manual",$M40=$A$15)),0,
         IF(OFFSET(CRONOPLE!$F$15,$M40-$A$15,BH$13)=0,10^12,OFFSET(CRONOPLE!$F$15,$M40-$A$15,BH$13)))</f>
        <v>8</v>
      </c>
      <c r="BI40" s="171">
        <f ca="1">IF(OR($D40&lt;&gt;"Serviço",AND(AUTOEVENTO="Manual",$M40=$A$15)),0,
         IF(OFFSET(CRONOPLE!$F$15,$M40-$A$15,BI$13)=0,10^12,OFFSET(CRONOPLE!$F$15,$M40-$A$15,BI$13)))</f>
        <v>1000000000000</v>
      </c>
      <c r="BJ40" s="171">
        <f ca="1">IF(OR($D40&lt;&gt;"Serviço",AND(AUTOEVENTO="Manual",$M40=$A$15)),0,
         IF(OFFSET(CRONOPLE!$F$15,$M40-$A$15,BJ$13)=0,10^12,OFFSET(CRONOPLE!$F$15,$M40-$A$15,BJ$13)))</f>
        <v>1000000000000</v>
      </c>
      <c r="BK40" s="171">
        <f ca="1">IF(OR($D40&lt;&gt;"Serviço",AND(AUTOEVENTO="Manual",$M40=$A$15)),0,
         IF(OFFSET(CRONOPLE!$F$15,$M40-$A$15,BK$13)=0,10^12,OFFSET(CRONOPLE!$F$15,$M40-$A$15,BK$13)))</f>
        <v>1000000000000</v>
      </c>
      <c r="BL40" s="171">
        <f ca="1">IF(OR($D40&lt;&gt;"Serviço",AND(AUTOEVENTO="Manual",$M40=$A$15)),0,
         IF(OFFSET(CRONOPLE!$F$15,$M40-$A$15,BL$13)=0,10^12,OFFSET(CRONOPLE!$F$15,$M40-$A$15,BL$13)))</f>
        <v>1000000000000</v>
      </c>
      <c r="BM40" s="171">
        <f ca="1">IF(OR($D40&lt;&gt;"Serviço",AND(AUTOEVENTO="Manual",$M40=$A$15)),0,
         IF(OFFSET(CRONOPLE!$F$15,$M40-$A$15,BM$13)=0,10^12,OFFSET(CRONOPLE!$F$15,$M40-$A$15,BM$13)))</f>
        <v>1000000000000</v>
      </c>
      <c r="BN40" s="171">
        <f ca="1">IF(OR($D40&lt;&gt;"Serviço",AND(AUTOEVENTO="Manual",$M40=$A$15)),0,
         IF(OFFSET(CRONOPLE!$F$15,$M40-$A$15,BN$13)=0,10^12,OFFSET(CRONOPLE!$F$15,$M40-$A$15,BN$13)))</f>
        <v>1000000000000</v>
      </c>
      <c r="BO40" s="171">
        <f ca="1">IF(OR($D40&lt;&gt;"Serviço",AND(AUTOEVENTO="Manual",$M40=$A$15)),0,
         IF(OFFSET(CRONOPLE!$F$15,$M40-$A$15,BO$13)=0,10^12,OFFSET(CRONOPLE!$F$15,$M40-$A$15,BO$13)))</f>
        <v>1000000000000</v>
      </c>
      <c r="BP40" s="171">
        <f ca="1">IF(OR($D40&lt;&gt;"Serviço",AND(AUTOEVENTO="Manual",$M40=$A$15)),0,
         IF(OFFSET(CRONOPLE!$F$15,$M40-$A$15,BP$13)=0,10^12,OFFSET(CRONOPLE!$F$15,$M40-$A$15,BP$13)))</f>
        <v>1000000000000</v>
      </c>
      <c r="BQ40" s="171">
        <f ca="1">IF(OR($D40&lt;&gt;"Serviço",AND(AUTOEVENTO="Manual",$M40=$A$15)),0,
         IF(OFFSET(CRONOPLE!$F$15,$M40-$A$15,BQ$13)=0,10^12,OFFSET(CRONOPLE!$F$15,$M40-$A$15,BQ$13)))</f>
        <v>1000000000000</v>
      </c>
      <c r="BR40" s="171">
        <f ca="1">IF(OR($D40&lt;&gt;"Serviço",AND(AUTOEVENTO="Manual",$M40=$A$15)),0,
         IF(OFFSET(CRONOPLE!$F$15,$M40-$A$15,BR$13)=0,10^12,OFFSET(CRONOPLE!$F$15,$M40-$A$15,BR$13)))</f>
        <v>1000000000000</v>
      </c>
      <c r="BS40" s="171">
        <f ca="1">IF(OR($D40&lt;&gt;"Serviço",AND(AUTOEVENTO="Manual",$M40=$A$15)),0,
         IF(OFFSET(CRONOPLE!$F$15,$M40-$A$15,BS$13)=0,10^12,OFFSET(CRONOPLE!$F$15,$M40-$A$15,BS$13)))</f>
        <v>1000000000000</v>
      </c>
      <c r="BT40" s="171">
        <f ca="1">IF(OR($D40&lt;&gt;"Serviço",AND(AUTOEVENTO="Manual",$M40=$A$15)),0,
         IF(OFFSET(CRONOPLE!$F$15,$M40-$A$15,BT$13)=0,10^12,OFFSET(CRONOPLE!$F$15,$M40-$A$15,BT$13)))</f>
        <v>1000000000000</v>
      </c>
      <c r="BV40" s="172" cm="1">
        <f t="array" aca="1" ref="BV40" ca="1">IF(OR($D40&lt;&gt;"Serviço",AND(AUTOEVENTO="Manual",$M40=$A$15),$M40&gt;(ROW(PLE.lastrow)-ROW(PLE.firstrow))),0,
           IF(OFFSET(PLE!$G$15,$M40-$A$15,BV$13)="",10^12,OFFSET(PLE!$G$15,$M40-$A$15,BV$13)))</f>
        <v>1000000000000</v>
      </c>
      <c r="BW40" s="172" cm="1">
        <f t="array" aca="1" ref="BW40" ca="1">IF(OR($D40&lt;&gt;"Serviço",AND(AUTOEVENTO="Manual",$M40=$A$15),$M40&gt;(ROW(PLE.lastrow)-ROW(PLE.firstrow))),0,
           IF(OFFSET(PLE!$G$15,$M40-$A$15,BW$13)="",10^12,OFFSET(PLE!$G$15,$M40-$A$15,BW$13)))</f>
        <v>1000000000000</v>
      </c>
      <c r="BX40" s="172" cm="1">
        <f t="array" aca="1" ref="BX40" ca="1">IF(OR($D40&lt;&gt;"Serviço",AND(AUTOEVENTO="Manual",$M40=$A$15),$M40&gt;(ROW(PLE.lastrow)-ROW(PLE.firstrow))),0,
           IF(OFFSET(PLE!$G$15,$M40-$A$15,BX$13)="",10^12,OFFSET(PLE!$G$15,$M40-$A$15,BX$13)))</f>
        <v>1000000000000</v>
      </c>
      <c r="BY40" s="172" cm="1">
        <f t="array" aca="1" ref="BY40" ca="1">IF(OR($D40&lt;&gt;"Serviço",AND(AUTOEVENTO="Manual",$M40=$A$15),$M40&gt;(ROW(PLE.lastrow)-ROW(PLE.firstrow))),0,
           IF(OFFSET(PLE!$G$15,$M40-$A$15,BY$13)="",10^12,OFFSET(PLE!$G$15,$M40-$A$15,BY$13)))</f>
        <v>1000000000000</v>
      </c>
      <c r="BZ40" s="172" cm="1">
        <f t="array" aca="1" ref="BZ40" ca="1">IF(OR($D40&lt;&gt;"Serviço",AND(AUTOEVENTO="Manual",$M40=$A$15),$M40&gt;(ROW(PLE.lastrow)-ROW(PLE.firstrow))),0,
           IF(OFFSET(PLE!$G$15,$M40-$A$15,BZ$13)="",10^12,OFFSET(PLE!$G$15,$M40-$A$15,BZ$13)))</f>
        <v>1000000000000</v>
      </c>
      <c r="CA40" s="172" cm="1">
        <f t="array" aca="1" ref="CA40" ca="1">IF(OR($D40&lt;&gt;"Serviço",AND(AUTOEVENTO="Manual",$M40=$A$15),$M40&gt;(ROW(PLE.lastrow)-ROW(PLE.firstrow))),0,
           IF(OFFSET(PLE!$G$15,$M40-$A$15,CA$13)="",10^12,OFFSET(PLE!$G$15,$M40-$A$15,CA$13)))</f>
        <v>1000000000000</v>
      </c>
      <c r="CB40" s="172" cm="1">
        <f t="array" aca="1" ref="CB40" ca="1">IF(OR($D40&lt;&gt;"Serviço",AND(AUTOEVENTO="Manual",$M40=$A$15),$M40&gt;(ROW(PLE.lastrow)-ROW(PLE.firstrow))),0,
           IF(OFFSET(PLE!$G$15,$M40-$A$15,CB$13)="",10^12,OFFSET(PLE!$G$15,$M40-$A$15,CB$13)))</f>
        <v>1000000000000</v>
      </c>
      <c r="CC40" s="172" cm="1">
        <f t="array" aca="1" ref="CC40" ca="1">IF(OR($D40&lt;&gt;"Serviço",AND(AUTOEVENTO="Manual",$M40=$A$15),$M40&gt;(ROW(PLE.lastrow)-ROW(PLE.firstrow))),0,
           IF(OFFSET(PLE!$G$15,$M40-$A$15,CC$13)="",10^12,OFFSET(PLE!$G$15,$M40-$A$15,CC$13)))</f>
        <v>1000000000000</v>
      </c>
      <c r="CD40" s="172" cm="1">
        <f t="array" aca="1" ref="CD40" ca="1">IF(OR($D40&lt;&gt;"Serviço",AND(AUTOEVENTO="Manual",$M40=$A$15),$M40&gt;(ROW(PLE.lastrow)-ROW(PLE.firstrow))),0,
           IF(OFFSET(PLE!$G$15,$M40-$A$15,CD$13)="",10^12,OFFSET(PLE!$G$15,$M40-$A$15,CD$13)))</f>
        <v>1000000000000</v>
      </c>
      <c r="CE40" s="172" cm="1">
        <f t="array" aca="1" ref="CE40" ca="1">IF(OR($D40&lt;&gt;"Serviço",AND(AUTOEVENTO="Manual",$M40=$A$15),$M40&gt;(ROW(PLE.lastrow)-ROW(PLE.firstrow))),0,
           IF(OFFSET(PLE!$G$15,$M40-$A$15,CE$13)="",10^12,OFFSET(PLE!$G$15,$M40-$A$15,CE$13)))</f>
        <v>1000000000000</v>
      </c>
      <c r="CF40" s="172" cm="1">
        <f t="array" aca="1" ref="CF40" ca="1">IF(OR($D40&lt;&gt;"Serviço",AND(AUTOEVENTO="Manual",$M40=$A$15),$M40&gt;(ROW(PLE.lastrow)-ROW(PLE.firstrow))),0,
           IF(OFFSET(PLE!$G$15,$M40-$A$15,CF$13)="",10^12,OFFSET(PLE!$G$15,$M40-$A$15,CF$13)))</f>
        <v>1000000000000</v>
      </c>
      <c r="CG40" s="172" cm="1">
        <f t="array" aca="1" ref="CG40" ca="1">IF(OR($D40&lt;&gt;"Serviço",AND(AUTOEVENTO="Manual",$M40=$A$15),$M40&gt;(ROW(PLE.lastrow)-ROW(PLE.firstrow))),0,
           IF(OFFSET(PLE!$G$15,$M40-$A$15,CG$13)="",10^12,OFFSET(PLE!$G$15,$M40-$A$15,CG$13)))</f>
        <v>1000000000000</v>
      </c>
      <c r="CH40" s="172" cm="1">
        <f t="array" aca="1" ref="CH40" ca="1">IF(OR($D40&lt;&gt;"Serviço",AND(AUTOEVENTO="Manual",$M40=$A$15),$M40&gt;(ROW(PLE.lastrow)-ROW(PLE.firstrow))),0,
           IF(OFFSET(PLE!$G$15,$M40-$A$15,CH$13)="",10^12,OFFSET(PLE!$G$15,$M40-$A$15,CH$13)))</f>
        <v>1000000000000</v>
      </c>
      <c r="CI40" s="172" cm="1">
        <f t="array" aca="1" ref="CI40" ca="1">IF(OR($D40&lt;&gt;"Serviço",AND(AUTOEVENTO="Manual",$M40=$A$15),$M40&gt;(ROW(PLE.lastrow)-ROW(PLE.firstrow))),0,
           IF(OFFSET(PLE!$G$15,$M40-$A$15,CI$13)="",10^12,OFFSET(PLE!$G$15,$M40-$A$15,CI$13)))</f>
        <v>1000000000000</v>
      </c>
      <c r="CJ40" s="172" cm="1">
        <f t="array" aca="1" ref="CJ40" ca="1">IF(OR($D40&lt;&gt;"Serviço",AND(AUTOEVENTO="Manual",$M40=$A$15),$M40&gt;(ROW(PLE.lastrow)-ROW(PLE.firstrow))),0,
           IF(OFFSET(PLE!$G$15,$M40-$A$15,CJ$13)="",10^12,OFFSET(PLE!$G$15,$M40-$A$15,CJ$13)))</f>
        <v>1000000000000</v>
      </c>
      <c r="CK40" s="172" cm="1">
        <f t="array" aca="1" ref="CK40" ca="1">IF(OR($D40&lt;&gt;"Serviço",AND(AUTOEVENTO="Manual",$M40=$A$15),$M40&gt;(ROW(PLE.lastrow)-ROW(PLE.firstrow))),0,
           IF(OFFSET(PLE!$G$15,$M40-$A$15,CK$13)="",10^12,OFFSET(PLE!$G$15,$M40-$A$15,CK$13)))</f>
        <v>1000000000000</v>
      </c>
      <c r="CL40" s="172" cm="1">
        <f t="array" aca="1" ref="CL40" ca="1">IF(OR($D40&lt;&gt;"Serviço",AND(AUTOEVENTO="Manual",$M40=$A$15),$M40&gt;(ROW(PLE.lastrow)-ROW(PLE.firstrow))),0,
           IF(OFFSET(PLE!$G$15,$M40-$A$15,CL$13)="",10^12,OFFSET(PLE!$G$15,$M40-$A$15,CL$13)))</f>
        <v>1000000000000</v>
      </c>
      <c r="CM40" s="172" cm="1">
        <f t="array" aca="1" ref="CM40" ca="1">IF(OR($D40&lt;&gt;"Serviço",AND(AUTOEVENTO="Manual",$M40=$A$15),$M40&gt;(ROW(PLE.lastrow)-ROW(PLE.firstrow))),0,
           IF(OFFSET(PLE!$G$15,$M40-$A$15,CM$13)="",10^12,OFFSET(PLE!$G$15,$M40-$A$15,CM$13)))</f>
        <v>1000000000000</v>
      </c>
    </row>
    <row r="41" spans="1:91" s="670" customFormat="1" ht="89.25" x14ac:dyDescent="0.2">
      <c r="A41" s="668">
        <f t="shared" ca="1" si="10"/>
        <v>14</v>
      </c>
      <c r="B41" s="668" t="str">
        <f ca="1">OFFSET(ORÇAMENTO!C$15,$L41,0)</f>
        <v>S</v>
      </c>
      <c r="C41" s="668" t="str">
        <f ca="1">OFFSET(ORÇAMENTO!L$15,$L41,0)</f>
        <v>F</v>
      </c>
      <c r="D41" s="116" t="str">
        <f ca="1">OFFSET(ORÇAMENTO!N$15,$L41,0)</f>
        <v>Serviço</v>
      </c>
      <c r="E41" s="117" t="str">
        <f ca="1">OFFSET(ORÇAMENTO!O$15,$L41,0)</f>
        <v>1.5.3.</v>
      </c>
      <c r="F41" s="163" t="str">
        <f ca="1">OFFSET(ORÇAMENTO!R$15,$L41,0)</f>
        <v>FÔRMA E DESFORMA PARA VIGA-CINTA/BLOCO COM COMPENSADO PLASTIFICADO, ESP. 12MM, REAPROVEITAMENTO (3X) (FUNDAÇÃO)</v>
      </c>
      <c r="G41" s="164" t="str">
        <f ca="1">IF($D41&lt;&gt;"Serviço","",OFFSET(ORÇAMENTO!S$15,$L41,0))</f>
        <v>m2</v>
      </c>
      <c r="H41" s="122" cm="1">
        <f t="array" aca="1" ref="H41" ca="1">IF($D41&lt;&gt;"Serviço",0,IF(ACOMPANHAMENTO="BM",ROUND(OFFSET(ORÇAMENTO!AJ$15,$L41,0),15-13*ORÇAMENTO!$AF$7),IF(IFERROR(CÁLCULO.FrentesPreenchidas,0)=0,0,SUM(ROUND(OFFSET($P41,0,1,1,CÁLCULO.FrentesPreenchidas),15-13*ORÇAMENTO!$AF$7)))))</f>
        <v>20</v>
      </c>
      <c r="I41" s="468" t="s">
        <v>1140</v>
      </c>
      <c r="J41" s="651" t="str" cm="1">
        <f t="array" aca="1" ref="J41" ca="1">IF(OR(B41&lt;&gt;"S",CÁLCULO.FrentesPreenchidas=0),"",IF(AND(ACOMPANHAMENTO="PLE",AUTOEVENTO="Manual",OR(H41&gt;0,ORÇAMENTO!AC41="QUANT."),OR(K41="",M41=0,N41="")),"►E",IF(AND(ACOMPANHAMENTO="PLE",ORÇAMENTO!AC41="QUANT."),"►Q",IF(AND(ACOMPANHAMENTO="PLE",H41&lt;&gt;SUMPRODUCT(($Q$1:$AI$1=1)*ROUND(Q41:AI41,15))),"►S",IF(AND(COUNTIF($P$11:$AI$11,"▼")=0,H41&gt;0,I41=""),"◄M","")))))</f>
        <v/>
      </c>
      <c r="K41" s="652" t="s">
        <v>1342</v>
      </c>
      <c r="L41" s="165">
        <f t="shared" ca="1" si="11"/>
        <v>26</v>
      </c>
      <c r="M41" s="166">
        <f ca="1">IF($D41&lt;&gt;"Serviço","",
          IF(AUTOEVENTO="manual",$A41,
                IF(ISERROR(MATCH($A41,$A$15:OFFSET($A41,-1,0),0)),MAX($M$15:OFFSET(M41,-1,0))+1,
                      INDEX($M$15:OFFSET(M41,-1,0),MATCH($A41,$A$15:OFFSET($A41,-1,0),0)))))</f>
        <v>14</v>
      </c>
      <c r="N41" s="167" t="str">
        <f ca="1">IF($D41&lt;&gt;"Serviço","",
         IF(AUTOEVENTO="Manual",
                IF($A41=0,"&lt;-- defina o número do agrupador",
                       OFFSET(EVENTOS!$D$15,$A41-$A$15,0)),
                OFFSET($F$15,$A41,0)))</f>
        <v>Estrutura - Forma</v>
      </c>
      <c r="O41" s="168"/>
      <c r="Q41" s="168"/>
      <c r="R41" s="169"/>
      <c r="S41" s="169">
        <v>20</v>
      </c>
      <c r="T41" s="169"/>
      <c r="U41" s="169"/>
      <c r="V41" s="169"/>
      <c r="W41" s="169"/>
      <c r="X41" s="169"/>
      <c r="Y41" s="169"/>
      <c r="Z41" s="170"/>
      <c r="AA41" s="705"/>
      <c r="AB41" s="705"/>
      <c r="AC41" s="705"/>
      <c r="AD41" s="705"/>
      <c r="AE41" s="705"/>
      <c r="AF41" s="705"/>
      <c r="AG41" s="705"/>
      <c r="AH41" s="706"/>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L41" s="453">
        <f ca="1">IF(AND($D41="Serviço",AL$12&lt;&gt;0,$H41&gt;0,OR(AUTOEVENTO&lt;&gt;"manual",$M41&lt;&gt;$A$15)),
        IF(Import.TipoArredondamento&lt;&gt;"TransfereGOV",
              ROUND(OFFSET($P41,0,AL$13),15-13*ORÇAMENTO!$AF$7)/$H41*OFFSET(ORÇAMENTO!$X$15,ROW(AL41)-ROW(AL$15),0),
              ROUND(ROUND(OFFSET($P41,0,AL$13),15-13*ORÇAMENTO!$AF$7)*OFFSET(ORÇAMENTO!$W$15,ROW(AL41)-ROW(AL$15),0),15-13*ORÇAMENTO!$AF$11)),
         0)</f>
        <v>1953.8</v>
      </c>
      <c r="AM41" s="453">
        <f ca="1">IF(AND($D41="Serviço",AM$12&lt;&gt;0,$H41&gt;0,OR(AUTOEVENTO&lt;&gt;"manual",$M41&lt;&gt;$A$15)),
        IF(Import.TipoArredondamento&lt;&gt;"TransfereGOV",
              ROUND(OFFSET($P41,0,AM$13),15-13*ORÇAMENTO!$AF$7)/$H41*OFFSET(ORÇAMENTO!$X$15,ROW(AM41)-ROW(AM$15),0),
              ROUND(ROUND(OFFSET($P41,0,AM$13),15-13*ORÇAMENTO!$AF$7)*OFFSET(ORÇAMENTO!$W$15,ROW(AM41)-ROW(AM$15),0),15-13*ORÇAMENTO!$AF$11)),
         0)</f>
        <v>0</v>
      </c>
      <c r="AN41" s="453">
        <f ca="1">IF(AND($D41="Serviço",AN$12&lt;&gt;0,$H41&gt;0,OR(AUTOEVENTO&lt;&gt;"manual",$M41&lt;&gt;$A$15)),
        IF(Import.TipoArredondamento&lt;&gt;"TransfereGOV",
              ROUND(OFFSET($P41,0,AN$13),15-13*ORÇAMENTO!$AF$7)/$H41*OFFSET(ORÇAMENTO!$X$15,ROW(AN41)-ROW(AN$15),0),
              ROUND(ROUND(OFFSET($P41,0,AN$13),15-13*ORÇAMENTO!$AF$7)*OFFSET(ORÇAMENTO!$W$15,ROW(AN41)-ROW(AN$15),0),15-13*ORÇAMENTO!$AF$11)),
         0)</f>
        <v>0</v>
      </c>
      <c r="AO41" s="453">
        <f ca="1">IF(AND($D41="Serviço",AO$12&lt;&gt;0,$H41&gt;0,OR(AUTOEVENTO&lt;&gt;"manual",$M41&lt;&gt;$A$15)),
        IF(Import.TipoArredondamento&lt;&gt;"TransfereGOV",
              ROUND(OFFSET($P41,0,AO$13),15-13*ORÇAMENTO!$AF$7)/$H41*OFFSET(ORÇAMENTO!$X$15,ROW(AO41)-ROW(AO$15),0),
              ROUND(ROUND(OFFSET($P41,0,AO$13),15-13*ORÇAMENTO!$AF$7)*OFFSET(ORÇAMENTO!$W$15,ROW(AO41)-ROW(AO$15),0),15-13*ORÇAMENTO!$AF$11)),
         0)</f>
        <v>0</v>
      </c>
      <c r="AP41" s="453">
        <f ca="1">IF(AND($D41="Serviço",AP$12&lt;&gt;0,$H41&gt;0,OR(AUTOEVENTO&lt;&gt;"manual",$M41&lt;&gt;$A$15)),
        IF(Import.TipoArredondamento&lt;&gt;"TransfereGOV",
              ROUND(OFFSET($P41,0,AP$13),15-13*ORÇAMENTO!$AF$7)/$H41*OFFSET(ORÇAMENTO!$X$15,ROW(AP41)-ROW(AP$15),0),
              ROUND(ROUND(OFFSET($P41,0,AP$13),15-13*ORÇAMENTO!$AF$7)*OFFSET(ORÇAMENTO!$W$15,ROW(AP41)-ROW(AP$15),0),15-13*ORÇAMENTO!$AF$11)),
         0)</f>
        <v>0</v>
      </c>
      <c r="AQ41" s="453">
        <f ca="1">IF(AND($D41="Serviço",AQ$12&lt;&gt;0,$H41&gt;0,OR(AUTOEVENTO&lt;&gt;"manual",$M41&lt;&gt;$A$15)),
        IF(Import.TipoArredondamento&lt;&gt;"TransfereGOV",
              ROUND(OFFSET($P41,0,AQ$13),15-13*ORÇAMENTO!$AF$7)/$H41*OFFSET(ORÇAMENTO!$X$15,ROW(AQ41)-ROW(AQ$15),0),
              ROUND(ROUND(OFFSET($P41,0,AQ$13),15-13*ORÇAMENTO!$AF$7)*OFFSET(ORÇAMENTO!$W$15,ROW(AQ41)-ROW(AQ$15),0),15-13*ORÇAMENTO!$AF$11)),
         0)</f>
        <v>0</v>
      </c>
      <c r="AR41" s="453">
        <f ca="1">IF(AND($D41="Serviço",AR$12&lt;&gt;0,$H41&gt;0,OR(AUTOEVENTO&lt;&gt;"manual",$M41&lt;&gt;$A$15)),
        IF(Import.TipoArredondamento&lt;&gt;"TransfereGOV",
              ROUND(OFFSET($P41,0,AR$13),15-13*ORÇAMENTO!$AF$7)/$H41*OFFSET(ORÇAMENTO!$X$15,ROW(AR41)-ROW(AR$15),0),
              ROUND(ROUND(OFFSET($P41,0,AR$13),15-13*ORÇAMENTO!$AF$7)*OFFSET(ORÇAMENTO!$W$15,ROW(AR41)-ROW(AR$15),0),15-13*ORÇAMENTO!$AF$11)),
         0)</f>
        <v>0</v>
      </c>
      <c r="AS41" s="453">
        <f ca="1">IF(AND($D41="Serviço",AS$12&lt;&gt;0,$H41&gt;0,OR(AUTOEVENTO&lt;&gt;"manual",$M41&lt;&gt;$A$15)),
        IF(Import.TipoArredondamento&lt;&gt;"TransfereGOV",
              ROUND(OFFSET($P41,0,AS$13),15-13*ORÇAMENTO!$AF$7)/$H41*OFFSET(ORÇAMENTO!$X$15,ROW(AS41)-ROW(AS$15),0),
              ROUND(ROUND(OFFSET($P41,0,AS$13),15-13*ORÇAMENTO!$AF$7)*OFFSET(ORÇAMENTO!$W$15,ROW(AS41)-ROW(AS$15),0),15-13*ORÇAMENTO!$AF$11)),
         0)</f>
        <v>0</v>
      </c>
      <c r="AT41" s="453">
        <f ca="1">IF(AND($D41="Serviço",AT$12&lt;&gt;0,$H41&gt;0,OR(AUTOEVENTO&lt;&gt;"manual",$M41&lt;&gt;$A$15)),
        IF(Import.TipoArredondamento&lt;&gt;"TransfereGOV",
              ROUND(OFFSET($P41,0,AT$13),15-13*ORÇAMENTO!$AF$7)/$H41*OFFSET(ORÇAMENTO!$X$15,ROW(AT41)-ROW(AT$15),0),
              ROUND(ROUND(OFFSET($P41,0,AT$13),15-13*ORÇAMENTO!$AF$7)*OFFSET(ORÇAMENTO!$W$15,ROW(AT41)-ROW(AT$15),0),15-13*ORÇAMENTO!$AF$11)),
         0)</f>
        <v>0</v>
      </c>
      <c r="AU41" s="453">
        <f ca="1">IF(AND($D41="Serviço",AU$12&lt;&gt;0,$H41&gt;0,OR(AUTOEVENTO&lt;&gt;"manual",$M41&lt;&gt;$A$15)),
        IF(Import.TipoArredondamento&lt;&gt;"TransfereGOV",
              ROUND(OFFSET($P41,0,AU$13),15-13*ORÇAMENTO!$AF$7)/$H41*OFFSET(ORÇAMENTO!$X$15,ROW(AU41)-ROW(AU$15),0),
              ROUND(ROUND(OFFSET($P41,0,AU$13),15-13*ORÇAMENTO!$AF$7)*OFFSET(ORÇAMENTO!$W$15,ROW(AU41)-ROW(AU$15),0),15-13*ORÇAMENTO!$AF$11)),
         0)</f>
        <v>0</v>
      </c>
      <c r="AV41" s="453">
        <f ca="1">IF(AND($D41="Serviço",AV$12&lt;&gt;0,$H41&gt;0,OR(AUTOEVENTO&lt;&gt;"manual",$M41&lt;&gt;$A$15)),
        IF(Import.TipoArredondamento&lt;&gt;"TransfereGOV",
              ROUND(OFFSET($P41,0,AV$13),15-13*ORÇAMENTO!$AF$7)/$H41*OFFSET(ORÇAMENTO!$X$15,ROW(AV41)-ROW(AV$15),0),
              ROUND(ROUND(OFFSET($P41,0,AV$13),15-13*ORÇAMENTO!$AF$7)*OFFSET(ORÇAMENTO!$W$15,ROW(AV41)-ROW(AV$15),0),15-13*ORÇAMENTO!$AF$11)),
         0)</f>
        <v>0</v>
      </c>
      <c r="AW41" s="453">
        <f ca="1">IF(AND($D41="Serviço",AW$12&lt;&gt;0,$H41&gt;0,OR(AUTOEVENTO&lt;&gt;"manual",$M41&lt;&gt;$A$15)),
        IF(Import.TipoArredondamento&lt;&gt;"TransfereGOV",
              ROUND(OFFSET($P41,0,AW$13),15-13*ORÇAMENTO!$AF$7)/$H41*OFFSET(ORÇAMENTO!$X$15,ROW(AW41)-ROW(AW$15),0),
              ROUND(ROUND(OFFSET($P41,0,AW$13),15-13*ORÇAMENTO!$AF$7)*OFFSET(ORÇAMENTO!$W$15,ROW(AW41)-ROW(AW$15),0),15-13*ORÇAMENTO!$AF$11)),
         0)</f>
        <v>0</v>
      </c>
      <c r="AX41" s="453">
        <f ca="1">IF(AND($D41="Serviço",AX$12&lt;&gt;0,$H41&gt;0,OR(AUTOEVENTO&lt;&gt;"manual",$M41&lt;&gt;$A$15)),
        IF(Import.TipoArredondamento&lt;&gt;"TransfereGOV",
              ROUND(OFFSET($P41,0,AX$13),15-13*ORÇAMENTO!$AF$7)/$H41*OFFSET(ORÇAMENTO!$X$15,ROW(AX41)-ROW(AX$15),0),
              ROUND(ROUND(OFFSET($P41,0,AX$13),15-13*ORÇAMENTO!$AF$7)*OFFSET(ORÇAMENTO!$W$15,ROW(AX41)-ROW(AX$15),0),15-13*ORÇAMENTO!$AF$11)),
         0)</f>
        <v>0</v>
      </c>
      <c r="AY41" s="453">
        <f ca="1">IF(AND($D41="Serviço",AY$12&lt;&gt;0,$H41&gt;0,OR(AUTOEVENTO&lt;&gt;"manual",$M41&lt;&gt;$A$15)),
        IF(Import.TipoArredondamento&lt;&gt;"TransfereGOV",
              ROUND(OFFSET($P41,0,AY$13),15-13*ORÇAMENTO!$AF$7)/$H41*OFFSET(ORÇAMENTO!$X$15,ROW(AY41)-ROW(AY$15),0),
              ROUND(ROUND(OFFSET($P41,0,AY$13),15-13*ORÇAMENTO!$AF$7)*OFFSET(ORÇAMENTO!$W$15,ROW(AY41)-ROW(AY$15),0),15-13*ORÇAMENTO!$AF$11)),
         0)</f>
        <v>0</v>
      </c>
      <c r="AZ41" s="453">
        <f ca="1">IF(AND($D41="Serviço",AZ$12&lt;&gt;0,$H41&gt;0,OR(AUTOEVENTO&lt;&gt;"manual",$M41&lt;&gt;$A$15)),
        IF(Import.TipoArredondamento&lt;&gt;"TransfereGOV",
              ROUND(OFFSET($P41,0,AZ$13),15-13*ORÇAMENTO!$AF$7)/$H41*OFFSET(ORÇAMENTO!$X$15,ROW(AZ41)-ROW(AZ$15),0),
              ROUND(ROUND(OFFSET($P41,0,AZ$13),15-13*ORÇAMENTO!$AF$7)*OFFSET(ORÇAMENTO!$W$15,ROW(AZ41)-ROW(AZ$15),0),15-13*ORÇAMENTO!$AF$11)),
         0)</f>
        <v>0</v>
      </c>
      <c r="BA41" s="453">
        <f ca="1">IF(AND($D41="Serviço",BA$12&lt;&gt;0,$H41&gt;0,OR(AUTOEVENTO&lt;&gt;"manual",$M41&lt;&gt;$A$15)),
        IF(Import.TipoArredondamento&lt;&gt;"TransfereGOV",
              ROUND(OFFSET($P41,0,BA$13),15-13*ORÇAMENTO!$AF$7)/$H41*OFFSET(ORÇAMENTO!$X$15,ROW(BA41)-ROW(BA$15),0),
              ROUND(ROUND(OFFSET($P41,0,BA$13),15-13*ORÇAMENTO!$AF$7)*OFFSET(ORÇAMENTO!$W$15,ROW(BA41)-ROW(BA$15),0),15-13*ORÇAMENTO!$AF$11)),
         0)</f>
        <v>0</v>
      </c>
      <c r="BC41" s="171">
        <f ca="1">IF(OR($D41&lt;&gt;"Serviço",AND(AUTOEVENTO="Manual",$M41=$A$15)),0,
         IF(OFFSET(CRONOPLE!$F$15,$M41-$A$15,BC$13)=0,10^12,OFFSET(CRONOPLE!$F$15,$M41-$A$15,BC$13)))</f>
        <v>1000000000000</v>
      </c>
      <c r="BD41" s="171">
        <f ca="1">IF(OR($D41&lt;&gt;"Serviço",AND(AUTOEVENTO="Manual",$M41=$A$15)),0,
         IF(OFFSET(CRONOPLE!$F$15,$M41-$A$15,BD$13)=0,10^12,OFFSET(CRONOPLE!$F$15,$M41-$A$15,BD$13)))</f>
        <v>1000000000000</v>
      </c>
      <c r="BE41" s="171">
        <f ca="1">IF(OR($D41&lt;&gt;"Serviço",AND(AUTOEVENTO="Manual",$M41=$A$15)),0,
         IF(OFFSET(CRONOPLE!$F$15,$M41-$A$15,BE$13)=0,10^12,OFFSET(CRONOPLE!$F$15,$M41-$A$15,BE$13)))</f>
        <v>6</v>
      </c>
      <c r="BF41" s="171">
        <f ca="1">IF(OR($D41&lt;&gt;"Serviço",AND(AUTOEVENTO="Manual",$M41=$A$15)),0,
         IF(OFFSET(CRONOPLE!$F$15,$M41-$A$15,BF$13)=0,10^12,OFFSET(CRONOPLE!$F$15,$M41-$A$15,BF$13)))</f>
        <v>10</v>
      </c>
      <c r="BG41" s="171">
        <f ca="1">IF(OR($D41&lt;&gt;"Serviço",AND(AUTOEVENTO="Manual",$M41=$A$15)),0,
         IF(OFFSET(CRONOPLE!$F$15,$M41-$A$15,BG$13)=0,10^12,OFFSET(CRONOPLE!$F$15,$M41-$A$15,BG$13)))</f>
        <v>10</v>
      </c>
      <c r="BH41" s="171">
        <f ca="1">IF(OR($D41&lt;&gt;"Serviço",AND(AUTOEVENTO="Manual",$M41=$A$15)),0,
         IF(OFFSET(CRONOPLE!$F$15,$M41-$A$15,BH$13)=0,10^12,OFFSET(CRONOPLE!$F$15,$M41-$A$15,BH$13)))</f>
        <v>1000000000000</v>
      </c>
      <c r="BI41" s="171">
        <f ca="1">IF(OR($D41&lt;&gt;"Serviço",AND(AUTOEVENTO="Manual",$M41=$A$15)),0,
         IF(OFFSET(CRONOPLE!$F$15,$M41-$A$15,BI$13)=0,10^12,OFFSET(CRONOPLE!$F$15,$M41-$A$15,BI$13)))</f>
        <v>1000000000000</v>
      </c>
      <c r="BJ41" s="171">
        <f ca="1">IF(OR($D41&lt;&gt;"Serviço",AND(AUTOEVENTO="Manual",$M41=$A$15)),0,
         IF(OFFSET(CRONOPLE!$F$15,$M41-$A$15,BJ$13)=0,10^12,OFFSET(CRONOPLE!$F$15,$M41-$A$15,BJ$13)))</f>
        <v>1000000000000</v>
      </c>
      <c r="BK41" s="171">
        <f ca="1">IF(OR($D41&lt;&gt;"Serviço",AND(AUTOEVENTO="Manual",$M41=$A$15)),0,
         IF(OFFSET(CRONOPLE!$F$15,$M41-$A$15,BK$13)=0,10^12,OFFSET(CRONOPLE!$F$15,$M41-$A$15,BK$13)))</f>
        <v>1000000000000</v>
      </c>
      <c r="BL41" s="171">
        <f ca="1">IF(OR($D41&lt;&gt;"Serviço",AND(AUTOEVENTO="Manual",$M41=$A$15)),0,
         IF(OFFSET(CRONOPLE!$F$15,$M41-$A$15,BL$13)=0,10^12,OFFSET(CRONOPLE!$F$15,$M41-$A$15,BL$13)))</f>
        <v>1000000000000</v>
      </c>
      <c r="BM41" s="171">
        <f ca="1">IF(OR($D41&lt;&gt;"Serviço",AND(AUTOEVENTO="Manual",$M41=$A$15)),0,
         IF(OFFSET(CRONOPLE!$F$15,$M41-$A$15,BM$13)=0,10^12,OFFSET(CRONOPLE!$F$15,$M41-$A$15,BM$13)))</f>
        <v>1000000000000</v>
      </c>
      <c r="BN41" s="171">
        <f ca="1">IF(OR($D41&lt;&gt;"Serviço",AND(AUTOEVENTO="Manual",$M41=$A$15)),0,
         IF(OFFSET(CRONOPLE!$F$15,$M41-$A$15,BN$13)=0,10^12,OFFSET(CRONOPLE!$F$15,$M41-$A$15,BN$13)))</f>
        <v>1000000000000</v>
      </c>
      <c r="BO41" s="171">
        <f ca="1">IF(OR($D41&lt;&gt;"Serviço",AND(AUTOEVENTO="Manual",$M41=$A$15)),0,
         IF(OFFSET(CRONOPLE!$F$15,$M41-$A$15,BO$13)=0,10^12,OFFSET(CRONOPLE!$F$15,$M41-$A$15,BO$13)))</f>
        <v>1000000000000</v>
      </c>
      <c r="BP41" s="171">
        <f ca="1">IF(OR($D41&lt;&gt;"Serviço",AND(AUTOEVENTO="Manual",$M41=$A$15)),0,
         IF(OFFSET(CRONOPLE!$F$15,$M41-$A$15,BP$13)=0,10^12,OFFSET(CRONOPLE!$F$15,$M41-$A$15,BP$13)))</f>
        <v>1000000000000</v>
      </c>
      <c r="BQ41" s="171">
        <f ca="1">IF(OR($D41&lt;&gt;"Serviço",AND(AUTOEVENTO="Manual",$M41=$A$15)),0,
         IF(OFFSET(CRONOPLE!$F$15,$M41-$A$15,BQ$13)=0,10^12,OFFSET(CRONOPLE!$F$15,$M41-$A$15,BQ$13)))</f>
        <v>1000000000000</v>
      </c>
      <c r="BR41" s="171">
        <f ca="1">IF(OR($D41&lt;&gt;"Serviço",AND(AUTOEVENTO="Manual",$M41=$A$15)),0,
         IF(OFFSET(CRONOPLE!$F$15,$M41-$A$15,BR$13)=0,10^12,OFFSET(CRONOPLE!$F$15,$M41-$A$15,BR$13)))</f>
        <v>1000000000000</v>
      </c>
      <c r="BS41" s="171">
        <f ca="1">IF(OR($D41&lt;&gt;"Serviço",AND(AUTOEVENTO="Manual",$M41=$A$15)),0,
         IF(OFFSET(CRONOPLE!$F$15,$M41-$A$15,BS$13)=0,10^12,OFFSET(CRONOPLE!$F$15,$M41-$A$15,BS$13)))</f>
        <v>1000000000000</v>
      </c>
      <c r="BT41" s="171">
        <f ca="1">IF(OR($D41&lt;&gt;"Serviço",AND(AUTOEVENTO="Manual",$M41=$A$15)),0,
         IF(OFFSET(CRONOPLE!$F$15,$M41-$A$15,BT$13)=0,10^12,OFFSET(CRONOPLE!$F$15,$M41-$A$15,BT$13)))</f>
        <v>1000000000000</v>
      </c>
      <c r="BV41" s="172" cm="1">
        <f t="array" aca="1" ref="BV41" ca="1">IF(OR($D41&lt;&gt;"Serviço",AND(AUTOEVENTO="Manual",$M41=$A$15),$M41&gt;(ROW(PLE.lastrow)-ROW(PLE.firstrow))),0,
           IF(OFFSET(PLE!$G$15,$M41-$A$15,BV$13)="",10^12,OFFSET(PLE!$G$15,$M41-$A$15,BV$13)))</f>
        <v>1000000000000</v>
      </c>
      <c r="BW41" s="172" cm="1">
        <f t="array" aca="1" ref="BW41" ca="1">IF(OR($D41&lt;&gt;"Serviço",AND(AUTOEVENTO="Manual",$M41=$A$15),$M41&gt;(ROW(PLE.lastrow)-ROW(PLE.firstrow))),0,
           IF(OFFSET(PLE!$G$15,$M41-$A$15,BW$13)="",10^12,OFFSET(PLE!$G$15,$M41-$A$15,BW$13)))</f>
        <v>1000000000000</v>
      </c>
      <c r="BX41" s="172" cm="1">
        <f t="array" aca="1" ref="BX41" ca="1">IF(OR($D41&lt;&gt;"Serviço",AND(AUTOEVENTO="Manual",$M41=$A$15),$M41&gt;(ROW(PLE.lastrow)-ROW(PLE.firstrow))),0,
           IF(OFFSET(PLE!$G$15,$M41-$A$15,BX$13)="",10^12,OFFSET(PLE!$G$15,$M41-$A$15,BX$13)))</f>
        <v>1000000000000</v>
      </c>
      <c r="BY41" s="172" cm="1">
        <f t="array" aca="1" ref="BY41" ca="1">IF(OR($D41&lt;&gt;"Serviço",AND(AUTOEVENTO="Manual",$M41=$A$15),$M41&gt;(ROW(PLE.lastrow)-ROW(PLE.firstrow))),0,
           IF(OFFSET(PLE!$G$15,$M41-$A$15,BY$13)="",10^12,OFFSET(PLE!$G$15,$M41-$A$15,BY$13)))</f>
        <v>1000000000000</v>
      </c>
      <c r="BZ41" s="172" cm="1">
        <f t="array" aca="1" ref="BZ41" ca="1">IF(OR($D41&lt;&gt;"Serviço",AND(AUTOEVENTO="Manual",$M41=$A$15),$M41&gt;(ROW(PLE.lastrow)-ROW(PLE.firstrow))),0,
           IF(OFFSET(PLE!$G$15,$M41-$A$15,BZ$13)="",10^12,OFFSET(PLE!$G$15,$M41-$A$15,BZ$13)))</f>
        <v>1000000000000</v>
      </c>
      <c r="CA41" s="172" cm="1">
        <f t="array" aca="1" ref="CA41" ca="1">IF(OR($D41&lt;&gt;"Serviço",AND(AUTOEVENTO="Manual",$M41=$A$15),$M41&gt;(ROW(PLE.lastrow)-ROW(PLE.firstrow))),0,
           IF(OFFSET(PLE!$G$15,$M41-$A$15,CA$13)="",10^12,OFFSET(PLE!$G$15,$M41-$A$15,CA$13)))</f>
        <v>1000000000000</v>
      </c>
      <c r="CB41" s="172" cm="1">
        <f t="array" aca="1" ref="CB41" ca="1">IF(OR($D41&lt;&gt;"Serviço",AND(AUTOEVENTO="Manual",$M41=$A$15),$M41&gt;(ROW(PLE.lastrow)-ROW(PLE.firstrow))),0,
           IF(OFFSET(PLE!$G$15,$M41-$A$15,CB$13)="",10^12,OFFSET(PLE!$G$15,$M41-$A$15,CB$13)))</f>
        <v>1000000000000</v>
      </c>
      <c r="CC41" s="172" cm="1">
        <f t="array" aca="1" ref="CC41" ca="1">IF(OR($D41&lt;&gt;"Serviço",AND(AUTOEVENTO="Manual",$M41=$A$15),$M41&gt;(ROW(PLE.lastrow)-ROW(PLE.firstrow))),0,
           IF(OFFSET(PLE!$G$15,$M41-$A$15,CC$13)="",10^12,OFFSET(PLE!$G$15,$M41-$A$15,CC$13)))</f>
        <v>1000000000000</v>
      </c>
      <c r="CD41" s="172" cm="1">
        <f t="array" aca="1" ref="CD41" ca="1">IF(OR($D41&lt;&gt;"Serviço",AND(AUTOEVENTO="Manual",$M41=$A$15),$M41&gt;(ROW(PLE.lastrow)-ROW(PLE.firstrow))),0,
           IF(OFFSET(PLE!$G$15,$M41-$A$15,CD$13)="",10^12,OFFSET(PLE!$G$15,$M41-$A$15,CD$13)))</f>
        <v>1000000000000</v>
      </c>
      <c r="CE41" s="172" cm="1">
        <f t="array" aca="1" ref="CE41" ca="1">IF(OR($D41&lt;&gt;"Serviço",AND(AUTOEVENTO="Manual",$M41=$A$15),$M41&gt;(ROW(PLE.lastrow)-ROW(PLE.firstrow))),0,
           IF(OFFSET(PLE!$G$15,$M41-$A$15,CE$13)="",10^12,OFFSET(PLE!$G$15,$M41-$A$15,CE$13)))</f>
        <v>1000000000000</v>
      </c>
      <c r="CF41" s="172" cm="1">
        <f t="array" aca="1" ref="CF41" ca="1">IF(OR($D41&lt;&gt;"Serviço",AND(AUTOEVENTO="Manual",$M41=$A$15),$M41&gt;(ROW(PLE.lastrow)-ROW(PLE.firstrow))),0,
           IF(OFFSET(PLE!$G$15,$M41-$A$15,CF$13)="",10^12,OFFSET(PLE!$G$15,$M41-$A$15,CF$13)))</f>
        <v>1000000000000</v>
      </c>
      <c r="CG41" s="172" cm="1">
        <f t="array" aca="1" ref="CG41" ca="1">IF(OR($D41&lt;&gt;"Serviço",AND(AUTOEVENTO="Manual",$M41=$A$15),$M41&gt;(ROW(PLE.lastrow)-ROW(PLE.firstrow))),0,
           IF(OFFSET(PLE!$G$15,$M41-$A$15,CG$13)="",10^12,OFFSET(PLE!$G$15,$M41-$A$15,CG$13)))</f>
        <v>1000000000000</v>
      </c>
      <c r="CH41" s="172" cm="1">
        <f t="array" aca="1" ref="CH41" ca="1">IF(OR($D41&lt;&gt;"Serviço",AND(AUTOEVENTO="Manual",$M41=$A$15),$M41&gt;(ROW(PLE.lastrow)-ROW(PLE.firstrow))),0,
           IF(OFFSET(PLE!$G$15,$M41-$A$15,CH$13)="",10^12,OFFSET(PLE!$G$15,$M41-$A$15,CH$13)))</f>
        <v>1000000000000</v>
      </c>
      <c r="CI41" s="172" cm="1">
        <f t="array" aca="1" ref="CI41" ca="1">IF(OR($D41&lt;&gt;"Serviço",AND(AUTOEVENTO="Manual",$M41=$A$15),$M41&gt;(ROW(PLE.lastrow)-ROW(PLE.firstrow))),0,
           IF(OFFSET(PLE!$G$15,$M41-$A$15,CI$13)="",10^12,OFFSET(PLE!$G$15,$M41-$A$15,CI$13)))</f>
        <v>1000000000000</v>
      </c>
      <c r="CJ41" s="172" cm="1">
        <f t="array" aca="1" ref="CJ41" ca="1">IF(OR($D41&lt;&gt;"Serviço",AND(AUTOEVENTO="Manual",$M41=$A$15),$M41&gt;(ROW(PLE.lastrow)-ROW(PLE.firstrow))),0,
           IF(OFFSET(PLE!$G$15,$M41-$A$15,CJ$13)="",10^12,OFFSET(PLE!$G$15,$M41-$A$15,CJ$13)))</f>
        <v>1000000000000</v>
      </c>
      <c r="CK41" s="172" cm="1">
        <f t="array" aca="1" ref="CK41" ca="1">IF(OR($D41&lt;&gt;"Serviço",AND(AUTOEVENTO="Manual",$M41=$A$15),$M41&gt;(ROW(PLE.lastrow)-ROW(PLE.firstrow))),0,
           IF(OFFSET(PLE!$G$15,$M41-$A$15,CK$13)="",10^12,OFFSET(PLE!$G$15,$M41-$A$15,CK$13)))</f>
        <v>1000000000000</v>
      </c>
      <c r="CL41" s="172" cm="1">
        <f t="array" aca="1" ref="CL41" ca="1">IF(OR($D41&lt;&gt;"Serviço",AND(AUTOEVENTO="Manual",$M41=$A$15),$M41&gt;(ROW(PLE.lastrow)-ROW(PLE.firstrow))),0,
           IF(OFFSET(PLE!$G$15,$M41-$A$15,CL$13)="",10^12,OFFSET(PLE!$G$15,$M41-$A$15,CL$13)))</f>
        <v>1000000000000</v>
      </c>
      <c r="CM41" s="172" cm="1">
        <f t="array" aca="1" ref="CM41" ca="1">IF(OR($D41&lt;&gt;"Serviço",AND(AUTOEVENTO="Manual",$M41=$A$15),$M41&gt;(ROW(PLE.lastrow)-ROW(PLE.firstrow))),0,
           IF(OFFSET(PLE!$G$15,$M41-$A$15,CM$13)="",10^12,OFFSET(PLE!$G$15,$M41-$A$15,CM$13)))</f>
        <v>1000000000000</v>
      </c>
    </row>
    <row r="42" spans="1:91" s="670" customFormat="1" ht="12.75" x14ac:dyDescent="0.2">
      <c r="A42" s="668">
        <f t="shared" ca="1" si="10"/>
        <v>0</v>
      </c>
      <c r="B42" s="668">
        <f ca="1">OFFSET(ORÇAMENTO!C$15,$L42,0)</f>
        <v>2</v>
      </c>
      <c r="C42" s="668" t="str">
        <f ca="1">OFFSET(ORÇAMENTO!L$15,$L42,0)</f>
        <v>F</v>
      </c>
      <c r="D42" s="116" t="str">
        <f ca="1">OFFSET(ORÇAMENTO!N$15,$L42,0)</f>
        <v>Nível 2</v>
      </c>
      <c r="E42" s="117" t="str">
        <f ca="1">OFFSET(ORÇAMENTO!O$15,$L42,0)</f>
        <v>1.6.</v>
      </c>
      <c r="F42" s="163" t="str">
        <f ca="1">OFFSET(ORÇAMENTO!R$15,$L42,0)</f>
        <v xml:space="preserve">RESERVATÓRIO </v>
      </c>
      <c r="G42" s="164" t="str">
        <f ca="1">IF($D42&lt;&gt;"Serviço","",OFFSET(ORÇAMENTO!S$15,$L42,0))</f>
        <v/>
      </c>
      <c r="H42" s="122" cm="1">
        <f t="array" aca="1" ref="H42" ca="1">IF($D42&lt;&gt;"Serviço",0,IF(ACOMPANHAMENTO="BM",ROUND(OFFSET(ORÇAMENTO!AJ$15,$L42,0),15-13*ORÇAMENTO!$AF$7),IF(IFERROR(CÁLCULO.FrentesPreenchidas,0)=0,0,SUM(ROUND(OFFSET($P42,0,1,1,CÁLCULO.FrentesPreenchidas),15-13*ORÇAMENTO!$AF$7)))))</f>
        <v>0</v>
      </c>
      <c r="I42" s="468"/>
      <c r="J42" s="651" t="str" cm="1">
        <f t="array" aca="1" ref="J42" ca="1">IF(OR(B42&lt;&gt;"S",CÁLCULO.FrentesPreenchidas=0),"",IF(AND(ACOMPANHAMENTO="PLE",AUTOEVENTO="Manual",OR(H42&gt;0,ORÇAMENTO!AC42="QUANT."),OR(K42="",M42=0,N42="")),"►E",IF(AND(ACOMPANHAMENTO="PLE",ORÇAMENTO!AC42="QUANT."),"►Q",IF(AND(ACOMPANHAMENTO="PLE",H42&lt;&gt;SUMPRODUCT(($Q$1:$AI$1=1)*ROUND(Q42:AI42,15))),"►S",IF(AND(COUNTIF($P$11:$AI$11,"▼")=0,H42&gt;0,I42=""),"◄M","")))))</f>
        <v/>
      </c>
      <c r="K42" s="652"/>
      <c r="L42" s="165">
        <f t="shared" ca="1" si="11"/>
        <v>27</v>
      </c>
      <c r="M42" s="166" t="str">
        <f ca="1">IF($D42&lt;&gt;"Serviço","",
          IF(AUTOEVENTO="manual",$A42,
                IF(ISERROR(MATCH($A42,$A$15:OFFSET($A42,-1,0),0)),MAX($M$15:OFFSET(M42,-1,0))+1,
                      INDEX($M$15:OFFSET(M42,-1,0),MATCH($A42,$A$15:OFFSET($A42,-1,0),0)))))</f>
        <v/>
      </c>
      <c r="N42" s="167" t="str">
        <f ca="1">IF($D42&lt;&gt;"Serviço","",
         IF(AUTOEVENTO="Manual",
                IF($A42=0,"&lt;-- defina o número do agrupador",
                       OFFSET(EVENTOS!$D$15,$A42-$A$15,0)),
                OFFSET($F$15,$A42,0)))</f>
        <v/>
      </c>
      <c r="O42" s="168"/>
      <c r="Q42" s="168"/>
      <c r="R42" s="169"/>
      <c r="S42" s="169" t="s">
        <v>250</v>
      </c>
      <c r="T42" s="169"/>
      <c r="U42" s="169"/>
      <c r="V42" s="169"/>
      <c r="W42" s="169"/>
      <c r="X42" s="169"/>
      <c r="Y42" s="169"/>
      <c r="Z42" s="170"/>
      <c r="AA42" s="705"/>
      <c r="AB42" s="705"/>
      <c r="AC42" s="705"/>
      <c r="AD42" s="705"/>
      <c r="AE42" s="705"/>
      <c r="AF42" s="705"/>
      <c r="AG42" s="705"/>
      <c r="AH42" s="706"/>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L42" s="453">
        <f ca="1">IF(AND($D42="Serviço",AL$12&lt;&gt;0,$H42&gt;0,OR(AUTOEVENTO&lt;&gt;"manual",$M42&lt;&gt;$A$15)),
        IF(Import.TipoArredondamento&lt;&gt;"TransfereGOV",
              ROUND(OFFSET($P42,0,AL$13),15-13*ORÇAMENTO!$AF$7)/$H42*OFFSET(ORÇAMENTO!$X$15,ROW(AL42)-ROW(AL$15),0),
              ROUND(ROUND(OFFSET($P42,0,AL$13),15-13*ORÇAMENTO!$AF$7)*OFFSET(ORÇAMENTO!$W$15,ROW(AL42)-ROW(AL$15),0),15-13*ORÇAMENTO!$AF$11)),
         0)</f>
        <v>0</v>
      </c>
      <c r="AM42" s="453">
        <f ca="1">IF(AND($D42="Serviço",AM$12&lt;&gt;0,$H42&gt;0,OR(AUTOEVENTO&lt;&gt;"manual",$M42&lt;&gt;$A$15)),
        IF(Import.TipoArredondamento&lt;&gt;"TransfereGOV",
              ROUND(OFFSET($P42,0,AM$13),15-13*ORÇAMENTO!$AF$7)/$H42*OFFSET(ORÇAMENTO!$X$15,ROW(AM42)-ROW(AM$15),0),
              ROUND(ROUND(OFFSET($P42,0,AM$13),15-13*ORÇAMENTO!$AF$7)*OFFSET(ORÇAMENTO!$W$15,ROW(AM42)-ROW(AM$15),0),15-13*ORÇAMENTO!$AF$11)),
         0)</f>
        <v>0</v>
      </c>
      <c r="AN42" s="453">
        <f ca="1">IF(AND($D42="Serviço",AN$12&lt;&gt;0,$H42&gt;0,OR(AUTOEVENTO&lt;&gt;"manual",$M42&lt;&gt;$A$15)),
        IF(Import.TipoArredondamento&lt;&gt;"TransfereGOV",
              ROUND(OFFSET($P42,0,AN$13),15-13*ORÇAMENTO!$AF$7)/$H42*OFFSET(ORÇAMENTO!$X$15,ROW(AN42)-ROW(AN$15),0),
              ROUND(ROUND(OFFSET($P42,0,AN$13),15-13*ORÇAMENTO!$AF$7)*OFFSET(ORÇAMENTO!$W$15,ROW(AN42)-ROW(AN$15),0),15-13*ORÇAMENTO!$AF$11)),
         0)</f>
        <v>0</v>
      </c>
      <c r="AO42" s="453">
        <f ca="1">IF(AND($D42="Serviço",AO$12&lt;&gt;0,$H42&gt;0,OR(AUTOEVENTO&lt;&gt;"manual",$M42&lt;&gt;$A$15)),
        IF(Import.TipoArredondamento&lt;&gt;"TransfereGOV",
              ROUND(OFFSET($P42,0,AO$13),15-13*ORÇAMENTO!$AF$7)/$H42*OFFSET(ORÇAMENTO!$X$15,ROW(AO42)-ROW(AO$15),0),
              ROUND(ROUND(OFFSET($P42,0,AO$13),15-13*ORÇAMENTO!$AF$7)*OFFSET(ORÇAMENTO!$W$15,ROW(AO42)-ROW(AO$15),0),15-13*ORÇAMENTO!$AF$11)),
         0)</f>
        <v>0</v>
      </c>
      <c r="AP42" s="453">
        <f ca="1">IF(AND($D42="Serviço",AP$12&lt;&gt;0,$H42&gt;0,OR(AUTOEVENTO&lt;&gt;"manual",$M42&lt;&gt;$A$15)),
        IF(Import.TipoArredondamento&lt;&gt;"TransfereGOV",
              ROUND(OFFSET($P42,0,AP$13),15-13*ORÇAMENTO!$AF$7)/$H42*OFFSET(ORÇAMENTO!$X$15,ROW(AP42)-ROW(AP$15),0),
              ROUND(ROUND(OFFSET($P42,0,AP$13),15-13*ORÇAMENTO!$AF$7)*OFFSET(ORÇAMENTO!$W$15,ROW(AP42)-ROW(AP$15),0),15-13*ORÇAMENTO!$AF$11)),
         0)</f>
        <v>0</v>
      </c>
      <c r="AQ42" s="453">
        <f ca="1">IF(AND($D42="Serviço",AQ$12&lt;&gt;0,$H42&gt;0,OR(AUTOEVENTO&lt;&gt;"manual",$M42&lt;&gt;$A$15)),
        IF(Import.TipoArredondamento&lt;&gt;"TransfereGOV",
              ROUND(OFFSET($P42,0,AQ$13),15-13*ORÇAMENTO!$AF$7)/$H42*OFFSET(ORÇAMENTO!$X$15,ROW(AQ42)-ROW(AQ$15),0),
              ROUND(ROUND(OFFSET($P42,0,AQ$13),15-13*ORÇAMENTO!$AF$7)*OFFSET(ORÇAMENTO!$W$15,ROW(AQ42)-ROW(AQ$15),0),15-13*ORÇAMENTO!$AF$11)),
         0)</f>
        <v>0</v>
      </c>
      <c r="AR42" s="453">
        <f ca="1">IF(AND($D42="Serviço",AR$12&lt;&gt;0,$H42&gt;0,OR(AUTOEVENTO&lt;&gt;"manual",$M42&lt;&gt;$A$15)),
        IF(Import.TipoArredondamento&lt;&gt;"TransfereGOV",
              ROUND(OFFSET($P42,0,AR$13),15-13*ORÇAMENTO!$AF$7)/$H42*OFFSET(ORÇAMENTO!$X$15,ROW(AR42)-ROW(AR$15),0),
              ROUND(ROUND(OFFSET($P42,0,AR$13),15-13*ORÇAMENTO!$AF$7)*OFFSET(ORÇAMENTO!$W$15,ROW(AR42)-ROW(AR$15),0),15-13*ORÇAMENTO!$AF$11)),
         0)</f>
        <v>0</v>
      </c>
      <c r="AS42" s="453">
        <f ca="1">IF(AND($D42="Serviço",AS$12&lt;&gt;0,$H42&gt;0,OR(AUTOEVENTO&lt;&gt;"manual",$M42&lt;&gt;$A$15)),
        IF(Import.TipoArredondamento&lt;&gt;"TransfereGOV",
              ROUND(OFFSET($P42,0,AS$13),15-13*ORÇAMENTO!$AF$7)/$H42*OFFSET(ORÇAMENTO!$X$15,ROW(AS42)-ROW(AS$15),0),
              ROUND(ROUND(OFFSET($P42,0,AS$13),15-13*ORÇAMENTO!$AF$7)*OFFSET(ORÇAMENTO!$W$15,ROW(AS42)-ROW(AS$15),0),15-13*ORÇAMENTO!$AF$11)),
         0)</f>
        <v>0</v>
      </c>
      <c r="AT42" s="453">
        <f ca="1">IF(AND($D42="Serviço",AT$12&lt;&gt;0,$H42&gt;0,OR(AUTOEVENTO&lt;&gt;"manual",$M42&lt;&gt;$A$15)),
        IF(Import.TipoArredondamento&lt;&gt;"TransfereGOV",
              ROUND(OFFSET($P42,0,AT$13),15-13*ORÇAMENTO!$AF$7)/$H42*OFFSET(ORÇAMENTO!$X$15,ROW(AT42)-ROW(AT$15),0),
              ROUND(ROUND(OFFSET($P42,0,AT$13),15-13*ORÇAMENTO!$AF$7)*OFFSET(ORÇAMENTO!$W$15,ROW(AT42)-ROW(AT$15),0),15-13*ORÇAMENTO!$AF$11)),
         0)</f>
        <v>0</v>
      </c>
      <c r="AU42" s="453">
        <f ca="1">IF(AND($D42="Serviço",AU$12&lt;&gt;0,$H42&gt;0,OR(AUTOEVENTO&lt;&gt;"manual",$M42&lt;&gt;$A$15)),
        IF(Import.TipoArredondamento&lt;&gt;"TransfereGOV",
              ROUND(OFFSET($P42,0,AU$13),15-13*ORÇAMENTO!$AF$7)/$H42*OFFSET(ORÇAMENTO!$X$15,ROW(AU42)-ROW(AU$15),0),
              ROUND(ROUND(OFFSET($P42,0,AU$13),15-13*ORÇAMENTO!$AF$7)*OFFSET(ORÇAMENTO!$W$15,ROW(AU42)-ROW(AU$15),0),15-13*ORÇAMENTO!$AF$11)),
         0)</f>
        <v>0</v>
      </c>
      <c r="AV42" s="453">
        <f ca="1">IF(AND($D42="Serviço",AV$12&lt;&gt;0,$H42&gt;0,OR(AUTOEVENTO&lt;&gt;"manual",$M42&lt;&gt;$A$15)),
        IF(Import.TipoArredondamento&lt;&gt;"TransfereGOV",
              ROUND(OFFSET($P42,0,AV$13),15-13*ORÇAMENTO!$AF$7)/$H42*OFFSET(ORÇAMENTO!$X$15,ROW(AV42)-ROW(AV$15),0),
              ROUND(ROUND(OFFSET($P42,0,AV$13),15-13*ORÇAMENTO!$AF$7)*OFFSET(ORÇAMENTO!$W$15,ROW(AV42)-ROW(AV$15),0),15-13*ORÇAMENTO!$AF$11)),
         0)</f>
        <v>0</v>
      </c>
      <c r="AW42" s="453">
        <f ca="1">IF(AND($D42="Serviço",AW$12&lt;&gt;0,$H42&gt;0,OR(AUTOEVENTO&lt;&gt;"manual",$M42&lt;&gt;$A$15)),
        IF(Import.TipoArredondamento&lt;&gt;"TransfereGOV",
              ROUND(OFFSET($P42,0,AW$13),15-13*ORÇAMENTO!$AF$7)/$H42*OFFSET(ORÇAMENTO!$X$15,ROW(AW42)-ROW(AW$15),0),
              ROUND(ROUND(OFFSET($P42,0,AW$13),15-13*ORÇAMENTO!$AF$7)*OFFSET(ORÇAMENTO!$W$15,ROW(AW42)-ROW(AW$15),0),15-13*ORÇAMENTO!$AF$11)),
         0)</f>
        <v>0</v>
      </c>
      <c r="AX42" s="453">
        <f ca="1">IF(AND($D42="Serviço",AX$12&lt;&gt;0,$H42&gt;0,OR(AUTOEVENTO&lt;&gt;"manual",$M42&lt;&gt;$A$15)),
        IF(Import.TipoArredondamento&lt;&gt;"TransfereGOV",
              ROUND(OFFSET($P42,0,AX$13),15-13*ORÇAMENTO!$AF$7)/$H42*OFFSET(ORÇAMENTO!$X$15,ROW(AX42)-ROW(AX$15),0),
              ROUND(ROUND(OFFSET($P42,0,AX$13),15-13*ORÇAMENTO!$AF$7)*OFFSET(ORÇAMENTO!$W$15,ROW(AX42)-ROW(AX$15),0),15-13*ORÇAMENTO!$AF$11)),
         0)</f>
        <v>0</v>
      </c>
      <c r="AY42" s="453">
        <f ca="1">IF(AND($D42="Serviço",AY$12&lt;&gt;0,$H42&gt;0,OR(AUTOEVENTO&lt;&gt;"manual",$M42&lt;&gt;$A$15)),
        IF(Import.TipoArredondamento&lt;&gt;"TransfereGOV",
              ROUND(OFFSET($P42,0,AY$13),15-13*ORÇAMENTO!$AF$7)/$H42*OFFSET(ORÇAMENTO!$X$15,ROW(AY42)-ROW(AY$15),0),
              ROUND(ROUND(OFFSET($P42,0,AY$13),15-13*ORÇAMENTO!$AF$7)*OFFSET(ORÇAMENTO!$W$15,ROW(AY42)-ROW(AY$15),0),15-13*ORÇAMENTO!$AF$11)),
         0)</f>
        <v>0</v>
      </c>
      <c r="AZ42" s="453">
        <f ca="1">IF(AND($D42="Serviço",AZ$12&lt;&gt;0,$H42&gt;0,OR(AUTOEVENTO&lt;&gt;"manual",$M42&lt;&gt;$A$15)),
        IF(Import.TipoArredondamento&lt;&gt;"TransfereGOV",
              ROUND(OFFSET($P42,0,AZ$13),15-13*ORÇAMENTO!$AF$7)/$H42*OFFSET(ORÇAMENTO!$X$15,ROW(AZ42)-ROW(AZ$15),0),
              ROUND(ROUND(OFFSET($P42,0,AZ$13),15-13*ORÇAMENTO!$AF$7)*OFFSET(ORÇAMENTO!$W$15,ROW(AZ42)-ROW(AZ$15),0),15-13*ORÇAMENTO!$AF$11)),
         0)</f>
        <v>0</v>
      </c>
      <c r="BA42" s="453">
        <f ca="1">IF(AND($D42="Serviço",BA$12&lt;&gt;0,$H42&gt;0,OR(AUTOEVENTO&lt;&gt;"manual",$M42&lt;&gt;$A$15)),
        IF(Import.TipoArredondamento&lt;&gt;"TransfereGOV",
              ROUND(OFFSET($P42,0,BA$13),15-13*ORÇAMENTO!$AF$7)/$H42*OFFSET(ORÇAMENTO!$X$15,ROW(BA42)-ROW(BA$15),0),
              ROUND(ROUND(OFFSET($P42,0,BA$13),15-13*ORÇAMENTO!$AF$7)*OFFSET(ORÇAMENTO!$W$15,ROW(BA42)-ROW(BA$15),0),15-13*ORÇAMENTO!$AF$11)),
         0)</f>
        <v>0</v>
      </c>
      <c r="BC42" s="171">
        <f ca="1">IF(OR($D42&lt;&gt;"Serviço",AND(AUTOEVENTO="Manual",$M42=$A$15)),0,
         IF(OFFSET(CRONOPLE!$F$15,$M42-$A$15,BC$13)=0,10^12,OFFSET(CRONOPLE!$F$15,$M42-$A$15,BC$13)))</f>
        <v>0</v>
      </c>
      <c r="BD42" s="171">
        <f ca="1">IF(OR($D42&lt;&gt;"Serviço",AND(AUTOEVENTO="Manual",$M42=$A$15)),0,
         IF(OFFSET(CRONOPLE!$F$15,$M42-$A$15,BD$13)=0,10^12,OFFSET(CRONOPLE!$F$15,$M42-$A$15,BD$13)))</f>
        <v>0</v>
      </c>
      <c r="BE42" s="171">
        <f ca="1">IF(OR($D42&lt;&gt;"Serviço",AND(AUTOEVENTO="Manual",$M42=$A$15)),0,
         IF(OFFSET(CRONOPLE!$F$15,$M42-$A$15,BE$13)=0,10^12,OFFSET(CRONOPLE!$F$15,$M42-$A$15,BE$13)))</f>
        <v>0</v>
      </c>
      <c r="BF42" s="171">
        <f ca="1">IF(OR($D42&lt;&gt;"Serviço",AND(AUTOEVENTO="Manual",$M42=$A$15)),0,
         IF(OFFSET(CRONOPLE!$F$15,$M42-$A$15,BF$13)=0,10^12,OFFSET(CRONOPLE!$F$15,$M42-$A$15,BF$13)))</f>
        <v>0</v>
      </c>
      <c r="BG42" s="171">
        <f ca="1">IF(OR($D42&lt;&gt;"Serviço",AND(AUTOEVENTO="Manual",$M42=$A$15)),0,
         IF(OFFSET(CRONOPLE!$F$15,$M42-$A$15,BG$13)=0,10^12,OFFSET(CRONOPLE!$F$15,$M42-$A$15,BG$13)))</f>
        <v>0</v>
      </c>
      <c r="BH42" s="171">
        <f ca="1">IF(OR($D42&lt;&gt;"Serviço",AND(AUTOEVENTO="Manual",$M42=$A$15)),0,
         IF(OFFSET(CRONOPLE!$F$15,$M42-$A$15,BH$13)=0,10^12,OFFSET(CRONOPLE!$F$15,$M42-$A$15,BH$13)))</f>
        <v>0</v>
      </c>
      <c r="BI42" s="171">
        <f ca="1">IF(OR($D42&lt;&gt;"Serviço",AND(AUTOEVENTO="Manual",$M42=$A$15)),0,
         IF(OFFSET(CRONOPLE!$F$15,$M42-$A$15,BI$13)=0,10^12,OFFSET(CRONOPLE!$F$15,$M42-$A$15,BI$13)))</f>
        <v>0</v>
      </c>
      <c r="BJ42" s="171">
        <f ca="1">IF(OR($D42&lt;&gt;"Serviço",AND(AUTOEVENTO="Manual",$M42=$A$15)),0,
         IF(OFFSET(CRONOPLE!$F$15,$M42-$A$15,BJ$13)=0,10^12,OFFSET(CRONOPLE!$F$15,$M42-$A$15,BJ$13)))</f>
        <v>0</v>
      </c>
      <c r="BK42" s="171">
        <f ca="1">IF(OR($D42&lt;&gt;"Serviço",AND(AUTOEVENTO="Manual",$M42=$A$15)),0,
         IF(OFFSET(CRONOPLE!$F$15,$M42-$A$15,BK$13)=0,10^12,OFFSET(CRONOPLE!$F$15,$M42-$A$15,BK$13)))</f>
        <v>0</v>
      </c>
      <c r="BL42" s="171">
        <f ca="1">IF(OR($D42&lt;&gt;"Serviço",AND(AUTOEVENTO="Manual",$M42=$A$15)),0,
         IF(OFFSET(CRONOPLE!$F$15,$M42-$A$15,BL$13)=0,10^12,OFFSET(CRONOPLE!$F$15,$M42-$A$15,BL$13)))</f>
        <v>0</v>
      </c>
      <c r="BM42" s="171">
        <f ca="1">IF(OR($D42&lt;&gt;"Serviço",AND(AUTOEVENTO="Manual",$M42=$A$15)),0,
         IF(OFFSET(CRONOPLE!$F$15,$M42-$A$15,BM$13)=0,10^12,OFFSET(CRONOPLE!$F$15,$M42-$A$15,BM$13)))</f>
        <v>0</v>
      </c>
      <c r="BN42" s="171">
        <f ca="1">IF(OR($D42&lt;&gt;"Serviço",AND(AUTOEVENTO="Manual",$M42=$A$15)),0,
         IF(OFFSET(CRONOPLE!$F$15,$M42-$A$15,BN$13)=0,10^12,OFFSET(CRONOPLE!$F$15,$M42-$A$15,BN$13)))</f>
        <v>0</v>
      </c>
      <c r="BO42" s="171">
        <f ca="1">IF(OR($D42&lt;&gt;"Serviço",AND(AUTOEVENTO="Manual",$M42=$A$15)),0,
         IF(OFFSET(CRONOPLE!$F$15,$M42-$A$15,BO$13)=0,10^12,OFFSET(CRONOPLE!$F$15,$M42-$A$15,BO$13)))</f>
        <v>0</v>
      </c>
      <c r="BP42" s="171">
        <f ca="1">IF(OR($D42&lt;&gt;"Serviço",AND(AUTOEVENTO="Manual",$M42=$A$15)),0,
         IF(OFFSET(CRONOPLE!$F$15,$M42-$A$15,BP$13)=0,10^12,OFFSET(CRONOPLE!$F$15,$M42-$A$15,BP$13)))</f>
        <v>0</v>
      </c>
      <c r="BQ42" s="171">
        <f ca="1">IF(OR($D42&lt;&gt;"Serviço",AND(AUTOEVENTO="Manual",$M42=$A$15)),0,
         IF(OFFSET(CRONOPLE!$F$15,$M42-$A$15,BQ$13)=0,10^12,OFFSET(CRONOPLE!$F$15,$M42-$A$15,BQ$13)))</f>
        <v>0</v>
      </c>
      <c r="BR42" s="171">
        <f ca="1">IF(OR($D42&lt;&gt;"Serviço",AND(AUTOEVENTO="Manual",$M42=$A$15)),0,
         IF(OFFSET(CRONOPLE!$F$15,$M42-$A$15,BR$13)=0,10^12,OFFSET(CRONOPLE!$F$15,$M42-$A$15,BR$13)))</f>
        <v>0</v>
      </c>
      <c r="BS42" s="171">
        <f ca="1">IF(OR($D42&lt;&gt;"Serviço",AND(AUTOEVENTO="Manual",$M42=$A$15)),0,
         IF(OFFSET(CRONOPLE!$F$15,$M42-$A$15,BS$13)=0,10^12,OFFSET(CRONOPLE!$F$15,$M42-$A$15,BS$13)))</f>
        <v>0</v>
      </c>
      <c r="BT42" s="171">
        <f ca="1">IF(OR($D42&lt;&gt;"Serviço",AND(AUTOEVENTO="Manual",$M42=$A$15)),0,
         IF(OFFSET(CRONOPLE!$F$15,$M42-$A$15,BT$13)=0,10^12,OFFSET(CRONOPLE!$F$15,$M42-$A$15,BT$13)))</f>
        <v>0</v>
      </c>
      <c r="BV42" s="172" cm="1">
        <f t="array" aca="1" ref="BV42" ca="1">IF(OR($D42&lt;&gt;"Serviço",AND(AUTOEVENTO="Manual",$M42=$A$15),$M42&gt;(ROW(PLE.lastrow)-ROW(PLE.firstrow))),0,
           IF(OFFSET(PLE!$G$15,$M42-$A$15,BV$13)="",10^12,OFFSET(PLE!$G$15,$M42-$A$15,BV$13)))</f>
        <v>0</v>
      </c>
      <c r="BW42" s="172" cm="1">
        <f t="array" aca="1" ref="BW42" ca="1">IF(OR($D42&lt;&gt;"Serviço",AND(AUTOEVENTO="Manual",$M42=$A$15),$M42&gt;(ROW(PLE.lastrow)-ROW(PLE.firstrow))),0,
           IF(OFFSET(PLE!$G$15,$M42-$A$15,BW$13)="",10^12,OFFSET(PLE!$G$15,$M42-$A$15,BW$13)))</f>
        <v>0</v>
      </c>
      <c r="BX42" s="172" cm="1">
        <f t="array" aca="1" ref="BX42" ca="1">IF(OR($D42&lt;&gt;"Serviço",AND(AUTOEVENTO="Manual",$M42=$A$15),$M42&gt;(ROW(PLE.lastrow)-ROW(PLE.firstrow))),0,
           IF(OFFSET(PLE!$G$15,$M42-$A$15,BX$13)="",10^12,OFFSET(PLE!$G$15,$M42-$A$15,BX$13)))</f>
        <v>0</v>
      </c>
      <c r="BY42" s="172" cm="1">
        <f t="array" aca="1" ref="BY42" ca="1">IF(OR($D42&lt;&gt;"Serviço",AND(AUTOEVENTO="Manual",$M42=$A$15),$M42&gt;(ROW(PLE.lastrow)-ROW(PLE.firstrow))),0,
           IF(OFFSET(PLE!$G$15,$M42-$A$15,BY$13)="",10^12,OFFSET(PLE!$G$15,$M42-$A$15,BY$13)))</f>
        <v>0</v>
      </c>
      <c r="BZ42" s="172" cm="1">
        <f t="array" aca="1" ref="BZ42" ca="1">IF(OR($D42&lt;&gt;"Serviço",AND(AUTOEVENTO="Manual",$M42=$A$15),$M42&gt;(ROW(PLE.lastrow)-ROW(PLE.firstrow))),0,
           IF(OFFSET(PLE!$G$15,$M42-$A$15,BZ$13)="",10^12,OFFSET(PLE!$G$15,$M42-$A$15,BZ$13)))</f>
        <v>0</v>
      </c>
      <c r="CA42" s="172" cm="1">
        <f t="array" aca="1" ref="CA42" ca="1">IF(OR($D42&lt;&gt;"Serviço",AND(AUTOEVENTO="Manual",$M42=$A$15),$M42&gt;(ROW(PLE.lastrow)-ROW(PLE.firstrow))),0,
           IF(OFFSET(PLE!$G$15,$M42-$A$15,CA$13)="",10^12,OFFSET(PLE!$G$15,$M42-$A$15,CA$13)))</f>
        <v>0</v>
      </c>
      <c r="CB42" s="172" cm="1">
        <f t="array" aca="1" ref="CB42" ca="1">IF(OR($D42&lt;&gt;"Serviço",AND(AUTOEVENTO="Manual",$M42=$A$15),$M42&gt;(ROW(PLE.lastrow)-ROW(PLE.firstrow))),0,
           IF(OFFSET(PLE!$G$15,$M42-$A$15,CB$13)="",10^12,OFFSET(PLE!$G$15,$M42-$A$15,CB$13)))</f>
        <v>0</v>
      </c>
      <c r="CC42" s="172" cm="1">
        <f t="array" aca="1" ref="CC42" ca="1">IF(OR($D42&lt;&gt;"Serviço",AND(AUTOEVENTO="Manual",$M42=$A$15),$M42&gt;(ROW(PLE.lastrow)-ROW(PLE.firstrow))),0,
           IF(OFFSET(PLE!$G$15,$M42-$A$15,CC$13)="",10^12,OFFSET(PLE!$G$15,$M42-$A$15,CC$13)))</f>
        <v>0</v>
      </c>
      <c r="CD42" s="172" cm="1">
        <f t="array" aca="1" ref="CD42" ca="1">IF(OR($D42&lt;&gt;"Serviço",AND(AUTOEVENTO="Manual",$M42=$A$15),$M42&gt;(ROW(PLE.lastrow)-ROW(PLE.firstrow))),0,
           IF(OFFSET(PLE!$G$15,$M42-$A$15,CD$13)="",10^12,OFFSET(PLE!$G$15,$M42-$A$15,CD$13)))</f>
        <v>0</v>
      </c>
      <c r="CE42" s="172" cm="1">
        <f t="array" aca="1" ref="CE42" ca="1">IF(OR($D42&lt;&gt;"Serviço",AND(AUTOEVENTO="Manual",$M42=$A$15),$M42&gt;(ROW(PLE.lastrow)-ROW(PLE.firstrow))),0,
           IF(OFFSET(PLE!$G$15,$M42-$A$15,CE$13)="",10^12,OFFSET(PLE!$G$15,$M42-$A$15,CE$13)))</f>
        <v>0</v>
      </c>
      <c r="CF42" s="172" cm="1">
        <f t="array" aca="1" ref="CF42" ca="1">IF(OR($D42&lt;&gt;"Serviço",AND(AUTOEVENTO="Manual",$M42=$A$15),$M42&gt;(ROW(PLE.lastrow)-ROW(PLE.firstrow))),0,
           IF(OFFSET(PLE!$G$15,$M42-$A$15,CF$13)="",10^12,OFFSET(PLE!$G$15,$M42-$A$15,CF$13)))</f>
        <v>0</v>
      </c>
      <c r="CG42" s="172" cm="1">
        <f t="array" aca="1" ref="CG42" ca="1">IF(OR($D42&lt;&gt;"Serviço",AND(AUTOEVENTO="Manual",$M42=$A$15),$M42&gt;(ROW(PLE.lastrow)-ROW(PLE.firstrow))),0,
           IF(OFFSET(PLE!$G$15,$M42-$A$15,CG$13)="",10^12,OFFSET(PLE!$G$15,$M42-$A$15,CG$13)))</f>
        <v>0</v>
      </c>
      <c r="CH42" s="172" cm="1">
        <f t="array" aca="1" ref="CH42" ca="1">IF(OR($D42&lt;&gt;"Serviço",AND(AUTOEVENTO="Manual",$M42=$A$15),$M42&gt;(ROW(PLE.lastrow)-ROW(PLE.firstrow))),0,
           IF(OFFSET(PLE!$G$15,$M42-$A$15,CH$13)="",10^12,OFFSET(PLE!$G$15,$M42-$A$15,CH$13)))</f>
        <v>0</v>
      </c>
      <c r="CI42" s="172" cm="1">
        <f t="array" aca="1" ref="CI42" ca="1">IF(OR($D42&lt;&gt;"Serviço",AND(AUTOEVENTO="Manual",$M42=$A$15),$M42&gt;(ROW(PLE.lastrow)-ROW(PLE.firstrow))),0,
           IF(OFFSET(PLE!$G$15,$M42-$A$15,CI$13)="",10^12,OFFSET(PLE!$G$15,$M42-$A$15,CI$13)))</f>
        <v>0</v>
      </c>
      <c r="CJ42" s="172" cm="1">
        <f t="array" aca="1" ref="CJ42" ca="1">IF(OR($D42&lt;&gt;"Serviço",AND(AUTOEVENTO="Manual",$M42=$A$15),$M42&gt;(ROW(PLE.lastrow)-ROW(PLE.firstrow))),0,
           IF(OFFSET(PLE!$G$15,$M42-$A$15,CJ$13)="",10^12,OFFSET(PLE!$G$15,$M42-$A$15,CJ$13)))</f>
        <v>0</v>
      </c>
      <c r="CK42" s="172" cm="1">
        <f t="array" aca="1" ref="CK42" ca="1">IF(OR($D42&lt;&gt;"Serviço",AND(AUTOEVENTO="Manual",$M42=$A$15),$M42&gt;(ROW(PLE.lastrow)-ROW(PLE.firstrow))),0,
           IF(OFFSET(PLE!$G$15,$M42-$A$15,CK$13)="",10^12,OFFSET(PLE!$G$15,$M42-$A$15,CK$13)))</f>
        <v>0</v>
      </c>
      <c r="CL42" s="172" cm="1">
        <f t="array" aca="1" ref="CL42" ca="1">IF(OR($D42&lt;&gt;"Serviço",AND(AUTOEVENTO="Manual",$M42=$A$15),$M42&gt;(ROW(PLE.lastrow)-ROW(PLE.firstrow))),0,
           IF(OFFSET(PLE!$G$15,$M42-$A$15,CL$13)="",10^12,OFFSET(PLE!$G$15,$M42-$A$15,CL$13)))</f>
        <v>0</v>
      </c>
      <c r="CM42" s="172" cm="1">
        <f t="array" aca="1" ref="CM42" ca="1">IF(OR($D42&lt;&gt;"Serviço",AND(AUTOEVENTO="Manual",$M42=$A$15),$M42&gt;(ROW(PLE.lastrow)-ROW(PLE.firstrow))),0,
           IF(OFFSET(PLE!$G$15,$M42-$A$15,CM$13)="",10^12,OFFSET(PLE!$G$15,$M42-$A$15,CM$13)))</f>
        <v>0</v>
      </c>
    </row>
    <row r="43" spans="1:91" s="670" customFormat="1" ht="12.75" x14ac:dyDescent="0.2">
      <c r="A43" s="668">
        <f t="shared" ca="1" si="10"/>
        <v>18</v>
      </c>
      <c r="B43" s="668" t="str">
        <f ca="1">OFFSET(ORÇAMENTO!C$15,$L43,0)</f>
        <v>S</v>
      </c>
      <c r="C43" s="668" t="str">
        <f ca="1">OFFSET(ORÇAMENTO!L$15,$L43,0)</f>
        <v>F</v>
      </c>
      <c r="D43" s="116" t="str">
        <f ca="1">OFFSET(ORÇAMENTO!N$15,$L43,0)</f>
        <v>Serviço</v>
      </c>
      <c r="E43" s="117" t="str">
        <f ca="1">OFFSET(ORÇAMENTO!O$15,$L43,0)</f>
        <v>1.6.1.</v>
      </c>
      <c r="F43" s="163" t="str">
        <f ca="1">OFFSET(ORÇAMENTO!R$15,$L43,0)</f>
        <v>RESERVATÓRIO- 320³</v>
      </c>
      <c r="G43" s="164" t="str">
        <f ca="1">IF($D43&lt;&gt;"Serviço","",OFFSET(ORÇAMENTO!S$15,$L43,0))</f>
        <v>UNIDADE</v>
      </c>
      <c r="H43" s="122" cm="1">
        <f t="array" aca="1" ref="H43" ca="1">IF($D43&lt;&gt;"Serviço",0,IF(ACOMPANHAMENTO="BM",ROUND(OFFSET(ORÇAMENTO!AJ$15,$L43,0),15-13*ORÇAMENTO!$AF$7),IF(IFERROR(CÁLCULO.FrentesPreenchidas,0)=0,0,SUM(ROUND(OFFSET($P43,0,1,1,CÁLCULO.FrentesPreenchidas),15-13*ORÇAMENTO!$AF$7)))))</f>
        <v>1</v>
      </c>
      <c r="I43" s="468"/>
      <c r="J43" s="651" t="str" cm="1">
        <f t="array" aca="1" ref="J43" ca="1">IF(OR(B43&lt;&gt;"S",CÁLCULO.FrentesPreenchidas=0),"",IF(AND(ACOMPANHAMENTO="PLE",AUTOEVENTO="Manual",OR(H43&gt;0,ORÇAMENTO!AC43="QUANT."),OR(K43="",M43=0,N43="")),"►E",IF(AND(ACOMPANHAMENTO="PLE",ORÇAMENTO!AC43="QUANT."),"►Q",IF(AND(ACOMPANHAMENTO="PLE",H43&lt;&gt;SUMPRODUCT(($Q$1:$AI$1=1)*ROUND(Q43:AI43,15))),"►S",IF(AND(COUNTIF($P$11:$AI$11,"▼")=0,H43&gt;0,I43=""),"◄M","")))))</f>
        <v>◄M</v>
      </c>
      <c r="K43" s="652" t="s">
        <v>1343</v>
      </c>
      <c r="L43" s="165">
        <f t="shared" ca="1" si="11"/>
        <v>28</v>
      </c>
      <c r="M43" s="166">
        <f ca="1">IF($D43&lt;&gt;"Serviço","",
          IF(AUTOEVENTO="manual",$A43,
                IF(ISERROR(MATCH($A43,$A$15:OFFSET($A43,-1,0),0)),MAX($M$15:OFFSET(M43,-1,0))+1,
                      INDEX($M$15:OFFSET(M43,-1,0),MATCH($A43,$A$15:OFFSET($A43,-1,0),0)))))</f>
        <v>18</v>
      </c>
      <c r="N43" s="167" t="str">
        <f ca="1">IF($D43&lt;&gt;"Serviço","",
         IF(AUTOEVENTO="Manual",
                IF($A43=0,"&lt;-- defina o número do agrupador",
                       OFFSET(EVENTOS!$D$15,$A43-$A$15,0)),
                OFFSET($F$15,$A43,0)))</f>
        <v>Reservatório metálico</v>
      </c>
      <c r="O43" s="168"/>
      <c r="Q43" s="168"/>
      <c r="R43" s="169"/>
      <c r="S43" s="169">
        <v>1</v>
      </c>
      <c r="T43" s="169"/>
      <c r="U43" s="169"/>
      <c r="V43" s="169"/>
      <c r="W43" s="169"/>
      <c r="X43" s="169"/>
      <c r="Y43" s="169"/>
      <c r="Z43" s="170"/>
      <c r="AA43" s="705"/>
      <c r="AB43" s="705"/>
      <c r="AC43" s="705"/>
      <c r="AD43" s="705"/>
      <c r="AE43" s="705"/>
      <c r="AF43" s="705"/>
      <c r="AG43" s="705"/>
      <c r="AH43" s="706"/>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L43" s="453">
        <f ca="1">IF(AND($D43="Serviço",AL$12&lt;&gt;0,$H43&gt;0,OR(AUTOEVENTO&lt;&gt;"manual",$M43&lt;&gt;$A$15)),
        IF(Import.TipoArredondamento&lt;&gt;"TransfereGOV",
              ROUND(OFFSET($P43,0,AL$13),15-13*ORÇAMENTO!$AF$7)/$H43*OFFSET(ORÇAMENTO!$X$15,ROW(AL43)-ROW(AL$15),0),
              ROUND(ROUND(OFFSET($P43,0,AL$13),15-13*ORÇAMENTO!$AF$7)*OFFSET(ORÇAMENTO!$W$15,ROW(AL43)-ROW(AL$15),0),15-13*ORÇAMENTO!$AF$11)),
         0)</f>
        <v>513137.44</v>
      </c>
      <c r="AM43" s="453">
        <f ca="1">IF(AND($D43="Serviço",AM$12&lt;&gt;0,$H43&gt;0,OR(AUTOEVENTO&lt;&gt;"manual",$M43&lt;&gt;$A$15)),
        IF(Import.TipoArredondamento&lt;&gt;"TransfereGOV",
              ROUND(OFFSET($P43,0,AM$13),15-13*ORÇAMENTO!$AF$7)/$H43*OFFSET(ORÇAMENTO!$X$15,ROW(AM43)-ROW(AM$15),0),
              ROUND(ROUND(OFFSET($P43,0,AM$13),15-13*ORÇAMENTO!$AF$7)*OFFSET(ORÇAMENTO!$W$15,ROW(AM43)-ROW(AM$15),0),15-13*ORÇAMENTO!$AF$11)),
         0)</f>
        <v>0</v>
      </c>
      <c r="AN43" s="453">
        <f ca="1">IF(AND($D43="Serviço",AN$12&lt;&gt;0,$H43&gt;0,OR(AUTOEVENTO&lt;&gt;"manual",$M43&lt;&gt;$A$15)),
        IF(Import.TipoArredondamento&lt;&gt;"TransfereGOV",
              ROUND(OFFSET($P43,0,AN$13),15-13*ORÇAMENTO!$AF$7)/$H43*OFFSET(ORÇAMENTO!$X$15,ROW(AN43)-ROW(AN$15),0),
              ROUND(ROUND(OFFSET($P43,0,AN$13),15-13*ORÇAMENTO!$AF$7)*OFFSET(ORÇAMENTO!$W$15,ROW(AN43)-ROW(AN$15),0),15-13*ORÇAMENTO!$AF$11)),
         0)</f>
        <v>0</v>
      </c>
      <c r="AO43" s="453">
        <f ca="1">IF(AND($D43="Serviço",AO$12&lt;&gt;0,$H43&gt;0,OR(AUTOEVENTO&lt;&gt;"manual",$M43&lt;&gt;$A$15)),
        IF(Import.TipoArredondamento&lt;&gt;"TransfereGOV",
              ROUND(OFFSET($P43,0,AO$13),15-13*ORÇAMENTO!$AF$7)/$H43*OFFSET(ORÇAMENTO!$X$15,ROW(AO43)-ROW(AO$15),0),
              ROUND(ROUND(OFFSET($P43,0,AO$13),15-13*ORÇAMENTO!$AF$7)*OFFSET(ORÇAMENTO!$W$15,ROW(AO43)-ROW(AO$15),0),15-13*ORÇAMENTO!$AF$11)),
         0)</f>
        <v>0</v>
      </c>
      <c r="AP43" s="453">
        <f ca="1">IF(AND($D43="Serviço",AP$12&lt;&gt;0,$H43&gt;0,OR(AUTOEVENTO&lt;&gt;"manual",$M43&lt;&gt;$A$15)),
        IF(Import.TipoArredondamento&lt;&gt;"TransfereGOV",
              ROUND(OFFSET($P43,0,AP$13),15-13*ORÇAMENTO!$AF$7)/$H43*OFFSET(ORÇAMENTO!$X$15,ROW(AP43)-ROW(AP$15),0),
              ROUND(ROUND(OFFSET($P43,0,AP$13),15-13*ORÇAMENTO!$AF$7)*OFFSET(ORÇAMENTO!$W$15,ROW(AP43)-ROW(AP$15),0),15-13*ORÇAMENTO!$AF$11)),
         0)</f>
        <v>0</v>
      </c>
      <c r="AQ43" s="453">
        <f ca="1">IF(AND($D43="Serviço",AQ$12&lt;&gt;0,$H43&gt;0,OR(AUTOEVENTO&lt;&gt;"manual",$M43&lt;&gt;$A$15)),
        IF(Import.TipoArredondamento&lt;&gt;"TransfereGOV",
              ROUND(OFFSET($P43,0,AQ$13),15-13*ORÇAMENTO!$AF$7)/$H43*OFFSET(ORÇAMENTO!$X$15,ROW(AQ43)-ROW(AQ$15),0),
              ROUND(ROUND(OFFSET($P43,0,AQ$13),15-13*ORÇAMENTO!$AF$7)*OFFSET(ORÇAMENTO!$W$15,ROW(AQ43)-ROW(AQ$15),0),15-13*ORÇAMENTO!$AF$11)),
         0)</f>
        <v>0</v>
      </c>
      <c r="AR43" s="453">
        <f ca="1">IF(AND($D43="Serviço",AR$12&lt;&gt;0,$H43&gt;0,OR(AUTOEVENTO&lt;&gt;"manual",$M43&lt;&gt;$A$15)),
        IF(Import.TipoArredondamento&lt;&gt;"TransfereGOV",
              ROUND(OFFSET($P43,0,AR$13),15-13*ORÇAMENTO!$AF$7)/$H43*OFFSET(ORÇAMENTO!$X$15,ROW(AR43)-ROW(AR$15),0),
              ROUND(ROUND(OFFSET($P43,0,AR$13),15-13*ORÇAMENTO!$AF$7)*OFFSET(ORÇAMENTO!$W$15,ROW(AR43)-ROW(AR$15),0),15-13*ORÇAMENTO!$AF$11)),
         0)</f>
        <v>0</v>
      </c>
      <c r="AS43" s="453">
        <f ca="1">IF(AND($D43="Serviço",AS$12&lt;&gt;0,$H43&gt;0,OR(AUTOEVENTO&lt;&gt;"manual",$M43&lt;&gt;$A$15)),
        IF(Import.TipoArredondamento&lt;&gt;"TransfereGOV",
              ROUND(OFFSET($P43,0,AS$13),15-13*ORÇAMENTO!$AF$7)/$H43*OFFSET(ORÇAMENTO!$X$15,ROW(AS43)-ROW(AS$15),0),
              ROUND(ROUND(OFFSET($P43,0,AS$13),15-13*ORÇAMENTO!$AF$7)*OFFSET(ORÇAMENTO!$W$15,ROW(AS43)-ROW(AS$15),0),15-13*ORÇAMENTO!$AF$11)),
         0)</f>
        <v>0</v>
      </c>
      <c r="AT43" s="453">
        <f ca="1">IF(AND($D43="Serviço",AT$12&lt;&gt;0,$H43&gt;0,OR(AUTOEVENTO&lt;&gt;"manual",$M43&lt;&gt;$A$15)),
        IF(Import.TipoArredondamento&lt;&gt;"TransfereGOV",
              ROUND(OFFSET($P43,0,AT$13),15-13*ORÇAMENTO!$AF$7)/$H43*OFFSET(ORÇAMENTO!$X$15,ROW(AT43)-ROW(AT$15),0),
              ROUND(ROUND(OFFSET($P43,0,AT$13),15-13*ORÇAMENTO!$AF$7)*OFFSET(ORÇAMENTO!$W$15,ROW(AT43)-ROW(AT$15),0),15-13*ORÇAMENTO!$AF$11)),
         0)</f>
        <v>0</v>
      </c>
      <c r="AU43" s="453">
        <f ca="1">IF(AND($D43="Serviço",AU$12&lt;&gt;0,$H43&gt;0,OR(AUTOEVENTO&lt;&gt;"manual",$M43&lt;&gt;$A$15)),
        IF(Import.TipoArredondamento&lt;&gt;"TransfereGOV",
              ROUND(OFFSET($P43,0,AU$13),15-13*ORÇAMENTO!$AF$7)/$H43*OFFSET(ORÇAMENTO!$X$15,ROW(AU43)-ROW(AU$15),0),
              ROUND(ROUND(OFFSET($P43,0,AU$13),15-13*ORÇAMENTO!$AF$7)*OFFSET(ORÇAMENTO!$W$15,ROW(AU43)-ROW(AU$15),0),15-13*ORÇAMENTO!$AF$11)),
         0)</f>
        <v>0</v>
      </c>
      <c r="AV43" s="453">
        <f ca="1">IF(AND($D43="Serviço",AV$12&lt;&gt;0,$H43&gt;0,OR(AUTOEVENTO&lt;&gt;"manual",$M43&lt;&gt;$A$15)),
        IF(Import.TipoArredondamento&lt;&gt;"TransfereGOV",
              ROUND(OFFSET($P43,0,AV$13),15-13*ORÇAMENTO!$AF$7)/$H43*OFFSET(ORÇAMENTO!$X$15,ROW(AV43)-ROW(AV$15),0),
              ROUND(ROUND(OFFSET($P43,0,AV$13),15-13*ORÇAMENTO!$AF$7)*OFFSET(ORÇAMENTO!$W$15,ROW(AV43)-ROW(AV$15),0),15-13*ORÇAMENTO!$AF$11)),
         0)</f>
        <v>0</v>
      </c>
      <c r="AW43" s="453">
        <f ca="1">IF(AND($D43="Serviço",AW$12&lt;&gt;0,$H43&gt;0,OR(AUTOEVENTO&lt;&gt;"manual",$M43&lt;&gt;$A$15)),
        IF(Import.TipoArredondamento&lt;&gt;"TransfereGOV",
              ROUND(OFFSET($P43,0,AW$13),15-13*ORÇAMENTO!$AF$7)/$H43*OFFSET(ORÇAMENTO!$X$15,ROW(AW43)-ROW(AW$15),0),
              ROUND(ROUND(OFFSET($P43,0,AW$13),15-13*ORÇAMENTO!$AF$7)*OFFSET(ORÇAMENTO!$W$15,ROW(AW43)-ROW(AW$15),0),15-13*ORÇAMENTO!$AF$11)),
         0)</f>
        <v>0</v>
      </c>
      <c r="AX43" s="453">
        <f ca="1">IF(AND($D43="Serviço",AX$12&lt;&gt;0,$H43&gt;0,OR(AUTOEVENTO&lt;&gt;"manual",$M43&lt;&gt;$A$15)),
        IF(Import.TipoArredondamento&lt;&gt;"TransfereGOV",
              ROUND(OFFSET($P43,0,AX$13),15-13*ORÇAMENTO!$AF$7)/$H43*OFFSET(ORÇAMENTO!$X$15,ROW(AX43)-ROW(AX$15),0),
              ROUND(ROUND(OFFSET($P43,0,AX$13),15-13*ORÇAMENTO!$AF$7)*OFFSET(ORÇAMENTO!$W$15,ROW(AX43)-ROW(AX$15),0),15-13*ORÇAMENTO!$AF$11)),
         0)</f>
        <v>0</v>
      </c>
      <c r="AY43" s="453">
        <f ca="1">IF(AND($D43="Serviço",AY$12&lt;&gt;0,$H43&gt;0,OR(AUTOEVENTO&lt;&gt;"manual",$M43&lt;&gt;$A$15)),
        IF(Import.TipoArredondamento&lt;&gt;"TransfereGOV",
              ROUND(OFFSET($P43,0,AY$13),15-13*ORÇAMENTO!$AF$7)/$H43*OFFSET(ORÇAMENTO!$X$15,ROW(AY43)-ROW(AY$15),0),
              ROUND(ROUND(OFFSET($P43,0,AY$13),15-13*ORÇAMENTO!$AF$7)*OFFSET(ORÇAMENTO!$W$15,ROW(AY43)-ROW(AY$15),0),15-13*ORÇAMENTO!$AF$11)),
         0)</f>
        <v>0</v>
      </c>
      <c r="AZ43" s="453">
        <f ca="1">IF(AND($D43="Serviço",AZ$12&lt;&gt;0,$H43&gt;0,OR(AUTOEVENTO&lt;&gt;"manual",$M43&lt;&gt;$A$15)),
        IF(Import.TipoArredondamento&lt;&gt;"TransfereGOV",
              ROUND(OFFSET($P43,0,AZ$13),15-13*ORÇAMENTO!$AF$7)/$H43*OFFSET(ORÇAMENTO!$X$15,ROW(AZ43)-ROW(AZ$15),0),
              ROUND(ROUND(OFFSET($P43,0,AZ$13),15-13*ORÇAMENTO!$AF$7)*OFFSET(ORÇAMENTO!$W$15,ROW(AZ43)-ROW(AZ$15),0),15-13*ORÇAMENTO!$AF$11)),
         0)</f>
        <v>0</v>
      </c>
      <c r="BA43" s="453">
        <f ca="1">IF(AND($D43="Serviço",BA$12&lt;&gt;0,$H43&gt;0,OR(AUTOEVENTO&lt;&gt;"manual",$M43&lt;&gt;$A$15)),
        IF(Import.TipoArredondamento&lt;&gt;"TransfereGOV",
              ROUND(OFFSET($P43,0,BA$13),15-13*ORÇAMENTO!$AF$7)/$H43*OFFSET(ORÇAMENTO!$X$15,ROW(BA43)-ROW(BA$15),0),
              ROUND(ROUND(OFFSET($P43,0,BA$13),15-13*ORÇAMENTO!$AF$7)*OFFSET(ORÇAMENTO!$W$15,ROW(BA43)-ROW(BA$15),0),15-13*ORÇAMENTO!$AF$11)),
         0)</f>
        <v>0</v>
      </c>
      <c r="BC43" s="171">
        <f ca="1">IF(OR($D43&lt;&gt;"Serviço",AND(AUTOEVENTO="Manual",$M43=$A$15)),0,
         IF(OFFSET(CRONOPLE!$F$15,$M43-$A$15,BC$13)=0,10^12,OFFSET(CRONOPLE!$F$15,$M43-$A$15,BC$13)))</f>
        <v>1000000000000</v>
      </c>
      <c r="BD43" s="171">
        <f ca="1">IF(OR($D43&lt;&gt;"Serviço",AND(AUTOEVENTO="Manual",$M43=$A$15)),0,
         IF(OFFSET(CRONOPLE!$F$15,$M43-$A$15,BD$13)=0,10^12,OFFSET(CRONOPLE!$F$15,$M43-$A$15,BD$13)))</f>
        <v>1000000000000</v>
      </c>
      <c r="BE43" s="171">
        <f ca="1">IF(OR($D43&lt;&gt;"Serviço",AND(AUTOEVENTO="Manual",$M43=$A$15)),0,
         IF(OFFSET(CRONOPLE!$F$15,$M43-$A$15,BE$13)=0,10^12,OFFSET(CRONOPLE!$F$15,$M43-$A$15,BE$13)))</f>
        <v>9</v>
      </c>
      <c r="BF43" s="171">
        <f ca="1">IF(OR($D43&lt;&gt;"Serviço",AND(AUTOEVENTO="Manual",$M43=$A$15)),0,
         IF(OFFSET(CRONOPLE!$F$15,$M43-$A$15,BF$13)=0,10^12,OFFSET(CRONOPLE!$F$15,$M43-$A$15,BF$13)))</f>
        <v>1000000000000</v>
      </c>
      <c r="BG43" s="171">
        <f ca="1">IF(OR($D43&lt;&gt;"Serviço",AND(AUTOEVENTO="Manual",$M43=$A$15)),0,
         IF(OFFSET(CRONOPLE!$F$15,$M43-$A$15,BG$13)=0,10^12,OFFSET(CRONOPLE!$F$15,$M43-$A$15,BG$13)))</f>
        <v>1000000000000</v>
      </c>
      <c r="BH43" s="171">
        <f ca="1">IF(OR($D43&lt;&gt;"Serviço",AND(AUTOEVENTO="Manual",$M43=$A$15)),0,
         IF(OFFSET(CRONOPLE!$F$15,$M43-$A$15,BH$13)=0,10^12,OFFSET(CRONOPLE!$F$15,$M43-$A$15,BH$13)))</f>
        <v>1000000000000</v>
      </c>
      <c r="BI43" s="171">
        <f ca="1">IF(OR($D43&lt;&gt;"Serviço",AND(AUTOEVENTO="Manual",$M43=$A$15)),0,
         IF(OFFSET(CRONOPLE!$F$15,$M43-$A$15,BI$13)=0,10^12,OFFSET(CRONOPLE!$F$15,$M43-$A$15,BI$13)))</f>
        <v>1000000000000</v>
      </c>
      <c r="BJ43" s="171">
        <f ca="1">IF(OR($D43&lt;&gt;"Serviço",AND(AUTOEVENTO="Manual",$M43=$A$15)),0,
         IF(OFFSET(CRONOPLE!$F$15,$M43-$A$15,BJ$13)=0,10^12,OFFSET(CRONOPLE!$F$15,$M43-$A$15,BJ$13)))</f>
        <v>1000000000000</v>
      </c>
      <c r="BK43" s="171">
        <f ca="1">IF(OR($D43&lt;&gt;"Serviço",AND(AUTOEVENTO="Manual",$M43=$A$15)),0,
         IF(OFFSET(CRONOPLE!$F$15,$M43-$A$15,BK$13)=0,10^12,OFFSET(CRONOPLE!$F$15,$M43-$A$15,BK$13)))</f>
        <v>1000000000000</v>
      </c>
      <c r="BL43" s="171">
        <f ca="1">IF(OR($D43&lt;&gt;"Serviço",AND(AUTOEVENTO="Manual",$M43=$A$15)),0,
         IF(OFFSET(CRONOPLE!$F$15,$M43-$A$15,BL$13)=0,10^12,OFFSET(CRONOPLE!$F$15,$M43-$A$15,BL$13)))</f>
        <v>1000000000000</v>
      </c>
      <c r="BM43" s="171">
        <f ca="1">IF(OR($D43&lt;&gt;"Serviço",AND(AUTOEVENTO="Manual",$M43=$A$15)),0,
         IF(OFFSET(CRONOPLE!$F$15,$M43-$A$15,BM$13)=0,10^12,OFFSET(CRONOPLE!$F$15,$M43-$A$15,BM$13)))</f>
        <v>1000000000000</v>
      </c>
      <c r="BN43" s="171">
        <f ca="1">IF(OR($D43&lt;&gt;"Serviço",AND(AUTOEVENTO="Manual",$M43=$A$15)),0,
         IF(OFFSET(CRONOPLE!$F$15,$M43-$A$15,BN$13)=0,10^12,OFFSET(CRONOPLE!$F$15,$M43-$A$15,BN$13)))</f>
        <v>1000000000000</v>
      </c>
      <c r="BO43" s="171">
        <f ca="1">IF(OR($D43&lt;&gt;"Serviço",AND(AUTOEVENTO="Manual",$M43=$A$15)),0,
         IF(OFFSET(CRONOPLE!$F$15,$M43-$A$15,BO$13)=0,10^12,OFFSET(CRONOPLE!$F$15,$M43-$A$15,BO$13)))</f>
        <v>1000000000000</v>
      </c>
      <c r="BP43" s="171">
        <f ca="1">IF(OR($D43&lt;&gt;"Serviço",AND(AUTOEVENTO="Manual",$M43=$A$15)),0,
         IF(OFFSET(CRONOPLE!$F$15,$M43-$A$15,BP$13)=0,10^12,OFFSET(CRONOPLE!$F$15,$M43-$A$15,BP$13)))</f>
        <v>1000000000000</v>
      </c>
      <c r="BQ43" s="171">
        <f ca="1">IF(OR($D43&lt;&gt;"Serviço",AND(AUTOEVENTO="Manual",$M43=$A$15)),0,
         IF(OFFSET(CRONOPLE!$F$15,$M43-$A$15,BQ$13)=0,10^12,OFFSET(CRONOPLE!$F$15,$M43-$A$15,BQ$13)))</f>
        <v>1000000000000</v>
      </c>
      <c r="BR43" s="171">
        <f ca="1">IF(OR($D43&lt;&gt;"Serviço",AND(AUTOEVENTO="Manual",$M43=$A$15)),0,
         IF(OFFSET(CRONOPLE!$F$15,$M43-$A$15,BR$13)=0,10^12,OFFSET(CRONOPLE!$F$15,$M43-$A$15,BR$13)))</f>
        <v>1000000000000</v>
      </c>
      <c r="BS43" s="171">
        <f ca="1">IF(OR($D43&lt;&gt;"Serviço",AND(AUTOEVENTO="Manual",$M43=$A$15)),0,
         IF(OFFSET(CRONOPLE!$F$15,$M43-$A$15,BS$13)=0,10^12,OFFSET(CRONOPLE!$F$15,$M43-$A$15,BS$13)))</f>
        <v>1000000000000</v>
      </c>
      <c r="BT43" s="171">
        <f ca="1">IF(OR($D43&lt;&gt;"Serviço",AND(AUTOEVENTO="Manual",$M43=$A$15)),0,
         IF(OFFSET(CRONOPLE!$F$15,$M43-$A$15,BT$13)=0,10^12,OFFSET(CRONOPLE!$F$15,$M43-$A$15,BT$13)))</f>
        <v>1000000000000</v>
      </c>
      <c r="BV43" s="172" cm="1">
        <f t="array" aca="1" ref="BV43" ca="1">IF(OR($D43&lt;&gt;"Serviço",AND(AUTOEVENTO="Manual",$M43=$A$15),$M43&gt;(ROW(PLE.lastrow)-ROW(PLE.firstrow))),0,
           IF(OFFSET(PLE!$G$15,$M43-$A$15,BV$13)="",10^12,OFFSET(PLE!$G$15,$M43-$A$15,BV$13)))</f>
        <v>1000000000000</v>
      </c>
      <c r="BW43" s="172" cm="1">
        <f t="array" aca="1" ref="BW43" ca="1">IF(OR($D43&lt;&gt;"Serviço",AND(AUTOEVENTO="Manual",$M43=$A$15),$M43&gt;(ROW(PLE.lastrow)-ROW(PLE.firstrow))),0,
           IF(OFFSET(PLE!$G$15,$M43-$A$15,BW$13)="",10^12,OFFSET(PLE!$G$15,$M43-$A$15,BW$13)))</f>
        <v>1000000000000</v>
      </c>
      <c r="BX43" s="172" cm="1">
        <f t="array" aca="1" ref="BX43" ca="1">IF(OR($D43&lt;&gt;"Serviço",AND(AUTOEVENTO="Manual",$M43=$A$15),$M43&gt;(ROW(PLE.lastrow)-ROW(PLE.firstrow))),0,
           IF(OFFSET(PLE!$G$15,$M43-$A$15,BX$13)="",10^12,OFFSET(PLE!$G$15,$M43-$A$15,BX$13)))</f>
        <v>1000000000000</v>
      </c>
      <c r="BY43" s="172" cm="1">
        <f t="array" aca="1" ref="BY43" ca="1">IF(OR($D43&lt;&gt;"Serviço",AND(AUTOEVENTO="Manual",$M43=$A$15),$M43&gt;(ROW(PLE.lastrow)-ROW(PLE.firstrow))),0,
           IF(OFFSET(PLE!$G$15,$M43-$A$15,BY$13)="",10^12,OFFSET(PLE!$G$15,$M43-$A$15,BY$13)))</f>
        <v>1000000000000</v>
      </c>
      <c r="BZ43" s="172" cm="1">
        <f t="array" aca="1" ref="BZ43" ca="1">IF(OR($D43&lt;&gt;"Serviço",AND(AUTOEVENTO="Manual",$M43=$A$15),$M43&gt;(ROW(PLE.lastrow)-ROW(PLE.firstrow))),0,
           IF(OFFSET(PLE!$G$15,$M43-$A$15,BZ$13)="",10^12,OFFSET(PLE!$G$15,$M43-$A$15,BZ$13)))</f>
        <v>1000000000000</v>
      </c>
      <c r="CA43" s="172" cm="1">
        <f t="array" aca="1" ref="CA43" ca="1">IF(OR($D43&lt;&gt;"Serviço",AND(AUTOEVENTO="Manual",$M43=$A$15),$M43&gt;(ROW(PLE.lastrow)-ROW(PLE.firstrow))),0,
           IF(OFFSET(PLE!$G$15,$M43-$A$15,CA$13)="",10^12,OFFSET(PLE!$G$15,$M43-$A$15,CA$13)))</f>
        <v>1000000000000</v>
      </c>
      <c r="CB43" s="172" cm="1">
        <f t="array" aca="1" ref="CB43" ca="1">IF(OR($D43&lt;&gt;"Serviço",AND(AUTOEVENTO="Manual",$M43=$A$15),$M43&gt;(ROW(PLE.lastrow)-ROW(PLE.firstrow))),0,
           IF(OFFSET(PLE!$G$15,$M43-$A$15,CB$13)="",10^12,OFFSET(PLE!$G$15,$M43-$A$15,CB$13)))</f>
        <v>1000000000000</v>
      </c>
      <c r="CC43" s="172" cm="1">
        <f t="array" aca="1" ref="CC43" ca="1">IF(OR($D43&lt;&gt;"Serviço",AND(AUTOEVENTO="Manual",$M43=$A$15),$M43&gt;(ROW(PLE.lastrow)-ROW(PLE.firstrow))),0,
           IF(OFFSET(PLE!$G$15,$M43-$A$15,CC$13)="",10^12,OFFSET(PLE!$G$15,$M43-$A$15,CC$13)))</f>
        <v>1000000000000</v>
      </c>
      <c r="CD43" s="172" cm="1">
        <f t="array" aca="1" ref="CD43" ca="1">IF(OR($D43&lt;&gt;"Serviço",AND(AUTOEVENTO="Manual",$M43=$A$15),$M43&gt;(ROW(PLE.lastrow)-ROW(PLE.firstrow))),0,
           IF(OFFSET(PLE!$G$15,$M43-$A$15,CD$13)="",10^12,OFFSET(PLE!$G$15,$M43-$A$15,CD$13)))</f>
        <v>1000000000000</v>
      </c>
      <c r="CE43" s="172" cm="1">
        <f t="array" aca="1" ref="CE43" ca="1">IF(OR($D43&lt;&gt;"Serviço",AND(AUTOEVENTO="Manual",$M43=$A$15),$M43&gt;(ROW(PLE.lastrow)-ROW(PLE.firstrow))),0,
           IF(OFFSET(PLE!$G$15,$M43-$A$15,CE$13)="",10^12,OFFSET(PLE!$G$15,$M43-$A$15,CE$13)))</f>
        <v>1000000000000</v>
      </c>
      <c r="CF43" s="172" cm="1">
        <f t="array" aca="1" ref="CF43" ca="1">IF(OR($D43&lt;&gt;"Serviço",AND(AUTOEVENTO="Manual",$M43=$A$15),$M43&gt;(ROW(PLE.lastrow)-ROW(PLE.firstrow))),0,
           IF(OFFSET(PLE!$G$15,$M43-$A$15,CF$13)="",10^12,OFFSET(PLE!$G$15,$M43-$A$15,CF$13)))</f>
        <v>1000000000000</v>
      </c>
      <c r="CG43" s="172" cm="1">
        <f t="array" aca="1" ref="CG43" ca="1">IF(OR($D43&lt;&gt;"Serviço",AND(AUTOEVENTO="Manual",$M43=$A$15),$M43&gt;(ROW(PLE.lastrow)-ROW(PLE.firstrow))),0,
           IF(OFFSET(PLE!$G$15,$M43-$A$15,CG$13)="",10^12,OFFSET(PLE!$G$15,$M43-$A$15,CG$13)))</f>
        <v>1000000000000</v>
      </c>
      <c r="CH43" s="172" cm="1">
        <f t="array" aca="1" ref="CH43" ca="1">IF(OR($D43&lt;&gt;"Serviço",AND(AUTOEVENTO="Manual",$M43=$A$15),$M43&gt;(ROW(PLE.lastrow)-ROW(PLE.firstrow))),0,
           IF(OFFSET(PLE!$G$15,$M43-$A$15,CH$13)="",10^12,OFFSET(PLE!$G$15,$M43-$A$15,CH$13)))</f>
        <v>1000000000000</v>
      </c>
      <c r="CI43" s="172" cm="1">
        <f t="array" aca="1" ref="CI43" ca="1">IF(OR($D43&lt;&gt;"Serviço",AND(AUTOEVENTO="Manual",$M43=$A$15),$M43&gt;(ROW(PLE.lastrow)-ROW(PLE.firstrow))),0,
           IF(OFFSET(PLE!$G$15,$M43-$A$15,CI$13)="",10^12,OFFSET(PLE!$G$15,$M43-$A$15,CI$13)))</f>
        <v>1000000000000</v>
      </c>
      <c r="CJ43" s="172" cm="1">
        <f t="array" aca="1" ref="CJ43" ca="1">IF(OR($D43&lt;&gt;"Serviço",AND(AUTOEVENTO="Manual",$M43=$A$15),$M43&gt;(ROW(PLE.lastrow)-ROW(PLE.firstrow))),0,
           IF(OFFSET(PLE!$G$15,$M43-$A$15,CJ$13)="",10^12,OFFSET(PLE!$G$15,$M43-$A$15,CJ$13)))</f>
        <v>1000000000000</v>
      </c>
      <c r="CK43" s="172" cm="1">
        <f t="array" aca="1" ref="CK43" ca="1">IF(OR($D43&lt;&gt;"Serviço",AND(AUTOEVENTO="Manual",$M43=$A$15),$M43&gt;(ROW(PLE.lastrow)-ROW(PLE.firstrow))),0,
           IF(OFFSET(PLE!$G$15,$M43-$A$15,CK$13)="",10^12,OFFSET(PLE!$G$15,$M43-$A$15,CK$13)))</f>
        <v>1000000000000</v>
      </c>
      <c r="CL43" s="172" cm="1">
        <f t="array" aca="1" ref="CL43" ca="1">IF(OR($D43&lt;&gt;"Serviço",AND(AUTOEVENTO="Manual",$M43=$A$15),$M43&gt;(ROW(PLE.lastrow)-ROW(PLE.firstrow))),0,
           IF(OFFSET(PLE!$G$15,$M43-$A$15,CL$13)="",10^12,OFFSET(PLE!$G$15,$M43-$A$15,CL$13)))</f>
        <v>1000000000000</v>
      </c>
      <c r="CM43" s="172" cm="1">
        <f t="array" aca="1" ref="CM43" ca="1">IF(OR($D43&lt;&gt;"Serviço",AND(AUTOEVENTO="Manual",$M43=$A$15),$M43&gt;(ROW(PLE.lastrow)-ROW(PLE.firstrow))),0,
           IF(OFFSET(PLE!$G$15,$M43-$A$15,CM$13)="",10^12,OFFSET(PLE!$G$15,$M43-$A$15,CM$13)))</f>
        <v>1000000000000</v>
      </c>
    </row>
    <row r="44" spans="1:91" s="670" customFormat="1" ht="12.75" x14ac:dyDescent="0.2">
      <c r="A44" s="668">
        <f t="shared" ca="1" si="10"/>
        <v>0</v>
      </c>
      <c r="B44" s="668">
        <f ca="1">OFFSET(ORÇAMENTO!C$15,$L44,0)</f>
        <v>2</v>
      </c>
      <c r="C44" s="668" t="str">
        <f ca="1">OFFSET(ORÇAMENTO!L$15,$L44,0)</f>
        <v>F</v>
      </c>
      <c r="D44" s="116" t="str">
        <f ca="1">OFFSET(ORÇAMENTO!N$15,$L44,0)</f>
        <v>Nível 2</v>
      </c>
      <c r="E44" s="117" t="str">
        <f ca="1">OFFSET(ORÇAMENTO!O$15,$L44,0)</f>
        <v>1.7.</v>
      </c>
      <c r="F44" s="163" t="str">
        <f ca="1">OFFSET(ORÇAMENTO!R$15,$L44,0)</f>
        <v>TUBOS, PEÇAS E CONEXÕES - Reservatório de 320 m³</v>
      </c>
      <c r="G44" s="164" t="str">
        <f ca="1">IF($D44&lt;&gt;"Serviço","",OFFSET(ORÇAMENTO!S$15,$L44,0))</f>
        <v/>
      </c>
      <c r="H44" s="122" cm="1">
        <f t="array" aca="1" ref="H44" ca="1">IF($D44&lt;&gt;"Serviço",0,IF(ACOMPANHAMENTO="BM",ROUND(OFFSET(ORÇAMENTO!AJ$15,$L44,0),15-13*ORÇAMENTO!$AF$7),IF(IFERROR(CÁLCULO.FrentesPreenchidas,0)=0,0,SUM(ROUND(OFFSET($P44,0,1,1,CÁLCULO.FrentesPreenchidas),15-13*ORÇAMENTO!$AF$7)))))</f>
        <v>0</v>
      </c>
      <c r="I44" s="468"/>
      <c r="J44" s="651" t="str" cm="1">
        <f t="array" aca="1" ref="J44" ca="1">IF(OR(B44&lt;&gt;"S",CÁLCULO.FrentesPreenchidas=0),"",IF(AND(ACOMPANHAMENTO="PLE",AUTOEVENTO="Manual",OR(H44&gt;0,ORÇAMENTO!AC44="QUANT."),OR(K44="",M44=0,N44="")),"►E",IF(AND(ACOMPANHAMENTO="PLE",ORÇAMENTO!AC44="QUANT."),"►Q",IF(AND(ACOMPANHAMENTO="PLE",H44&lt;&gt;SUMPRODUCT(($Q$1:$AI$1=1)*ROUND(Q44:AI44,15))),"►S",IF(AND(COUNTIF($P$11:$AI$11,"▼")=0,H44&gt;0,I44=""),"◄M","")))))</f>
        <v/>
      </c>
      <c r="K44" s="652"/>
      <c r="L44" s="165">
        <f t="shared" ca="1" si="11"/>
        <v>29</v>
      </c>
      <c r="M44" s="166" t="str">
        <f ca="1">IF($D44&lt;&gt;"Serviço","",
          IF(AUTOEVENTO="manual",$A44,
                IF(ISERROR(MATCH($A44,$A$15:OFFSET($A44,-1,0),0)),MAX($M$15:OFFSET(M44,-1,0))+1,
                      INDEX($M$15:OFFSET(M44,-1,0),MATCH($A44,$A$15:OFFSET($A44,-1,0),0)))))</f>
        <v/>
      </c>
      <c r="N44" s="167" t="str">
        <f ca="1">IF($D44&lt;&gt;"Serviço","",
         IF(AUTOEVENTO="Manual",
                IF($A44=0,"&lt;-- defina o número do agrupador",
                       OFFSET(EVENTOS!$D$15,$A44-$A$15,0)),
                OFFSET($F$15,$A44,0)))</f>
        <v/>
      </c>
      <c r="O44" s="168"/>
      <c r="Q44" s="168"/>
      <c r="R44" s="169"/>
      <c r="S44" s="169" t="s">
        <v>250</v>
      </c>
      <c r="T44" s="169"/>
      <c r="U44" s="169"/>
      <c r="V44" s="169"/>
      <c r="W44" s="169"/>
      <c r="X44" s="169"/>
      <c r="Y44" s="169"/>
      <c r="Z44" s="170"/>
      <c r="AA44" s="705"/>
      <c r="AB44" s="705"/>
      <c r="AC44" s="705"/>
      <c r="AD44" s="705"/>
      <c r="AE44" s="705"/>
      <c r="AF44" s="705"/>
      <c r="AG44" s="705"/>
      <c r="AH44" s="706"/>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L44" s="453">
        <f ca="1">IF(AND($D44="Serviço",AL$12&lt;&gt;0,$H44&gt;0,OR(AUTOEVENTO&lt;&gt;"manual",$M44&lt;&gt;$A$15)),
        IF(Import.TipoArredondamento&lt;&gt;"TransfereGOV",
              ROUND(OFFSET($P44,0,AL$13),15-13*ORÇAMENTO!$AF$7)/$H44*OFFSET(ORÇAMENTO!$X$15,ROW(AL44)-ROW(AL$15),0),
              ROUND(ROUND(OFFSET($P44,0,AL$13),15-13*ORÇAMENTO!$AF$7)*OFFSET(ORÇAMENTO!$W$15,ROW(AL44)-ROW(AL$15),0),15-13*ORÇAMENTO!$AF$11)),
         0)</f>
        <v>0</v>
      </c>
      <c r="AM44" s="453">
        <f ca="1">IF(AND($D44="Serviço",AM$12&lt;&gt;0,$H44&gt;0,OR(AUTOEVENTO&lt;&gt;"manual",$M44&lt;&gt;$A$15)),
        IF(Import.TipoArredondamento&lt;&gt;"TransfereGOV",
              ROUND(OFFSET($P44,0,AM$13),15-13*ORÇAMENTO!$AF$7)/$H44*OFFSET(ORÇAMENTO!$X$15,ROW(AM44)-ROW(AM$15),0),
              ROUND(ROUND(OFFSET($P44,0,AM$13),15-13*ORÇAMENTO!$AF$7)*OFFSET(ORÇAMENTO!$W$15,ROW(AM44)-ROW(AM$15),0),15-13*ORÇAMENTO!$AF$11)),
         0)</f>
        <v>0</v>
      </c>
      <c r="AN44" s="453">
        <f ca="1">IF(AND($D44="Serviço",AN$12&lt;&gt;0,$H44&gt;0,OR(AUTOEVENTO&lt;&gt;"manual",$M44&lt;&gt;$A$15)),
        IF(Import.TipoArredondamento&lt;&gt;"TransfereGOV",
              ROUND(OFFSET($P44,0,AN$13),15-13*ORÇAMENTO!$AF$7)/$H44*OFFSET(ORÇAMENTO!$X$15,ROW(AN44)-ROW(AN$15),0),
              ROUND(ROUND(OFFSET($P44,0,AN$13),15-13*ORÇAMENTO!$AF$7)*OFFSET(ORÇAMENTO!$W$15,ROW(AN44)-ROW(AN$15),0),15-13*ORÇAMENTO!$AF$11)),
         0)</f>
        <v>0</v>
      </c>
      <c r="AO44" s="453">
        <f ca="1">IF(AND($D44="Serviço",AO$12&lt;&gt;0,$H44&gt;0,OR(AUTOEVENTO&lt;&gt;"manual",$M44&lt;&gt;$A$15)),
        IF(Import.TipoArredondamento&lt;&gt;"TransfereGOV",
              ROUND(OFFSET($P44,0,AO$13),15-13*ORÇAMENTO!$AF$7)/$H44*OFFSET(ORÇAMENTO!$X$15,ROW(AO44)-ROW(AO$15),0),
              ROUND(ROUND(OFFSET($P44,0,AO$13),15-13*ORÇAMENTO!$AF$7)*OFFSET(ORÇAMENTO!$W$15,ROW(AO44)-ROW(AO$15),0),15-13*ORÇAMENTO!$AF$11)),
         0)</f>
        <v>0</v>
      </c>
      <c r="AP44" s="453">
        <f ca="1">IF(AND($D44="Serviço",AP$12&lt;&gt;0,$H44&gt;0,OR(AUTOEVENTO&lt;&gt;"manual",$M44&lt;&gt;$A$15)),
        IF(Import.TipoArredondamento&lt;&gt;"TransfereGOV",
              ROUND(OFFSET($P44,0,AP$13),15-13*ORÇAMENTO!$AF$7)/$H44*OFFSET(ORÇAMENTO!$X$15,ROW(AP44)-ROW(AP$15),0),
              ROUND(ROUND(OFFSET($P44,0,AP$13),15-13*ORÇAMENTO!$AF$7)*OFFSET(ORÇAMENTO!$W$15,ROW(AP44)-ROW(AP$15),0),15-13*ORÇAMENTO!$AF$11)),
         0)</f>
        <v>0</v>
      </c>
      <c r="AQ44" s="453">
        <f ca="1">IF(AND($D44="Serviço",AQ$12&lt;&gt;0,$H44&gt;0,OR(AUTOEVENTO&lt;&gt;"manual",$M44&lt;&gt;$A$15)),
        IF(Import.TipoArredondamento&lt;&gt;"TransfereGOV",
              ROUND(OFFSET($P44,0,AQ$13),15-13*ORÇAMENTO!$AF$7)/$H44*OFFSET(ORÇAMENTO!$X$15,ROW(AQ44)-ROW(AQ$15),0),
              ROUND(ROUND(OFFSET($P44,0,AQ$13),15-13*ORÇAMENTO!$AF$7)*OFFSET(ORÇAMENTO!$W$15,ROW(AQ44)-ROW(AQ$15),0),15-13*ORÇAMENTO!$AF$11)),
         0)</f>
        <v>0</v>
      </c>
      <c r="AR44" s="453">
        <f ca="1">IF(AND($D44="Serviço",AR$12&lt;&gt;0,$H44&gt;0,OR(AUTOEVENTO&lt;&gt;"manual",$M44&lt;&gt;$A$15)),
        IF(Import.TipoArredondamento&lt;&gt;"TransfereGOV",
              ROUND(OFFSET($P44,0,AR$13),15-13*ORÇAMENTO!$AF$7)/$H44*OFFSET(ORÇAMENTO!$X$15,ROW(AR44)-ROW(AR$15),0),
              ROUND(ROUND(OFFSET($P44,0,AR$13),15-13*ORÇAMENTO!$AF$7)*OFFSET(ORÇAMENTO!$W$15,ROW(AR44)-ROW(AR$15),0),15-13*ORÇAMENTO!$AF$11)),
         0)</f>
        <v>0</v>
      </c>
      <c r="AS44" s="453">
        <f ca="1">IF(AND($D44="Serviço",AS$12&lt;&gt;0,$H44&gt;0,OR(AUTOEVENTO&lt;&gt;"manual",$M44&lt;&gt;$A$15)),
        IF(Import.TipoArredondamento&lt;&gt;"TransfereGOV",
              ROUND(OFFSET($P44,0,AS$13),15-13*ORÇAMENTO!$AF$7)/$H44*OFFSET(ORÇAMENTO!$X$15,ROW(AS44)-ROW(AS$15),0),
              ROUND(ROUND(OFFSET($P44,0,AS$13),15-13*ORÇAMENTO!$AF$7)*OFFSET(ORÇAMENTO!$W$15,ROW(AS44)-ROW(AS$15),0),15-13*ORÇAMENTO!$AF$11)),
         0)</f>
        <v>0</v>
      </c>
      <c r="AT44" s="453">
        <f ca="1">IF(AND($D44="Serviço",AT$12&lt;&gt;0,$H44&gt;0,OR(AUTOEVENTO&lt;&gt;"manual",$M44&lt;&gt;$A$15)),
        IF(Import.TipoArredondamento&lt;&gt;"TransfereGOV",
              ROUND(OFFSET($P44,0,AT$13),15-13*ORÇAMENTO!$AF$7)/$H44*OFFSET(ORÇAMENTO!$X$15,ROW(AT44)-ROW(AT$15),0),
              ROUND(ROUND(OFFSET($P44,0,AT$13),15-13*ORÇAMENTO!$AF$7)*OFFSET(ORÇAMENTO!$W$15,ROW(AT44)-ROW(AT$15),0),15-13*ORÇAMENTO!$AF$11)),
         0)</f>
        <v>0</v>
      </c>
      <c r="AU44" s="453">
        <f ca="1">IF(AND($D44="Serviço",AU$12&lt;&gt;0,$H44&gt;0,OR(AUTOEVENTO&lt;&gt;"manual",$M44&lt;&gt;$A$15)),
        IF(Import.TipoArredondamento&lt;&gt;"TransfereGOV",
              ROUND(OFFSET($P44,0,AU$13),15-13*ORÇAMENTO!$AF$7)/$H44*OFFSET(ORÇAMENTO!$X$15,ROW(AU44)-ROW(AU$15),0),
              ROUND(ROUND(OFFSET($P44,0,AU$13),15-13*ORÇAMENTO!$AF$7)*OFFSET(ORÇAMENTO!$W$15,ROW(AU44)-ROW(AU$15),0),15-13*ORÇAMENTO!$AF$11)),
         0)</f>
        <v>0</v>
      </c>
      <c r="AV44" s="453">
        <f ca="1">IF(AND($D44="Serviço",AV$12&lt;&gt;0,$H44&gt;0,OR(AUTOEVENTO&lt;&gt;"manual",$M44&lt;&gt;$A$15)),
        IF(Import.TipoArredondamento&lt;&gt;"TransfereGOV",
              ROUND(OFFSET($P44,0,AV$13),15-13*ORÇAMENTO!$AF$7)/$H44*OFFSET(ORÇAMENTO!$X$15,ROW(AV44)-ROW(AV$15),0),
              ROUND(ROUND(OFFSET($P44,0,AV$13),15-13*ORÇAMENTO!$AF$7)*OFFSET(ORÇAMENTO!$W$15,ROW(AV44)-ROW(AV$15),0),15-13*ORÇAMENTO!$AF$11)),
         0)</f>
        <v>0</v>
      </c>
      <c r="AW44" s="453">
        <f ca="1">IF(AND($D44="Serviço",AW$12&lt;&gt;0,$H44&gt;0,OR(AUTOEVENTO&lt;&gt;"manual",$M44&lt;&gt;$A$15)),
        IF(Import.TipoArredondamento&lt;&gt;"TransfereGOV",
              ROUND(OFFSET($P44,0,AW$13),15-13*ORÇAMENTO!$AF$7)/$H44*OFFSET(ORÇAMENTO!$X$15,ROW(AW44)-ROW(AW$15),0),
              ROUND(ROUND(OFFSET($P44,0,AW$13),15-13*ORÇAMENTO!$AF$7)*OFFSET(ORÇAMENTO!$W$15,ROW(AW44)-ROW(AW$15),0),15-13*ORÇAMENTO!$AF$11)),
         0)</f>
        <v>0</v>
      </c>
      <c r="AX44" s="453">
        <f ca="1">IF(AND($D44="Serviço",AX$12&lt;&gt;0,$H44&gt;0,OR(AUTOEVENTO&lt;&gt;"manual",$M44&lt;&gt;$A$15)),
        IF(Import.TipoArredondamento&lt;&gt;"TransfereGOV",
              ROUND(OFFSET($P44,0,AX$13),15-13*ORÇAMENTO!$AF$7)/$H44*OFFSET(ORÇAMENTO!$X$15,ROW(AX44)-ROW(AX$15),0),
              ROUND(ROUND(OFFSET($P44,0,AX$13),15-13*ORÇAMENTO!$AF$7)*OFFSET(ORÇAMENTO!$W$15,ROW(AX44)-ROW(AX$15),0),15-13*ORÇAMENTO!$AF$11)),
         0)</f>
        <v>0</v>
      </c>
      <c r="AY44" s="453">
        <f ca="1">IF(AND($D44="Serviço",AY$12&lt;&gt;0,$H44&gt;0,OR(AUTOEVENTO&lt;&gt;"manual",$M44&lt;&gt;$A$15)),
        IF(Import.TipoArredondamento&lt;&gt;"TransfereGOV",
              ROUND(OFFSET($P44,0,AY$13),15-13*ORÇAMENTO!$AF$7)/$H44*OFFSET(ORÇAMENTO!$X$15,ROW(AY44)-ROW(AY$15),0),
              ROUND(ROUND(OFFSET($P44,0,AY$13),15-13*ORÇAMENTO!$AF$7)*OFFSET(ORÇAMENTO!$W$15,ROW(AY44)-ROW(AY$15),0),15-13*ORÇAMENTO!$AF$11)),
         0)</f>
        <v>0</v>
      </c>
      <c r="AZ44" s="453">
        <f ca="1">IF(AND($D44="Serviço",AZ$12&lt;&gt;0,$H44&gt;0,OR(AUTOEVENTO&lt;&gt;"manual",$M44&lt;&gt;$A$15)),
        IF(Import.TipoArredondamento&lt;&gt;"TransfereGOV",
              ROUND(OFFSET($P44,0,AZ$13),15-13*ORÇAMENTO!$AF$7)/$H44*OFFSET(ORÇAMENTO!$X$15,ROW(AZ44)-ROW(AZ$15),0),
              ROUND(ROUND(OFFSET($P44,0,AZ$13),15-13*ORÇAMENTO!$AF$7)*OFFSET(ORÇAMENTO!$W$15,ROW(AZ44)-ROW(AZ$15),0),15-13*ORÇAMENTO!$AF$11)),
         0)</f>
        <v>0</v>
      </c>
      <c r="BA44" s="453">
        <f ca="1">IF(AND($D44="Serviço",BA$12&lt;&gt;0,$H44&gt;0,OR(AUTOEVENTO&lt;&gt;"manual",$M44&lt;&gt;$A$15)),
        IF(Import.TipoArredondamento&lt;&gt;"TransfereGOV",
              ROUND(OFFSET($P44,0,BA$13),15-13*ORÇAMENTO!$AF$7)/$H44*OFFSET(ORÇAMENTO!$X$15,ROW(BA44)-ROW(BA$15),0),
              ROUND(ROUND(OFFSET($P44,0,BA$13),15-13*ORÇAMENTO!$AF$7)*OFFSET(ORÇAMENTO!$W$15,ROW(BA44)-ROW(BA$15),0),15-13*ORÇAMENTO!$AF$11)),
         0)</f>
        <v>0</v>
      </c>
      <c r="BC44" s="171">
        <f ca="1">IF(OR($D44&lt;&gt;"Serviço",AND(AUTOEVENTO="Manual",$M44=$A$15)),0,
         IF(OFFSET(CRONOPLE!$F$15,$M44-$A$15,BC$13)=0,10^12,OFFSET(CRONOPLE!$F$15,$M44-$A$15,BC$13)))</f>
        <v>0</v>
      </c>
      <c r="BD44" s="171">
        <f ca="1">IF(OR($D44&lt;&gt;"Serviço",AND(AUTOEVENTO="Manual",$M44=$A$15)),0,
         IF(OFFSET(CRONOPLE!$F$15,$M44-$A$15,BD$13)=0,10^12,OFFSET(CRONOPLE!$F$15,$M44-$A$15,BD$13)))</f>
        <v>0</v>
      </c>
      <c r="BE44" s="171">
        <f ca="1">IF(OR($D44&lt;&gt;"Serviço",AND(AUTOEVENTO="Manual",$M44=$A$15)),0,
         IF(OFFSET(CRONOPLE!$F$15,$M44-$A$15,BE$13)=0,10^12,OFFSET(CRONOPLE!$F$15,$M44-$A$15,BE$13)))</f>
        <v>0</v>
      </c>
      <c r="BF44" s="171">
        <f ca="1">IF(OR($D44&lt;&gt;"Serviço",AND(AUTOEVENTO="Manual",$M44=$A$15)),0,
         IF(OFFSET(CRONOPLE!$F$15,$M44-$A$15,BF$13)=0,10^12,OFFSET(CRONOPLE!$F$15,$M44-$A$15,BF$13)))</f>
        <v>0</v>
      </c>
      <c r="BG44" s="171">
        <f ca="1">IF(OR($D44&lt;&gt;"Serviço",AND(AUTOEVENTO="Manual",$M44=$A$15)),0,
         IF(OFFSET(CRONOPLE!$F$15,$M44-$A$15,BG$13)=0,10^12,OFFSET(CRONOPLE!$F$15,$M44-$A$15,BG$13)))</f>
        <v>0</v>
      </c>
      <c r="BH44" s="171">
        <f ca="1">IF(OR($D44&lt;&gt;"Serviço",AND(AUTOEVENTO="Manual",$M44=$A$15)),0,
         IF(OFFSET(CRONOPLE!$F$15,$M44-$A$15,BH$13)=0,10^12,OFFSET(CRONOPLE!$F$15,$M44-$A$15,BH$13)))</f>
        <v>0</v>
      </c>
      <c r="BI44" s="171">
        <f ca="1">IF(OR($D44&lt;&gt;"Serviço",AND(AUTOEVENTO="Manual",$M44=$A$15)),0,
         IF(OFFSET(CRONOPLE!$F$15,$M44-$A$15,BI$13)=0,10^12,OFFSET(CRONOPLE!$F$15,$M44-$A$15,BI$13)))</f>
        <v>0</v>
      </c>
      <c r="BJ44" s="171">
        <f ca="1">IF(OR($D44&lt;&gt;"Serviço",AND(AUTOEVENTO="Manual",$M44=$A$15)),0,
         IF(OFFSET(CRONOPLE!$F$15,$M44-$A$15,BJ$13)=0,10^12,OFFSET(CRONOPLE!$F$15,$M44-$A$15,BJ$13)))</f>
        <v>0</v>
      </c>
      <c r="BK44" s="171">
        <f ca="1">IF(OR($D44&lt;&gt;"Serviço",AND(AUTOEVENTO="Manual",$M44=$A$15)),0,
         IF(OFFSET(CRONOPLE!$F$15,$M44-$A$15,BK$13)=0,10^12,OFFSET(CRONOPLE!$F$15,$M44-$A$15,BK$13)))</f>
        <v>0</v>
      </c>
      <c r="BL44" s="171">
        <f ca="1">IF(OR($D44&lt;&gt;"Serviço",AND(AUTOEVENTO="Manual",$M44=$A$15)),0,
         IF(OFFSET(CRONOPLE!$F$15,$M44-$A$15,BL$13)=0,10^12,OFFSET(CRONOPLE!$F$15,$M44-$A$15,BL$13)))</f>
        <v>0</v>
      </c>
      <c r="BM44" s="171">
        <f ca="1">IF(OR($D44&lt;&gt;"Serviço",AND(AUTOEVENTO="Manual",$M44=$A$15)),0,
         IF(OFFSET(CRONOPLE!$F$15,$M44-$A$15,BM$13)=0,10^12,OFFSET(CRONOPLE!$F$15,$M44-$A$15,BM$13)))</f>
        <v>0</v>
      </c>
      <c r="BN44" s="171">
        <f ca="1">IF(OR($D44&lt;&gt;"Serviço",AND(AUTOEVENTO="Manual",$M44=$A$15)),0,
         IF(OFFSET(CRONOPLE!$F$15,$M44-$A$15,BN$13)=0,10^12,OFFSET(CRONOPLE!$F$15,$M44-$A$15,BN$13)))</f>
        <v>0</v>
      </c>
      <c r="BO44" s="171">
        <f ca="1">IF(OR($D44&lt;&gt;"Serviço",AND(AUTOEVENTO="Manual",$M44=$A$15)),0,
         IF(OFFSET(CRONOPLE!$F$15,$M44-$A$15,BO$13)=0,10^12,OFFSET(CRONOPLE!$F$15,$M44-$A$15,BO$13)))</f>
        <v>0</v>
      </c>
      <c r="BP44" s="171">
        <f ca="1">IF(OR($D44&lt;&gt;"Serviço",AND(AUTOEVENTO="Manual",$M44=$A$15)),0,
         IF(OFFSET(CRONOPLE!$F$15,$M44-$A$15,BP$13)=0,10^12,OFFSET(CRONOPLE!$F$15,$M44-$A$15,BP$13)))</f>
        <v>0</v>
      </c>
      <c r="BQ44" s="171">
        <f ca="1">IF(OR($D44&lt;&gt;"Serviço",AND(AUTOEVENTO="Manual",$M44=$A$15)),0,
         IF(OFFSET(CRONOPLE!$F$15,$M44-$A$15,BQ$13)=0,10^12,OFFSET(CRONOPLE!$F$15,$M44-$A$15,BQ$13)))</f>
        <v>0</v>
      </c>
      <c r="BR44" s="171">
        <f ca="1">IF(OR($D44&lt;&gt;"Serviço",AND(AUTOEVENTO="Manual",$M44=$A$15)),0,
         IF(OFFSET(CRONOPLE!$F$15,$M44-$A$15,BR$13)=0,10^12,OFFSET(CRONOPLE!$F$15,$M44-$A$15,BR$13)))</f>
        <v>0</v>
      </c>
      <c r="BS44" s="171">
        <f ca="1">IF(OR($D44&lt;&gt;"Serviço",AND(AUTOEVENTO="Manual",$M44=$A$15)),0,
         IF(OFFSET(CRONOPLE!$F$15,$M44-$A$15,BS$13)=0,10^12,OFFSET(CRONOPLE!$F$15,$M44-$A$15,BS$13)))</f>
        <v>0</v>
      </c>
      <c r="BT44" s="171">
        <f ca="1">IF(OR($D44&lt;&gt;"Serviço",AND(AUTOEVENTO="Manual",$M44=$A$15)),0,
         IF(OFFSET(CRONOPLE!$F$15,$M44-$A$15,BT$13)=0,10^12,OFFSET(CRONOPLE!$F$15,$M44-$A$15,BT$13)))</f>
        <v>0</v>
      </c>
      <c r="BV44" s="172" cm="1">
        <f t="array" aca="1" ref="BV44" ca="1">IF(OR($D44&lt;&gt;"Serviço",AND(AUTOEVENTO="Manual",$M44=$A$15),$M44&gt;(ROW(PLE.lastrow)-ROW(PLE.firstrow))),0,
           IF(OFFSET(PLE!$G$15,$M44-$A$15,BV$13)="",10^12,OFFSET(PLE!$G$15,$M44-$A$15,BV$13)))</f>
        <v>0</v>
      </c>
      <c r="BW44" s="172" cm="1">
        <f t="array" aca="1" ref="BW44" ca="1">IF(OR($D44&lt;&gt;"Serviço",AND(AUTOEVENTO="Manual",$M44=$A$15),$M44&gt;(ROW(PLE.lastrow)-ROW(PLE.firstrow))),0,
           IF(OFFSET(PLE!$G$15,$M44-$A$15,BW$13)="",10^12,OFFSET(PLE!$G$15,$M44-$A$15,BW$13)))</f>
        <v>0</v>
      </c>
      <c r="BX44" s="172" cm="1">
        <f t="array" aca="1" ref="BX44" ca="1">IF(OR($D44&lt;&gt;"Serviço",AND(AUTOEVENTO="Manual",$M44=$A$15),$M44&gt;(ROW(PLE.lastrow)-ROW(PLE.firstrow))),0,
           IF(OFFSET(PLE!$G$15,$M44-$A$15,BX$13)="",10^12,OFFSET(PLE!$G$15,$M44-$A$15,BX$13)))</f>
        <v>0</v>
      </c>
      <c r="BY44" s="172" cm="1">
        <f t="array" aca="1" ref="BY44" ca="1">IF(OR($D44&lt;&gt;"Serviço",AND(AUTOEVENTO="Manual",$M44=$A$15),$M44&gt;(ROW(PLE.lastrow)-ROW(PLE.firstrow))),0,
           IF(OFFSET(PLE!$G$15,$M44-$A$15,BY$13)="",10^12,OFFSET(PLE!$G$15,$M44-$A$15,BY$13)))</f>
        <v>0</v>
      </c>
      <c r="BZ44" s="172" cm="1">
        <f t="array" aca="1" ref="BZ44" ca="1">IF(OR($D44&lt;&gt;"Serviço",AND(AUTOEVENTO="Manual",$M44=$A$15),$M44&gt;(ROW(PLE.lastrow)-ROW(PLE.firstrow))),0,
           IF(OFFSET(PLE!$G$15,$M44-$A$15,BZ$13)="",10^12,OFFSET(PLE!$G$15,$M44-$A$15,BZ$13)))</f>
        <v>0</v>
      </c>
      <c r="CA44" s="172" cm="1">
        <f t="array" aca="1" ref="CA44" ca="1">IF(OR($D44&lt;&gt;"Serviço",AND(AUTOEVENTO="Manual",$M44=$A$15),$M44&gt;(ROW(PLE.lastrow)-ROW(PLE.firstrow))),0,
           IF(OFFSET(PLE!$G$15,$M44-$A$15,CA$13)="",10^12,OFFSET(PLE!$G$15,$M44-$A$15,CA$13)))</f>
        <v>0</v>
      </c>
      <c r="CB44" s="172" cm="1">
        <f t="array" aca="1" ref="CB44" ca="1">IF(OR($D44&lt;&gt;"Serviço",AND(AUTOEVENTO="Manual",$M44=$A$15),$M44&gt;(ROW(PLE.lastrow)-ROW(PLE.firstrow))),0,
           IF(OFFSET(PLE!$G$15,$M44-$A$15,CB$13)="",10^12,OFFSET(PLE!$G$15,$M44-$A$15,CB$13)))</f>
        <v>0</v>
      </c>
      <c r="CC44" s="172" cm="1">
        <f t="array" aca="1" ref="CC44" ca="1">IF(OR($D44&lt;&gt;"Serviço",AND(AUTOEVENTO="Manual",$M44=$A$15),$M44&gt;(ROW(PLE.lastrow)-ROW(PLE.firstrow))),0,
           IF(OFFSET(PLE!$G$15,$M44-$A$15,CC$13)="",10^12,OFFSET(PLE!$G$15,$M44-$A$15,CC$13)))</f>
        <v>0</v>
      </c>
      <c r="CD44" s="172" cm="1">
        <f t="array" aca="1" ref="CD44" ca="1">IF(OR($D44&lt;&gt;"Serviço",AND(AUTOEVENTO="Manual",$M44=$A$15),$M44&gt;(ROW(PLE.lastrow)-ROW(PLE.firstrow))),0,
           IF(OFFSET(PLE!$G$15,$M44-$A$15,CD$13)="",10^12,OFFSET(PLE!$G$15,$M44-$A$15,CD$13)))</f>
        <v>0</v>
      </c>
      <c r="CE44" s="172" cm="1">
        <f t="array" aca="1" ref="CE44" ca="1">IF(OR($D44&lt;&gt;"Serviço",AND(AUTOEVENTO="Manual",$M44=$A$15),$M44&gt;(ROW(PLE.lastrow)-ROW(PLE.firstrow))),0,
           IF(OFFSET(PLE!$G$15,$M44-$A$15,CE$13)="",10^12,OFFSET(PLE!$G$15,$M44-$A$15,CE$13)))</f>
        <v>0</v>
      </c>
      <c r="CF44" s="172" cm="1">
        <f t="array" aca="1" ref="CF44" ca="1">IF(OR($D44&lt;&gt;"Serviço",AND(AUTOEVENTO="Manual",$M44=$A$15),$M44&gt;(ROW(PLE.lastrow)-ROW(PLE.firstrow))),0,
           IF(OFFSET(PLE!$G$15,$M44-$A$15,CF$13)="",10^12,OFFSET(PLE!$G$15,$M44-$A$15,CF$13)))</f>
        <v>0</v>
      </c>
      <c r="CG44" s="172" cm="1">
        <f t="array" aca="1" ref="CG44" ca="1">IF(OR($D44&lt;&gt;"Serviço",AND(AUTOEVENTO="Manual",$M44=$A$15),$M44&gt;(ROW(PLE.lastrow)-ROW(PLE.firstrow))),0,
           IF(OFFSET(PLE!$G$15,$M44-$A$15,CG$13)="",10^12,OFFSET(PLE!$G$15,$M44-$A$15,CG$13)))</f>
        <v>0</v>
      </c>
      <c r="CH44" s="172" cm="1">
        <f t="array" aca="1" ref="CH44" ca="1">IF(OR($D44&lt;&gt;"Serviço",AND(AUTOEVENTO="Manual",$M44=$A$15),$M44&gt;(ROW(PLE.lastrow)-ROW(PLE.firstrow))),0,
           IF(OFFSET(PLE!$G$15,$M44-$A$15,CH$13)="",10^12,OFFSET(PLE!$G$15,$M44-$A$15,CH$13)))</f>
        <v>0</v>
      </c>
      <c r="CI44" s="172" cm="1">
        <f t="array" aca="1" ref="CI44" ca="1">IF(OR($D44&lt;&gt;"Serviço",AND(AUTOEVENTO="Manual",$M44=$A$15),$M44&gt;(ROW(PLE.lastrow)-ROW(PLE.firstrow))),0,
           IF(OFFSET(PLE!$G$15,$M44-$A$15,CI$13)="",10^12,OFFSET(PLE!$G$15,$M44-$A$15,CI$13)))</f>
        <v>0</v>
      </c>
      <c r="CJ44" s="172" cm="1">
        <f t="array" aca="1" ref="CJ44" ca="1">IF(OR($D44&lt;&gt;"Serviço",AND(AUTOEVENTO="Manual",$M44=$A$15),$M44&gt;(ROW(PLE.lastrow)-ROW(PLE.firstrow))),0,
           IF(OFFSET(PLE!$G$15,$M44-$A$15,CJ$13)="",10^12,OFFSET(PLE!$G$15,$M44-$A$15,CJ$13)))</f>
        <v>0</v>
      </c>
      <c r="CK44" s="172" cm="1">
        <f t="array" aca="1" ref="CK44" ca="1">IF(OR($D44&lt;&gt;"Serviço",AND(AUTOEVENTO="Manual",$M44=$A$15),$M44&gt;(ROW(PLE.lastrow)-ROW(PLE.firstrow))),0,
           IF(OFFSET(PLE!$G$15,$M44-$A$15,CK$13)="",10^12,OFFSET(PLE!$G$15,$M44-$A$15,CK$13)))</f>
        <v>0</v>
      </c>
      <c r="CL44" s="172" cm="1">
        <f t="array" aca="1" ref="CL44" ca="1">IF(OR($D44&lt;&gt;"Serviço",AND(AUTOEVENTO="Manual",$M44=$A$15),$M44&gt;(ROW(PLE.lastrow)-ROW(PLE.firstrow))),0,
           IF(OFFSET(PLE!$G$15,$M44-$A$15,CL$13)="",10^12,OFFSET(PLE!$G$15,$M44-$A$15,CL$13)))</f>
        <v>0</v>
      </c>
      <c r="CM44" s="172" cm="1">
        <f t="array" aca="1" ref="CM44" ca="1">IF(OR($D44&lt;&gt;"Serviço",AND(AUTOEVENTO="Manual",$M44=$A$15),$M44&gt;(ROW(PLE.lastrow)-ROW(PLE.firstrow))),0,
           IF(OFFSET(PLE!$G$15,$M44-$A$15,CM$13)="",10^12,OFFSET(PLE!$G$15,$M44-$A$15,CM$13)))</f>
        <v>0</v>
      </c>
    </row>
    <row r="45" spans="1:91" s="670" customFormat="1" ht="12.75" x14ac:dyDescent="0.2">
      <c r="A45" s="668">
        <f t="shared" ca="1" si="10"/>
        <v>24</v>
      </c>
      <c r="B45" s="668" t="str">
        <f ca="1">OFFSET(ORÇAMENTO!C$15,$L45,0)</f>
        <v>S</v>
      </c>
      <c r="C45" s="668" t="str">
        <f ca="1">OFFSET(ORÇAMENTO!L$15,$L45,0)</f>
        <v>F</v>
      </c>
      <c r="D45" s="116" t="str">
        <f ca="1">OFFSET(ORÇAMENTO!N$15,$L45,0)</f>
        <v>Serviço</v>
      </c>
      <c r="E45" s="117" t="str">
        <f ca="1">OFFSET(ORÇAMENTO!O$15,$L45,0)</f>
        <v>1.7.1.</v>
      </c>
      <c r="F45" s="163" t="str">
        <f ca="1">OFFSET(ORÇAMENTO!R$15,$L45,0)</f>
        <v>tubo em ferro fundido, c/ flanges PN 10, diam. =  200mm, L=1,00m</v>
      </c>
      <c r="G45" s="164" t="str">
        <f ca="1">IF($D45&lt;&gt;"Serviço","",OFFSET(ORÇAMENTO!S$15,$L45,0))</f>
        <v>UNIDADE</v>
      </c>
      <c r="H45" s="122" cm="1">
        <f t="array" aca="1" ref="H45" ca="1">IF($D45&lt;&gt;"Serviço",0,IF(ACOMPANHAMENTO="BM",ROUND(OFFSET(ORÇAMENTO!AJ$15,$L45,0),15-13*ORÇAMENTO!$AF$7),IF(IFERROR(CÁLCULO.FrentesPreenchidas,0)=0,0,SUM(ROUND(OFFSET($P45,0,1,1,CÁLCULO.FrentesPreenchidas),15-13*ORÇAMENTO!$AF$7)))))</f>
        <v>20</v>
      </c>
      <c r="I45" s="468" t="s">
        <v>1237</v>
      </c>
      <c r="J45" s="651" t="str" cm="1">
        <f t="array" aca="1" ref="J45" ca="1">IF(OR(B45&lt;&gt;"S",CÁLCULO.FrentesPreenchidas=0),"",IF(AND(ACOMPANHAMENTO="PLE",AUTOEVENTO="Manual",OR(H45&gt;0,ORÇAMENTO!AC45="QUANT."),OR(K45="",M45=0,N45="")),"►E",IF(AND(ACOMPANHAMENTO="PLE",ORÇAMENTO!AC45="QUANT."),"►Q",IF(AND(ACOMPANHAMENTO="PLE",H45&lt;&gt;SUMPRODUCT(($Q$1:$AI$1=1)*ROUND(Q45:AI45,15))),"►S",IF(AND(COUNTIF($P$11:$AI$11,"▼")=0,H45&gt;0,I45=""),"◄M","")))))</f>
        <v/>
      </c>
      <c r="K45" s="652" t="s">
        <v>1344</v>
      </c>
      <c r="L45" s="165">
        <f t="shared" ca="1" si="11"/>
        <v>30</v>
      </c>
      <c r="M45" s="166">
        <f ca="1">IF($D45&lt;&gt;"Serviço","",
          IF(AUTOEVENTO="manual",$A45,
                IF(ISERROR(MATCH($A45,$A$15:OFFSET($A45,-1,0),0)),MAX($M$15:OFFSET(M45,-1,0))+1,
                      INDEX($M$15:OFFSET(M45,-1,0),MATCH($A45,$A$15:OFFSET($A45,-1,0),0)))))</f>
        <v>24</v>
      </c>
      <c r="N45" s="167" t="str">
        <f ca="1">IF($D45&lt;&gt;"Serviço","",
         IF(AUTOEVENTO="Manual",
                IF($A45=0,"&lt;-- defina o número do agrupador",
                       OFFSET(EVENTOS!$D$15,$A45-$A$15,0)),
                OFFSET($F$15,$A45,0)))</f>
        <v>Instalações hidrossanitárias</v>
      </c>
      <c r="O45" s="168"/>
      <c r="Q45" s="168"/>
      <c r="R45" s="169"/>
      <c r="S45" s="169">
        <v>20</v>
      </c>
      <c r="T45" s="169"/>
      <c r="U45" s="169"/>
      <c r="V45" s="169"/>
      <c r="W45" s="169"/>
      <c r="X45" s="169"/>
      <c r="Y45" s="169"/>
      <c r="Z45" s="170"/>
      <c r="AA45" s="705"/>
      <c r="AB45" s="705"/>
      <c r="AC45" s="705"/>
      <c r="AD45" s="705"/>
      <c r="AE45" s="705"/>
      <c r="AF45" s="705"/>
      <c r="AG45" s="705"/>
      <c r="AH45" s="706"/>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L45" s="453">
        <f ca="1">IF(AND($D45="Serviço",AL$12&lt;&gt;0,$H45&gt;0,OR(AUTOEVENTO&lt;&gt;"manual",$M45&lt;&gt;$A$15)),
        IF(Import.TipoArredondamento&lt;&gt;"TransfereGOV",
              ROUND(OFFSET($P45,0,AL$13),15-13*ORÇAMENTO!$AF$7)/$H45*OFFSET(ORÇAMENTO!$X$15,ROW(AL45)-ROW(AL$15),0),
              ROUND(ROUND(OFFSET($P45,0,AL$13),15-13*ORÇAMENTO!$AF$7)*OFFSET(ORÇAMENTO!$W$15,ROW(AL45)-ROW(AL$15),0),15-13*ORÇAMENTO!$AF$11)),
         0)</f>
        <v>79757.8</v>
      </c>
      <c r="AM45" s="453">
        <f ca="1">IF(AND($D45="Serviço",AM$12&lt;&gt;0,$H45&gt;0,OR(AUTOEVENTO&lt;&gt;"manual",$M45&lt;&gt;$A$15)),
        IF(Import.TipoArredondamento&lt;&gt;"TransfereGOV",
              ROUND(OFFSET($P45,0,AM$13),15-13*ORÇAMENTO!$AF$7)/$H45*OFFSET(ORÇAMENTO!$X$15,ROW(AM45)-ROW(AM$15),0),
              ROUND(ROUND(OFFSET($P45,0,AM$13),15-13*ORÇAMENTO!$AF$7)*OFFSET(ORÇAMENTO!$W$15,ROW(AM45)-ROW(AM$15),0),15-13*ORÇAMENTO!$AF$11)),
         0)</f>
        <v>0</v>
      </c>
      <c r="AN45" s="453">
        <f ca="1">IF(AND($D45="Serviço",AN$12&lt;&gt;0,$H45&gt;0,OR(AUTOEVENTO&lt;&gt;"manual",$M45&lt;&gt;$A$15)),
        IF(Import.TipoArredondamento&lt;&gt;"TransfereGOV",
              ROUND(OFFSET($P45,0,AN$13),15-13*ORÇAMENTO!$AF$7)/$H45*OFFSET(ORÇAMENTO!$X$15,ROW(AN45)-ROW(AN$15),0),
              ROUND(ROUND(OFFSET($P45,0,AN$13),15-13*ORÇAMENTO!$AF$7)*OFFSET(ORÇAMENTO!$W$15,ROW(AN45)-ROW(AN$15),0),15-13*ORÇAMENTO!$AF$11)),
         0)</f>
        <v>0</v>
      </c>
      <c r="AO45" s="453">
        <f ca="1">IF(AND($D45="Serviço",AO$12&lt;&gt;0,$H45&gt;0,OR(AUTOEVENTO&lt;&gt;"manual",$M45&lt;&gt;$A$15)),
        IF(Import.TipoArredondamento&lt;&gt;"TransfereGOV",
              ROUND(OFFSET($P45,0,AO$13),15-13*ORÇAMENTO!$AF$7)/$H45*OFFSET(ORÇAMENTO!$X$15,ROW(AO45)-ROW(AO$15),0),
              ROUND(ROUND(OFFSET($P45,0,AO$13),15-13*ORÇAMENTO!$AF$7)*OFFSET(ORÇAMENTO!$W$15,ROW(AO45)-ROW(AO$15),0),15-13*ORÇAMENTO!$AF$11)),
         0)</f>
        <v>0</v>
      </c>
      <c r="AP45" s="453">
        <f ca="1">IF(AND($D45="Serviço",AP$12&lt;&gt;0,$H45&gt;0,OR(AUTOEVENTO&lt;&gt;"manual",$M45&lt;&gt;$A$15)),
        IF(Import.TipoArredondamento&lt;&gt;"TransfereGOV",
              ROUND(OFFSET($P45,0,AP$13),15-13*ORÇAMENTO!$AF$7)/$H45*OFFSET(ORÇAMENTO!$X$15,ROW(AP45)-ROW(AP$15),0),
              ROUND(ROUND(OFFSET($P45,0,AP$13),15-13*ORÇAMENTO!$AF$7)*OFFSET(ORÇAMENTO!$W$15,ROW(AP45)-ROW(AP$15),0),15-13*ORÇAMENTO!$AF$11)),
         0)</f>
        <v>0</v>
      </c>
      <c r="AQ45" s="453">
        <f ca="1">IF(AND($D45="Serviço",AQ$12&lt;&gt;0,$H45&gt;0,OR(AUTOEVENTO&lt;&gt;"manual",$M45&lt;&gt;$A$15)),
        IF(Import.TipoArredondamento&lt;&gt;"TransfereGOV",
              ROUND(OFFSET($P45,0,AQ$13),15-13*ORÇAMENTO!$AF$7)/$H45*OFFSET(ORÇAMENTO!$X$15,ROW(AQ45)-ROW(AQ$15),0),
              ROUND(ROUND(OFFSET($P45,0,AQ$13),15-13*ORÇAMENTO!$AF$7)*OFFSET(ORÇAMENTO!$W$15,ROW(AQ45)-ROW(AQ$15),0),15-13*ORÇAMENTO!$AF$11)),
         0)</f>
        <v>0</v>
      </c>
      <c r="AR45" s="453">
        <f ca="1">IF(AND($D45="Serviço",AR$12&lt;&gt;0,$H45&gt;0,OR(AUTOEVENTO&lt;&gt;"manual",$M45&lt;&gt;$A$15)),
        IF(Import.TipoArredondamento&lt;&gt;"TransfereGOV",
              ROUND(OFFSET($P45,0,AR$13),15-13*ORÇAMENTO!$AF$7)/$H45*OFFSET(ORÇAMENTO!$X$15,ROW(AR45)-ROW(AR$15),0),
              ROUND(ROUND(OFFSET($P45,0,AR$13),15-13*ORÇAMENTO!$AF$7)*OFFSET(ORÇAMENTO!$W$15,ROW(AR45)-ROW(AR$15),0),15-13*ORÇAMENTO!$AF$11)),
         0)</f>
        <v>0</v>
      </c>
      <c r="AS45" s="453">
        <f ca="1">IF(AND($D45="Serviço",AS$12&lt;&gt;0,$H45&gt;0,OR(AUTOEVENTO&lt;&gt;"manual",$M45&lt;&gt;$A$15)),
        IF(Import.TipoArredondamento&lt;&gt;"TransfereGOV",
              ROUND(OFFSET($P45,0,AS$13),15-13*ORÇAMENTO!$AF$7)/$H45*OFFSET(ORÇAMENTO!$X$15,ROW(AS45)-ROW(AS$15),0),
              ROUND(ROUND(OFFSET($P45,0,AS$13),15-13*ORÇAMENTO!$AF$7)*OFFSET(ORÇAMENTO!$W$15,ROW(AS45)-ROW(AS$15),0),15-13*ORÇAMENTO!$AF$11)),
         0)</f>
        <v>0</v>
      </c>
      <c r="AT45" s="453">
        <f ca="1">IF(AND($D45="Serviço",AT$12&lt;&gt;0,$H45&gt;0,OR(AUTOEVENTO&lt;&gt;"manual",$M45&lt;&gt;$A$15)),
        IF(Import.TipoArredondamento&lt;&gt;"TransfereGOV",
              ROUND(OFFSET($P45,0,AT$13),15-13*ORÇAMENTO!$AF$7)/$H45*OFFSET(ORÇAMENTO!$X$15,ROW(AT45)-ROW(AT$15),0),
              ROUND(ROUND(OFFSET($P45,0,AT$13),15-13*ORÇAMENTO!$AF$7)*OFFSET(ORÇAMENTO!$W$15,ROW(AT45)-ROW(AT$15),0),15-13*ORÇAMENTO!$AF$11)),
         0)</f>
        <v>0</v>
      </c>
      <c r="AU45" s="453">
        <f ca="1">IF(AND($D45="Serviço",AU$12&lt;&gt;0,$H45&gt;0,OR(AUTOEVENTO&lt;&gt;"manual",$M45&lt;&gt;$A$15)),
        IF(Import.TipoArredondamento&lt;&gt;"TransfereGOV",
              ROUND(OFFSET($P45,0,AU$13),15-13*ORÇAMENTO!$AF$7)/$H45*OFFSET(ORÇAMENTO!$X$15,ROW(AU45)-ROW(AU$15),0),
              ROUND(ROUND(OFFSET($P45,0,AU$13),15-13*ORÇAMENTO!$AF$7)*OFFSET(ORÇAMENTO!$W$15,ROW(AU45)-ROW(AU$15),0),15-13*ORÇAMENTO!$AF$11)),
         0)</f>
        <v>0</v>
      </c>
      <c r="AV45" s="453">
        <f ca="1">IF(AND($D45="Serviço",AV$12&lt;&gt;0,$H45&gt;0,OR(AUTOEVENTO&lt;&gt;"manual",$M45&lt;&gt;$A$15)),
        IF(Import.TipoArredondamento&lt;&gt;"TransfereGOV",
              ROUND(OFFSET($P45,0,AV$13),15-13*ORÇAMENTO!$AF$7)/$H45*OFFSET(ORÇAMENTO!$X$15,ROW(AV45)-ROW(AV$15),0),
              ROUND(ROUND(OFFSET($P45,0,AV$13),15-13*ORÇAMENTO!$AF$7)*OFFSET(ORÇAMENTO!$W$15,ROW(AV45)-ROW(AV$15),0),15-13*ORÇAMENTO!$AF$11)),
         0)</f>
        <v>0</v>
      </c>
      <c r="AW45" s="453">
        <f ca="1">IF(AND($D45="Serviço",AW$12&lt;&gt;0,$H45&gt;0,OR(AUTOEVENTO&lt;&gt;"manual",$M45&lt;&gt;$A$15)),
        IF(Import.TipoArredondamento&lt;&gt;"TransfereGOV",
              ROUND(OFFSET($P45,0,AW$13),15-13*ORÇAMENTO!$AF$7)/$H45*OFFSET(ORÇAMENTO!$X$15,ROW(AW45)-ROW(AW$15),0),
              ROUND(ROUND(OFFSET($P45,0,AW$13),15-13*ORÇAMENTO!$AF$7)*OFFSET(ORÇAMENTO!$W$15,ROW(AW45)-ROW(AW$15),0),15-13*ORÇAMENTO!$AF$11)),
         0)</f>
        <v>0</v>
      </c>
      <c r="AX45" s="453">
        <f ca="1">IF(AND($D45="Serviço",AX$12&lt;&gt;0,$H45&gt;0,OR(AUTOEVENTO&lt;&gt;"manual",$M45&lt;&gt;$A$15)),
        IF(Import.TipoArredondamento&lt;&gt;"TransfereGOV",
              ROUND(OFFSET($P45,0,AX$13),15-13*ORÇAMENTO!$AF$7)/$H45*OFFSET(ORÇAMENTO!$X$15,ROW(AX45)-ROW(AX$15),0),
              ROUND(ROUND(OFFSET($P45,0,AX$13),15-13*ORÇAMENTO!$AF$7)*OFFSET(ORÇAMENTO!$W$15,ROW(AX45)-ROW(AX$15),0),15-13*ORÇAMENTO!$AF$11)),
         0)</f>
        <v>0</v>
      </c>
      <c r="AY45" s="453">
        <f ca="1">IF(AND($D45="Serviço",AY$12&lt;&gt;0,$H45&gt;0,OR(AUTOEVENTO&lt;&gt;"manual",$M45&lt;&gt;$A$15)),
        IF(Import.TipoArredondamento&lt;&gt;"TransfereGOV",
              ROUND(OFFSET($P45,0,AY$13),15-13*ORÇAMENTO!$AF$7)/$H45*OFFSET(ORÇAMENTO!$X$15,ROW(AY45)-ROW(AY$15),0),
              ROUND(ROUND(OFFSET($P45,0,AY$13),15-13*ORÇAMENTO!$AF$7)*OFFSET(ORÇAMENTO!$W$15,ROW(AY45)-ROW(AY$15),0),15-13*ORÇAMENTO!$AF$11)),
         0)</f>
        <v>0</v>
      </c>
      <c r="AZ45" s="453">
        <f ca="1">IF(AND($D45="Serviço",AZ$12&lt;&gt;0,$H45&gt;0,OR(AUTOEVENTO&lt;&gt;"manual",$M45&lt;&gt;$A$15)),
        IF(Import.TipoArredondamento&lt;&gt;"TransfereGOV",
              ROUND(OFFSET($P45,0,AZ$13),15-13*ORÇAMENTO!$AF$7)/$H45*OFFSET(ORÇAMENTO!$X$15,ROW(AZ45)-ROW(AZ$15),0),
              ROUND(ROUND(OFFSET($P45,0,AZ$13),15-13*ORÇAMENTO!$AF$7)*OFFSET(ORÇAMENTO!$W$15,ROW(AZ45)-ROW(AZ$15),0),15-13*ORÇAMENTO!$AF$11)),
         0)</f>
        <v>0</v>
      </c>
      <c r="BA45" s="453">
        <f ca="1">IF(AND($D45="Serviço",BA$12&lt;&gt;0,$H45&gt;0,OR(AUTOEVENTO&lt;&gt;"manual",$M45&lt;&gt;$A$15)),
        IF(Import.TipoArredondamento&lt;&gt;"TransfereGOV",
              ROUND(OFFSET($P45,0,BA$13),15-13*ORÇAMENTO!$AF$7)/$H45*OFFSET(ORÇAMENTO!$X$15,ROW(BA45)-ROW(BA$15),0),
              ROUND(ROUND(OFFSET($P45,0,BA$13),15-13*ORÇAMENTO!$AF$7)*OFFSET(ORÇAMENTO!$W$15,ROW(BA45)-ROW(BA$15),0),15-13*ORÇAMENTO!$AF$11)),
         0)</f>
        <v>0</v>
      </c>
      <c r="BC45" s="171">
        <f ca="1">IF(OR($D45&lt;&gt;"Serviço",AND(AUTOEVENTO="Manual",$M45=$A$15)),0,
         IF(OFFSET(CRONOPLE!$F$15,$M45-$A$15,BC$13)=0,10^12,OFFSET(CRONOPLE!$F$15,$M45-$A$15,BC$13)))</f>
        <v>1000000000000</v>
      </c>
      <c r="BD45" s="171">
        <f ca="1">IF(OR($D45&lt;&gt;"Serviço",AND(AUTOEVENTO="Manual",$M45=$A$15)),0,
         IF(OFFSET(CRONOPLE!$F$15,$M45-$A$15,BD$13)=0,10^12,OFFSET(CRONOPLE!$F$15,$M45-$A$15,BD$13)))</f>
        <v>1000000000000</v>
      </c>
      <c r="BE45" s="171">
        <f ca="1">IF(OR($D45&lt;&gt;"Serviço",AND(AUTOEVENTO="Manual",$M45=$A$15)),0,
         IF(OFFSET(CRONOPLE!$F$15,$M45-$A$15,BE$13)=0,10^12,OFFSET(CRONOPLE!$F$15,$M45-$A$15,BE$13)))</f>
        <v>3</v>
      </c>
      <c r="BF45" s="171">
        <f ca="1">IF(OR($D45&lt;&gt;"Serviço",AND(AUTOEVENTO="Manual",$M45=$A$15)),0,
         IF(OFFSET(CRONOPLE!$F$15,$M45-$A$15,BF$13)=0,10^12,OFFSET(CRONOPLE!$F$15,$M45-$A$15,BF$13)))</f>
        <v>1000000000000</v>
      </c>
      <c r="BG45" s="171">
        <f ca="1">IF(OR($D45&lt;&gt;"Serviço",AND(AUTOEVENTO="Manual",$M45=$A$15)),0,
         IF(OFFSET(CRONOPLE!$F$15,$M45-$A$15,BG$13)=0,10^12,OFFSET(CRONOPLE!$F$15,$M45-$A$15,BG$13)))</f>
        <v>1000000000000</v>
      </c>
      <c r="BH45" s="171">
        <f ca="1">IF(OR($D45&lt;&gt;"Serviço",AND(AUTOEVENTO="Manual",$M45=$A$15)),0,
         IF(OFFSET(CRONOPLE!$F$15,$M45-$A$15,BH$13)=0,10^12,OFFSET(CRONOPLE!$F$15,$M45-$A$15,BH$13)))</f>
        <v>9</v>
      </c>
      <c r="BI45" s="171">
        <f ca="1">IF(OR($D45&lt;&gt;"Serviço",AND(AUTOEVENTO="Manual",$M45=$A$15)),0,
         IF(OFFSET(CRONOPLE!$F$15,$M45-$A$15,BI$13)=0,10^12,OFFSET(CRONOPLE!$F$15,$M45-$A$15,BI$13)))</f>
        <v>1000000000000</v>
      </c>
      <c r="BJ45" s="171">
        <f ca="1">IF(OR($D45&lt;&gt;"Serviço",AND(AUTOEVENTO="Manual",$M45=$A$15)),0,
         IF(OFFSET(CRONOPLE!$F$15,$M45-$A$15,BJ$13)=0,10^12,OFFSET(CRONOPLE!$F$15,$M45-$A$15,BJ$13)))</f>
        <v>1000000000000</v>
      </c>
      <c r="BK45" s="171">
        <f ca="1">IF(OR($D45&lt;&gt;"Serviço",AND(AUTOEVENTO="Manual",$M45=$A$15)),0,
         IF(OFFSET(CRONOPLE!$F$15,$M45-$A$15,BK$13)=0,10^12,OFFSET(CRONOPLE!$F$15,$M45-$A$15,BK$13)))</f>
        <v>1000000000000</v>
      </c>
      <c r="BL45" s="171">
        <f ca="1">IF(OR($D45&lt;&gt;"Serviço",AND(AUTOEVENTO="Manual",$M45=$A$15)),0,
         IF(OFFSET(CRONOPLE!$F$15,$M45-$A$15,BL$13)=0,10^12,OFFSET(CRONOPLE!$F$15,$M45-$A$15,BL$13)))</f>
        <v>1000000000000</v>
      </c>
      <c r="BM45" s="171">
        <f ca="1">IF(OR($D45&lt;&gt;"Serviço",AND(AUTOEVENTO="Manual",$M45=$A$15)),0,
         IF(OFFSET(CRONOPLE!$F$15,$M45-$A$15,BM$13)=0,10^12,OFFSET(CRONOPLE!$F$15,$M45-$A$15,BM$13)))</f>
        <v>1000000000000</v>
      </c>
      <c r="BN45" s="171">
        <f ca="1">IF(OR($D45&lt;&gt;"Serviço",AND(AUTOEVENTO="Manual",$M45=$A$15)),0,
         IF(OFFSET(CRONOPLE!$F$15,$M45-$A$15,BN$13)=0,10^12,OFFSET(CRONOPLE!$F$15,$M45-$A$15,BN$13)))</f>
        <v>1000000000000</v>
      </c>
      <c r="BO45" s="171">
        <f ca="1">IF(OR($D45&lt;&gt;"Serviço",AND(AUTOEVENTO="Manual",$M45=$A$15)),0,
         IF(OFFSET(CRONOPLE!$F$15,$M45-$A$15,BO$13)=0,10^12,OFFSET(CRONOPLE!$F$15,$M45-$A$15,BO$13)))</f>
        <v>1000000000000</v>
      </c>
      <c r="BP45" s="171">
        <f ca="1">IF(OR($D45&lt;&gt;"Serviço",AND(AUTOEVENTO="Manual",$M45=$A$15)),0,
         IF(OFFSET(CRONOPLE!$F$15,$M45-$A$15,BP$13)=0,10^12,OFFSET(CRONOPLE!$F$15,$M45-$A$15,BP$13)))</f>
        <v>1000000000000</v>
      </c>
      <c r="BQ45" s="171">
        <f ca="1">IF(OR($D45&lt;&gt;"Serviço",AND(AUTOEVENTO="Manual",$M45=$A$15)),0,
         IF(OFFSET(CRONOPLE!$F$15,$M45-$A$15,BQ$13)=0,10^12,OFFSET(CRONOPLE!$F$15,$M45-$A$15,BQ$13)))</f>
        <v>1000000000000</v>
      </c>
      <c r="BR45" s="171">
        <f ca="1">IF(OR($D45&lt;&gt;"Serviço",AND(AUTOEVENTO="Manual",$M45=$A$15)),0,
         IF(OFFSET(CRONOPLE!$F$15,$M45-$A$15,BR$13)=0,10^12,OFFSET(CRONOPLE!$F$15,$M45-$A$15,BR$13)))</f>
        <v>1000000000000</v>
      </c>
      <c r="BS45" s="171">
        <f ca="1">IF(OR($D45&lt;&gt;"Serviço",AND(AUTOEVENTO="Manual",$M45=$A$15)),0,
         IF(OFFSET(CRONOPLE!$F$15,$M45-$A$15,BS$13)=0,10^12,OFFSET(CRONOPLE!$F$15,$M45-$A$15,BS$13)))</f>
        <v>1000000000000</v>
      </c>
      <c r="BT45" s="171">
        <f ca="1">IF(OR($D45&lt;&gt;"Serviço",AND(AUTOEVENTO="Manual",$M45=$A$15)),0,
         IF(OFFSET(CRONOPLE!$F$15,$M45-$A$15,BT$13)=0,10^12,OFFSET(CRONOPLE!$F$15,$M45-$A$15,BT$13)))</f>
        <v>1000000000000</v>
      </c>
      <c r="BV45" s="172" cm="1">
        <f t="array" aca="1" ref="BV45" ca="1">IF(OR($D45&lt;&gt;"Serviço",AND(AUTOEVENTO="Manual",$M45=$A$15),$M45&gt;(ROW(PLE.lastrow)-ROW(PLE.firstrow))),0,
           IF(OFFSET(PLE!$G$15,$M45-$A$15,BV$13)="",10^12,OFFSET(PLE!$G$15,$M45-$A$15,BV$13)))</f>
        <v>1000000000000</v>
      </c>
      <c r="BW45" s="172" cm="1">
        <f t="array" aca="1" ref="BW45" ca="1">IF(OR($D45&lt;&gt;"Serviço",AND(AUTOEVENTO="Manual",$M45=$A$15),$M45&gt;(ROW(PLE.lastrow)-ROW(PLE.firstrow))),0,
           IF(OFFSET(PLE!$G$15,$M45-$A$15,BW$13)="",10^12,OFFSET(PLE!$G$15,$M45-$A$15,BW$13)))</f>
        <v>1000000000000</v>
      </c>
      <c r="BX45" s="172" cm="1">
        <f t="array" aca="1" ref="BX45" ca="1">IF(OR($D45&lt;&gt;"Serviço",AND(AUTOEVENTO="Manual",$M45=$A$15),$M45&gt;(ROW(PLE.lastrow)-ROW(PLE.firstrow))),0,
           IF(OFFSET(PLE!$G$15,$M45-$A$15,BX$13)="",10^12,OFFSET(PLE!$G$15,$M45-$A$15,BX$13)))</f>
        <v>1000000000000</v>
      </c>
      <c r="BY45" s="172" cm="1">
        <f t="array" aca="1" ref="BY45" ca="1">IF(OR($D45&lt;&gt;"Serviço",AND(AUTOEVENTO="Manual",$M45=$A$15),$M45&gt;(ROW(PLE.lastrow)-ROW(PLE.firstrow))),0,
           IF(OFFSET(PLE!$G$15,$M45-$A$15,BY$13)="",10^12,OFFSET(PLE!$G$15,$M45-$A$15,BY$13)))</f>
        <v>1000000000000</v>
      </c>
      <c r="BZ45" s="172" cm="1">
        <f t="array" aca="1" ref="BZ45" ca="1">IF(OR($D45&lt;&gt;"Serviço",AND(AUTOEVENTO="Manual",$M45=$A$15),$M45&gt;(ROW(PLE.lastrow)-ROW(PLE.firstrow))),0,
           IF(OFFSET(PLE!$G$15,$M45-$A$15,BZ$13)="",10^12,OFFSET(PLE!$G$15,$M45-$A$15,BZ$13)))</f>
        <v>1000000000000</v>
      </c>
      <c r="CA45" s="172" cm="1">
        <f t="array" aca="1" ref="CA45" ca="1">IF(OR($D45&lt;&gt;"Serviço",AND(AUTOEVENTO="Manual",$M45=$A$15),$M45&gt;(ROW(PLE.lastrow)-ROW(PLE.firstrow))),0,
           IF(OFFSET(PLE!$G$15,$M45-$A$15,CA$13)="",10^12,OFFSET(PLE!$G$15,$M45-$A$15,CA$13)))</f>
        <v>1000000000000</v>
      </c>
      <c r="CB45" s="172" cm="1">
        <f t="array" aca="1" ref="CB45" ca="1">IF(OR($D45&lt;&gt;"Serviço",AND(AUTOEVENTO="Manual",$M45=$A$15),$M45&gt;(ROW(PLE.lastrow)-ROW(PLE.firstrow))),0,
           IF(OFFSET(PLE!$G$15,$M45-$A$15,CB$13)="",10^12,OFFSET(PLE!$G$15,$M45-$A$15,CB$13)))</f>
        <v>1000000000000</v>
      </c>
      <c r="CC45" s="172" cm="1">
        <f t="array" aca="1" ref="CC45" ca="1">IF(OR($D45&lt;&gt;"Serviço",AND(AUTOEVENTO="Manual",$M45=$A$15),$M45&gt;(ROW(PLE.lastrow)-ROW(PLE.firstrow))),0,
           IF(OFFSET(PLE!$G$15,$M45-$A$15,CC$13)="",10^12,OFFSET(PLE!$G$15,$M45-$A$15,CC$13)))</f>
        <v>1000000000000</v>
      </c>
      <c r="CD45" s="172" cm="1">
        <f t="array" aca="1" ref="CD45" ca="1">IF(OR($D45&lt;&gt;"Serviço",AND(AUTOEVENTO="Manual",$M45=$A$15),$M45&gt;(ROW(PLE.lastrow)-ROW(PLE.firstrow))),0,
           IF(OFFSET(PLE!$G$15,$M45-$A$15,CD$13)="",10^12,OFFSET(PLE!$G$15,$M45-$A$15,CD$13)))</f>
        <v>1000000000000</v>
      </c>
      <c r="CE45" s="172" cm="1">
        <f t="array" aca="1" ref="CE45" ca="1">IF(OR($D45&lt;&gt;"Serviço",AND(AUTOEVENTO="Manual",$M45=$A$15),$M45&gt;(ROW(PLE.lastrow)-ROW(PLE.firstrow))),0,
           IF(OFFSET(PLE!$G$15,$M45-$A$15,CE$13)="",10^12,OFFSET(PLE!$G$15,$M45-$A$15,CE$13)))</f>
        <v>1000000000000</v>
      </c>
      <c r="CF45" s="172" cm="1">
        <f t="array" aca="1" ref="CF45" ca="1">IF(OR($D45&lt;&gt;"Serviço",AND(AUTOEVENTO="Manual",$M45=$A$15),$M45&gt;(ROW(PLE.lastrow)-ROW(PLE.firstrow))),0,
           IF(OFFSET(PLE!$G$15,$M45-$A$15,CF$13)="",10^12,OFFSET(PLE!$G$15,$M45-$A$15,CF$13)))</f>
        <v>1000000000000</v>
      </c>
      <c r="CG45" s="172" cm="1">
        <f t="array" aca="1" ref="CG45" ca="1">IF(OR($D45&lt;&gt;"Serviço",AND(AUTOEVENTO="Manual",$M45=$A$15),$M45&gt;(ROW(PLE.lastrow)-ROW(PLE.firstrow))),0,
           IF(OFFSET(PLE!$G$15,$M45-$A$15,CG$13)="",10^12,OFFSET(PLE!$G$15,$M45-$A$15,CG$13)))</f>
        <v>1000000000000</v>
      </c>
      <c r="CH45" s="172" cm="1">
        <f t="array" aca="1" ref="CH45" ca="1">IF(OR($D45&lt;&gt;"Serviço",AND(AUTOEVENTO="Manual",$M45=$A$15),$M45&gt;(ROW(PLE.lastrow)-ROW(PLE.firstrow))),0,
           IF(OFFSET(PLE!$G$15,$M45-$A$15,CH$13)="",10^12,OFFSET(PLE!$G$15,$M45-$A$15,CH$13)))</f>
        <v>1000000000000</v>
      </c>
      <c r="CI45" s="172" cm="1">
        <f t="array" aca="1" ref="CI45" ca="1">IF(OR($D45&lt;&gt;"Serviço",AND(AUTOEVENTO="Manual",$M45=$A$15),$M45&gt;(ROW(PLE.lastrow)-ROW(PLE.firstrow))),0,
           IF(OFFSET(PLE!$G$15,$M45-$A$15,CI$13)="",10^12,OFFSET(PLE!$G$15,$M45-$A$15,CI$13)))</f>
        <v>1000000000000</v>
      </c>
      <c r="CJ45" s="172" cm="1">
        <f t="array" aca="1" ref="CJ45" ca="1">IF(OR($D45&lt;&gt;"Serviço",AND(AUTOEVENTO="Manual",$M45=$A$15),$M45&gt;(ROW(PLE.lastrow)-ROW(PLE.firstrow))),0,
           IF(OFFSET(PLE!$G$15,$M45-$A$15,CJ$13)="",10^12,OFFSET(PLE!$G$15,$M45-$A$15,CJ$13)))</f>
        <v>1000000000000</v>
      </c>
      <c r="CK45" s="172" cm="1">
        <f t="array" aca="1" ref="CK45" ca="1">IF(OR($D45&lt;&gt;"Serviço",AND(AUTOEVENTO="Manual",$M45=$A$15),$M45&gt;(ROW(PLE.lastrow)-ROW(PLE.firstrow))),0,
           IF(OFFSET(PLE!$G$15,$M45-$A$15,CK$13)="",10^12,OFFSET(PLE!$G$15,$M45-$A$15,CK$13)))</f>
        <v>1000000000000</v>
      </c>
      <c r="CL45" s="172" cm="1">
        <f t="array" aca="1" ref="CL45" ca="1">IF(OR($D45&lt;&gt;"Serviço",AND(AUTOEVENTO="Manual",$M45=$A$15),$M45&gt;(ROW(PLE.lastrow)-ROW(PLE.firstrow))),0,
           IF(OFFSET(PLE!$G$15,$M45-$A$15,CL$13)="",10^12,OFFSET(PLE!$G$15,$M45-$A$15,CL$13)))</f>
        <v>1000000000000</v>
      </c>
      <c r="CM45" s="172" cm="1">
        <f t="array" aca="1" ref="CM45" ca="1">IF(OR($D45&lt;&gt;"Serviço",AND(AUTOEVENTO="Manual",$M45=$A$15),$M45&gt;(ROW(PLE.lastrow)-ROW(PLE.firstrow))),0,
           IF(OFFSET(PLE!$G$15,$M45-$A$15,CM$13)="",10^12,OFFSET(PLE!$G$15,$M45-$A$15,CM$13)))</f>
        <v>1000000000000</v>
      </c>
    </row>
    <row r="46" spans="1:91" s="680" customFormat="1" ht="51" x14ac:dyDescent="0.2">
      <c r="A46" s="681">
        <f ca="1">IFERROR(IF(AUTOEVENTO="Manual",IF(K46&lt;&gt;"",MIN(VALUE(LEFT(K46,FIND(".",K46)-1)),COUNTA(EVENTOS.Lista)),0),IF(OR($B46&gt;AUTOEVENTO,$B46="S",$B46=0),SUBSTITUTE(OFFSET($A46,-1,0),IF($D46="Serviço",".",""),""),$L46&amp;".")),0)</f>
        <v>24</v>
      </c>
      <c r="B46" s="681" t="str">
        <f ca="1">OFFSET(ORÇAMENTO!C$15,$L46,0)</f>
        <v>S</v>
      </c>
      <c r="C46" s="681" t="str">
        <f ca="1">OFFSET(ORÇAMENTO!L$15,$L46,0)</f>
        <v>F</v>
      </c>
      <c r="D46" s="686" t="str">
        <f ca="1">OFFSET(ORÇAMENTO!N$15,$L46,0)</f>
        <v>Serviço</v>
      </c>
      <c r="E46" s="687" t="str">
        <f ca="1">OFFSET(ORÇAMENTO!O$15,$L46,0)</f>
        <v>1.7.2.</v>
      </c>
      <c r="F46" s="699" t="str">
        <f ca="1">OFFSET(ORÇAMENTO!R$15,$L46,0)</f>
        <v>ASSENTAMENTO DE TUBO DE FERRO FUNDIDO PARA REDE DE ÁGUA, DN 200 MM, JUNTA ELÁSTICA, INSTALADO EM LOCAL COM NÍVEL ALTO DE INTERFERÊNCIAS (NÃO INCLUI FORNECIMENTO). AF_05/2024</v>
      </c>
      <c r="G46" s="700" t="str">
        <f ca="1">IF($D46&lt;&gt;"Serviço","",OFFSET(ORÇAMENTO!S$15,$L46,0))</f>
        <v>M</v>
      </c>
      <c r="H46" s="692" cm="1">
        <f t="array" aca="1" ref="H46" ca="1">IF($D46&lt;&gt;"Serviço",0,IF(ACOMPANHAMENTO="BM",ROUND(OFFSET(ORÇAMENTO!AJ$15,$L46,0),15-13*ORÇAMENTO!$AF$7),IF(IFERROR(CÁLCULO.FrentesPreenchidas,0)=0,0,SUM(ROUND(OFFSET($P46,0,1,1,CÁLCULO.FrentesPreenchidas),15-13*ORÇAMENTO!$AF$7)))))</f>
        <v>20</v>
      </c>
      <c r="I46" s="720" t="s">
        <v>1237</v>
      </c>
      <c r="J46" s="724" t="str" cm="1">
        <f t="array" aca="1" ref="J46" ca="1">IF(OR(B46&lt;&gt;"S",CÁLCULO.FrentesPreenchidas=0),"",IF(AND(ACOMPANHAMENTO="PLE",AUTOEVENTO="Manual",OR(H46&gt;0,ORÇAMENTO!AC46="QUANT."),OR(K46="",M46=0,N46="")),"►E",IF(AND(ACOMPANHAMENTO="PLE",ORÇAMENTO!AC46="QUANT."),"►Q",IF(AND(ACOMPANHAMENTO="PLE",H46&lt;&gt;SUMPRODUCT(($Q$1:$AI$1=1)*ROUND(Q46:AI46,15))),"►S",IF(AND(COUNTIF($P$11:$AI$11,"▼")=0,H46&gt;0,I46=""),"◄M","")))))</f>
        <v/>
      </c>
      <c r="K46" s="652" t="s">
        <v>1344</v>
      </c>
      <c r="L46" s="701">
        <f ca="1">OFFSET(L46,-1,0)+1</f>
        <v>31</v>
      </c>
      <c r="M46" s="702">
        <f ca="1">IF($D46&lt;&gt;"Serviço","",
          IF(AUTOEVENTO="manual",$A46,
                IF(ISERROR(MATCH($A46,$A$15:OFFSET($A46,-1,0),0)),MAX($M$15:OFFSET(M46,-1,0))+1,
                      INDEX($M$15:OFFSET(M46,-1,0),MATCH($A46,$A$15:OFFSET($A46,-1,0),0)))))</f>
        <v>24</v>
      </c>
      <c r="N46" s="703" t="str">
        <f ca="1">IF($D46&lt;&gt;"Serviço","",
         IF(AUTOEVENTO="Manual",
                IF($A46=0,"&lt;-- defina o número do agrupador",
                       OFFSET(EVENTOS!$D$15,$A46-$A$15,0)),
                OFFSET($F$15,$A46,0)))</f>
        <v>Instalações hidrossanitárias</v>
      </c>
      <c r="O46" s="704"/>
      <c r="Q46" s="704"/>
      <c r="R46" s="705"/>
      <c r="S46" s="705">
        <v>20</v>
      </c>
      <c r="T46" s="705"/>
      <c r="U46" s="705"/>
      <c r="V46" s="705"/>
      <c r="W46" s="705"/>
      <c r="X46" s="705"/>
      <c r="Y46" s="705"/>
      <c r="Z46" s="706"/>
      <c r="AA46" s="705"/>
      <c r="AB46" s="705"/>
      <c r="AC46" s="705"/>
      <c r="AD46" s="705"/>
      <c r="AE46" s="705"/>
      <c r="AF46" s="705"/>
      <c r="AG46" s="705"/>
      <c r="AH46" s="706"/>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L46" s="453">
        <f ca="1">IF(AND($D46="Serviço",AL$12&lt;&gt;0,$H46&gt;0,OR(AUTOEVENTO&lt;&gt;"manual",$M46&lt;&gt;$A$15)),
        IF(Import.TipoArredondamento&lt;&gt;"TransfereGOV",
              ROUND(OFFSET($P46,0,AL$13),15-13*ORÇAMENTO!$AF$7)/$H46*OFFSET(ORÇAMENTO!$X$15,ROW(AL46)-ROW(AL$15),0),
              ROUND(ROUND(OFFSET($P46,0,AL$13),15-13*ORÇAMENTO!$AF$7)*OFFSET(ORÇAMENTO!$W$15,ROW(AL46)-ROW(AL$15),0),15-13*ORÇAMENTO!$AF$11)),
         0)</f>
        <v>263.2</v>
      </c>
      <c r="AM46" s="453">
        <f ca="1">IF(AND($D46="Serviço",AM$12&lt;&gt;0,$H46&gt;0,OR(AUTOEVENTO&lt;&gt;"manual",$M46&lt;&gt;$A$15)),
        IF(Import.TipoArredondamento&lt;&gt;"TransfereGOV",
              ROUND(OFFSET($P46,0,AM$13),15-13*ORÇAMENTO!$AF$7)/$H46*OFFSET(ORÇAMENTO!$X$15,ROW(AM46)-ROW(AM$15),0),
              ROUND(ROUND(OFFSET($P46,0,AM$13),15-13*ORÇAMENTO!$AF$7)*OFFSET(ORÇAMENTO!$W$15,ROW(AM46)-ROW(AM$15),0),15-13*ORÇAMENTO!$AF$11)),
         0)</f>
        <v>0</v>
      </c>
      <c r="AN46" s="453">
        <f ca="1">IF(AND($D46="Serviço",AN$12&lt;&gt;0,$H46&gt;0,OR(AUTOEVENTO&lt;&gt;"manual",$M46&lt;&gt;$A$15)),
        IF(Import.TipoArredondamento&lt;&gt;"TransfereGOV",
              ROUND(OFFSET($P46,0,AN$13),15-13*ORÇAMENTO!$AF$7)/$H46*OFFSET(ORÇAMENTO!$X$15,ROW(AN46)-ROW(AN$15),0),
              ROUND(ROUND(OFFSET($P46,0,AN$13),15-13*ORÇAMENTO!$AF$7)*OFFSET(ORÇAMENTO!$W$15,ROW(AN46)-ROW(AN$15),0),15-13*ORÇAMENTO!$AF$11)),
         0)</f>
        <v>0</v>
      </c>
      <c r="AO46" s="453">
        <f ca="1">IF(AND($D46="Serviço",AO$12&lt;&gt;0,$H46&gt;0,OR(AUTOEVENTO&lt;&gt;"manual",$M46&lt;&gt;$A$15)),
        IF(Import.TipoArredondamento&lt;&gt;"TransfereGOV",
              ROUND(OFFSET($P46,0,AO$13),15-13*ORÇAMENTO!$AF$7)/$H46*OFFSET(ORÇAMENTO!$X$15,ROW(AO46)-ROW(AO$15),0),
              ROUND(ROUND(OFFSET($P46,0,AO$13),15-13*ORÇAMENTO!$AF$7)*OFFSET(ORÇAMENTO!$W$15,ROW(AO46)-ROW(AO$15),0),15-13*ORÇAMENTO!$AF$11)),
         0)</f>
        <v>0</v>
      </c>
      <c r="AP46" s="453">
        <f ca="1">IF(AND($D46="Serviço",AP$12&lt;&gt;0,$H46&gt;0,OR(AUTOEVENTO&lt;&gt;"manual",$M46&lt;&gt;$A$15)),
        IF(Import.TipoArredondamento&lt;&gt;"TransfereGOV",
              ROUND(OFFSET($P46,0,AP$13),15-13*ORÇAMENTO!$AF$7)/$H46*OFFSET(ORÇAMENTO!$X$15,ROW(AP46)-ROW(AP$15),0),
              ROUND(ROUND(OFFSET($P46,0,AP$13),15-13*ORÇAMENTO!$AF$7)*OFFSET(ORÇAMENTO!$W$15,ROW(AP46)-ROW(AP$15),0),15-13*ORÇAMENTO!$AF$11)),
         0)</f>
        <v>0</v>
      </c>
      <c r="AQ46" s="453">
        <f ca="1">IF(AND($D46="Serviço",AQ$12&lt;&gt;0,$H46&gt;0,OR(AUTOEVENTO&lt;&gt;"manual",$M46&lt;&gt;$A$15)),
        IF(Import.TipoArredondamento&lt;&gt;"TransfereGOV",
              ROUND(OFFSET($P46,0,AQ$13),15-13*ORÇAMENTO!$AF$7)/$H46*OFFSET(ORÇAMENTO!$X$15,ROW(AQ46)-ROW(AQ$15),0),
              ROUND(ROUND(OFFSET($P46,0,AQ$13),15-13*ORÇAMENTO!$AF$7)*OFFSET(ORÇAMENTO!$W$15,ROW(AQ46)-ROW(AQ$15),0),15-13*ORÇAMENTO!$AF$11)),
         0)</f>
        <v>0</v>
      </c>
      <c r="AR46" s="453">
        <f ca="1">IF(AND($D46="Serviço",AR$12&lt;&gt;0,$H46&gt;0,OR(AUTOEVENTO&lt;&gt;"manual",$M46&lt;&gt;$A$15)),
        IF(Import.TipoArredondamento&lt;&gt;"TransfereGOV",
              ROUND(OFFSET($P46,0,AR$13),15-13*ORÇAMENTO!$AF$7)/$H46*OFFSET(ORÇAMENTO!$X$15,ROW(AR46)-ROW(AR$15),0),
              ROUND(ROUND(OFFSET($P46,0,AR$13),15-13*ORÇAMENTO!$AF$7)*OFFSET(ORÇAMENTO!$W$15,ROW(AR46)-ROW(AR$15),0),15-13*ORÇAMENTO!$AF$11)),
         0)</f>
        <v>0</v>
      </c>
      <c r="AS46" s="453">
        <f ca="1">IF(AND($D46="Serviço",AS$12&lt;&gt;0,$H46&gt;0,OR(AUTOEVENTO&lt;&gt;"manual",$M46&lt;&gt;$A$15)),
        IF(Import.TipoArredondamento&lt;&gt;"TransfereGOV",
              ROUND(OFFSET($P46,0,AS$13),15-13*ORÇAMENTO!$AF$7)/$H46*OFFSET(ORÇAMENTO!$X$15,ROW(AS46)-ROW(AS$15),0),
              ROUND(ROUND(OFFSET($P46,0,AS$13),15-13*ORÇAMENTO!$AF$7)*OFFSET(ORÇAMENTO!$W$15,ROW(AS46)-ROW(AS$15),0),15-13*ORÇAMENTO!$AF$11)),
         0)</f>
        <v>0</v>
      </c>
      <c r="AT46" s="453">
        <f ca="1">IF(AND($D46="Serviço",AT$12&lt;&gt;0,$H46&gt;0,OR(AUTOEVENTO&lt;&gt;"manual",$M46&lt;&gt;$A$15)),
        IF(Import.TipoArredondamento&lt;&gt;"TransfereGOV",
              ROUND(OFFSET($P46,0,AT$13),15-13*ORÇAMENTO!$AF$7)/$H46*OFFSET(ORÇAMENTO!$X$15,ROW(AT46)-ROW(AT$15),0),
              ROUND(ROUND(OFFSET($P46,0,AT$13),15-13*ORÇAMENTO!$AF$7)*OFFSET(ORÇAMENTO!$W$15,ROW(AT46)-ROW(AT$15),0),15-13*ORÇAMENTO!$AF$11)),
         0)</f>
        <v>0</v>
      </c>
      <c r="AU46" s="453">
        <f ca="1">IF(AND($D46="Serviço",AU$12&lt;&gt;0,$H46&gt;0,OR(AUTOEVENTO&lt;&gt;"manual",$M46&lt;&gt;$A$15)),
        IF(Import.TipoArredondamento&lt;&gt;"TransfereGOV",
              ROUND(OFFSET($P46,0,AU$13),15-13*ORÇAMENTO!$AF$7)/$H46*OFFSET(ORÇAMENTO!$X$15,ROW(AU46)-ROW(AU$15),0),
              ROUND(ROUND(OFFSET($P46,0,AU$13),15-13*ORÇAMENTO!$AF$7)*OFFSET(ORÇAMENTO!$W$15,ROW(AU46)-ROW(AU$15),0),15-13*ORÇAMENTO!$AF$11)),
         0)</f>
        <v>0</v>
      </c>
      <c r="AV46" s="453">
        <f ca="1">IF(AND($D46="Serviço",AV$12&lt;&gt;0,$H46&gt;0,OR(AUTOEVENTO&lt;&gt;"manual",$M46&lt;&gt;$A$15)),
        IF(Import.TipoArredondamento&lt;&gt;"TransfereGOV",
              ROUND(OFFSET($P46,0,AV$13),15-13*ORÇAMENTO!$AF$7)/$H46*OFFSET(ORÇAMENTO!$X$15,ROW(AV46)-ROW(AV$15),0),
              ROUND(ROUND(OFFSET($P46,0,AV$13),15-13*ORÇAMENTO!$AF$7)*OFFSET(ORÇAMENTO!$W$15,ROW(AV46)-ROW(AV$15),0),15-13*ORÇAMENTO!$AF$11)),
         0)</f>
        <v>0</v>
      </c>
      <c r="AW46" s="453">
        <f ca="1">IF(AND($D46="Serviço",AW$12&lt;&gt;0,$H46&gt;0,OR(AUTOEVENTO&lt;&gt;"manual",$M46&lt;&gt;$A$15)),
        IF(Import.TipoArredondamento&lt;&gt;"TransfereGOV",
              ROUND(OFFSET($P46,0,AW$13),15-13*ORÇAMENTO!$AF$7)/$H46*OFFSET(ORÇAMENTO!$X$15,ROW(AW46)-ROW(AW$15),0),
              ROUND(ROUND(OFFSET($P46,0,AW$13),15-13*ORÇAMENTO!$AF$7)*OFFSET(ORÇAMENTO!$W$15,ROW(AW46)-ROW(AW$15),0),15-13*ORÇAMENTO!$AF$11)),
         0)</f>
        <v>0</v>
      </c>
      <c r="AX46" s="453">
        <f ca="1">IF(AND($D46="Serviço",AX$12&lt;&gt;0,$H46&gt;0,OR(AUTOEVENTO&lt;&gt;"manual",$M46&lt;&gt;$A$15)),
        IF(Import.TipoArredondamento&lt;&gt;"TransfereGOV",
              ROUND(OFFSET($P46,0,AX$13),15-13*ORÇAMENTO!$AF$7)/$H46*OFFSET(ORÇAMENTO!$X$15,ROW(AX46)-ROW(AX$15),0),
              ROUND(ROUND(OFFSET($P46,0,AX$13),15-13*ORÇAMENTO!$AF$7)*OFFSET(ORÇAMENTO!$W$15,ROW(AX46)-ROW(AX$15),0),15-13*ORÇAMENTO!$AF$11)),
         0)</f>
        <v>0</v>
      </c>
      <c r="AY46" s="453">
        <f ca="1">IF(AND($D46="Serviço",AY$12&lt;&gt;0,$H46&gt;0,OR(AUTOEVENTO&lt;&gt;"manual",$M46&lt;&gt;$A$15)),
        IF(Import.TipoArredondamento&lt;&gt;"TransfereGOV",
              ROUND(OFFSET($P46,0,AY$13),15-13*ORÇAMENTO!$AF$7)/$H46*OFFSET(ORÇAMENTO!$X$15,ROW(AY46)-ROW(AY$15),0),
              ROUND(ROUND(OFFSET($P46,0,AY$13),15-13*ORÇAMENTO!$AF$7)*OFFSET(ORÇAMENTO!$W$15,ROW(AY46)-ROW(AY$15),0),15-13*ORÇAMENTO!$AF$11)),
         0)</f>
        <v>0</v>
      </c>
      <c r="AZ46" s="453">
        <f ca="1">IF(AND($D46="Serviço",AZ$12&lt;&gt;0,$H46&gt;0,OR(AUTOEVENTO&lt;&gt;"manual",$M46&lt;&gt;$A$15)),
        IF(Import.TipoArredondamento&lt;&gt;"TransfereGOV",
              ROUND(OFFSET($P46,0,AZ$13),15-13*ORÇAMENTO!$AF$7)/$H46*OFFSET(ORÇAMENTO!$X$15,ROW(AZ46)-ROW(AZ$15),0),
              ROUND(ROUND(OFFSET($P46,0,AZ$13),15-13*ORÇAMENTO!$AF$7)*OFFSET(ORÇAMENTO!$W$15,ROW(AZ46)-ROW(AZ$15),0),15-13*ORÇAMENTO!$AF$11)),
         0)</f>
        <v>0</v>
      </c>
      <c r="BA46" s="453">
        <f ca="1">IF(AND($D46="Serviço",BA$12&lt;&gt;0,$H46&gt;0,OR(AUTOEVENTO&lt;&gt;"manual",$M46&lt;&gt;$A$15)),
        IF(Import.TipoArredondamento&lt;&gt;"TransfereGOV",
              ROUND(OFFSET($P46,0,BA$13),15-13*ORÇAMENTO!$AF$7)/$H46*OFFSET(ORÇAMENTO!$X$15,ROW(BA46)-ROW(BA$15),0),
              ROUND(ROUND(OFFSET($P46,0,BA$13),15-13*ORÇAMENTO!$AF$7)*OFFSET(ORÇAMENTO!$W$15,ROW(BA46)-ROW(BA$15),0),15-13*ORÇAMENTO!$AF$11)),
         0)</f>
        <v>0</v>
      </c>
      <c r="BC46" s="171">
        <f ca="1">IF(OR($D46&lt;&gt;"Serviço",AND(AUTOEVENTO="Manual",$M46=$A$15)),0,
         IF(OFFSET(CRONOPLE!$F$15,$M46-$A$15,BC$13)=0,10^12,OFFSET(CRONOPLE!$F$15,$M46-$A$15,BC$13)))</f>
        <v>1000000000000</v>
      </c>
      <c r="BD46" s="171">
        <f ca="1">IF(OR($D46&lt;&gt;"Serviço",AND(AUTOEVENTO="Manual",$M46=$A$15)),0,
         IF(OFFSET(CRONOPLE!$F$15,$M46-$A$15,BD$13)=0,10^12,OFFSET(CRONOPLE!$F$15,$M46-$A$15,BD$13)))</f>
        <v>1000000000000</v>
      </c>
      <c r="BE46" s="171">
        <f ca="1">IF(OR($D46&lt;&gt;"Serviço",AND(AUTOEVENTO="Manual",$M46=$A$15)),0,
         IF(OFFSET(CRONOPLE!$F$15,$M46-$A$15,BE$13)=0,10^12,OFFSET(CRONOPLE!$F$15,$M46-$A$15,BE$13)))</f>
        <v>3</v>
      </c>
      <c r="BF46" s="171">
        <f ca="1">IF(OR($D46&lt;&gt;"Serviço",AND(AUTOEVENTO="Manual",$M46=$A$15)),0,
         IF(OFFSET(CRONOPLE!$F$15,$M46-$A$15,BF$13)=0,10^12,OFFSET(CRONOPLE!$F$15,$M46-$A$15,BF$13)))</f>
        <v>1000000000000</v>
      </c>
      <c r="BG46" s="171">
        <f ca="1">IF(OR($D46&lt;&gt;"Serviço",AND(AUTOEVENTO="Manual",$M46=$A$15)),0,
         IF(OFFSET(CRONOPLE!$F$15,$M46-$A$15,BG$13)=0,10^12,OFFSET(CRONOPLE!$F$15,$M46-$A$15,BG$13)))</f>
        <v>1000000000000</v>
      </c>
      <c r="BH46" s="171">
        <f ca="1">IF(OR($D46&lt;&gt;"Serviço",AND(AUTOEVENTO="Manual",$M46=$A$15)),0,
         IF(OFFSET(CRONOPLE!$F$15,$M46-$A$15,BH$13)=0,10^12,OFFSET(CRONOPLE!$F$15,$M46-$A$15,BH$13)))</f>
        <v>9</v>
      </c>
      <c r="BI46" s="171">
        <f ca="1">IF(OR($D46&lt;&gt;"Serviço",AND(AUTOEVENTO="Manual",$M46=$A$15)),0,
         IF(OFFSET(CRONOPLE!$F$15,$M46-$A$15,BI$13)=0,10^12,OFFSET(CRONOPLE!$F$15,$M46-$A$15,BI$13)))</f>
        <v>1000000000000</v>
      </c>
      <c r="BJ46" s="171">
        <f ca="1">IF(OR($D46&lt;&gt;"Serviço",AND(AUTOEVENTO="Manual",$M46=$A$15)),0,
         IF(OFFSET(CRONOPLE!$F$15,$M46-$A$15,BJ$13)=0,10^12,OFFSET(CRONOPLE!$F$15,$M46-$A$15,BJ$13)))</f>
        <v>1000000000000</v>
      </c>
      <c r="BK46" s="171">
        <f ca="1">IF(OR($D46&lt;&gt;"Serviço",AND(AUTOEVENTO="Manual",$M46=$A$15)),0,
         IF(OFFSET(CRONOPLE!$F$15,$M46-$A$15,BK$13)=0,10^12,OFFSET(CRONOPLE!$F$15,$M46-$A$15,BK$13)))</f>
        <v>1000000000000</v>
      </c>
      <c r="BL46" s="171">
        <f ca="1">IF(OR($D46&lt;&gt;"Serviço",AND(AUTOEVENTO="Manual",$M46=$A$15)),0,
         IF(OFFSET(CRONOPLE!$F$15,$M46-$A$15,BL$13)=0,10^12,OFFSET(CRONOPLE!$F$15,$M46-$A$15,BL$13)))</f>
        <v>1000000000000</v>
      </c>
      <c r="BM46" s="171">
        <f ca="1">IF(OR($D46&lt;&gt;"Serviço",AND(AUTOEVENTO="Manual",$M46=$A$15)),0,
         IF(OFFSET(CRONOPLE!$F$15,$M46-$A$15,BM$13)=0,10^12,OFFSET(CRONOPLE!$F$15,$M46-$A$15,BM$13)))</f>
        <v>1000000000000</v>
      </c>
      <c r="BN46" s="171">
        <f ca="1">IF(OR($D46&lt;&gt;"Serviço",AND(AUTOEVENTO="Manual",$M46=$A$15)),0,
         IF(OFFSET(CRONOPLE!$F$15,$M46-$A$15,BN$13)=0,10^12,OFFSET(CRONOPLE!$F$15,$M46-$A$15,BN$13)))</f>
        <v>1000000000000</v>
      </c>
      <c r="BO46" s="171">
        <f ca="1">IF(OR($D46&lt;&gt;"Serviço",AND(AUTOEVENTO="Manual",$M46=$A$15)),0,
         IF(OFFSET(CRONOPLE!$F$15,$M46-$A$15,BO$13)=0,10^12,OFFSET(CRONOPLE!$F$15,$M46-$A$15,BO$13)))</f>
        <v>1000000000000</v>
      </c>
      <c r="BP46" s="171">
        <f ca="1">IF(OR($D46&lt;&gt;"Serviço",AND(AUTOEVENTO="Manual",$M46=$A$15)),0,
         IF(OFFSET(CRONOPLE!$F$15,$M46-$A$15,BP$13)=0,10^12,OFFSET(CRONOPLE!$F$15,$M46-$A$15,BP$13)))</f>
        <v>1000000000000</v>
      </c>
      <c r="BQ46" s="171">
        <f ca="1">IF(OR($D46&lt;&gt;"Serviço",AND(AUTOEVENTO="Manual",$M46=$A$15)),0,
         IF(OFFSET(CRONOPLE!$F$15,$M46-$A$15,BQ$13)=0,10^12,OFFSET(CRONOPLE!$F$15,$M46-$A$15,BQ$13)))</f>
        <v>1000000000000</v>
      </c>
      <c r="BR46" s="171">
        <f ca="1">IF(OR($D46&lt;&gt;"Serviço",AND(AUTOEVENTO="Manual",$M46=$A$15)),0,
         IF(OFFSET(CRONOPLE!$F$15,$M46-$A$15,BR$13)=0,10^12,OFFSET(CRONOPLE!$F$15,$M46-$A$15,BR$13)))</f>
        <v>1000000000000</v>
      </c>
      <c r="BS46" s="171">
        <f ca="1">IF(OR($D46&lt;&gt;"Serviço",AND(AUTOEVENTO="Manual",$M46=$A$15)),0,
         IF(OFFSET(CRONOPLE!$F$15,$M46-$A$15,BS$13)=0,10^12,OFFSET(CRONOPLE!$F$15,$M46-$A$15,BS$13)))</f>
        <v>1000000000000</v>
      </c>
      <c r="BT46" s="171">
        <f ca="1">IF(OR($D46&lt;&gt;"Serviço",AND(AUTOEVENTO="Manual",$M46=$A$15)),0,
         IF(OFFSET(CRONOPLE!$F$15,$M46-$A$15,BT$13)=0,10^12,OFFSET(CRONOPLE!$F$15,$M46-$A$15,BT$13)))</f>
        <v>1000000000000</v>
      </c>
      <c r="BV46" s="172" cm="1">
        <f t="array" aca="1" ref="BV46" ca="1">IF(OR($D46&lt;&gt;"Serviço",AND(AUTOEVENTO="Manual",$M46=$A$15),$M46&gt;(ROW(PLE.lastrow)-ROW(PLE.firstrow))),0,
           IF(OFFSET(PLE!$G$15,$M46-$A$15,BV$13)="",10^12,OFFSET(PLE!$G$15,$M46-$A$15,BV$13)))</f>
        <v>1000000000000</v>
      </c>
      <c r="BW46" s="172" cm="1">
        <f t="array" aca="1" ref="BW46" ca="1">IF(OR($D46&lt;&gt;"Serviço",AND(AUTOEVENTO="Manual",$M46=$A$15),$M46&gt;(ROW(PLE.lastrow)-ROW(PLE.firstrow))),0,
           IF(OFFSET(PLE!$G$15,$M46-$A$15,BW$13)="",10^12,OFFSET(PLE!$G$15,$M46-$A$15,BW$13)))</f>
        <v>1000000000000</v>
      </c>
      <c r="BX46" s="172" cm="1">
        <f t="array" aca="1" ref="BX46" ca="1">IF(OR($D46&lt;&gt;"Serviço",AND(AUTOEVENTO="Manual",$M46=$A$15),$M46&gt;(ROW(PLE.lastrow)-ROW(PLE.firstrow))),0,
           IF(OFFSET(PLE!$G$15,$M46-$A$15,BX$13)="",10^12,OFFSET(PLE!$G$15,$M46-$A$15,BX$13)))</f>
        <v>1000000000000</v>
      </c>
      <c r="BY46" s="172" cm="1">
        <f t="array" aca="1" ref="BY46" ca="1">IF(OR($D46&lt;&gt;"Serviço",AND(AUTOEVENTO="Manual",$M46=$A$15),$M46&gt;(ROW(PLE.lastrow)-ROW(PLE.firstrow))),0,
           IF(OFFSET(PLE!$G$15,$M46-$A$15,BY$13)="",10^12,OFFSET(PLE!$G$15,$M46-$A$15,BY$13)))</f>
        <v>1000000000000</v>
      </c>
      <c r="BZ46" s="172" cm="1">
        <f t="array" aca="1" ref="BZ46" ca="1">IF(OR($D46&lt;&gt;"Serviço",AND(AUTOEVENTO="Manual",$M46=$A$15),$M46&gt;(ROW(PLE.lastrow)-ROW(PLE.firstrow))),0,
           IF(OFFSET(PLE!$G$15,$M46-$A$15,BZ$13)="",10^12,OFFSET(PLE!$G$15,$M46-$A$15,BZ$13)))</f>
        <v>1000000000000</v>
      </c>
      <c r="CA46" s="172" cm="1">
        <f t="array" aca="1" ref="CA46" ca="1">IF(OR($D46&lt;&gt;"Serviço",AND(AUTOEVENTO="Manual",$M46=$A$15),$M46&gt;(ROW(PLE.lastrow)-ROW(PLE.firstrow))),0,
           IF(OFFSET(PLE!$G$15,$M46-$A$15,CA$13)="",10^12,OFFSET(PLE!$G$15,$M46-$A$15,CA$13)))</f>
        <v>1000000000000</v>
      </c>
      <c r="CB46" s="172" cm="1">
        <f t="array" aca="1" ref="CB46" ca="1">IF(OR($D46&lt;&gt;"Serviço",AND(AUTOEVENTO="Manual",$M46=$A$15),$M46&gt;(ROW(PLE.lastrow)-ROW(PLE.firstrow))),0,
           IF(OFFSET(PLE!$G$15,$M46-$A$15,CB$13)="",10^12,OFFSET(PLE!$G$15,$M46-$A$15,CB$13)))</f>
        <v>1000000000000</v>
      </c>
      <c r="CC46" s="172" cm="1">
        <f t="array" aca="1" ref="CC46" ca="1">IF(OR($D46&lt;&gt;"Serviço",AND(AUTOEVENTO="Manual",$M46=$A$15),$M46&gt;(ROW(PLE.lastrow)-ROW(PLE.firstrow))),0,
           IF(OFFSET(PLE!$G$15,$M46-$A$15,CC$13)="",10^12,OFFSET(PLE!$G$15,$M46-$A$15,CC$13)))</f>
        <v>1000000000000</v>
      </c>
      <c r="CD46" s="172" cm="1">
        <f t="array" aca="1" ref="CD46" ca="1">IF(OR($D46&lt;&gt;"Serviço",AND(AUTOEVENTO="Manual",$M46=$A$15),$M46&gt;(ROW(PLE.lastrow)-ROW(PLE.firstrow))),0,
           IF(OFFSET(PLE!$G$15,$M46-$A$15,CD$13)="",10^12,OFFSET(PLE!$G$15,$M46-$A$15,CD$13)))</f>
        <v>1000000000000</v>
      </c>
      <c r="CE46" s="172" cm="1">
        <f t="array" aca="1" ref="CE46" ca="1">IF(OR($D46&lt;&gt;"Serviço",AND(AUTOEVENTO="Manual",$M46=$A$15),$M46&gt;(ROW(PLE.lastrow)-ROW(PLE.firstrow))),0,
           IF(OFFSET(PLE!$G$15,$M46-$A$15,CE$13)="",10^12,OFFSET(PLE!$G$15,$M46-$A$15,CE$13)))</f>
        <v>1000000000000</v>
      </c>
      <c r="CF46" s="172" cm="1">
        <f t="array" aca="1" ref="CF46" ca="1">IF(OR($D46&lt;&gt;"Serviço",AND(AUTOEVENTO="Manual",$M46=$A$15),$M46&gt;(ROW(PLE.lastrow)-ROW(PLE.firstrow))),0,
           IF(OFFSET(PLE!$G$15,$M46-$A$15,CF$13)="",10^12,OFFSET(PLE!$G$15,$M46-$A$15,CF$13)))</f>
        <v>1000000000000</v>
      </c>
      <c r="CG46" s="172" cm="1">
        <f t="array" aca="1" ref="CG46" ca="1">IF(OR($D46&lt;&gt;"Serviço",AND(AUTOEVENTO="Manual",$M46=$A$15),$M46&gt;(ROW(PLE.lastrow)-ROW(PLE.firstrow))),0,
           IF(OFFSET(PLE!$G$15,$M46-$A$15,CG$13)="",10^12,OFFSET(PLE!$G$15,$M46-$A$15,CG$13)))</f>
        <v>1000000000000</v>
      </c>
      <c r="CH46" s="172" cm="1">
        <f t="array" aca="1" ref="CH46" ca="1">IF(OR($D46&lt;&gt;"Serviço",AND(AUTOEVENTO="Manual",$M46=$A$15),$M46&gt;(ROW(PLE.lastrow)-ROW(PLE.firstrow))),0,
           IF(OFFSET(PLE!$G$15,$M46-$A$15,CH$13)="",10^12,OFFSET(PLE!$G$15,$M46-$A$15,CH$13)))</f>
        <v>1000000000000</v>
      </c>
      <c r="CI46" s="172" cm="1">
        <f t="array" aca="1" ref="CI46" ca="1">IF(OR($D46&lt;&gt;"Serviço",AND(AUTOEVENTO="Manual",$M46=$A$15),$M46&gt;(ROW(PLE.lastrow)-ROW(PLE.firstrow))),0,
           IF(OFFSET(PLE!$G$15,$M46-$A$15,CI$13)="",10^12,OFFSET(PLE!$G$15,$M46-$A$15,CI$13)))</f>
        <v>1000000000000</v>
      </c>
      <c r="CJ46" s="172" cm="1">
        <f t="array" aca="1" ref="CJ46" ca="1">IF(OR($D46&lt;&gt;"Serviço",AND(AUTOEVENTO="Manual",$M46=$A$15),$M46&gt;(ROW(PLE.lastrow)-ROW(PLE.firstrow))),0,
           IF(OFFSET(PLE!$G$15,$M46-$A$15,CJ$13)="",10^12,OFFSET(PLE!$G$15,$M46-$A$15,CJ$13)))</f>
        <v>1000000000000</v>
      </c>
      <c r="CK46" s="172" cm="1">
        <f t="array" aca="1" ref="CK46" ca="1">IF(OR($D46&lt;&gt;"Serviço",AND(AUTOEVENTO="Manual",$M46=$A$15),$M46&gt;(ROW(PLE.lastrow)-ROW(PLE.firstrow))),0,
           IF(OFFSET(PLE!$G$15,$M46-$A$15,CK$13)="",10^12,OFFSET(PLE!$G$15,$M46-$A$15,CK$13)))</f>
        <v>1000000000000</v>
      </c>
      <c r="CL46" s="172" cm="1">
        <f t="array" aca="1" ref="CL46" ca="1">IF(OR($D46&lt;&gt;"Serviço",AND(AUTOEVENTO="Manual",$M46=$A$15),$M46&gt;(ROW(PLE.lastrow)-ROW(PLE.firstrow))),0,
           IF(OFFSET(PLE!$G$15,$M46-$A$15,CL$13)="",10^12,OFFSET(PLE!$G$15,$M46-$A$15,CL$13)))</f>
        <v>1000000000000</v>
      </c>
      <c r="CM46" s="172" cm="1">
        <f t="array" aca="1" ref="CM46" ca="1">IF(OR($D46&lt;&gt;"Serviço",AND(AUTOEVENTO="Manual",$M46=$A$15),$M46&gt;(ROW(PLE.lastrow)-ROW(PLE.firstrow))),0,
           IF(OFFSET(PLE!$G$15,$M46-$A$15,CM$13)="",10^12,OFFSET(PLE!$G$15,$M46-$A$15,CM$13)))</f>
        <v>1000000000000</v>
      </c>
    </row>
    <row r="47" spans="1:91" s="670" customFormat="1" ht="38.25" x14ac:dyDescent="0.2">
      <c r="A47" s="668">
        <f t="shared" ca="1" si="10"/>
        <v>24</v>
      </c>
      <c r="B47" s="668" t="str">
        <f ca="1">OFFSET(ORÇAMENTO!C$15,$L47,0)</f>
        <v>S</v>
      </c>
      <c r="C47" s="668" t="str">
        <f ca="1">OFFSET(ORÇAMENTO!L$15,$L47,0)</f>
        <v>F</v>
      </c>
      <c r="D47" s="116" t="str">
        <f ca="1">OFFSET(ORÇAMENTO!N$15,$L47,0)</f>
        <v>Serviço</v>
      </c>
      <c r="E47" s="117" t="str">
        <f ca="1">OFFSET(ORÇAMENTO!O$15,$L47,0)</f>
        <v>1.7.3.</v>
      </c>
      <c r="F47" s="163" t="str">
        <f ca="1">OFFSET(ORÇAMENTO!R$15,$L47,0)</f>
        <v>CURVA 90° EM  FERRO FUNDIDO, COM FLANGES PN 10,  DIAMETRO: 200MM</v>
      </c>
      <c r="G47" s="164" t="str">
        <f ca="1">IF($D47&lt;&gt;"Serviço","",OFFSET(ORÇAMENTO!S$15,$L47,0))</f>
        <v>UNIDADE</v>
      </c>
      <c r="H47" s="122" cm="1">
        <f t="array" aca="1" ref="H47" ca="1">IF($D47&lt;&gt;"Serviço",0,IF(ACOMPANHAMENTO="BM",ROUND(OFFSET(ORÇAMENTO!AJ$15,$L47,0),15-13*ORÇAMENTO!$AF$7),IF(IFERROR(CÁLCULO.FrentesPreenchidas,0)=0,0,SUM(ROUND(OFFSET($P47,0,1,1,CÁLCULO.FrentesPreenchidas),15-13*ORÇAMENTO!$AF$7)))))</f>
        <v>3</v>
      </c>
      <c r="I47" s="468" t="s">
        <v>1141</v>
      </c>
      <c r="J47" s="651" t="str" cm="1">
        <f t="array" aca="1" ref="J47" ca="1">IF(OR(B47&lt;&gt;"S",CÁLCULO.FrentesPreenchidas=0),"",IF(AND(ACOMPANHAMENTO="PLE",AUTOEVENTO="Manual",OR(H47&gt;0,ORÇAMENTO!AC47="QUANT."),OR(K47="",M47=0,N47="")),"►E",IF(AND(ACOMPANHAMENTO="PLE",ORÇAMENTO!AC47="QUANT."),"►Q",IF(AND(ACOMPANHAMENTO="PLE",H47&lt;&gt;SUMPRODUCT(($Q$1:$AI$1=1)*ROUND(Q47:AI47,15))),"►S",IF(AND(COUNTIF($P$11:$AI$11,"▼")=0,H47&gt;0,I47=""),"◄M","")))))</f>
        <v/>
      </c>
      <c r="K47" s="652" t="s">
        <v>1344</v>
      </c>
      <c r="L47" s="165">
        <f t="shared" ca="1" si="11"/>
        <v>32</v>
      </c>
      <c r="M47" s="166">
        <f ca="1">IF($D47&lt;&gt;"Serviço","",
          IF(AUTOEVENTO="manual",$A47,
                IF(ISERROR(MATCH($A47,$A$15:OFFSET($A47,-1,0),0)),MAX($M$15:OFFSET(M47,-1,0))+1,
                      INDEX($M$15:OFFSET(M47,-1,0),MATCH($A47,$A$15:OFFSET($A47,-1,0),0)))))</f>
        <v>24</v>
      </c>
      <c r="N47" s="167" t="str">
        <f ca="1">IF($D47&lt;&gt;"Serviço","",
         IF(AUTOEVENTO="Manual",
                IF($A47=0,"&lt;-- defina o número do agrupador",
                       OFFSET(EVENTOS!$D$15,$A47-$A$15,0)),
                OFFSET($F$15,$A47,0)))</f>
        <v>Instalações hidrossanitárias</v>
      </c>
      <c r="O47" s="168"/>
      <c r="Q47" s="168"/>
      <c r="R47" s="169"/>
      <c r="S47" s="169">
        <v>3</v>
      </c>
      <c r="T47" s="169"/>
      <c r="U47" s="169"/>
      <c r="V47" s="169"/>
      <c r="W47" s="169"/>
      <c r="X47" s="169"/>
      <c r="Y47" s="169"/>
      <c r="Z47" s="170"/>
      <c r="AA47" s="705"/>
      <c r="AB47" s="705"/>
      <c r="AC47" s="705"/>
      <c r="AD47" s="705"/>
      <c r="AE47" s="705"/>
      <c r="AF47" s="705"/>
      <c r="AG47" s="705"/>
      <c r="AH47" s="706"/>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L47" s="453">
        <f ca="1">IF(AND($D47="Serviço",AL$12&lt;&gt;0,$H47&gt;0,OR(AUTOEVENTO&lt;&gt;"manual",$M47&lt;&gt;$A$15)),
        IF(Import.TipoArredondamento&lt;&gt;"TransfereGOV",
              ROUND(OFFSET($P47,0,AL$13),15-13*ORÇAMENTO!$AF$7)/$H47*OFFSET(ORÇAMENTO!$X$15,ROW(AL47)-ROW(AL$15),0),
              ROUND(ROUND(OFFSET($P47,0,AL$13),15-13*ORÇAMENTO!$AF$7)*OFFSET(ORÇAMENTO!$W$15,ROW(AL47)-ROW(AL$15),0),15-13*ORÇAMENTO!$AF$11)),
         0)</f>
        <v>4220.07</v>
      </c>
      <c r="AM47" s="453">
        <f ca="1">IF(AND($D47="Serviço",AM$12&lt;&gt;0,$H47&gt;0,OR(AUTOEVENTO&lt;&gt;"manual",$M47&lt;&gt;$A$15)),
        IF(Import.TipoArredondamento&lt;&gt;"TransfereGOV",
              ROUND(OFFSET($P47,0,AM$13),15-13*ORÇAMENTO!$AF$7)/$H47*OFFSET(ORÇAMENTO!$X$15,ROW(AM47)-ROW(AM$15),0),
              ROUND(ROUND(OFFSET($P47,0,AM$13),15-13*ORÇAMENTO!$AF$7)*OFFSET(ORÇAMENTO!$W$15,ROW(AM47)-ROW(AM$15),0),15-13*ORÇAMENTO!$AF$11)),
         0)</f>
        <v>0</v>
      </c>
      <c r="AN47" s="453">
        <f ca="1">IF(AND($D47="Serviço",AN$12&lt;&gt;0,$H47&gt;0,OR(AUTOEVENTO&lt;&gt;"manual",$M47&lt;&gt;$A$15)),
        IF(Import.TipoArredondamento&lt;&gt;"TransfereGOV",
              ROUND(OFFSET($P47,0,AN$13),15-13*ORÇAMENTO!$AF$7)/$H47*OFFSET(ORÇAMENTO!$X$15,ROW(AN47)-ROW(AN$15),0),
              ROUND(ROUND(OFFSET($P47,0,AN$13),15-13*ORÇAMENTO!$AF$7)*OFFSET(ORÇAMENTO!$W$15,ROW(AN47)-ROW(AN$15),0),15-13*ORÇAMENTO!$AF$11)),
         0)</f>
        <v>0</v>
      </c>
      <c r="AO47" s="453">
        <f ca="1">IF(AND($D47="Serviço",AO$12&lt;&gt;0,$H47&gt;0,OR(AUTOEVENTO&lt;&gt;"manual",$M47&lt;&gt;$A$15)),
        IF(Import.TipoArredondamento&lt;&gt;"TransfereGOV",
              ROUND(OFFSET($P47,0,AO$13),15-13*ORÇAMENTO!$AF$7)/$H47*OFFSET(ORÇAMENTO!$X$15,ROW(AO47)-ROW(AO$15),0),
              ROUND(ROUND(OFFSET($P47,0,AO$13),15-13*ORÇAMENTO!$AF$7)*OFFSET(ORÇAMENTO!$W$15,ROW(AO47)-ROW(AO$15),0),15-13*ORÇAMENTO!$AF$11)),
         0)</f>
        <v>0</v>
      </c>
      <c r="AP47" s="453">
        <f ca="1">IF(AND($D47="Serviço",AP$12&lt;&gt;0,$H47&gt;0,OR(AUTOEVENTO&lt;&gt;"manual",$M47&lt;&gt;$A$15)),
        IF(Import.TipoArredondamento&lt;&gt;"TransfereGOV",
              ROUND(OFFSET($P47,0,AP$13),15-13*ORÇAMENTO!$AF$7)/$H47*OFFSET(ORÇAMENTO!$X$15,ROW(AP47)-ROW(AP$15),0),
              ROUND(ROUND(OFFSET($P47,0,AP$13),15-13*ORÇAMENTO!$AF$7)*OFFSET(ORÇAMENTO!$W$15,ROW(AP47)-ROW(AP$15),0),15-13*ORÇAMENTO!$AF$11)),
         0)</f>
        <v>0</v>
      </c>
      <c r="AQ47" s="453">
        <f ca="1">IF(AND($D47="Serviço",AQ$12&lt;&gt;0,$H47&gt;0,OR(AUTOEVENTO&lt;&gt;"manual",$M47&lt;&gt;$A$15)),
        IF(Import.TipoArredondamento&lt;&gt;"TransfereGOV",
              ROUND(OFFSET($P47,0,AQ$13),15-13*ORÇAMENTO!$AF$7)/$H47*OFFSET(ORÇAMENTO!$X$15,ROW(AQ47)-ROW(AQ$15),0),
              ROUND(ROUND(OFFSET($P47,0,AQ$13),15-13*ORÇAMENTO!$AF$7)*OFFSET(ORÇAMENTO!$W$15,ROW(AQ47)-ROW(AQ$15),0),15-13*ORÇAMENTO!$AF$11)),
         0)</f>
        <v>0</v>
      </c>
      <c r="AR47" s="453">
        <f ca="1">IF(AND($D47="Serviço",AR$12&lt;&gt;0,$H47&gt;0,OR(AUTOEVENTO&lt;&gt;"manual",$M47&lt;&gt;$A$15)),
        IF(Import.TipoArredondamento&lt;&gt;"TransfereGOV",
              ROUND(OFFSET($P47,0,AR$13),15-13*ORÇAMENTO!$AF$7)/$H47*OFFSET(ORÇAMENTO!$X$15,ROW(AR47)-ROW(AR$15),0),
              ROUND(ROUND(OFFSET($P47,0,AR$13),15-13*ORÇAMENTO!$AF$7)*OFFSET(ORÇAMENTO!$W$15,ROW(AR47)-ROW(AR$15),0),15-13*ORÇAMENTO!$AF$11)),
         0)</f>
        <v>0</v>
      </c>
      <c r="AS47" s="453">
        <f ca="1">IF(AND($D47="Serviço",AS$12&lt;&gt;0,$H47&gt;0,OR(AUTOEVENTO&lt;&gt;"manual",$M47&lt;&gt;$A$15)),
        IF(Import.TipoArredondamento&lt;&gt;"TransfereGOV",
              ROUND(OFFSET($P47,0,AS$13),15-13*ORÇAMENTO!$AF$7)/$H47*OFFSET(ORÇAMENTO!$X$15,ROW(AS47)-ROW(AS$15),0),
              ROUND(ROUND(OFFSET($P47,0,AS$13),15-13*ORÇAMENTO!$AF$7)*OFFSET(ORÇAMENTO!$W$15,ROW(AS47)-ROW(AS$15),0),15-13*ORÇAMENTO!$AF$11)),
         0)</f>
        <v>0</v>
      </c>
      <c r="AT47" s="453">
        <f ca="1">IF(AND($D47="Serviço",AT$12&lt;&gt;0,$H47&gt;0,OR(AUTOEVENTO&lt;&gt;"manual",$M47&lt;&gt;$A$15)),
        IF(Import.TipoArredondamento&lt;&gt;"TransfereGOV",
              ROUND(OFFSET($P47,0,AT$13),15-13*ORÇAMENTO!$AF$7)/$H47*OFFSET(ORÇAMENTO!$X$15,ROW(AT47)-ROW(AT$15),0),
              ROUND(ROUND(OFFSET($P47,0,AT$13),15-13*ORÇAMENTO!$AF$7)*OFFSET(ORÇAMENTO!$W$15,ROW(AT47)-ROW(AT$15),0),15-13*ORÇAMENTO!$AF$11)),
         0)</f>
        <v>0</v>
      </c>
      <c r="AU47" s="453">
        <f ca="1">IF(AND($D47="Serviço",AU$12&lt;&gt;0,$H47&gt;0,OR(AUTOEVENTO&lt;&gt;"manual",$M47&lt;&gt;$A$15)),
        IF(Import.TipoArredondamento&lt;&gt;"TransfereGOV",
              ROUND(OFFSET($P47,0,AU$13),15-13*ORÇAMENTO!$AF$7)/$H47*OFFSET(ORÇAMENTO!$X$15,ROW(AU47)-ROW(AU$15),0),
              ROUND(ROUND(OFFSET($P47,0,AU$13),15-13*ORÇAMENTO!$AF$7)*OFFSET(ORÇAMENTO!$W$15,ROW(AU47)-ROW(AU$15),0),15-13*ORÇAMENTO!$AF$11)),
         0)</f>
        <v>0</v>
      </c>
      <c r="AV47" s="453">
        <f ca="1">IF(AND($D47="Serviço",AV$12&lt;&gt;0,$H47&gt;0,OR(AUTOEVENTO&lt;&gt;"manual",$M47&lt;&gt;$A$15)),
        IF(Import.TipoArredondamento&lt;&gt;"TransfereGOV",
              ROUND(OFFSET($P47,0,AV$13),15-13*ORÇAMENTO!$AF$7)/$H47*OFFSET(ORÇAMENTO!$X$15,ROW(AV47)-ROW(AV$15),0),
              ROUND(ROUND(OFFSET($P47,0,AV$13),15-13*ORÇAMENTO!$AF$7)*OFFSET(ORÇAMENTO!$W$15,ROW(AV47)-ROW(AV$15),0),15-13*ORÇAMENTO!$AF$11)),
         0)</f>
        <v>0</v>
      </c>
      <c r="AW47" s="453">
        <f ca="1">IF(AND($D47="Serviço",AW$12&lt;&gt;0,$H47&gt;0,OR(AUTOEVENTO&lt;&gt;"manual",$M47&lt;&gt;$A$15)),
        IF(Import.TipoArredondamento&lt;&gt;"TransfereGOV",
              ROUND(OFFSET($P47,0,AW$13),15-13*ORÇAMENTO!$AF$7)/$H47*OFFSET(ORÇAMENTO!$X$15,ROW(AW47)-ROW(AW$15),0),
              ROUND(ROUND(OFFSET($P47,0,AW$13),15-13*ORÇAMENTO!$AF$7)*OFFSET(ORÇAMENTO!$W$15,ROW(AW47)-ROW(AW$15),0),15-13*ORÇAMENTO!$AF$11)),
         0)</f>
        <v>0</v>
      </c>
      <c r="AX47" s="453">
        <f ca="1">IF(AND($D47="Serviço",AX$12&lt;&gt;0,$H47&gt;0,OR(AUTOEVENTO&lt;&gt;"manual",$M47&lt;&gt;$A$15)),
        IF(Import.TipoArredondamento&lt;&gt;"TransfereGOV",
              ROUND(OFFSET($P47,0,AX$13),15-13*ORÇAMENTO!$AF$7)/$H47*OFFSET(ORÇAMENTO!$X$15,ROW(AX47)-ROW(AX$15),0),
              ROUND(ROUND(OFFSET($P47,0,AX$13),15-13*ORÇAMENTO!$AF$7)*OFFSET(ORÇAMENTO!$W$15,ROW(AX47)-ROW(AX$15),0),15-13*ORÇAMENTO!$AF$11)),
         0)</f>
        <v>0</v>
      </c>
      <c r="AY47" s="453">
        <f ca="1">IF(AND($D47="Serviço",AY$12&lt;&gt;0,$H47&gt;0,OR(AUTOEVENTO&lt;&gt;"manual",$M47&lt;&gt;$A$15)),
        IF(Import.TipoArredondamento&lt;&gt;"TransfereGOV",
              ROUND(OFFSET($P47,0,AY$13),15-13*ORÇAMENTO!$AF$7)/$H47*OFFSET(ORÇAMENTO!$X$15,ROW(AY47)-ROW(AY$15),0),
              ROUND(ROUND(OFFSET($P47,0,AY$13),15-13*ORÇAMENTO!$AF$7)*OFFSET(ORÇAMENTO!$W$15,ROW(AY47)-ROW(AY$15),0),15-13*ORÇAMENTO!$AF$11)),
         0)</f>
        <v>0</v>
      </c>
      <c r="AZ47" s="453">
        <f ca="1">IF(AND($D47="Serviço",AZ$12&lt;&gt;0,$H47&gt;0,OR(AUTOEVENTO&lt;&gt;"manual",$M47&lt;&gt;$A$15)),
        IF(Import.TipoArredondamento&lt;&gt;"TransfereGOV",
              ROUND(OFFSET($P47,0,AZ$13),15-13*ORÇAMENTO!$AF$7)/$H47*OFFSET(ORÇAMENTO!$X$15,ROW(AZ47)-ROW(AZ$15),0),
              ROUND(ROUND(OFFSET($P47,0,AZ$13),15-13*ORÇAMENTO!$AF$7)*OFFSET(ORÇAMENTO!$W$15,ROW(AZ47)-ROW(AZ$15),0),15-13*ORÇAMENTO!$AF$11)),
         0)</f>
        <v>0</v>
      </c>
      <c r="BA47" s="453">
        <f ca="1">IF(AND($D47="Serviço",BA$12&lt;&gt;0,$H47&gt;0,OR(AUTOEVENTO&lt;&gt;"manual",$M47&lt;&gt;$A$15)),
        IF(Import.TipoArredondamento&lt;&gt;"TransfereGOV",
              ROUND(OFFSET($P47,0,BA$13),15-13*ORÇAMENTO!$AF$7)/$H47*OFFSET(ORÇAMENTO!$X$15,ROW(BA47)-ROW(BA$15),0),
              ROUND(ROUND(OFFSET($P47,0,BA$13),15-13*ORÇAMENTO!$AF$7)*OFFSET(ORÇAMENTO!$W$15,ROW(BA47)-ROW(BA$15),0),15-13*ORÇAMENTO!$AF$11)),
         0)</f>
        <v>0</v>
      </c>
      <c r="BC47" s="171">
        <f ca="1">IF(OR($D47&lt;&gt;"Serviço",AND(AUTOEVENTO="Manual",$M47=$A$15)),0,
         IF(OFFSET(CRONOPLE!$F$15,$M47-$A$15,BC$13)=0,10^12,OFFSET(CRONOPLE!$F$15,$M47-$A$15,BC$13)))</f>
        <v>1000000000000</v>
      </c>
      <c r="BD47" s="171">
        <f ca="1">IF(OR($D47&lt;&gt;"Serviço",AND(AUTOEVENTO="Manual",$M47=$A$15)),0,
         IF(OFFSET(CRONOPLE!$F$15,$M47-$A$15,BD$13)=0,10^12,OFFSET(CRONOPLE!$F$15,$M47-$A$15,BD$13)))</f>
        <v>1000000000000</v>
      </c>
      <c r="BE47" s="171">
        <f ca="1">IF(OR($D47&lt;&gt;"Serviço",AND(AUTOEVENTO="Manual",$M47=$A$15)),0,
         IF(OFFSET(CRONOPLE!$F$15,$M47-$A$15,BE$13)=0,10^12,OFFSET(CRONOPLE!$F$15,$M47-$A$15,BE$13)))</f>
        <v>3</v>
      </c>
      <c r="BF47" s="171">
        <f ca="1">IF(OR($D47&lt;&gt;"Serviço",AND(AUTOEVENTO="Manual",$M47=$A$15)),0,
         IF(OFFSET(CRONOPLE!$F$15,$M47-$A$15,BF$13)=0,10^12,OFFSET(CRONOPLE!$F$15,$M47-$A$15,BF$13)))</f>
        <v>1000000000000</v>
      </c>
      <c r="BG47" s="171">
        <f ca="1">IF(OR($D47&lt;&gt;"Serviço",AND(AUTOEVENTO="Manual",$M47=$A$15)),0,
         IF(OFFSET(CRONOPLE!$F$15,$M47-$A$15,BG$13)=0,10^12,OFFSET(CRONOPLE!$F$15,$M47-$A$15,BG$13)))</f>
        <v>1000000000000</v>
      </c>
      <c r="BH47" s="171">
        <f ca="1">IF(OR($D47&lt;&gt;"Serviço",AND(AUTOEVENTO="Manual",$M47=$A$15)),0,
         IF(OFFSET(CRONOPLE!$F$15,$M47-$A$15,BH$13)=0,10^12,OFFSET(CRONOPLE!$F$15,$M47-$A$15,BH$13)))</f>
        <v>9</v>
      </c>
      <c r="BI47" s="171">
        <f ca="1">IF(OR($D47&lt;&gt;"Serviço",AND(AUTOEVENTO="Manual",$M47=$A$15)),0,
         IF(OFFSET(CRONOPLE!$F$15,$M47-$A$15,BI$13)=0,10^12,OFFSET(CRONOPLE!$F$15,$M47-$A$15,BI$13)))</f>
        <v>1000000000000</v>
      </c>
      <c r="BJ47" s="171">
        <f ca="1">IF(OR($D47&lt;&gt;"Serviço",AND(AUTOEVENTO="Manual",$M47=$A$15)),0,
         IF(OFFSET(CRONOPLE!$F$15,$M47-$A$15,BJ$13)=0,10^12,OFFSET(CRONOPLE!$F$15,$M47-$A$15,BJ$13)))</f>
        <v>1000000000000</v>
      </c>
      <c r="BK47" s="171">
        <f ca="1">IF(OR($D47&lt;&gt;"Serviço",AND(AUTOEVENTO="Manual",$M47=$A$15)),0,
         IF(OFFSET(CRONOPLE!$F$15,$M47-$A$15,BK$13)=0,10^12,OFFSET(CRONOPLE!$F$15,$M47-$A$15,BK$13)))</f>
        <v>1000000000000</v>
      </c>
      <c r="BL47" s="171">
        <f ca="1">IF(OR($D47&lt;&gt;"Serviço",AND(AUTOEVENTO="Manual",$M47=$A$15)),0,
         IF(OFFSET(CRONOPLE!$F$15,$M47-$A$15,BL$13)=0,10^12,OFFSET(CRONOPLE!$F$15,$M47-$A$15,BL$13)))</f>
        <v>1000000000000</v>
      </c>
      <c r="BM47" s="171">
        <f ca="1">IF(OR($D47&lt;&gt;"Serviço",AND(AUTOEVENTO="Manual",$M47=$A$15)),0,
         IF(OFFSET(CRONOPLE!$F$15,$M47-$A$15,BM$13)=0,10^12,OFFSET(CRONOPLE!$F$15,$M47-$A$15,BM$13)))</f>
        <v>1000000000000</v>
      </c>
      <c r="BN47" s="171">
        <f ca="1">IF(OR($D47&lt;&gt;"Serviço",AND(AUTOEVENTO="Manual",$M47=$A$15)),0,
         IF(OFFSET(CRONOPLE!$F$15,$M47-$A$15,BN$13)=0,10^12,OFFSET(CRONOPLE!$F$15,$M47-$A$15,BN$13)))</f>
        <v>1000000000000</v>
      </c>
      <c r="BO47" s="171">
        <f ca="1">IF(OR($D47&lt;&gt;"Serviço",AND(AUTOEVENTO="Manual",$M47=$A$15)),0,
         IF(OFFSET(CRONOPLE!$F$15,$M47-$A$15,BO$13)=0,10^12,OFFSET(CRONOPLE!$F$15,$M47-$A$15,BO$13)))</f>
        <v>1000000000000</v>
      </c>
      <c r="BP47" s="171">
        <f ca="1">IF(OR($D47&lt;&gt;"Serviço",AND(AUTOEVENTO="Manual",$M47=$A$15)),0,
         IF(OFFSET(CRONOPLE!$F$15,$M47-$A$15,BP$13)=0,10^12,OFFSET(CRONOPLE!$F$15,$M47-$A$15,BP$13)))</f>
        <v>1000000000000</v>
      </c>
      <c r="BQ47" s="171">
        <f ca="1">IF(OR($D47&lt;&gt;"Serviço",AND(AUTOEVENTO="Manual",$M47=$A$15)),0,
         IF(OFFSET(CRONOPLE!$F$15,$M47-$A$15,BQ$13)=0,10^12,OFFSET(CRONOPLE!$F$15,$M47-$A$15,BQ$13)))</f>
        <v>1000000000000</v>
      </c>
      <c r="BR47" s="171">
        <f ca="1">IF(OR($D47&lt;&gt;"Serviço",AND(AUTOEVENTO="Manual",$M47=$A$15)),0,
         IF(OFFSET(CRONOPLE!$F$15,$M47-$A$15,BR$13)=0,10^12,OFFSET(CRONOPLE!$F$15,$M47-$A$15,BR$13)))</f>
        <v>1000000000000</v>
      </c>
      <c r="BS47" s="171">
        <f ca="1">IF(OR($D47&lt;&gt;"Serviço",AND(AUTOEVENTO="Manual",$M47=$A$15)),0,
         IF(OFFSET(CRONOPLE!$F$15,$M47-$A$15,BS$13)=0,10^12,OFFSET(CRONOPLE!$F$15,$M47-$A$15,BS$13)))</f>
        <v>1000000000000</v>
      </c>
      <c r="BT47" s="171">
        <f ca="1">IF(OR($D47&lt;&gt;"Serviço",AND(AUTOEVENTO="Manual",$M47=$A$15)),0,
         IF(OFFSET(CRONOPLE!$F$15,$M47-$A$15,BT$13)=0,10^12,OFFSET(CRONOPLE!$F$15,$M47-$A$15,BT$13)))</f>
        <v>1000000000000</v>
      </c>
      <c r="BV47" s="172" cm="1">
        <f t="array" aca="1" ref="BV47" ca="1">IF(OR($D47&lt;&gt;"Serviço",AND(AUTOEVENTO="Manual",$M47=$A$15),$M47&gt;(ROW(PLE.lastrow)-ROW(PLE.firstrow))),0,
           IF(OFFSET(PLE!$G$15,$M47-$A$15,BV$13)="",10^12,OFFSET(PLE!$G$15,$M47-$A$15,BV$13)))</f>
        <v>1000000000000</v>
      </c>
      <c r="BW47" s="172" cm="1">
        <f t="array" aca="1" ref="BW47" ca="1">IF(OR($D47&lt;&gt;"Serviço",AND(AUTOEVENTO="Manual",$M47=$A$15),$M47&gt;(ROW(PLE.lastrow)-ROW(PLE.firstrow))),0,
           IF(OFFSET(PLE!$G$15,$M47-$A$15,BW$13)="",10^12,OFFSET(PLE!$G$15,$M47-$A$15,BW$13)))</f>
        <v>1000000000000</v>
      </c>
      <c r="BX47" s="172" cm="1">
        <f t="array" aca="1" ref="BX47" ca="1">IF(OR($D47&lt;&gt;"Serviço",AND(AUTOEVENTO="Manual",$M47=$A$15),$M47&gt;(ROW(PLE.lastrow)-ROW(PLE.firstrow))),0,
           IF(OFFSET(PLE!$G$15,$M47-$A$15,BX$13)="",10^12,OFFSET(PLE!$G$15,$M47-$A$15,BX$13)))</f>
        <v>1000000000000</v>
      </c>
      <c r="BY47" s="172" cm="1">
        <f t="array" aca="1" ref="BY47" ca="1">IF(OR($D47&lt;&gt;"Serviço",AND(AUTOEVENTO="Manual",$M47=$A$15),$M47&gt;(ROW(PLE.lastrow)-ROW(PLE.firstrow))),0,
           IF(OFFSET(PLE!$G$15,$M47-$A$15,BY$13)="",10^12,OFFSET(PLE!$G$15,$M47-$A$15,BY$13)))</f>
        <v>1000000000000</v>
      </c>
      <c r="BZ47" s="172" cm="1">
        <f t="array" aca="1" ref="BZ47" ca="1">IF(OR($D47&lt;&gt;"Serviço",AND(AUTOEVENTO="Manual",$M47=$A$15),$M47&gt;(ROW(PLE.lastrow)-ROW(PLE.firstrow))),0,
           IF(OFFSET(PLE!$G$15,$M47-$A$15,BZ$13)="",10^12,OFFSET(PLE!$G$15,$M47-$A$15,BZ$13)))</f>
        <v>1000000000000</v>
      </c>
      <c r="CA47" s="172" cm="1">
        <f t="array" aca="1" ref="CA47" ca="1">IF(OR($D47&lt;&gt;"Serviço",AND(AUTOEVENTO="Manual",$M47=$A$15),$M47&gt;(ROW(PLE.lastrow)-ROW(PLE.firstrow))),0,
           IF(OFFSET(PLE!$G$15,$M47-$A$15,CA$13)="",10^12,OFFSET(PLE!$G$15,$M47-$A$15,CA$13)))</f>
        <v>1000000000000</v>
      </c>
      <c r="CB47" s="172" cm="1">
        <f t="array" aca="1" ref="CB47" ca="1">IF(OR($D47&lt;&gt;"Serviço",AND(AUTOEVENTO="Manual",$M47=$A$15),$M47&gt;(ROW(PLE.lastrow)-ROW(PLE.firstrow))),0,
           IF(OFFSET(PLE!$G$15,$M47-$A$15,CB$13)="",10^12,OFFSET(PLE!$G$15,$M47-$A$15,CB$13)))</f>
        <v>1000000000000</v>
      </c>
      <c r="CC47" s="172" cm="1">
        <f t="array" aca="1" ref="CC47" ca="1">IF(OR($D47&lt;&gt;"Serviço",AND(AUTOEVENTO="Manual",$M47=$A$15),$M47&gt;(ROW(PLE.lastrow)-ROW(PLE.firstrow))),0,
           IF(OFFSET(PLE!$G$15,$M47-$A$15,CC$13)="",10^12,OFFSET(PLE!$G$15,$M47-$A$15,CC$13)))</f>
        <v>1000000000000</v>
      </c>
      <c r="CD47" s="172" cm="1">
        <f t="array" aca="1" ref="CD47" ca="1">IF(OR($D47&lt;&gt;"Serviço",AND(AUTOEVENTO="Manual",$M47=$A$15),$M47&gt;(ROW(PLE.lastrow)-ROW(PLE.firstrow))),0,
           IF(OFFSET(PLE!$G$15,$M47-$A$15,CD$13)="",10^12,OFFSET(PLE!$G$15,$M47-$A$15,CD$13)))</f>
        <v>1000000000000</v>
      </c>
      <c r="CE47" s="172" cm="1">
        <f t="array" aca="1" ref="CE47" ca="1">IF(OR($D47&lt;&gt;"Serviço",AND(AUTOEVENTO="Manual",$M47=$A$15),$M47&gt;(ROW(PLE.lastrow)-ROW(PLE.firstrow))),0,
           IF(OFFSET(PLE!$G$15,$M47-$A$15,CE$13)="",10^12,OFFSET(PLE!$G$15,$M47-$A$15,CE$13)))</f>
        <v>1000000000000</v>
      </c>
      <c r="CF47" s="172" cm="1">
        <f t="array" aca="1" ref="CF47" ca="1">IF(OR($D47&lt;&gt;"Serviço",AND(AUTOEVENTO="Manual",$M47=$A$15),$M47&gt;(ROW(PLE.lastrow)-ROW(PLE.firstrow))),0,
           IF(OFFSET(PLE!$G$15,$M47-$A$15,CF$13)="",10^12,OFFSET(PLE!$G$15,$M47-$A$15,CF$13)))</f>
        <v>1000000000000</v>
      </c>
      <c r="CG47" s="172" cm="1">
        <f t="array" aca="1" ref="CG47" ca="1">IF(OR($D47&lt;&gt;"Serviço",AND(AUTOEVENTO="Manual",$M47=$A$15),$M47&gt;(ROW(PLE.lastrow)-ROW(PLE.firstrow))),0,
           IF(OFFSET(PLE!$G$15,$M47-$A$15,CG$13)="",10^12,OFFSET(PLE!$G$15,$M47-$A$15,CG$13)))</f>
        <v>1000000000000</v>
      </c>
      <c r="CH47" s="172" cm="1">
        <f t="array" aca="1" ref="CH47" ca="1">IF(OR($D47&lt;&gt;"Serviço",AND(AUTOEVENTO="Manual",$M47=$A$15),$M47&gt;(ROW(PLE.lastrow)-ROW(PLE.firstrow))),0,
           IF(OFFSET(PLE!$G$15,$M47-$A$15,CH$13)="",10^12,OFFSET(PLE!$G$15,$M47-$A$15,CH$13)))</f>
        <v>1000000000000</v>
      </c>
      <c r="CI47" s="172" cm="1">
        <f t="array" aca="1" ref="CI47" ca="1">IF(OR($D47&lt;&gt;"Serviço",AND(AUTOEVENTO="Manual",$M47=$A$15),$M47&gt;(ROW(PLE.lastrow)-ROW(PLE.firstrow))),0,
           IF(OFFSET(PLE!$G$15,$M47-$A$15,CI$13)="",10^12,OFFSET(PLE!$G$15,$M47-$A$15,CI$13)))</f>
        <v>1000000000000</v>
      </c>
      <c r="CJ47" s="172" cm="1">
        <f t="array" aca="1" ref="CJ47" ca="1">IF(OR($D47&lt;&gt;"Serviço",AND(AUTOEVENTO="Manual",$M47=$A$15),$M47&gt;(ROW(PLE.lastrow)-ROW(PLE.firstrow))),0,
           IF(OFFSET(PLE!$G$15,$M47-$A$15,CJ$13)="",10^12,OFFSET(PLE!$G$15,$M47-$A$15,CJ$13)))</f>
        <v>1000000000000</v>
      </c>
      <c r="CK47" s="172" cm="1">
        <f t="array" aca="1" ref="CK47" ca="1">IF(OR($D47&lt;&gt;"Serviço",AND(AUTOEVENTO="Manual",$M47=$A$15),$M47&gt;(ROW(PLE.lastrow)-ROW(PLE.firstrow))),0,
           IF(OFFSET(PLE!$G$15,$M47-$A$15,CK$13)="",10^12,OFFSET(PLE!$G$15,$M47-$A$15,CK$13)))</f>
        <v>1000000000000</v>
      </c>
      <c r="CL47" s="172" cm="1">
        <f t="array" aca="1" ref="CL47" ca="1">IF(OR($D47&lt;&gt;"Serviço",AND(AUTOEVENTO="Manual",$M47=$A$15),$M47&gt;(ROW(PLE.lastrow)-ROW(PLE.firstrow))),0,
           IF(OFFSET(PLE!$G$15,$M47-$A$15,CL$13)="",10^12,OFFSET(PLE!$G$15,$M47-$A$15,CL$13)))</f>
        <v>1000000000000</v>
      </c>
      <c r="CM47" s="172" cm="1">
        <f t="array" aca="1" ref="CM47" ca="1">IF(OR($D47&lt;&gt;"Serviço",AND(AUTOEVENTO="Manual",$M47=$A$15),$M47&gt;(ROW(PLE.lastrow)-ROW(PLE.firstrow))),0,
           IF(OFFSET(PLE!$G$15,$M47-$A$15,CM$13)="",10^12,OFFSET(PLE!$G$15,$M47-$A$15,CM$13)))</f>
        <v>1000000000000</v>
      </c>
    </row>
    <row r="48" spans="1:91" s="670" customFormat="1" ht="25.5" x14ac:dyDescent="0.2">
      <c r="A48" s="668">
        <f t="shared" ca="1" si="10"/>
        <v>24</v>
      </c>
      <c r="B48" s="668" t="str">
        <f ca="1">OFFSET(ORÇAMENTO!C$15,$L48,0)</f>
        <v>S</v>
      </c>
      <c r="C48" s="668" t="str">
        <f ca="1">OFFSET(ORÇAMENTO!L$15,$L48,0)</f>
        <v>F</v>
      </c>
      <c r="D48" s="116" t="str">
        <f ca="1">OFFSET(ORÇAMENTO!N$15,$L48,0)</f>
        <v>Serviço</v>
      </c>
      <c r="E48" s="117" t="str">
        <f ca="1">OFFSET(ORÇAMENTO!O$15,$L48,0)</f>
        <v>1.7.4.</v>
      </c>
      <c r="F48" s="163" t="str">
        <f ca="1">OFFSET(ORÇAMENTO!R$15,$L48,0)</f>
        <v>FLANGE AVULSO EM FERRO FUNDIDO, CLASSE PN-10, DN= 200MM</v>
      </c>
      <c r="G48" s="164" t="str">
        <f ca="1">IF($D48&lt;&gt;"Serviço","",OFFSET(ORÇAMENTO!S$15,$L48,0))</f>
        <v>UNIDADE</v>
      </c>
      <c r="H48" s="122" cm="1">
        <f t="array" aca="1" ref="H48" ca="1">IF($D48&lt;&gt;"Serviço",0,IF(ACOMPANHAMENTO="BM",ROUND(OFFSET(ORÇAMENTO!AJ$15,$L48,0),15-13*ORÇAMENTO!$AF$7),IF(IFERROR(CÁLCULO.FrentesPreenchidas,0)=0,0,SUM(ROUND(OFFSET($P48,0,1,1,CÁLCULO.FrentesPreenchidas),15-13*ORÇAMENTO!$AF$7)))))</f>
        <v>12</v>
      </c>
      <c r="I48" s="468" t="s">
        <v>1239</v>
      </c>
      <c r="J48" s="651" t="str" cm="1">
        <f t="array" aca="1" ref="J48" ca="1">IF(OR(B48&lt;&gt;"S",CÁLCULO.FrentesPreenchidas=0),"",IF(AND(ACOMPANHAMENTO="PLE",AUTOEVENTO="Manual",OR(H48&gt;0,ORÇAMENTO!AC48="QUANT."),OR(K48="",M48=0,N48="")),"►E",IF(AND(ACOMPANHAMENTO="PLE",ORÇAMENTO!AC48="QUANT."),"►Q",IF(AND(ACOMPANHAMENTO="PLE",H48&lt;&gt;SUMPRODUCT(($Q$1:$AI$1=1)*ROUND(Q48:AI48,15))),"►S",IF(AND(COUNTIF($P$11:$AI$11,"▼")=0,H48&gt;0,I48=""),"◄M","")))))</f>
        <v/>
      </c>
      <c r="K48" s="652" t="s">
        <v>1344</v>
      </c>
      <c r="L48" s="165">
        <f t="shared" ca="1" si="11"/>
        <v>33</v>
      </c>
      <c r="M48" s="166">
        <f ca="1">IF($D48&lt;&gt;"Serviço","",
          IF(AUTOEVENTO="manual",$A48,
                IF(ISERROR(MATCH($A48,$A$15:OFFSET($A48,-1,0),0)),MAX($M$15:OFFSET(M48,-1,0))+1,
                      INDEX($M$15:OFFSET(M48,-1,0),MATCH($A48,$A$15:OFFSET($A48,-1,0),0)))))</f>
        <v>24</v>
      </c>
      <c r="N48" s="167" t="str">
        <f ca="1">IF($D48&lt;&gt;"Serviço","",
         IF(AUTOEVENTO="Manual",
                IF($A48=0,"&lt;-- defina o número do agrupador",
                       OFFSET(EVENTOS!$D$15,$A48-$A$15,0)),
                OFFSET($F$15,$A48,0)))</f>
        <v>Instalações hidrossanitárias</v>
      </c>
      <c r="O48" s="168"/>
      <c r="Q48" s="168"/>
      <c r="R48" s="169"/>
      <c r="S48" s="169">
        <v>12</v>
      </c>
      <c r="T48" s="169"/>
      <c r="U48" s="169"/>
      <c r="V48" s="169"/>
      <c r="W48" s="169"/>
      <c r="X48" s="169"/>
      <c r="Y48" s="169"/>
      <c r="Z48" s="170"/>
      <c r="AA48" s="705"/>
      <c r="AB48" s="705"/>
      <c r="AC48" s="705"/>
      <c r="AD48" s="705"/>
      <c r="AE48" s="705"/>
      <c r="AF48" s="705"/>
      <c r="AG48" s="705"/>
      <c r="AH48" s="706"/>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L48" s="453">
        <f ca="1">IF(AND($D48="Serviço",AL$12&lt;&gt;0,$H48&gt;0,OR(AUTOEVENTO&lt;&gt;"manual",$M48&lt;&gt;$A$15)),
        IF(Import.TipoArredondamento&lt;&gt;"TransfereGOV",
              ROUND(OFFSET($P48,0,AL$13),15-13*ORÇAMENTO!$AF$7)/$H48*OFFSET(ORÇAMENTO!$X$15,ROW(AL48)-ROW(AL$15),0),
              ROUND(ROUND(OFFSET($P48,0,AL$13),15-13*ORÇAMENTO!$AF$7)*OFFSET(ORÇAMENTO!$W$15,ROW(AL48)-ROW(AL$15),0),15-13*ORÇAMENTO!$AF$11)),
         0)</f>
        <v>6530.04</v>
      </c>
      <c r="AM48" s="453">
        <f ca="1">IF(AND($D48="Serviço",AM$12&lt;&gt;0,$H48&gt;0,OR(AUTOEVENTO&lt;&gt;"manual",$M48&lt;&gt;$A$15)),
        IF(Import.TipoArredondamento&lt;&gt;"TransfereGOV",
              ROUND(OFFSET($P48,0,AM$13),15-13*ORÇAMENTO!$AF$7)/$H48*OFFSET(ORÇAMENTO!$X$15,ROW(AM48)-ROW(AM$15),0),
              ROUND(ROUND(OFFSET($P48,0,AM$13),15-13*ORÇAMENTO!$AF$7)*OFFSET(ORÇAMENTO!$W$15,ROW(AM48)-ROW(AM$15),0),15-13*ORÇAMENTO!$AF$11)),
         0)</f>
        <v>0</v>
      </c>
      <c r="AN48" s="453">
        <f ca="1">IF(AND($D48="Serviço",AN$12&lt;&gt;0,$H48&gt;0,OR(AUTOEVENTO&lt;&gt;"manual",$M48&lt;&gt;$A$15)),
        IF(Import.TipoArredondamento&lt;&gt;"TransfereGOV",
              ROUND(OFFSET($P48,0,AN$13),15-13*ORÇAMENTO!$AF$7)/$H48*OFFSET(ORÇAMENTO!$X$15,ROW(AN48)-ROW(AN$15),0),
              ROUND(ROUND(OFFSET($P48,0,AN$13),15-13*ORÇAMENTO!$AF$7)*OFFSET(ORÇAMENTO!$W$15,ROW(AN48)-ROW(AN$15),0),15-13*ORÇAMENTO!$AF$11)),
         0)</f>
        <v>0</v>
      </c>
      <c r="AO48" s="453">
        <f ca="1">IF(AND($D48="Serviço",AO$12&lt;&gt;0,$H48&gt;0,OR(AUTOEVENTO&lt;&gt;"manual",$M48&lt;&gt;$A$15)),
        IF(Import.TipoArredondamento&lt;&gt;"TransfereGOV",
              ROUND(OFFSET($P48,0,AO$13),15-13*ORÇAMENTO!$AF$7)/$H48*OFFSET(ORÇAMENTO!$X$15,ROW(AO48)-ROW(AO$15),0),
              ROUND(ROUND(OFFSET($P48,0,AO$13),15-13*ORÇAMENTO!$AF$7)*OFFSET(ORÇAMENTO!$W$15,ROW(AO48)-ROW(AO$15),0),15-13*ORÇAMENTO!$AF$11)),
         0)</f>
        <v>0</v>
      </c>
      <c r="AP48" s="453">
        <f ca="1">IF(AND($D48="Serviço",AP$12&lt;&gt;0,$H48&gt;0,OR(AUTOEVENTO&lt;&gt;"manual",$M48&lt;&gt;$A$15)),
        IF(Import.TipoArredondamento&lt;&gt;"TransfereGOV",
              ROUND(OFFSET($P48,0,AP$13),15-13*ORÇAMENTO!$AF$7)/$H48*OFFSET(ORÇAMENTO!$X$15,ROW(AP48)-ROW(AP$15),0),
              ROUND(ROUND(OFFSET($P48,0,AP$13),15-13*ORÇAMENTO!$AF$7)*OFFSET(ORÇAMENTO!$W$15,ROW(AP48)-ROW(AP$15),0),15-13*ORÇAMENTO!$AF$11)),
         0)</f>
        <v>0</v>
      </c>
      <c r="AQ48" s="453">
        <f ca="1">IF(AND($D48="Serviço",AQ$12&lt;&gt;0,$H48&gt;0,OR(AUTOEVENTO&lt;&gt;"manual",$M48&lt;&gt;$A$15)),
        IF(Import.TipoArredondamento&lt;&gt;"TransfereGOV",
              ROUND(OFFSET($P48,0,AQ$13),15-13*ORÇAMENTO!$AF$7)/$H48*OFFSET(ORÇAMENTO!$X$15,ROW(AQ48)-ROW(AQ$15),0),
              ROUND(ROUND(OFFSET($P48,0,AQ$13),15-13*ORÇAMENTO!$AF$7)*OFFSET(ORÇAMENTO!$W$15,ROW(AQ48)-ROW(AQ$15),0),15-13*ORÇAMENTO!$AF$11)),
         0)</f>
        <v>0</v>
      </c>
      <c r="AR48" s="453">
        <f ca="1">IF(AND($D48="Serviço",AR$12&lt;&gt;0,$H48&gt;0,OR(AUTOEVENTO&lt;&gt;"manual",$M48&lt;&gt;$A$15)),
        IF(Import.TipoArredondamento&lt;&gt;"TransfereGOV",
              ROUND(OFFSET($P48,0,AR$13),15-13*ORÇAMENTO!$AF$7)/$H48*OFFSET(ORÇAMENTO!$X$15,ROW(AR48)-ROW(AR$15),0),
              ROUND(ROUND(OFFSET($P48,0,AR$13),15-13*ORÇAMENTO!$AF$7)*OFFSET(ORÇAMENTO!$W$15,ROW(AR48)-ROW(AR$15),0),15-13*ORÇAMENTO!$AF$11)),
         0)</f>
        <v>0</v>
      </c>
      <c r="AS48" s="453">
        <f ca="1">IF(AND($D48="Serviço",AS$12&lt;&gt;0,$H48&gt;0,OR(AUTOEVENTO&lt;&gt;"manual",$M48&lt;&gt;$A$15)),
        IF(Import.TipoArredondamento&lt;&gt;"TransfereGOV",
              ROUND(OFFSET($P48,0,AS$13),15-13*ORÇAMENTO!$AF$7)/$H48*OFFSET(ORÇAMENTO!$X$15,ROW(AS48)-ROW(AS$15),0),
              ROUND(ROUND(OFFSET($P48,0,AS$13),15-13*ORÇAMENTO!$AF$7)*OFFSET(ORÇAMENTO!$W$15,ROW(AS48)-ROW(AS$15),0),15-13*ORÇAMENTO!$AF$11)),
         0)</f>
        <v>0</v>
      </c>
      <c r="AT48" s="453">
        <f ca="1">IF(AND($D48="Serviço",AT$12&lt;&gt;0,$H48&gt;0,OR(AUTOEVENTO&lt;&gt;"manual",$M48&lt;&gt;$A$15)),
        IF(Import.TipoArredondamento&lt;&gt;"TransfereGOV",
              ROUND(OFFSET($P48,0,AT$13),15-13*ORÇAMENTO!$AF$7)/$H48*OFFSET(ORÇAMENTO!$X$15,ROW(AT48)-ROW(AT$15),0),
              ROUND(ROUND(OFFSET($P48,0,AT$13),15-13*ORÇAMENTO!$AF$7)*OFFSET(ORÇAMENTO!$W$15,ROW(AT48)-ROW(AT$15),0),15-13*ORÇAMENTO!$AF$11)),
         0)</f>
        <v>0</v>
      </c>
      <c r="AU48" s="453">
        <f ca="1">IF(AND($D48="Serviço",AU$12&lt;&gt;0,$H48&gt;0,OR(AUTOEVENTO&lt;&gt;"manual",$M48&lt;&gt;$A$15)),
        IF(Import.TipoArredondamento&lt;&gt;"TransfereGOV",
              ROUND(OFFSET($P48,0,AU$13),15-13*ORÇAMENTO!$AF$7)/$H48*OFFSET(ORÇAMENTO!$X$15,ROW(AU48)-ROW(AU$15),0),
              ROUND(ROUND(OFFSET($P48,0,AU$13),15-13*ORÇAMENTO!$AF$7)*OFFSET(ORÇAMENTO!$W$15,ROW(AU48)-ROW(AU$15),0),15-13*ORÇAMENTO!$AF$11)),
         0)</f>
        <v>0</v>
      </c>
      <c r="AV48" s="453">
        <f ca="1">IF(AND($D48="Serviço",AV$12&lt;&gt;0,$H48&gt;0,OR(AUTOEVENTO&lt;&gt;"manual",$M48&lt;&gt;$A$15)),
        IF(Import.TipoArredondamento&lt;&gt;"TransfereGOV",
              ROUND(OFFSET($P48,0,AV$13),15-13*ORÇAMENTO!$AF$7)/$H48*OFFSET(ORÇAMENTO!$X$15,ROW(AV48)-ROW(AV$15),0),
              ROUND(ROUND(OFFSET($P48,0,AV$13),15-13*ORÇAMENTO!$AF$7)*OFFSET(ORÇAMENTO!$W$15,ROW(AV48)-ROW(AV$15),0),15-13*ORÇAMENTO!$AF$11)),
         0)</f>
        <v>0</v>
      </c>
      <c r="AW48" s="453">
        <f ca="1">IF(AND($D48="Serviço",AW$12&lt;&gt;0,$H48&gt;0,OR(AUTOEVENTO&lt;&gt;"manual",$M48&lt;&gt;$A$15)),
        IF(Import.TipoArredondamento&lt;&gt;"TransfereGOV",
              ROUND(OFFSET($P48,0,AW$13),15-13*ORÇAMENTO!$AF$7)/$H48*OFFSET(ORÇAMENTO!$X$15,ROW(AW48)-ROW(AW$15),0),
              ROUND(ROUND(OFFSET($P48,0,AW$13),15-13*ORÇAMENTO!$AF$7)*OFFSET(ORÇAMENTO!$W$15,ROW(AW48)-ROW(AW$15),0),15-13*ORÇAMENTO!$AF$11)),
         0)</f>
        <v>0</v>
      </c>
      <c r="AX48" s="453">
        <f ca="1">IF(AND($D48="Serviço",AX$12&lt;&gt;0,$H48&gt;0,OR(AUTOEVENTO&lt;&gt;"manual",$M48&lt;&gt;$A$15)),
        IF(Import.TipoArredondamento&lt;&gt;"TransfereGOV",
              ROUND(OFFSET($P48,0,AX$13),15-13*ORÇAMENTO!$AF$7)/$H48*OFFSET(ORÇAMENTO!$X$15,ROW(AX48)-ROW(AX$15),0),
              ROUND(ROUND(OFFSET($P48,0,AX$13),15-13*ORÇAMENTO!$AF$7)*OFFSET(ORÇAMENTO!$W$15,ROW(AX48)-ROW(AX$15),0),15-13*ORÇAMENTO!$AF$11)),
         0)</f>
        <v>0</v>
      </c>
      <c r="AY48" s="453">
        <f ca="1">IF(AND($D48="Serviço",AY$12&lt;&gt;0,$H48&gt;0,OR(AUTOEVENTO&lt;&gt;"manual",$M48&lt;&gt;$A$15)),
        IF(Import.TipoArredondamento&lt;&gt;"TransfereGOV",
              ROUND(OFFSET($P48,0,AY$13),15-13*ORÇAMENTO!$AF$7)/$H48*OFFSET(ORÇAMENTO!$X$15,ROW(AY48)-ROW(AY$15),0),
              ROUND(ROUND(OFFSET($P48,0,AY$13),15-13*ORÇAMENTO!$AF$7)*OFFSET(ORÇAMENTO!$W$15,ROW(AY48)-ROW(AY$15),0),15-13*ORÇAMENTO!$AF$11)),
         0)</f>
        <v>0</v>
      </c>
      <c r="AZ48" s="453">
        <f ca="1">IF(AND($D48="Serviço",AZ$12&lt;&gt;0,$H48&gt;0,OR(AUTOEVENTO&lt;&gt;"manual",$M48&lt;&gt;$A$15)),
        IF(Import.TipoArredondamento&lt;&gt;"TransfereGOV",
              ROUND(OFFSET($P48,0,AZ$13),15-13*ORÇAMENTO!$AF$7)/$H48*OFFSET(ORÇAMENTO!$X$15,ROW(AZ48)-ROW(AZ$15),0),
              ROUND(ROUND(OFFSET($P48,0,AZ$13),15-13*ORÇAMENTO!$AF$7)*OFFSET(ORÇAMENTO!$W$15,ROW(AZ48)-ROW(AZ$15),0),15-13*ORÇAMENTO!$AF$11)),
         0)</f>
        <v>0</v>
      </c>
      <c r="BA48" s="453">
        <f ca="1">IF(AND($D48="Serviço",BA$12&lt;&gt;0,$H48&gt;0,OR(AUTOEVENTO&lt;&gt;"manual",$M48&lt;&gt;$A$15)),
        IF(Import.TipoArredondamento&lt;&gt;"TransfereGOV",
              ROUND(OFFSET($P48,0,BA$13),15-13*ORÇAMENTO!$AF$7)/$H48*OFFSET(ORÇAMENTO!$X$15,ROW(BA48)-ROW(BA$15),0),
              ROUND(ROUND(OFFSET($P48,0,BA$13),15-13*ORÇAMENTO!$AF$7)*OFFSET(ORÇAMENTO!$W$15,ROW(BA48)-ROW(BA$15),0),15-13*ORÇAMENTO!$AF$11)),
         0)</f>
        <v>0</v>
      </c>
      <c r="BC48" s="171">
        <f ca="1">IF(OR($D48&lt;&gt;"Serviço",AND(AUTOEVENTO="Manual",$M48=$A$15)),0,
         IF(OFFSET(CRONOPLE!$F$15,$M48-$A$15,BC$13)=0,10^12,OFFSET(CRONOPLE!$F$15,$M48-$A$15,BC$13)))</f>
        <v>1000000000000</v>
      </c>
      <c r="BD48" s="171">
        <f ca="1">IF(OR($D48&lt;&gt;"Serviço",AND(AUTOEVENTO="Manual",$M48=$A$15)),0,
         IF(OFFSET(CRONOPLE!$F$15,$M48-$A$15,BD$13)=0,10^12,OFFSET(CRONOPLE!$F$15,$M48-$A$15,BD$13)))</f>
        <v>1000000000000</v>
      </c>
      <c r="BE48" s="171">
        <f ca="1">IF(OR($D48&lt;&gt;"Serviço",AND(AUTOEVENTO="Manual",$M48=$A$15)),0,
         IF(OFFSET(CRONOPLE!$F$15,$M48-$A$15,BE$13)=0,10^12,OFFSET(CRONOPLE!$F$15,$M48-$A$15,BE$13)))</f>
        <v>3</v>
      </c>
      <c r="BF48" s="171">
        <f ca="1">IF(OR($D48&lt;&gt;"Serviço",AND(AUTOEVENTO="Manual",$M48=$A$15)),0,
         IF(OFFSET(CRONOPLE!$F$15,$M48-$A$15,BF$13)=0,10^12,OFFSET(CRONOPLE!$F$15,$M48-$A$15,BF$13)))</f>
        <v>1000000000000</v>
      </c>
      <c r="BG48" s="171">
        <f ca="1">IF(OR($D48&lt;&gt;"Serviço",AND(AUTOEVENTO="Manual",$M48=$A$15)),0,
         IF(OFFSET(CRONOPLE!$F$15,$M48-$A$15,BG$13)=0,10^12,OFFSET(CRONOPLE!$F$15,$M48-$A$15,BG$13)))</f>
        <v>1000000000000</v>
      </c>
      <c r="BH48" s="171">
        <f ca="1">IF(OR($D48&lt;&gt;"Serviço",AND(AUTOEVENTO="Manual",$M48=$A$15)),0,
         IF(OFFSET(CRONOPLE!$F$15,$M48-$A$15,BH$13)=0,10^12,OFFSET(CRONOPLE!$F$15,$M48-$A$15,BH$13)))</f>
        <v>9</v>
      </c>
      <c r="BI48" s="171">
        <f ca="1">IF(OR($D48&lt;&gt;"Serviço",AND(AUTOEVENTO="Manual",$M48=$A$15)),0,
         IF(OFFSET(CRONOPLE!$F$15,$M48-$A$15,BI$13)=0,10^12,OFFSET(CRONOPLE!$F$15,$M48-$A$15,BI$13)))</f>
        <v>1000000000000</v>
      </c>
      <c r="BJ48" s="171">
        <f ca="1">IF(OR($D48&lt;&gt;"Serviço",AND(AUTOEVENTO="Manual",$M48=$A$15)),0,
         IF(OFFSET(CRONOPLE!$F$15,$M48-$A$15,BJ$13)=0,10^12,OFFSET(CRONOPLE!$F$15,$M48-$A$15,BJ$13)))</f>
        <v>1000000000000</v>
      </c>
      <c r="BK48" s="171">
        <f ca="1">IF(OR($D48&lt;&gt;"Serviço",AND(AUTOEVENTO="Manual",$M48=$A$15)),0,
         IF(OFFSET(CRONOPLE!$F$15,$M48-$A$15,BK$13)=0,10^12,OFFSET(CRONOPLE!$F$15,$M48-$A$15,BK$13)))</f>
        <v>1000000000000</v>
      </c>
      <c r="BL48" s="171">
        <f ca="1">IF(OR($D48&lt;&gt;"Serviço",AND(AUTOEVENTO="Manual",$M48=$A$15)),0,
         IF(OFFSET(CRONOPLE!$F$15,$M48-$A$15,BL$13)=0,10^12,OFFSET(CRONOPLE!$F$15,$M48-$A$15,BL$13)))</f>
        <v>1000000000000</v>
      </c>
      <c r="BM48" s="171">
        <f ca="1">IF(OR($D48&lt;&gt;"Serviço",AND(AUTOEVENTO="Manual",$M48=$A$15)),0,
         IF(OFFSET(CRONOPLE!$F$15,$M48-$A$15,BM$13)=0,10^12,OFFSET(CRONOPLE!$F$15,$M48-$A$15,BM$13)))</f>
        <v>1000000000000</v>
      </c>
      <c r="BN48" s="171">
        <f ca="1">IF(OR($D48&lt;&gt;"Serviço",AND(AUTOEVENTO="Manual",$M48=$A$15)),0,
         IF(OFFSET(CRONOPLE!$F$15,$M48-$A$15,BN$13)=0,10^12,OFFSET(CRONOPLE!$F$15,$M48-$A$15,BN$13)))</f>
        <v>1000000000000</v>
      </c>
      <c r="BO48" s="171">
        <f ca="1">IF(OR($D48&lt;&gt;"Serviço",AND(AUTOEVENTO="Manual",$M48=$A$15)),0,
         IF(OFFSET(CRONOPLE!$F$15,$M48-$A$15,BO$13)=0,10^12,OFFSET(CRONOPLE!$F$15,$M48-$A$15,BO$13)))</f>
        <v>1000000000000</v>
      </c>
      <c r="BP48" s="171">
        <f ca="1">IF(OR($D48&lt;&gt;"Serviço",AND(AUTOEVENTO="Manual",$M48=$A$15)),0,
         IF(OFFSET(CRONOPLE!$F$15,$M48-$A$15,BP$13)=0,10^12,OFFSET(CRONOPLE!$F$15,$M48-$A$15,BP$13)))</f>
        <v>1000000000000</v>
      </c>
      <c r="BQ48" s="171">
        <f ca="1">IF(OR($D48&lt;&gt;"Serviço",AND(AUTOEVENTO="Manual",$M48=$A$15)),0,
         IF(OFFSET(CRONOPLE!$F$15,$M48-$A$15,BQ$13)=0,10^12,OFFSET(CRONOPLE!$F$15,$M48-$A$15,BQ$13)))</f>
        <v>1000000000000</v>
      </c>
      <c r="BR48" s="171">
        <f ca="1">IF(OR($D48&lt;&gt;"Serviço",AND(AUTOEVENTO="Manual",$M48=$A$15)),0,
         IF(OFFSET(CRONOPLE!$F$15,$M48-$A$15,BR$13)=0,10^12,OFFSET(CRONOPLE!$F$15,$M48-$A$15,BR$13)))</f>
        <v>1000000000000</v>
      </c>
      <c r="BS48" s="171">
        <f ca="1">IF(OR($D48&lt;&gt;"Serviço",AND(AUTOEVENTO="Manual",$M48=$A$15)),0,
         IF(OFFSET(CRONOPLE!$F$15,$M48-$A$15,BS$13)=0,10^12,OFFSET(CRONOPLE!$F$15,$M48-$A$15,BS$13)))</f>
        <v>1000000000000</v>
      </c>
      <c r="BT48" s="171">
        <f ca="1">IF(OR($D48&lt;&gt;"Serviço",AND(AUTOEVENTO="Manual",$M48=$A$15)),0,
         IF(OFFSET(CRONOPLE!$F$15,$M48-$A$15,BT$13)=0,10^12,OFFSET(CRONOPLE!$F$15,$M48-$A$15,BT$13)))</f>
        <v>1000000000000</v>
      </c>
      <c r="BV48" s="172" cm="1">
        <f t="array" aca="1" ref="BV48" ca="1">IF(OR($D48&lt;&gt;"Serviço",AND(AUTOEVENTO="Manual",$M48=$A$15),$M48&gt;(ROW(PLE.lastrow)-ROW(PLE.firstrow))),0,
           IF(OFFSET(PLE!$G$15,$M48-$A$15,BV$13)="",10^12,OFFSET(PLE!$G$15,$M48-$A$15,BV$13)))</f>
        <v>1000000000000</v>
      </c>
      <c r="BW48" s="172" cm="1">
        <f t="array" aca="1" ref="BW48" ca="1">IF(OR($D48&lt;&gt;"Serviço",AND(AUTOEVENTO="Manual",$M48=$A$15),$M48&gt;(ROW(PLE.lastrow)-ROW(PLE.firstrow))),0,
           IF(OFFSET(PLE!$G$15,$M48-$A$15,BW$13)="",10^12,OFFSET(PLE!$G$15,$M48-$A$15,BW$13)))</f>
        <v>1000000000000</v>
      </c>
      <c r="BX48" s="172" cm="1">
        <f t="array" aca="1" ref="BX48" ca="1">IF(OR($D48&lt;&gt;"Serviço",AND(AUTOEVENTO="Manual",$M48=$A$15),$M48&gt;(ROW(PLE.lastrow)-ROW(PLE.firstrow))),0,
           IF(OFFSET(PLE!$G$15,$M48-$A$15,BX$13)="",10^12,OFFSET(PLE!$G$15,$M48-$A$15,BX$13)))</f>
        <v>1000000000000</v>
      </c>
      <c r="BY48" s="172" cm="1">
        <f t="array" aca="1" ref="BY48" ca="1">IF(OR($D48&lt;&gt;"Serviço",AND(AUTOEVENTO="Manual",$M48=$A$15),$M48&gt;(ROW(PLE.lastrow)-ROW(PLE.firstrow))),0,
           IF(OFFSET(PLE!$G$15,$M48-$A$15,BY$13)="",10^12,OFFSET(PLE!$G$15,$M48-$A$15,BY$13)))</f>
        <v>1000000000000</v>
      </c>
      <c r="BZ48" s="172" cm="1">
        <f t="array" aca="1" ref="BZ48" ca="1">IF(OR($D48&lt;&gt;"Serviço",AND(AUTOEVENTO="Manual",$M48=$A$15),$M48&gt;(ROW(PLE.lastrow)-ROW(PLE.firstrow))),0,
           IF(OFFSET(PLE!$G$15,$M48-$A$15,BZ$13)="",10^12,OFFSET(PLE!$G$15,$M48-$A$15,BZ$13)))</f>
        <v>1000000000000</v>
      </c>
      <c r="CA48" s="172" cm="1">
        <f t="array" aca="1" ref="CA48" ca="1">IF(OR($D48&lt;&gt;"Serviço",AND(AUTOEVENTO="Manual",$M48=$A$15),$M48&gt;(ROW(PLE.lastrow)-ROW(PLE.firstrow))),0,
           IF(OFFSET(PLE!$G$15,$M48-$A$15,CA$13)="",10^12,OFFSET(PLE!$G$15,$M48-$A$15,CA$13)))</f>
        <v>1000000000000</v>
      </c>
      <c r="CB48" s="172" cm="1">
        <f t="array" aca="1" ref="CB48" ca="1">IF(OR($D48&lt;&gt;"Serviço",AND(AUTOEVENTO="Manual",$M48=$A$15),$M48&gt;(ROW(PLE.lastrow)-ROW(PLE.firstrow))),0,
           IF(OFFSET(PLE!$G$15,$M48-$A$15,CB$13)="",10^12,OFFSET(PLE!$G$15,$M48-$A$15,CB$13)))</f>
        <v>1000000000000</v>
      </c>
      <c r="CC48" s="172" cm="1">
        <f t="array" aca="1" ref="CC48" ca="1">IF(OR($D48&lt;&gt;"Serviço",AND(AUTOEVENTO="Manual",$M48=$A$15),$M48&gt;(ROW(PLE.lastrow)-ROW(PLE.firstrow))),0,
           IF(OFFSET(PLE!$G$15,$M48-$A$15,CC$13)="",10^12,OFFSET(PLE!$G$15,$M48-$A$15,CC$13)))</f>
        <v>1000000000000</v>
      </c>
      <c r="CD48" s="172" cm="1">
        <f t="array" aca="1" ref="CD48" ca="1">IF(OR($D48&lt;&gt;"Serviço",AND(AUTOEVENTO="Manual",$M48=$A$15),$M48&gt;(ROW(PLE.lastrow)-ROW(PLE.firstrow))),0,
           IF(OFFSET(PLE!$G$15,$M48-$A$15,CD$13)="",10^12,OFFSET(PLE!$G$15,$M48-$A$15,CD$13)))</f>
        <v>1000000000000</v>
      </c>
      <c r="CE48" s="172" cm="1">
        <f t="array" aca="1" ref="CE48" ca="1">IF(OR($D48&lt;&gt;"Serviço",AND(AUTOEVENTO="Manual",$M48=$A$15),$M48&gt;(ROW(PLE.lastrow)-ROW(PLE.firstrow))),0,
           IF(OFFSET(PLE!$G$15,$M48-$A$15,CE$13)="",10^12,OFFSET(PLE!$G$15,$M48-$A$15,CE$13)))</f>
        <v>1000000000000</v>
      </c>
      <c r="CF48" s="172" cm="1">
        <f t="array" aca="1" ref="CF48" ca="1">IF(OR($D48&lt;&gt;"Serviço",AND(AUTOEVENTO="Manual",$M48=$A$15),$M48&gt;(ROW(PLE.lastrow)-ROW(PLE.firstrow))),0,
           IF(OFFSET(PLE!$G$15,$M48-$A$15,CF$13)="",10^12,OFFSET(PLE!$G$15,$M48-$A$15,CF$13)))</f>
        <v>1000000000000</v>
      </c>
      <c r="CG48" s="172" cm="1">
        <f t="array" aca="1" ref="CG48" ca="1">IF(OR($D48&lt;&gt;"Serviço",AND(AUTOEVENTO="Manual",$M48=$A$15),$M48&gt;(ROW(PLE.lastrow)-ROW(PLE.firstrow))),0,
           IF(OFFSET(PLE!$G$15,$M48-$A$15,CG$13)="",10^12,OFFSET(PLE!$G$15,$M48-$A$15,CG$13)))</f>
        <v>1000000000000</v>
      </c>
      <c r="CH48" s="172" cm="1">
        <f t="array" aca="1" ref="CH48" ca="1">IF(OR($D48&lt;&gt;"Serviço",AND(AUTOEVENTO="Manual",$M48=$A$15),$M48&gt;(ROW(PLE.lastrow)-ROW(PLE.firstrow))),0,
           IF(OFFSET(PLE!$G$15,$M48-$A$15,CH$13)="",10^12,OFFSET(PLE!$G$15,$M48-$A$15,CH$13)))</f>
        <v>1000000000000</v>
      </c>
      <c r="CI48" s="172" cm="1">
        <f t="array" aca="1" ref="CI48" ca="1">IF(OR($D48&lt;&gt;"Serviço",AND(AUTOEVENTO="Manual",$M48=$A$15),$M48&gt;(ROW(PLE.lastrow)-ROW(PLE.firstrow))),0,
           IF(OFFSET(PLE!$G$15,$M48-$A$15,CI$13)="",10^12,OFFSET(PLE!$G$15,$M48-$A$15,CI$13)))</f>
        <v>1000000000000</v>
      </c>
      <c r="CJ48" s="172" cm="1">
        <f t="array" aca="1" ref="CJ48" ca="1">IF(OR($D48&lt;&gt;"Serviço",AND(AUTOEVENTO="Manual",$M48=$A$15),$M48&gt;(ROW(PLE.lastrow)-ROW(PLE.firstrow))),0,
           IF(OFFSET(PLE!$G$15,$M48-$A$15,CJ$13)="",10^12,OFFSET(PLE!$G$15,$M48-$A$15,CJ$13)))</f>
        <v>1000000000000</v>
      </c>
      <c r="CK48" s="172" cm="1">
        <f t="array" aca="1" ref="CK48" ca="1">IF(OR($D48&lt;&gt;"Serviço",AND(AUTOEVENTO="Manual",$M48=$A$15),$M48&gt;(ROW(PLE.lastrow)-ROW(PLE.firstrow))),0,
           IF(OFFSET(PLE!$G$15,$M48-$A$15,CK$13)="",10^12,OFFSET(PLE!$G$15,$M48-$A$15,CK$13)))</f>
        <v>1000000000000</v>
      </c>
      <c r="CL48" s="172" cm="1">
        <f t="array" aca="1" ref="CL48" ca="1">IF(OR($D48&lt;&gt;"Serviço",AND(AUTOEVENTO="Manual",$M48=$A$15),$M48&gt;(ROW(PLE.lastrow)-ROW(PLE.firstrow))),0,
           IF(OFFSET(PLE!$G$15,$M48-$A$15,CL$13)="",10^12,OFFSET(PLE!$G$15,$M48-$A$15,CL$13)))</f>
        <v>1000000000000</v>
      </c>
      <c r="CM48" s="172" cm="1">
        <f t="array" aca="1" ref="CM48" ca="1">IF(OR($D48&lt;&gt;"Serviço",AND(AUTOEVENTO="Manual",$M48=$A$15),$M48&gt;(ROW(PLE.lastrow)-ROW(PLE.firstrow))),0,
           IF(OFFSET(PLE!$G$15,$M48-$A$15,CM$13)="",10^12,OFFSET(PLE!$G$15,$M48-$A$15,CM$13)))</f>
        <v>1000000000000</v>
      </c>
    </row>
    <row r="49" spans="1:91" s="670" customFormat="1" ht="89.25" x14ac:dyDescent="0.2">
      <c r="A49" s="668">
        <f t="shared" ca="1" si="10"/>
        <v>24</v>
      </c>
      <c r="B49" s="668" t="str">
        <f ca="1">OFFSET(ORÇAMENTO!C$15,$L49,0)</f>
        <v>S</v>
      </c>
      <c r="C49" s="668" t="str">
        <f ca="1">OFFSET(ORÇAMENTO!L$15,$L49,0)</f>
        <v>F</v>
      </c>
      <c r="D49" s="116" t="str">
        <f ca="1">OFFSET(ORÇAMENTO!N$15,$L49,0)</f>
        <v>Serviço</v>
      </c>
      <c r="E49" s="117" t="str">
        <f ca="1">OFFSET(ORÇAMENTO!O$15,$L49,0)</f>
        <v>1.7.5.</v>
      </c>
      <c r="F49" s="163" t="str">
        <f ca="1">OFFSET(ORÇAMENTO!R$15,$L49,0)</f>
        <v>REGISTRO DE GAVETA FF 200mm</v>
      </c>
      <c r="G49" s="164" t="str">
        <f ca="1">IF($D49&lt;&gt;"Serviço","",OFFSET(ORÇAMENTO!S$15,$L49,0))</f>
        <v>UNIDADE</v>
      </c>
      <c r="H49" s="122" cm="1">
        <f t="array" aca="1" ref="H49" ca="1">IF($D49&lt;&gt;"Serviço",0,IF(ACOMPANHAMENTO="BM",ROUND(OFFSET(ORÇAMENTO!AJ$15,$L49,0),15-13*ORÇAMENTO!$AF$7),IF(IFERROR(CÁLCULO.FrentesPreenchidas,0)=0,0,SUM(ROUND(OFFSET($P49,0,1,1,CÁLCULO.FrentesPreenchidas),15-13*ORÇAMENTO!$AF$7)))))</f>
        <v>3</v>
      </c>
      <c r="I49" s="468" t="s">
        <v>1142</v>
      </c>
      <c r="J49" s="651" t="str" cm="1">
        <f t="array" aca="1" ref="J49" ca="1">IF(OR(B49&lt;&gt;"S",CÁLCULO.FrentesPreenchidas=0),"",IF(AND(ACOMPANHAMENTO="PLE",AUTOEVENTO="Manual",OR(H49&gt;0,ORÇAMENTO!AC49="QUANT."),OR(K49="",M49=0,N49="")),"►E",IF(AND(ACOMPANHAMENTO="PLE",ORÇAMENTO!AC49="QUANT."),"►Q",IF(AND(ACOMPANHAMENTO="PLE",H49&lt;&gt;SUMPRODUCT(($Q$1:$AI$1=1)*ROUND(Q49:AI49,15))),"►S",IF(AND(COUNTIF($P$11:$AI$11,"▼")=0,H49&gt;0,I49=""),"◄M","")))))</f>
        <v/>
      </c>
      <c r="K49" s="652" t="s">
        <v>1344</v>
      </c>
      <c r="L49" s="165">
        <f t="shared" ca="1" si="11"/>
        <v>34</v>
      </c>
      <c r="M49" s="166">
        <f ca="1">IF($D49&lt;&gt;"Serviço","",
          IF(AUTOEVENTO="manual",$A49,
                IF(ISERROR(MATCH($A49,$A$15:OFFSET($A49,-1,0),0)),MAX($M$15:OFFSET(M49,-1,0))+1,
                      INDEX($M$15:OFFSET(M49,-1,0),MATCH($A49,$A$15:OFFSET($A49,-1,0),0)))))</f>
        <v>24</v>
      </c>
      <c r="N49" s="167" t="str">
        <f ca="1">IF($D49&lt;&gt;"Serviço","",
         IF(AUTOEVENTO="Manual",
                IF($A49=0,"&lt;-- defina o número do agrupador",
                       OFFSET(EVENTOS!$D$15,$A49-$A$15,0)),
                OFFSET($F$15,$A49,0)))</f>
        <v>Instalações hidrossanitárias</v>
      </c>
      <c r="O49" s="168"/>
      <c r="Q49" s="168"/>
      <c r="R49" s="169"/>
      <c r="S49" s="169">
        <v>3</v>
      </c>
      <c r="T49" s="169"/>
      <c r="U49" s="169"/>
      <c r="V49" s="169"/>
      <c r="W49" s="169"/>
      <c r="X49" s="169"/>
      <c r="Y49" s="169"/>
      <c r="Z49" s="170"/>
      <c r="AA49" s="705"/>
      <c r="AB49" s="705"/>
      <c r="AC49" s="705"/>
      <c r="AD49" s="705"/>
      <c r="AE49" s="705"/>
      <c r="AF49" s="705"/>
      <c r="AG49" s="705"/>
      <c r="AH49" s="706"/>
      <c r="AJ49" s="453">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3">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L49" s="453">
        <f ca="1">IF(AND($D49="Serviço",AL$12&lt;&gt;0,$H49&gt;0,OR(AUTOEVENTO&lt;&gt;"manual",$M49&lt;&gt;$A$15)),
        IF(Import.TipoArredondamento&lt;&gt;"TransfereGOV",
              ROUND(OFFSET($P49,0,AL$13),15-13*ORÇAMENTO!$AF$7)/$H49*OFFSET(ORÇAMENTO!$X$15,ROW(AL49)-ROW(AL$15),0),
              ROUND(ROUND(OFFSET($P49,0,AL$13),15-13*ORÇAMENTO!$AF$7)*OFFSET(ORÇAMENTO!$W$15,ROW(AL49)-ROW(AL$15),0),15-13*ORÇAMENTO!$AF$11)),
         0)</f>
        <v>13789.74</v>
      </c>
      <c r="AM49" s="453">
        <f ca="1">IF(AND($D49="Serviço",AM$12&lt;&gt;0,$H49&gt;0,OR(AUTOEVENTO&lt;&gt;"manual",$M49&lt;&gt;$A$15)),
        IF(Import.TipoArredondamento&lt;&gt;"TransfereGOV",
              ROUND(OFFSET($P49,0,AM$13),15-13*ORÇAMENTO!$AF$7)/$H49*OFFSET(ORÇAMENTO!$X$15,ROW(AM49)-ROW(AM$15),0),
              ROUND(ROUND(OFFSET($P49,0,AM$13),15-13*ORÇAMENTO!$AF$7)*OFFSET(ORÇAMENTO!$W$15,ROW(AM49)-ROW(AM$15),0),15-13*ORÇAMENTO!$AF$11)),
         0)</f>
        <v>0</v>
      </c>
      <c r="AN49" s="453">
        <f ca="1">IF(AND($D49="Serviço",AN$12&lt;&gt;0,$H49&gt;0,OR(AUTOEVENTO&lt;&gt;"manual",$M49&lt;&gt;$A$15)),
        IF(Import.TipoArredondamento&lt;&gt;"TransfereGOV",
              ROUND(OFFSET($P49,0,AN$13),15-13*ORÇAMENTO!$AF$7)/$H49*OFFSET(ORÇAMENTO!$X$15,ROW(AN49)-ROW(AN$15),0),
              ROUND(ROUND(OFFSET($P49,0,AN$13),15-13*ORÇAMENTO!$AF$7)*OFFSET(ORÇAMENTO!$W$15,ROW(AN49)-ROW(AN$15),0),15-13*ORÇAMENTO!$AF$11)),
         0)</f>
        <v>0</v>
      </c>
      <c r="AO49" s="453">
        <f ca="1">IF(AND($D49="Serviço",AO$12&lt;&gt;0,$H49&gt;0,OR(AUTOEVENTO&lt;&gt;"manual",$M49&lt;&gt;$A$15)),
        IF(Import.TipoArredondamento&lt;&gt;"TransfereGOV",
              ROUND(OFFSET($P49,0,AO$13),15-13*ORÇAMENTO!$AF$7)/$H49*OFFSET(ORÇAMENTO!$X$15,ROW(AO49)-ROW(AO$15),0),
              ROUND(ROUND(OFFSET($P49,0,AO$13),15-13*ORÇAMENTO!$AF$7)*OFFSET(ORÇAMENTO!$W$15,ROW(AO49)-ROW(AO$15),0),15-13*ORÇAMENTO!$AF$11)),
         0)</f>
        <v>0</v>
      </c>
      <c r="AP49" s="453">
        <f ca="1">IF(AND($D49="Serviço",AP$12&lt;&gt;0,$H49&gt;0,OR(AUTOEVENTO&lt;&gt;"manual",$M49&lt;&gt;$A$15)),
        IF(Import.TipoArredondamento&lt;&gt;"TransfereGOV",
              ROUND(OFFSET($P49,0,AP$13),15-13*ORÇAMENTO!$AF$7)/$H49*OFFSET(ORÇAMENTO!$X$15,ROW(AP49)-ROW(AP$15),0),
              ROUND(ROUND(OFFSET($P49,0,AP$13),15-13*ORÇAMENTO!$AF$7)*OFFSET(ORÇAMENTO!$W$15,ROW(AP49)-ROW(AP$15),0),15-13*ORÇAMENTO!$AF$11)),
         0)</f>
        <v>0</v>
      </c>
      <c r="AQ49" s="453">
        <f ca="1">IF(AND($D49="Serviço",AQ$12&lt;&gt;0,$H49&gt;0,OR(AUTOEVENTO&lt;&gt;"manual",$M49&lt;&gt;$A$15)),
        IF(Import.TipoArredondamento&lt;&gt;"TransfereGOV",
              ROUND(OFFSET($P49,0,AQ$13),15-13*ORÇAMENTO!$AF$7)/$H49*OFFSET(ORÇAMENTO!$X$15,ROW(AQ49)-ROW(AQ$15),0),
              ROUND(ROUND(OFFSET($P49,0,AQ$13),15-13*ORÇAMENTO!$AF$7)*OFFSET(ORÇAMENTO!$W$15,ROW(AQ49)-ROW(AQ$15),0),15-13*ORÇAMENTO!$AF$11)),
         0)</f>
        <v>0</v>
      </c>
      <c r="AR49" s="453">
        <f ca="1">IF(AND($D49="Serviço",AR$12&lt;&gt;0,$H49&gt;0,OR(AUTOEVENTO&lt;&gt;"manual",$M49&lt;&gt;$A$15)),
        IF(Import.TipoArredondamento&lt;&gt;"TransfereGOV",
              ROUND(OFFSET($P49,0,AR$13),15-13*ORÇAMENTO!$AF$7)/$H49*OFFSET(ORÇAMENTO!$X$15,ROW(AR49)-ROW(AR$15),0),
              ROUND(ROUND(OFFSET($P49,0,AR$13),15-13*ORÇAMENTO!$AF$7)*OFFSET(ORÇAMENTO!$W$15,ROW(AR49)-ROW(AR$15),0),15-13*ORÇAMENTO!$AF$11)),
         0)</f>
        <v>0</v>
      </c>
      <c r="AS49" s="453">
        <f ca="1">IF(AND($D49="Serviço",AS$12&lt;&gt;0,$H49&gt;0,OR(AUTOEVENTO&lt;&gt;"manual",$M49&lt;&gt;$A$15)),
        IF(Import.TipoArredondamento&lt;&gt;"TransfereGOV",
              ROUND(OFFSET($P49,0,AS$13),15-13*ORÇAMENTO!$AF$7)/$H49*OFFSET(ORÇAMENTO!$X$15,ROW(AS49)-ROW(AS$15),0),
              ROUND(ROUND(OFFSET($P49,0,AS$13),15-13*ORÇAMENTO!$AF$7)*OFFSET(ORÇAMENTO!$W$15,ROW(AS49)-ROW(AS$15),0),15-13*ORÇAMENTO!$AF$11)),
         0)</f>
        <v>0</v>
      </c>
      <c r="AT49" s="453">
        <f ca="1">IF(AND($D49="Serviço",AT$12&lt;&gt;0,$H49&gt;0,OR(AUTOEVENTO&lt;&gt;"manual",$M49&lt;&gt;$A$15)),
        IF(Import.TipoArredondamento&lt;&gt;"TransfereGOV",
              ROUND(OFFSET($P49,0,AT$13),15-13*ORÇAMENTO!$AF$7)/$H49*OFFSET(ORÇAMENTO!$X$15,ROW(AT49)-ROW(AT$15),0),
              ROUND(ROUND(OFFSET($P49,0,AT$13),15-13*ORÇAMENTO!$AF$7)*OFFSET(ORÇAMENTO!$W$15,ROW(AT49)-ROW(AT$15),0),15-13*ORÇAMENTO!$AF$11)),
         0)</f>
        <v>0</v>
      </c>
      <c r="AU49" s="453">
        <f ca="1">IF(AND($D49="Serviço",AU$12&lt;&gt;0,$H49&gt;0,OR(AUTOEVENTO&lt;&gt;"manual",$M49&lt;&gt;$A$15)),
        IF(Import.TipoArredondamento&lt;&gt;"TransfereGOV",
              ROUND(OFFSET($P49,0,AU$13),15-13*ORÇAMENTO!$AF$7)/$H49*OFFSET(ORÇAMENTO!$X$15,ROW(AU49)-ROW(AU$15),0),
              ROUND(ROUND(OFFSET($P49,0,AU$13),15-13*ORÇAMENTO!$AF$7)*OFFSET(ORÇAMENTO!$W$15,ROW(AU49)-ROW(AU$15),0),15-13*ORÇAMENTO!$AF$11)),
         0)</f>
        <v>0</v>
      </c>
      <c r="AV49" s="453">
        <f ca="1">IF(AND($D49="Serviço",AV$12&lt;&gt;0,$H49&gt;0,OR(AUTOEVENTO&lt;&gt;"manual",$M49&lt;&gt;$A$15)),
        IF(Import.TipoArredondamento&lt;&gt;"TransfereGOV",
              ROUND(OFFSET($P49,0,AV$13),15-13*ORÇAMENTO!$AF$7)/$H49*OFFSET(ORÇAMENTO!$X$15,ROW(AV49)-ROW(AV$15),0),
              ROUND(ROUND(OFFSET($P49,0,AV$13),15-13*ORÇAMENTO!$AF$7)*OFFSET(ORÇAMENTO!$W$15,ROW(AV49)-ROW(AV$15),0),15-13*ORÇAMENTO!$AF$11)),
         0)</f>
        <v>0</v>
      </c>
      <c r="AW49" s="453">
        <f ca="1">IF(AND($D49="Serviço",AW$12&lt;&gt;0,$H49&gt;0,OR(AUTOEVENTO&lt;&gt;"manual",$M49&lt;&gt;$A$15)),
        IF(Import.TipoArredondamento&lt;&gt;"TransfereGOV",
              ROUND(OFFSET($P49,0,AW$13),15-13*ORÇAMENTO!$AF$7)/$H49*OFFSET(ORÇAMENTO!$X$15,ROW(AW49)-ROW(AW$15),0),
              ROUND(ROUND(OFFSET($P49,0,AW$13),15-13*ORÇAMENTO!$AF$7)*OFFSET(ORÇAMENTO!$W$15,ROW(AW49)-ROW(AW$15),0),15-13*ORÇAMENTO!$AF$11)),
         0)</f>
        <v>0</v>
      </c>
      <c r="AX49" s="453">
        <f ca="1">IF(AND($D49="Serviço",AX$12&lt;&gt;0,$H49&gt;0,OR(AUTOEVENTO&lt;&gt;"manual",$M49&lt;&gt;$A$15)),
        IF(Import.TipoArredondamento&lt;&gt;"TransfereGOV",
              ROUND(OFFSET($P49,0,AX$13),15-13*ORÇAMENTO!$AF$7)/$H49*OFFSET(ORÇAMENTO!$X$15,ROW(AX49)-ROW(AX$15),0),
              ROUND(ROUND(OFFSET($P49,0,AX$13),15-13*ORÇAMENTO!$AF$7)*OFFSET(ORÇAMENTO!$W$15,ROW(AX49)-ROW(AX$15),0),15-13*ORÇAMENTO!$AF$11)),
         0)</f>
        <v>0</v>
      </c>
      <c r="AY49" s="453">
        <f ca="1">IF(AND($D49="Serviço",AY$12&lt;&gt;0,$H49&gt;0,OR(AUTOEVENTO&lt;&gt;"manual",$M49&lt;&gt;$A$15)),
        IF(Import.TipoArredondamento&lt;&gt;"TransfereGOV",
              ROUND(OFFSET($P49,0,AY$13),15-13*ORÇAMENTO!$AF$7)/$H49*OFFSET(ORÇAMENTO!$X$15,ROW(AY49)-ROW(AY$15),0),
              ROUND(ROUND(OFFSET($P49,0,AY$13),15-13*ORÇAMENTO!$AF$7)*OFFSET(ORÇAMENTO!$W$15,ROW(AY49)-ROW(AY$15),0),15-13*ORÇAMENTO!$AF$11)),
         0)</f>
        <v>0</v>
      </c>
      <c r="AZ49" s="453">
        <f ca="1">IF(AND($D49="Serviço",AZ$12&lt;&gt;0,$H49&gt;0,OR(AUTOEVENTO&lt;&gt;"manual",$M49&lt;&gt;$A$15)),
        IF(Import.TipoArredondamento&lt;&gt;"TransfereGOV",
              ROUND(OFFSET($P49,0,AZ$13),15-13*ORÇAMENTO!$AF$7)/$H49*OFFSET(ORÇAMENTO!$X$15,ROW(AZ49)-ROW(AZ$15),0),
              ROUND(ROUND(OFFSET($P49,0,AZ$13),15-13*ORÇAMENTO!$AF$7)*OFFSET(ORÇAMENTO!$W$15,ROW(AZ49)-ROW(AZ$15),0),15-13*ORÇAMENTO!$AF$11)),
         0)</f>
        <v>0</v>
      </c>
      <c r="BA49" s="453">
        <f ca="1">IF(AND($D49="Serviço",BA$12&lt;&gt;0,$H49&gt;0,OR(AUTOEVENTO&lt;&gt;"manual",$M49&lt;&gt;$A$15)),
        IF(Import.TipoArredondamento&lt;&gt;"TransfereGOV",
              ROUND(OFFSET($P49,0,BA$13),15-13*ORÇAMENTO!$AF$7)/$H49*OFFSET(ORÇAMENTO!$X$15,ROW(BA49)-ROW(BA$15),0),
              ROUND(ROUND(OFFSET($P49,0,BA$13),15-13*ORÇAMENTO!$AF$7)*OFFSET(ORÇAMENTO!$W$15,ROW(BA49)-ROW(BA$15),0),15-13*ORÇAMENTO!$AF$11)),
         0)</f>
        <v>0</v>
      </c>
      <c r="BC49" s="171">
        <f ca="1">IF(OR($D49&lt;&gt;"Serviço",AND(AUTOEVENTO="Manual",$M49=$A$15)),0,
         IF(OFFSET(CRONOPLE!$F$15,$M49-$A$15,BC$13)=0,10^12,OFFSET(CRONOPLE!$F$15,$M49-$A$15,BC$13)))</f>
        <v>1000000000000</v>
      </c>
      <c r="BD49" s="171">
        <f ca="1">IF(OR($D49&lt;&gt;"Serviço",AND(AUTOEVENTO="Manual",$M49=$A$15)),0,
         IF(OFFSET(CRONOPLE!$F$15,$M49-$A$15,BD$13)=0,10^12,OFFSET(CRONOPLE!$F$15,$M49-$A$15,BD$13)))</f>
        <v>1000000000000</v>
      </c>
      <c r="BE49" s="171">
        <f ca="1">IF(OR($D49&lt;&gt;"Serviço",AND(AUTOEVENTO="Manual",$M49=$A$15)),0,
         IF(OFFSET(CRONOPLE!$F$15,$M49-$A$15,BE$13)=0,10^12,OFFSET(CRONOPLE!$F$15,$M49-$A$15,BE$13)))</f>
        <v>3</v>
      </c>
      <c r="BF49" s="171">
        <f ca="1">IF(OR($D49&lt;&gt;"Serviço",AND(AUTOEVENTO="Manual",$M49=$A$15)),0,
         IF(OFFSET(CRONOPLE!$F$15,$M49-$A$15,BF$13)=0,10^12,OFFSET(CRONOPLE!$F$15,$M49-$A$15,BF$13)))</f>
        <v>1000000000000</v>
      </c>
      <c r="BG49" s="171">
        <f ca="1">IF(OR($D49&lt;&gt;"Serviço",AND(AUTOEVENTO="Manual",$M49=$A$15)),0,
         IF(OFFSET(CRONOPLE!$F$15,$M49-$A$15,BG$13)=0,10^12,OFFSET(CRONOPLE!$F$15,$M49-$A$15,BG$13)))</f>
        <v>1000000000000</v>
      </c>
      <c r="BH49" s="171">
        <f ca="1">IF(OR($D49&lt;&gt;"Serviço",AND(AUTOEVENTO="Manual",$M49=$A$15)),0,
         IF(OFFSET(CRONOPLE!$F$15,$M49-$A$15,BH$13)=0,10^12,OFFSET(CRONOPLE!$F$15,$M49-$A$15,BH$13)))</f>
        <v>9</v>
      </c>
      <c r="BI49" s="171">
        <f ca="1">IF(OR($D49&lt;&gt;"Serviço",AND(AUTOEVENTO="Manual",$M49=$A$15)),0,
         IF(OFFSET(CRONOPLE!$F$15,$M49-$A$15,BI$13)=0,10^12,OFFSET(CRONOPLE!$F$15,$M49-$A$15,BI$13)))</f>
        <v>1000000000000</v>
      </c>
      <c r="BJ49" s="171">
        <f ca="1">IF(OR($D49&lt;&gt;"Serviço",AND(AUTOEVENTO="Manual",$M49=$A$15)),0,
         IF(OFFSET(CRONOPLE!$F$15,$M49-$A$15,BJ$13)=0,10^12,OFFSET(CRONOPLE!$F$15,$M49-$A$15,BJ$13)))</f>
        <v>1000000000000</v>
      </c>
      <c r="BK49" s="171">
        <f ca="1">IF(OR($D49&lt;&gt;"Serviço",AND(AUTOEVENTO="Manual",$M49=$A$15)),0,
         IF(OFFSET(CRONOPLE!$F$15,$M49-$A$15,BK$13)=0,10^12,OFFSET(CRONOPLE!$F$15,$M49-$A$15,BK$13)))</f>
        <v>1000000000000</v>
      </c>
      <c r="BL49" s="171">
        <f ca="1">IF(OR($D49&lt;&gt;"Serviço",AND(AUTOEVENTO="Manual",$M49=$A$15)),0,
         IF(OFFSET(CRONOPLE!$F$15,$M49-$A$15,BL$13)=0,10^12,OFFSET(CRONOPLE!$F$15,$M49-$A$15,BL$13)))</f>
        <v>1000000000000</v>
      </c>
      <c r="BM49" s="171">
        <f ca="1">IF(OR($D49&lt;&gt;"Serviço",AND(AUTOEVENTO="Manual",$M49=$A$15)),0,
         IF(OFFSET(CRONOPLE!$F$15,$M49-$A$15,BM$13)=0,10^12,OFFSET(CRONOPLE!$F$15,$M49-$A$15,BM$13)))</f>
        <v>1000000000000</v>
      </c>
      <c r="BN49" s="171">
        <f ca="1">IF(OR($D49&lt;&gt;"Serviço",AND(AUTOEVENTO="Manual",$M49=$A$15)),0,
         IF(OFFSET(CRONOPLE!$F$15,$M49-$A$15,BN$13)=0,10^12,OFFSET(CRONOPLE!$F$15,$M49-$A$15,BN$13)))</f>
        <v>1000000000000</v>
      </c>
      <c r="BO49" s="171">
        <f ca="1">IF(OR($D49&lt;&gt;"Serviço",AND(AUTOEVENTO="Manual",$M49=$A$15)),0,
         IF(OFFSET(CRONOPLE!$F$15,$M49-$A$15,BO$13)=0,10^12,OFFSET(CRONOPLE!$F$15,$M49-$A$15,BO$13)))</f>
        <v>1000000000000</v>
      </c>
      <c r="BP49" s="171">
        <f ca="1">IF(OR($D49&lt;&gt;"Serviço",AND(AUTOEVENTO="Manual",$M49=$A$15)),0,
         IF(OFFSET(CRONOPLE!$F$15,$M49-$A$15,BP$13)=0,10^12,OFFSET(CRONOPLE!$F$15,$M49-$A$15,BP$13)))</f>
        <v>1000000000000</v>
      </c>
      <c r="BQ49" s="171">
        <f ca="1">IF(OR($D49&lt;&gt;"Serviço",AND(AUTOEVENTO="Manual",$M49=$A$15)),0,
         IF(OFFSET(CRONOPLE!$F$15,$M49-$A$15,BQ$13)=0,10^12,OFFSET(CRONOPLE!$F$15,$M49-$A$15,BQ$13)))</f>
        <v>1000000000000</v>
      </c>
      <c r="BR49" s="171">
        <f ca="1">IF(OR($D49&lt;&gt;"Serviço",AND(AUTOEVENTO="Manual",$M49=$A$15)),0,
         IF(OFFSET(CRONOPLE!$F$15,$M49-$A$15,BR$13)=0,10^12,OFFSET(CRONOPLE!$F$15,$M49-$A$15,BR$13)))</f>
        <v>1000000000000</v>
      </c>
      <c r="BS49" s="171">
        <f ca="1">IF(OR($D49&lt;&gt;"Serviço",AND(AUTOEVENTO="Manual",$M49=$A$15)),0,
         IF(OFFSET(CRONOPLE!$F$15,$M49-$A$15,BS$13)=0,10^12,OFFSET(CRONOPLE!$F$15,$M49-$A$15,BS$13)))</f>
        <v>1000000000000</v>
      </c>
      <c r="BT49" s="171">
        <f ca="1">IF(OR($D49&lt;&gt;"Serviço",AND(AUTOEVENTO="Manual",$M49=$A$15)),0,
         IF(OFFSET(CRONOPLE!$F$15,$M49-$A$15,BT$13)=0,10^12,OFFSET(CRONOPLE!$F$15,$M49-$A$15,BT$13)))</f>
        <v>1000000000000</v>
      </c>
      <c r="BV49" s="172" cm="1">
        <f t="array" aca="1" ref="BV49" ca="1">IF(OR($D49&lt;&gt;"Serviço",AND(AUTOEVENTO="Manual",$M49=$A$15),$M49&gt;(ROW(PLE.lastrow)-ROW(PLE.firstrow))),0,
           IF(OFFSET(PLE!$G$15,$M49-$A$15,BV$13)="",10^12,OFFSET(PLE!$G$15,$M49-$A$15,BV$13)))</f>
        <v>1000000000000</v>
      </c>
      <c r="BW49" s="172" cm="1">
        <f t="array" aca="1" ref="BW49" ca="1">IF(OR($D49&lt;&gt;"Serviço",AND(AUTOEVENTO="Manual",$M49=$A$15),$M49&gt;(ROW(PLE.lastrow)-ROW(PLE.firstrow))),0,
           IF(OFFSET(PLE!$G$15,$M49-$A$15,BW$13)="",10^12,OFFSET(PLE!$G$15,$M49-$A$15,BW$13)))</f>
        <v>1000000000000</v>
      </c>
      <c r="BX49" s="172" cm="1">
        <f t="array" aca="1" ref="BX49" ca="1">IF(OR($D49&lt;&gt;"Serviço",AND(AUTOEVENTO="Manual",$M49=$A$15),$M49&gt;(ROW(PLE.lastrow)-ROW(PLE.firstrow))),0,
           IF(OFFSET(PLE!$G$15,$M49-$A$15,BX$13)="",10^12,OFFSET(PLE!$G$15,$M49-$A$15,BX$13)))</f>
        <v>1000000000000</v>
      </c>
      <c r="BY49" s="172" cm="1">
        <f t="array" aca="1" ref="BY49" ca="1">IF(OR($D49&lt;&gt;"Serviço",AND(AUTOEVENTO="Manual",$M49=$A$15),$M49&gt;(ROW(PLE.lastrow)-ROW(PLE.firstrow))),0,
           IF(OFFSET(PLE!$G$15,$M49-$A$15,BY$13)="",10^12,OFFSET(PLE!$G$15,$M49-$A$15,BY$13)))</f>
        <v>1000000000000</v>
      </c>
      <c r="BZ49" s="172" cm="1">
        <f t="array" aca="1" ref="BZ49" ca="1">IF(OR($D49&lt;&gt;"Serviço",AND(AUTOEVENTO="Manual",$M49=$A$15),$M49&gt;(ROW(PLE.lastrow)-ROW(PLE.firstrow))),0,
           IF(OFFSET(PLE!$G$15,$M49-$A$15,BZ$13)="",10^12,OFFSET(PLE!$G$15,$M49-$A$15,BZ$13)))</f>
        <v>1000000000000</v>
      </c>
      <c r="CA49" s="172" cm="1">
        <f t="array" aca="1" ref="CA49" ca="1">IF(OR($D49&lt;&gt;"Serviço",AND(AUTOEVENTO="Manual",$M49=$A$15),$M49&gt;(ROW(PLE.lastrow)-ROW(PLE.firstrow))),0,
           IF(OFFSET(PLE!$G$15,$M49-$A$15,CA$13)="",10^12,OFFSET(PLE!$G$15,$M49-$A$15,CA$13)))</f>
        <v>1000000000000</v>
      </c>
      <c r="CB49" s="172" cm="1">
        <f t="array" aca="1" ref="CB49" ca="1">IF(OR($D49&lt;&gt;"Serviço",AND(AUTOEVENTO="Manual",$M49=$A$15),$M49&gt;(ROW(PLE.lastrow)-ROW(PLE.firstrow))),0,
           IF(OFFSET(PLE!$G$15,$M49-$A$15,CB$13)="",10^12,OFFSET(PLE!$G$15,$M49-$A$15,CB$13)))</f>
        <v>1000000000000</v>
      </c>
      <c r="CC49" s="172" cm="1">
        <f t="array" aca="1" ref="CC49" ca="1">IF(OR($D49&lt;&gt;"Serviço",AND(AUTOEVENTO="Manual",$M49=$A$15),$M49&gt;(ROW(PLE.lastrow)-ROW(PLE.firstrow))),0,
           IF(OFFSET(PLE!$G$15,$M49-$A$15,CC$13)="",10^12,OFFSET(PLE!$G$15,$M49-$A$15,CC$13)))</f>
        <v>1000000000000</v>
      </c>
      <c r="CD49" s="172" cm="1">
        <f t="array" aca="1" ref="CD49" ca="1">IF(OR($D49&lt;&gt;"Serviço",AND(AUTOEVENTO="Manual",$M49=$A$15),$M49&gt;(ROW(PLE.lastrow)-ROW(PLE.firstrow))),0,
           IF(OFFSET(PLE!$G$15,$M49-$A$15,CD$13)="",10^12,OFFSET(PLE!$G$15,$M49-$A$15,CD$13)))</f>
        <v>1000000000000</v>
      </c>
      <c r="CE49" s="172" cm="1">
        <f t="array" aca="1" ref="CE49" ca="1">IF(OR($D49&lt;&gt;"Serviço",AND(AUTOEVENTO="Manual",$M49=$A$15),$M49&gt;(ROW(PLE.lastrow)-ROW(PLE.firstrow))),0,
           IF(OFFSET(PLE!$G$15,$M49-$A$15,CE$13)="",10^12,OFFSET(PLE!$G$15,$M49-$A$15,CE$13)))</f>
        <v>1000000000000</v>
      </c>
      <c r="CF49" s="172" cm="1">
        <f t="array" aca="1" ref="CF49" ca="1">IF(OR($D49&lt;&gt;"Serviço",AND(AUTOEVENTO="Manual",$M49=$A$15),$M49&gt;(ROW(PLE.lastrow)-ROW(PLE.firstrow))),0,
           IF(OFFSET(PLE!$G$15,$M49-$A$15,CF$13)="",10^12,OFFSET(PLE!$G$15,$M49-$A$15,CF$13)))</f>
        <v>1000000000000</v>
      </c>
      <c r="CG49" s="172" cm="1">
        <f t="array" aca="1" ref="CG49" ca="1">IF(OR($D49&lt;&gt;"Serviço",AND(AUTOEVENTO="Manual",$M49=$A$15),$M49&gt;(ROW(PLE.lastrow)-ROW(PLE.firstrow))),0,
           IF(OFFSET(PLE!$G$15,$M49-$A$15,CG$13)="",10^12,OFFSET(PLE!$G$15,$M49-$A$15,CG$13)))</f>
        <v>1000000000000</v>
      </c>
      <c r="CH49" s="172" cm="1">
        <f t="array" aca="1" ref="CH49" ca="1">IF(OR($D49&lt;&gt;"Serviço",AND(AUTOEVENTO="Manual",$M49=$A$15),$M49&gt;(ROW(PLE.lastrow)-ROW(PLE.firstrow))),0,
           IF(OFFSET(PLE!$G$15,$M49-$A$15,CH$13)="",10^12,OFFSET(PLE!$G$15,$M49-$A$15,CH$13)))</f>
        <v>1000000000000</v>
      </c>
      <c r="CI49" s="172" cm="1">
        <f t="array" aca="1" ref="CI49" ca="1">IF(OR($D49&lt;&gt;"Serviço",AND(AUTOEVENTO="Manual",$M49=$A$15),$M49&gt;(ROW(PLE.lastrow)-ROW(PLE.firstrow))),0,
           IF(OFFSET(PLE!$G$15,$M49-$A$15,CI$13)="",10^12,OFFSET(PLE!$G$15,$M49-$A$15,CI$13)))</f>
        <v>1000000000000</v>
      </c>
      <c r="CJ49" s="172" cm="1">
        <f t="array" aca="1" ref="CJ49" ca="1">IF(OR($D49&lt;&gt;"Serviço",AND(AUTOEVENTO="Manual",$M49=$A$15),$M49&gt;(ROW(PLE.lastrow)-ROW(PLE.firstrow))),0,
           IF(OFFSET(PLE!$G$15,$M49-$A$15,CJ$13)="",10^12,OFFSET(PLE!$G$15,$M49-$A$15,CJ$13)))</f>
        <v>1000000000000</v>
      </c>
      <c r="CK49" s="172" cm="1">
        <f t="array" aca="1" ref="CK49" ca="1">IF(OR($D49&lt;&gt;"Serviço",AND(AUTOEVENTO="Manual",$M49=$A$15),$M49&gt;(ROW(PLE.lastrow)-ROW(PLE.firstrow))),0,
           IF(OFFSET(PLE!$G$15,$M49-$A$15,CK$13)="",10^12,OFFSET(PLE!$G$15,$M49-$A$15,CK$13)))</f>
        <v>1000000000000</v>
      </c>
      <c r="CL49" s="172" cm="1">
        <f t="array" aca="1" ref="CL49" ca="1">IF(OR($D49&lt;&gt;"Serviço",AND(AUTOEVENTO="Manual",$M49=$A$15),$M49&gt;(ROW(PLE.lastrow)-ROW(PLE.firstrow))),0,
           IF(OFFSET(PLE!$G$15,$M49-$A$15,CL$13)="",10^12,OFFSET(PLE!$G$15,$M49-$A$15,CL$13)))</f>
        <v>1000000000000</v>
      </c>
      <c r="CM49" s="172" cm="1">
        <f t="array" aca="1" ref="CM49" ca="1">IF(OR($D49&lt;&gt;"Serviço",AND(AUTOEVENTO="Manual",$M49=$A$15),$M49&gt;(ROW(PLE.lastrow)-ROW(PLE.firstrow))),0,
           IF(OFFSET(PLE!$G$15,$M49-$A$15,CM$13)="",10^12,OFFSET(PLE!$G$15,$M49-$A$15,CM$13)))</f>
        <v>1000000000000</v>
      </c>
    </row>
    <row r="50" spans="1:91" s="680" customFormat="1" ht="25.5" x14ac:dyDescent="0.2">
      <c r="A50" s="681">
        <f ca="1">IFERROR(IF(AUTOEVENTO="Manual",IF(K50&lt;&gt;"",MIN(VALUE(LEFT(K50,FIND(".",K50)-1)),COUNTA(EVENTOS.Lista)),0),IF(OR($B50&gt;AUTOEVENTO,$B50="S",$B50=0),SUBSTITUTE(OFFSET($A50,-1,0),IF($D50="Serviço",".",""),""),$L50&amp;".")),0)</f>
        <v>24</v>
      </c>
      <c r="B50" s="681" t="str">
        <f ca="1">OFFSET(ORÇAMENTO!C$15,$L50,0)</f>
        <v>S</v>
      </c>
      <c r="C50" s="681" t="str">
        <f ca="1">OFFSET(ORÇAMENTO!L$15,$L50,0)</f>
        <v>F</v>
      </c>
      <c r="D50" s="686" t="str">
        <f ca="1">OFFSET(ORÇAMENTO!N$15,$L50,0)</f>
        <v>Serviço</v>
      </c>
      <c r="E50" s="687" t="str">
        <f ca="1">OFFSET(ORÇAMENTO!O$15,$L50,0)</f>
        <v>1.7.6.</v>
      </c>
      <c r="F50" s="699" t="str">
        <f ca="1">OFFSET(ORÇAMENTO!R$15,$L50,0)</f>
        <v>MONTAGEM DE CONEXÕES DE FERRO FUNDIDO, COM FLANGES, DIAM.= 200 MM. INC_05/2020</v>
      </c>
      <c r="G50" s="700" t="str">
        <f ca="1">IF($D50&lt;&gt;"Serviço","",OFFSET(ORÇAMENTO!S$15,$L50,0))</f>
        <v>UNIDADE</v>
      </c>
      <c r="H50" s="692" cm="1">
        <f t="array" aca="1" ref="H50" ca="1">IF($D50&lt;&gt;"Serviço",0,IF(ACOMPANHAMENTO="BM",ROUND(OFFSET(ORÇAMENTO!AJ$15,$L50,0),15-13*ORÇAMENTO!$AF$7),IF(IFERROR(CÁLCULO.FrentesPreenchidas,0)=0,0,SUM(ROUND(OFFSET($P50,0,1,1,CÁLCULO.FrentesPreenchidas),15-13*ORÇAMENTO!$AF$7)))))</f>
        <v>18</v>
      </c>
      <c r="I50" s="720" t="s">
        <v>1238</v>
      </c>
      <c r="J50" s="724" t="str" cm="1">
        <f t="array" aca="1" ref="J50" ca="1">IF(OR(B50&lt;&gt;"S",CÁLCULO.FrentesPreenchidas=0),"",IF(AND(ACOMPANHAMENTO="PLE",AUTOEVENTO="Manual",OR(H50&gt;0,ORÇAMENTO!AC50="QUANT."),OR(K50="",M50=0,N50="")),"►E",IF(AND(ACOMPANHAMENTO="PLE",ORÇAMENTO!AC50="QUANT."),"►Q",IF(AND(ACOMPANHAMENTO="PLE",H50&lt;&gt;SUMPRODUCT(($Q$1:$AI$1=1)*ROUND(Q50:AI50,15))),"►S",IF(AND(COUNTIF($P$11:$AI$11,"▼")=0,H50&gt;0,I50=""),"◄M","")))))</f>
        <v/>
      </c>
      <c r="K50" s="652" t="s">
        <v>1344</v>
      </c>
      <c r="L50" s="701">
        <f ca="1">OFFSET(L50,-1,0)+1</f>
        <v>35</v>
      </c>
      <c r="M50" s="702">
        <f ca="1">IF($D50&lt;&gt;"Serviço","",
          IF(AUTOEVENTO="manual",$A50,
                IF(ISERROR(MATCH($A50,$A$15:OFFSET($A50,-1,0),0)),MAX($M$15:OFFSET(M50,-1,0))+1,
                      INDEX($M$15:OFFSET(M50,-1,0),MATCH($A50,$A$15:OFFSET($A50,-1,0),0)))))</f>
        <v>24</v>
      </c>
      <c r="N50" s="703" t="str">
        <f ca="1">IF($D50&lt;&gt;"Serviço","",
         IF(AUTOEVENTO="Manual",
                IF($A50=0,"&lt;-- defina o número do agrupador",
                       OFFSET(EVENTOS!$D$15,$A50-$A$15,0)),
                OFFSET($F$15,$A50,0)))</f>
        <v>Instalações hidrossanitárias</v>
      </c>
      <c r="O50" s="704"/>
      <c r="Q50" s="704"/>
      <c r="R50" s="705"/>
      <c r="S50" s="705">
        <v>18</v>
      </c>
      <c r="T50" s="705"/>
      <c r="U50" s="705"/>
      <c r="V50" s="705"/>
      <c r="W50" s="705"/>
      <c r="X50" s="705"/>
      <c r="Y50" s="705"/>
      <c r="Z50" s="706"/>
      <c r="AA50" s="705"/>
      <c r="AB50" s="705"/>
      <c r="AC50" s="705"/>
      <c r="AD50" s="705"/>
      <c r="AE50" s="705"/>
      <c r="AF50" s="705"/>
      <c r="AG50" s="705"/>
      <c r="AH50" s="706"/>
      <c r="AJ50" s="453">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3">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L50" s="453">
        <f ca="1">IF(AND($D50="Serviço",AL$12&lt;&gt;0,$H50&gt;0,OR(AUTOEVENTO&lt;&gt;"manual",$M50&lt;&gt;$A$15)),
        IF(Import.TipoArredondamento&lt;&gt;"TransfereGOV",
              ROUND(OFFSET($P50,0,AL$13),15-13*ORÇAMENTO!$AF$7)/$H50*OFFSET(ORÇAMENTO!$X$15,ROW(AL50)-ROW(AL$15),0),
              ROUND(ROUND(OFFSET($P50,0,AL$13),15-13*ORÇAMENTO!$AF$7)*OFFSET(ORÇAMENTO!$W$15,ROW(AL50)-ROW(AL$15),0),15-13*ORÇAMENTO!$AF$11)),
         0)</f>
        <v>447.12</v>
      </c>
      <c r="AM50" s="453">
        <f ca="1">IF(AND($D50="Serviço",AM$12&lt;&gt;0,$H50&gt;0,OR(AUTOEVENTO&lt;&gt;"manual",$M50&lt;&gt;$A$15)),
        IF(Import.TipoArredondamento&lt;&gt;"TransfereGOV",
              ROUND(OFFSET($P50,0,AM$13),15-13*ORÇAMENTO!$AF$7)/$H50*OFFSET(ORÇAMENTO!$X$15,ROW(AM50)-ROW(AM$15),0),
              ROUND(ROUND(OFFSET($P50,0,AM$13),15-13*ORÇAMENTO!$AF$7)*OFFSET(ORÇAMENTO!$W$15,ROW(AM50)-ROW(AM$15),0),15-13*ORÇAMENTO!$AF$11)),
         0)</f>
        <v>0</v>
      </c>
      <c r="AN50" s="453">
        <f ca="1">IF(AND($D50="Serviço",AN$12&lt;&gt;0,$H50&gt;0,OR(AUTOEVENTO&lt;&gt;"manual",$M50&lt;&gt;$A$15)),
        IF(Import.TipoArredondamento&lt;&gt;"TransfereGOV",
              ROUND(OFFSET($P50,0,AN$13),15-13*ORÇAMENTO!$AF$7)/$H50*OFFSET(ORÇAMENTO!$X$15,ROW(AN50)-ROW(AN$15),0),
              ROUND(ROUND(OFFSET($P50,0,AN$13),15-13*ORÇAMENTO!$AF$7)*OFFSET(ORÇAMENTO!$W$15,ROW(AN50)-ROW(AN$15),0),15-13*ORÇAMENTO!$AF$11)),
         0)</f>
        <v>0</v>
      </c>
      <c r="AO50" s="453">
        <f ca="1">IF(AND($D50="Serviço",AO$12&lt;&gt;0,$H50&gt;0,OR(AUTOEVENTO&lt;&gt;"manual",$M50&lt;&gt;$A$15)),
        IF(Import.TipoArredondamento&lt;&gt;"TransfereGOV",
              ROUND(OFFSET($P50,0,AO$13),15-13*ORÇAMENTO!$AF$7)/$H50*OFFSET(ORÇAMENTO!$X$15,ROW(AO50)-ROW(AO$15),0),
              ROUND(ROUND(OFFSET($P50,0,AO$13),15-13*ORÇAMENTO!$AF$7)*OFFSET(ORÇAMENTO!$W$15,ROW(AO50)-ROW(AO$15),0),15-13*ORÇAMENTO!$AF$11)),
         0)</f>
        <v>0</v>
      </c>
      <c r="AP50" s="453">
        <f ca="1">IF(AND($D50="Serviço",AP$12&lt;&gt;0,$H50&gt;0,OR(AUTOEVENTO&lt;&gt;"manual",$M50&lt;&gt;$A$15)),
        IF(Import.TipoArredondamento&lt;&gt;"TransfereGOV",
              ROUND(OFFSET($P50,0,AP$13),15-13*ORÇAMENTO!$AF$7)/$H50*OFFSET(ORÇAMENTO!$X$15,ROW(AP50)-ROW(AP$15),0),
              ROUND(ROUND(OFFSET($P50,0,AP$13),15-13*ORÇAMENTO!$AF$7)*OFFSET(ORÇAMENTO!$W$15,ROW(AP50)-ROW(AP$15),0),15-13*ORÇAMENTO!$AF$11)),
         0)</f>
        <v>0</v>
      </c>
      <c r="AQ50" s="453">
        <f ca="1">IF(AND($D50="Serviço",AQ$12&lt;&gt;0,$H50&gt;0,OR(AUTOEVENTO&lt;&gt;"manual",$M50&lt;&gt;$A$15)),
        IF(Import.TipoArredondamento&lt;&gt;"TransfereGOV",
              ROUND(OFFSET($P50,0,AQ$13),15-13*ORÇAMENTO!$AF$7)/$H50*OFFSET(ORÇAMENTO!$X$15,ROW(AQ50)-ROW(AQ$15),0),
              ROUND(ROUND(OFFSET($P50,0,AQ$13),15-13*ORÇAMENTO!$AF$7)*OFFSET(ORÇAMENTO!$W$15,ROW(AQ50)-ROW(AQ$15),0),15-13*ORÇAMENTO!$AF$11)),
         0)</f>
        <v>0</v>
      </c>
      <c r="AR50" s="453">
        <f ca="1">IF(AND($D50="Serviço",AR$12&lt;&gt;0,$H50&gt;0,OR(AUTOEVENTO&lt;&gt;"manual",$M50&lt;&gt;$A$15)),
        IF(Import.TipoArredondamento&lt;&gt;"TransfereGOV",
              ROUND(OFFSET($P50,0,AR$13),15-13*ORÇAMENTO!$AF$7)/$H50*OFFSET(ORÇAMENTO!$X$15,ROW(AR50)-ROW(AR$15),0),
              ROUND(ROUND(OFFSET($P50,0,AR$13),15-13*ORÇAMENTO!$AF$7)*OFFSET(ORÇAMENTO!$W$15,ROW(AR50)-ROW(AR$15),0),15-13*ORÇAMENTO!$AF$11)),
         0)</f>
        <v>0</v>
      </c>
      <c r="AS50" s="453">
        <f ca="1">IF(AND($D50="Serviço",AS$12&lt;&gt;0,$H50&gt;0,OR(AUTOEVENTO&lt;&gt;"manual",$M50&lt;&gt;$A$15)),
        IF(Import.TipoArredondamento&lt;&gt;"TransfereGOV",
              ROUND(OFFSET($P50,0,AS$13),15-13*ORÇAMENTO!$AF$7)/$H50*OFFSET(ORÇAMENTO!$X$15,ROW(AS50)-ROW(AS$15),0),
              ROUND(ROUND(OFFSET($P50,0,AS$13),15-13*ORÇAMENTO!$AF$7)*OFFSET(ORÇAMENTO!$W$15,ROW(AS50)-ROW(AS$15),0),15-13*ORÇAMENTO!$AF$11)),
         0)</f>
        <v>0</v>
      </c>
      <c r="AT50" s="453">
        <f ca="1">IF(AND($D50="Serviço",AT$12&lt;&gt;0,$H50&gt;0,OR(AUTOEVENTO&lt;&gt;"manual",$M50&lt;&gt;$A$15)),
        IF(Import.TipoArredondamento&lt;&gt;"TransfereGOV",
              ROUND(OFFSET($P50,0,AT$13),15-13*ORÇAMENTO!$AF$7)/$H50*OFFSET(ORÇAMENTO!$X$15,ROW(AT50)-ROW(AT$15),0),
              ROUND(ROUND(OFFSET($P50,0,AT$13),15-13*ORÇAMENTO!$AF$7)*OFFSET(ORÇAMENTO!$W$15,ROW(AT50)-ROW(AT$15),0),15-13*ORÇAMENTO!$AF$11)),
         0)</f>
        <v>0</v>
      </c>
      <c r="AU50" s="453">
        <f ca="1">IF(AND($D50="Serviço",AU$12&lt;&gt;0,$H50&gt;0,OR(AUTOEVENTO&lt;&gt;"manual",$M50&lt;&gt;$A$15)),
        IF(Import.TipoArredondamento&lt;&gt;"TransfereGOV",
              ROUND(OFFSET($P50,0,AU$13),15-13*ORÇAMENTO!$AF$7)/$H50*OFFSET(ORÇAMENTO!$X$15,ROW(AU50)-ROW(AU$15),0),
              ROUND(ROUND(OFFSET($P50,0,AU$13),15-13*ORÇAMENTO!$AF$7)*OFFSET(ORÇAMENTO!$W$15,ROW(AU50)-ROW(AU$15),0),15-13*ORÇAMENTO!$AF$11)),
         0)</f>
        <v>0</v>
      </c>
      <c r="AV50" s="453">
        <f ca="1">IF(AND($D50="Serviço",AV$12&lt;&gt;0,$H50&gt;0,OR(AUTOEVENTO&lt;&gt;"manual",$M50&lt;&gt;$A$15)),
        IF(Import.TipoArredondamento&lt;&gt;"TransfereGOV",
              ROUND(OFFSET($P50,0,AV$13),15-13*ORÇAMENTO!$AF$7)/$H50*OFFSET(ORÇAMENTO!$X$15,ROW(AV50)-ROW(AV$15),0),
              ROUND(ROUND(OFFSET($P50,0,AV$13),15-13*ORÇAMENTO!$AF$7)*OFFSET(ORÇAMENTO!$W$15,ROW(AV50)-ROW(AV$15),0),15-13*ORÇAMENTO!$AF$11)),
         0)</f>
        <v>0</v>
      </c>
      <c r="AW50" s="453">
        <f ca="1">IF(AND($D50="Serviço",AW$12&lt;&gt;0,$H50&gt;0,OR(AUTOEVENTO&lt;&gt;"manual",$M50&lt;&gt;$A$15)),
        IF(Import.TipoArredondamento&lt;&gt;"TransfereGOV",
              ROUND(OFFSET($P50,0,AW$13),15-13*ORÇAMENTO!$AF$7)/$H50*OFFSET(ORÇAMENTO!$X$15,ROW(AW50)-ROW(AW$15),0),
              ROUND(ROUND(OFFSET($P50,0,AW$13),15-13*ORÇAMENTO!$AF$7)*OFFSET(ORÇAMENTO!$W$15,ROW(AW50)-ROW(AW$15),0),15-13*ORÇAMENTO!$AF$11)),
         0)</f>
        <v>0</v>
      </c>
      <c r="AX50" s="453">
        <f ca="1">IF(AND($D50="Serviço",AX$12&lt;&gt;0,$H50&gt;0,OR(AUTOEVENTO&lt;&gt;"manual",$M50&lt;&gt;$A$15)),
        IF(Import.TipoArredondamento&lt;&gt;"TransfereGOV",
              ROUND(OFFSET($P50,0,AX$13),15-13*ORÇAMENTO!$AF$7)/$H50*OFFSET(ORÇAMENTO!$X$15,ROW(AX50)-ROW(AX$15),0),
              ROUND(ROUND(OFFSET($P50,0,AX$13),15-13*ORÇAMENTO!$AF$7)*OFFSET(ORÇAMENTO!$W$15,ROW(AX50)-ROW(AX$15),0),15-13*ORÇAMENTO!$AF$11)),
         0)</f>
        <v>0</v>
      </c>
      <c r="AY50" s="453">
        <f ca="1">IF(AND($D50="Serviço",AY$12&lt;&gt;0,$H50&gt;0,OR(AUTOEVENTO&lt;&gt;"manual",$M50&lt;&gt;$A$15)),
        IF(Import.TipoArredondamento&lt;&gt;"TransfereGOV",
              ROUND(OFFSET($P50,0,AY$13),15-13*ORÇAMENTO!$AF$7)/$H50*OFFSET(ORÇAMENTO!$X$15,ROW(AY50)-ROW(AY$15),0),
              ROUND(ROUND(OFFSET($P50,0,AY$13),15-13*ORÇAMENTO!$AF$7)*OFFSET(ORÇAMENTO!$W$15,ROW(AY50)-ROW(AY$15),0),15-13*ORÇAMENTO!$AF$11)),
         0)</f>
        <v>0</v>
      </c>
      <c r="AZ50" s="453">
        <f ca="1">IF(AND($D50="Serviço",AZ$12&lt;&gt;0,$H50&gt;0,OR(AUTOEVENTO&lt;&gt;"manual",$M50&lt;&gt;$A$15)),
        IF(Import.TipoArredondamento&lt;&gt;"TransfereGOV",
              ROUND(OFFSET($P50,0,AZ$13),15-13*ORÇAMENTO!$AF$7)/$H50*OFFSET(ORÇAMENTO!$X$15,ROW(AZ50)-ROW(AZ$15),0),
              ROUND(ROUND(OFFSET($P50,0,AZ$13),15-13*ORÇAMENTO!$AF$7)*OFFSET(ORÇAMENTO!$W$15,ROW(AZ50)-ROW(AZ$15),0),15-13*ORÇAMENTO!$AF$11)),
         0)</f>
        <v>0</v>
      </c>
      <c r="BA50" s="453">
        <f ca="1">IF(AND($D50="Serviço",BA$12&lt;&gt;0,$H50&gt;0,OR(AUTOEVENTO&lt;&gt;"manual",$M50&lt;&gt;$A$15)),
        IF(Import.TipoArredondamento&lt;&gt;"TransfereGOV",
              ROUND(OFFSET($P50,0,BA$13),15-13*ORÇAMENTO!$AF$7)/$H50*OFFSET(ORÇAMENTO!$X$15,ROW(BA50)-ROW(BA$15),0),
              ROUND(ROUND(OFFSET($P50,0,BA$13),15-13*ORÇAMENTO!$AF$7)*OFFSET(ORÇAMENTO!$W$15,ROW(BA50)-ROW(BA$15),0),15-13*ORÇAMENTO!$AF$11)),
         0)</f>
        <v>0</v>
      </c>
      <c r="BC50" s="171">
        <f ca="1">IF(OR($D50&lt;&gt;"Serviço",AND(AUTOEVENTO="Manual",$M50=$A$15)),0,
         IF(OFFSET(CRONOPLE!$F$15,$M50-$A$15,BC$13)=0,10^12,OFFSET(CRONOPLE!$F$15,$M50-$A$15,BC$13)))</f>
        <v>1000000000000</v>
      </c>
      <c r="BD50" s="171">
        <f ca="1">IF(OR($D50&lt;&gt;"Serviço",AND(AUTOEVENTO="Manual",$M50=$A$15)),0,
         IF(OFFSET(CRONOPLE!$F$15,$M50-$A$15,BD$13)=0,10^12,OFFSET(CRONOPLE!$F$15,$M50-$A$15,BD$13)))</f>
        <v>1000000000000</v>
      </c>
      <c r="BE50" s="171">
        <f ca="1">IF(OR($D50&lt;&gt;"Serviço",AND(AUTOEVENTO="Manual",$M50=$A$15)),0,
         IF(OFFSET(CRONOPLE!$F$15,$M50-$A$15,BE$13)=0,10^12,OFFSET(CRONOPLE!$F$15,$M50-$A$15,BE$13)))</f>
        <v>3</v>
      </c>
      <c r="BF50" s="171">
        <f ca="1">IF(OR($D50&lt;&gt;"Serviço",AND(AUTOEVENTO="Manual",$M50=$A$15)),0,
         IF(OFFSET(CRONOPLE!$F$15,$M50-$A$15,BF$13)=0,10^12,OFFSET(CRONOPLE!$F$15,$M50-$A$15,BF$13)))</f>
        <v>1000000000000</v>
      </c>
      <c r="BG50" s="171">
        <f ca="1">IF(OR($D50&lt;&gt;"Serviço",AND(AUTOEVENTO="Manual",$M50=$A$15)),0,
         IF(OFFSET(CRONOPLE!$F$15,$M50-$A$15,BG$13)=0,10^12,OFFSET(CRONOPLE!$F$15,$M50-$A$15,BG$13)))</f>
        <v>1000000000000</v>
      </c>
      <c r="BH50" s="171">
        <f ca="1">IF(OR($D50&lt;&gt;"Serviço",AND(AUTOEVENTO="Manual",$M50=$A$15)),0,
         IF(OFFSET(CRONOPLE!$F$15,$M50-$A$15,BH$13)=0,10^12,OFFSET(CRONOPLE!$F$15,$M50-$A$15,BH$13)))</f>
        <v>9</v>
      </c>
      <c r="BI50" s="171">
        <f ca="1">IF(OR($D50&lt;&gt;"Serviço",AND(AUTOEVENTO="Manual",$M50=$A$15)),0,
         IF(OFFSET(CRONOPLE!$F$15,$M50-$A$15,BI$13)=0,10^12,OFFSET(CRONOPLE!$F$15,$M50-$A$15,BI$13)))</f>
        <v>1000000000000</v>
      </c>
      <c r="BJ50" s="171">
        <f ca="1">IF(OR($D50&lt;&gt;"Serviço",AND(AUTOEVENTO="Manual",$M50=$A$15)),0,
         IF(OFFSET(CRONOPLE!$F$15,$M50-$A$15,BJ$13)=0,10^12,OFFSET(CRONOPLE!$F$15,$M50-$A$15,BJ$13)))</f>
        <v>1000000000000</v>
      </c>
      <c r="BK50" s="171">
        <f ca="1">IF(OR($D50&lt;&gt;"Serviço",AND(AUTOEVENTO="Manual",$M50=$A$15)),0,
         IF(OFFSET(CRONOPLE!$F$15,$M50-$A$15,BK$13)=0,10^12,OFFSET(CRONOPLE!$F$15,$M50-$A$15,BK$13)))</f>
        <v>1000000000000</v>
      </c>
      <c r="BL50" s="171">
        <f ca="1">IF(OR($D50&lt;&gt;"Serviço",AND(AUTOEVENTO="Manual",$M50=$A$15)),0,
         IF(OFFSET(CRONOPLE!$F$15,$M50-$A$15,BL$13)=0,10^12,OFFSET(CRONOPLE!$F$15,$M50-$A$15,BL$13)))</f>
        <v>1000000000000</v>
      </c>
      <c r="BM50" s="171">
        <f ca="1">IF(OR($D50&lt;&gt;"Serviço",AND(AUTOEVENTO="Manual",$M50=$A$15)),0,
         IF(OFFSET(CRONOPLE!$F$15,$M50-$A$15,BM$13)=0,10^12,OFFSET(CRONOPLE!$F$15,$M50-$A$15,BM$13)))</f>
        <v>1000000000000</v>
      </c>
      <c r="BN50" s="171">
        <f ca="1">IF(OR($D50&lt;&gt;"Serviço",AND(AUTOEVENTO="Manual",$M50=$A$15)),0,
         IF(OFFSET(CRONOPLE!$F$15,$M50-$A$15,BN$13)=0,10^12,OFFSET(CRONOPLE!$F$15,$M50-$A$15,BN$13)))</f>
        <v>1000000000000</v>
      </c>
      <c r="BO50" s="171">
        <f ca="1">IF(OR($D50&lt;&gt;"Serviço",AND(AUTOEVENTO="Manual",$M50=$A$15)),0,
         IF(OFFSET(CRONOPLE!$F$15,$M50-$A$15,BO$13)=0,10^12,OFFSET(CRONOPLE!$F$15,$M50-$A$15,BO$13)))</f>
        <v>1000000000000</v>
      </c>
      <c r="BP50" s="171">
        <f ca="1">IF(OR($D50&lt;&gt;"Serviço",AND(AUTOEVENTO="Manual",$M50=$A$15)),0,
         IF(OFFSET(CRONOPLE!$F$15,$M50-$A$15,BP$13)=0,10^12,OFFSET(CRONOPLE!$F$15,$M50-$A$15,BP$13)))</f>
        <v>1000000000000</v>
      </c>
      <c r="BQ50" s="171">
        <f ca="1">IF(OR($D50&lt;&gt;"Serviço",AND(AUTOEVENTO="Manual",$M50=$A$15)),0,
         IF(OFFSET(CRONOPLE!$F$15,$M50-$A$15,BQ$13)=0,10^12,OFFSET(CRONOPLE!$F$15,$M50-$A$15,BQ$13)))</f>
        <v>1000000000000</v>
      </c>
      <c r="BR50" s="171">
        <f ca="1">IF(OR($D50&lt;&gt;"Serviço",AND(AUTOEVENTO="Manual",$M50=$A$15)),0,
         IF(OFFSET(CRONOPLE!$F$15,$M50-$A$15,BR$13)=0,10^12,OFFSET(CRONOPLE!$F$15,$M50-$A$15,BR$13)))</f>
        <v>1000000000000</v>
      </c>
      <c r="BS50" s="171">
        <f ca="1">IF(OR($D50&lt;&gt;"Serviço",AND(AUTOEVENTO="Manual",$M50=$A$15)),0,
         IF(OFFSET(CRONOPLE!$F$15,$M50-$A$15,BS$13)=0,10^12,OFFSET(CRONOPLE!$F$15,$M50-$A$15,BS$13)))</f>
        <v>1000000000000</v>
      </c>
      <c r="BT50" s="171">
        <f ca="1">IF(OR($D50&lt;&gt;"Serviço",AND(AUTOEVENTO="Manual",$M50=$A$15)),0,
         IF(OFFSET(CRONOPLE!$F$15,$M50-$A$15,BT$13)=0,10^12,OFFSET(CRONOPLE!$F$15,$M50-$A$15,BT$13)))</f>
        <v>1000000000000</v>
      </c>
      <c r="BV50" s="172" cm="1">
        <f t="array" aca="1" ref="BV50" ca="1">IF(OR($D50&lt;&gt;"Serviço",AND(AUTOEVENTO="Manual",$M50=$A$15),$M50&gt;(ROW(PLE.lastrow)-ROW(PLE.firstrow))),0,
           IF(OFFSET(PLE!$G$15,$M50-$A$15,BV$13)="",10^12,OFFSET(PLE!$G$15,$M50-$A$15,BV$13)))</f>
        <v>1000000000000</v>
      </c>
      <c r="BW50" s="172" cm="1">
        <f t="array" aca="1" ref="BW50" ca="1">IF(OR($D50&lt;&gt;"Serviço",AND(AUTOEVENTO="Manual",$M50=$A$15),$M50&gt;(ROW(PLE.lastrow)-ROW(PLE.firstrow))),0,
           IF(OFFSET(PLE!$G$15,$M50-$A$15,BW$13)="",10^12,OFFSET(PLE!$G$15,$M50-$A$15,BW$13)))</f>
        <v>1000000000000</v>
      </c>
      <c r="BX50" s="172" cm="1">
        <f t="array" aca="1" ref="BX50" ca="1">IF(OR($D50&lt;&gt;"Serviço",AND(AUTOEVENTO="Manual",$M50=$A$15),$M50&gt;(ROW(PLE.lastrow)-ROW(PLE.firstrow))),0,
           IF(OFFSET(PLE!$G$15,$M50-$A$15,BX$13)="",10^12,OFFSET(PLE!$G$15,$M50-$A$15,BX$13)))</f>
        <v>1000000000000</v>
      </c>
      <c r="BY50" s="172" cm="1">
        <f t="array" aca="1" ref="BY50" ca="1">IF(OR($D50&lt;&gt;"Serviço",AND(AUTOEVENTO="Manual",$M50=$A$15),$M50&gt;(ROW(PLE.lastrow)-ROW(PLE.firstrow))),0,
           IF(OFFSET(PLE!$G$15,$M50-$A$15,BY$13)="",10^12,OFFSET(PLE!$G$15,$M50-$A$15,BY$13)))</f>
        <v>1000000000000</v>
      </c>
      <c r="BZ50" s="172" cm="1">
        <f t="array" aca="1" ref="BZ50" ca="1">IF(OR($D50&lt;&gt;"Serviço",AND(AUTOEVENTO="Manual",$M50=$A$15),$M50&gt;(ROW(PLE.lastrow)-ROW(PLE.firstrow))),0,
           IF(OFFSET(PLE!$G$15,$M50-$A$15,BZ$13)="",10^12,OFFSET(PLE!$G$15,$M50-$A$15,BZ$13)))</f>
        <v>1000000000000</v>
      </c>
      <c r="CA50" s="172" cm="1">
        <f t="array" aca="1" ref="CA50" ca="1">IF(OR($D50&lt;&gt;"Serviço",AND(AUTOEVENTO="Manual",$M50=$A$15),$M50&gt;(ROW(PLE.lastrow)-ROW(PLE.firstrow))),0,
           IF(OFFSET(PLE!$G$15,$M50-$A$15,CA$13)="",10^12,OFFSET(PLE!$G$15,$M50-$A$15,CA$13)))</f>
        <v>1000000000000</v>
      </c>
      <c r="CB50" s="172" cm="1">
        <f t="array" aca="1" ref="CB50" ca="1">IF(OR($D50&lt;&gt;"Serviço",AND(AUTOEVENTO="Manual",$M50=$A$15),$M50&gt;(ROW(PLE.lastrow)-ROW(PLE.firstrow))),0,
           IF(OFFSET(PLE!$G$15,$M50-$A$15,CB$13)="",10^12,OFFSET(PLE!$G$15,$M50-$A$15,CB$13)))</f>
        <v>1000000000000</v>
      </c>
      <c r="CC50" s="172" cm="1">
        <f t="array" aca="1" ref="CC50" ca="1">IF(OR($D50&lt;&gt;"Serviço",AND(AUTOEVENTO="Manual",$M50=$A$15),$M50&gt;(ROW(PLE.lastrow)-ROW(PLE.firstrow))),0,
           IF(OFFSET(PLE!$G$15,$M50-$A$15,CC$13)="",10^12,OFFSET(PLE!$G$15,$M50-$A$15,CC$13)))</f>
        <v>1000000000000</v>
      </c>
      <c r="CD50" s="172" cm="1">
        <f t="array" aca="1" ref="CD50" ca="1">IF(OR($D50&lt;&gt;"Serviço",AND(AUTOEVENTO="Manual",$M50=$A$15),$M50&gt;(ROW(PLE.lastrow)-ROW(PLE.firstrow))),0,
           IF(OFFSET(PLE!$G$15,$M50-$A$15,CD$13)="",10^12,OFFSET(PLE!$G$15,$M50-$A$15,CD$13)))</f>
        <v>1000000000000</v>
      </c>
      <c r="CE50" s="172" cm="1">
        <f t="array" aca="1" ref="CE50" ca="1">IF(OR($D50&lt;&gt;"Serviço",AND(AUTOEVENTO="Manual",$M50=$A$15),$M50&gt;(ROW(PLE.lastrow)-ROW(PLE.firstrow))),0,
           IF(OFFSET(PLE!$G$15,$M50-$A$15,CE$13)="",10^12,OFFSET(PLE!$G$15,$M50-$A$15,CE$13)))</f>
        <v>1000000000000</v>
      </c>
      <c r="CF50" s="172" cm="1">
        <f t="array" aca="1" ref="CF50" ca="1">IF(OR($D50&lt;&gt;"Serviço",AND(AUTOEVENTO="Manual",$M50=$A$15),$M50&gt;(ROW(PLE.lastrow)-ROW(PLE.firstrow))),0,
           IF(OFFSET(PLE!$G$15,$M50-$A$15,CF$13)="",10^12,OFFSET(PLE!$G$15,$M50-$A$15,CF$13)))</f>
        <v>1000000000000</v>
      </c>
      <c r="CG50" s="172" cm="1">
        <f t="array" aca="1" ref="CG50" ca="1">IF(OR($D50&lt;&gt;"Serviço",AND(AUTOEVENTO="Manual",$M50=$A$15),$M50&gt;(ROW(PLE.lastrow)-ROW(PLE.firstrow))),0,
           IF(OFFSET(PLE!$G$15,$M50-$A$15,CG$13)="",10^12,OFFSET(PLE!$G$15,$M50-$A$15,CG$13)))</f>
        <v>1000000000000</v>
      </c>
      <c r="CH50" s="172" cm="1">
        <f t="array" aca="1" ref="CH50" ca="1">IF(OR($D50&lt;&gt;"Serviço",AND(AUTOEVENTO="Manual",$M50=$A$15),$M50&gt;(ROW(PLE.lastrow)-ROW(PLE.firstrow))),0,
           IF(OFFSET(PLE!$G$15,$M50-$A$15,CH$13)="",10^12,OFFSET(PLE!$G$15,$M50-$A$15,CH$13)))</f>
        <v>1000000000000</v>
      </c>
      <c r="CI50" s="172" cm="1">
        <f t="array" aca="1" ref="CI50" ca="1">IF(OR($D50&lt;&gt;"Serviço",AND(AUTOEVENTO="Manual",$M50=$A$15),$M50&gt;(ROW(PLE.lastrow)-ROW(PLE.firstrow))),0,
           IF(OFFSET(PLE!$G$15,$M50-$A$15,CI$13)="",10^12,OFFSET(PLE!$G$15,$M50-$A$15,CI$13)))</f>
        <v>1000000000000</v>
      </c>
      <c r="CJ50" s="172" cm="1">
        <f t="array" aca="1" ref="CJ50" ca="1">IF(OR($D50&lt;&gt;"Serviço",AND(AUTOEVENTO="Manual",$M50=$A$15),$M50&gt;(ROW(PLE.lastrow)-ROW(PLE.firstrow))),0,
           IF(OFFSET(PLE!$G$15,$M50-$A$15,CJ$13)="",10^12,OFFSET(PLE!$G$15,$M50-$A$15,CJ$13)))</f>
        <v>1000000000000</v>
      </c>
      <c r="CK50" s="172" cm="1">
        <f t="array" aca="1" ref="CK50" ca="1">IF(OR($D50&lt;&gt;"Serviço",AND(AUTOEVENTO="Manual",$M50=$A$15),$M50&gt;(ROW(PLE.lastrow)-ROW(PLE.firstrow))),0,
           IF(OFFSET(PLE!$G$15,$M50-$A$15,CK$13)="",10^12,OFFSET(PLE!$G$15,$M50-$A$15,CK$13)))</f>
        <v>1000000000000</v>
      </c>
      <c r="CL50" s="172" cm="1">
        <f t="array" aca="1" ref="CL50" ca="1">IF(OR($D50&lt;&gt;"Serviço",AND(AUTOEVENTO="Manual",$M50=$A$15),$M50&gt;(ROW(PLE.lastrow)-ROW(PLE.firstrow))),0,
           IF(OFFSET(PLE!$G$15,$M50-$A$15,CL$13)="",10^12,OFFSET(PLE!$G$15,$M50-$A$15,CL$13)))</f>
        <v>1000000000000</v>
      </c>
      <c r="CM50" s="172" cm="1">
        <f t="array" aca="1" ref="CM50" ca="1">IF(OR($D50&lt;&gt;"Serviço",AND(AUTOEVENTO="Manual",$M50=$A$15),$M50&gt;(ROW(PLE.lastrow)-ROW(PLE.firstrow))),0,
           IF(OFFSET(PLE!$G$15,$M50-$A$15,CM$13)="",10^12,OFFSET(PLE!$G$15,$M50-$A$15,CM$13)))</f>
        <v>1000000000000</v>
      </c>
    </row>
    <row r="51" spans="1:91" s="670" customFormat="1" ht="12.75" x14ac:dyDescent="0.2">
      <c r="A51" s="668">
        <f t="shared" ca="1" si="10"/>
        <v>0</v>
      </c>
      <c r="B51" s="668">
        <f ca="1">OFFSET(ORÇAMENTO!C$15,$L51,0)</f>
        <v>2</v>
      </c>
      <c r="C51" s="668" t="str">
        <f ca="1">OFFSET(ORÇAMENTO!L$15,$L51,0)</f>
        <v>F</v>
      </c>
      <c r="D51" s="116" t="str">
        <f ca="1">OFFSET(ORÇAMENTO!N$15,$L51,0)</f>
        <v>Nível 2</v>
      </c>
      <c r="E51" s="117" t="str">
        <f ca="1">OFFSET(ORÇAMENTO!O$15,$L51,0)</f>
        <v>1.8.</v>
      </c>
      <c r="F51" s="163" t="str">
        <f ca="1">OFFSET(ORÇAMENTO!R$15,$L51,0)</f>
        <v xml:space="preserve">MURO DE DIVISA </v>
      </c>
      <c r="G51" s="164" t="str">
        <f ca="1">IF($D51&lt;&gt;"Serviço","",OFFSET(ORÇAMENTO!S$15,$L51,0))</f>
        <v/>
      </c>
      <c r="H51" s="122" cm="1">
        <f t="array" aca="1" ref="H51" ca="1">IF($D51&lt;&gt;"Serviço",0,IF(ACOMPANHAMENTO="BM",ROUND(OFFSET(ORÇAMENTO!AJ$15,$L51,0),15-13*ORÇAMENTO!$AF$7),IF(IFERROR(CÁLCULO.FrentesPreenchidas,0)=0,0,SUM(ROUND(OFFSET($P51,0,1,1,CÁLCULO.FrentesPreenchidas),15-13*ORÇAMENTO!$AF$7)))))</f>
        <v>0</v>
      </c>
      <c r="I51" s="468"/>
      <c r="J51" s="651" t="str" cm="1">
        <f t="array" aca="1" ref="J51" ca="1">IF(OR(B51&lt;&gt;"S",CÁLCULO.FrentesPreenchidas=0),"",IF(AND(ACOMPANHAMENTO="PLE",AUTOEVENTO="Manual",OR(H51&gt;0,ORÇAMENTO!AC51="QUANT."),OR(K51="",M51=0,N51="")),"►E",IF(AND(ACOMPANHAMENTO="PLE",ORÇAMENTO!AC51="QUANT."),"►Q",IF(AND(ACOMPANHAMENTO="PLE",H51&lt;&gt;SUMPRODUCT(($Q$1:$AI$1=1)*ROUND(Q51:AI51,15))),"►S",IF(AND(COUNTIF($P$11:$AI$11,"▼")=0,H51&gt;0,I51=""),"◄M","")))))</f>
        <v/>
      </c>
      <c r="K51" s="652"/>
      <c r="L51" s="165">
        <f t="shared" ca="1" si="11"/>
        <v>36</v>
      </c>
      <c r="M51" s="166" t="str">
        <f ca="1">IF($D51&lt;&gt;"Serviço","",
          IF(AUTOEVENTO="manual",$A51,
                IF(ISERROR(MATCH($A51,$A$15:OFFSET($A51,-1,0),0)),MAX($M$15:OFFSET(M51,-1,0))+1,
                      INDEX($M$15:OFFSET(M51,-1,0),MATCH($A51,$A$15:OFFSET($A51,-1,0),0)))))</f>
        <v/>
      </c>
      <c r="N51" s="167" t="str">
        <f ca="1">IF($D51&lt;&gt;"Serviço","",
         IF(AUTOEVENTO="Manual",
                IF($A51=0,"&lt;-- defina o número do agrupador",
                       OFFSET(EVENTOS!$D$15,$A51-$A$15,0)),
                OFFSET($F$15,$A51,0)))</f>
        <v/>
      </c>
      <c r="O51" s="168"/>
      <c r="Q51" s="168" t="s">
        <v>250</v>
      </c>
      <c r="R51" s="169"/>
      <c r="S51" s="169"/>
      <c r="T51" s="169"/>
      <c r="U51" s="169"/>
      <c r="V51" s="169"/>
      <c r="W51" s="169"/>
      <c r="X51" s="169"/>
      <c r="Y51" s="169"/>
      <c r="Z51" s="170"/>
      <c r="AA51" s="705"/>
      <c r="AB51" s="705"/>
      <c r="AC51" s="705"/>
      <c r="AD51" s="705"/>
      <c r="AE51" s="705"/>
      <c r="AF51" s="705"/>
      <c r="AG51" s="705"/>
      <c r="AH51" s="706"/>
      <c r="AJ51" s="453">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3">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L51" s="453">
        <f ca="1">IF(AND($D51="Serviço",AL$12&lt;&gt;0,$H51&gt;0,OR(AUTOEVENTO&lt;&gt;"manual",$M51&lt;&gt;$A$15)),
        IF(Import.TipoArredondamento&lt;&gt;"TransfereGOV",
              ROUND(OFFSET($P51,0,AL$13),15-13*ORÇAMENTO!$AF$7)/$H51*OFFSET(ORÇAMENTO!$X$15,ROW(AL51)-ROW(AL$15),0),
              ROUND(ROUND(OFFSET($P51,0,AL$13),15-13*ORÇAMENTO!$AF$7)*OFFSET(ORÇAMENTO!$W$15,ROW(AL51)-ROW(AL$15),0),15-13*ORÇAMENTO!$AF$11)),
         0)</f>
        <v>0</v>
      </c>
      <c r="AM51" s="453">
        <f ca="1">IF(AND($D51="Serviço",AM$12&lt;&gt;0,$H51&gt;0,OR(AUTOEVENTO&lt;&gt;"manual",$M51&lt;&gt;$A$15)),
        IF(Import.TipoArredondamento&lt;&gt;"TransfereGOV",
              ROUND(OFFSET($P51,0,AM$13),15-13*ORÇAMENTO!$AF$7)/$H51*OFFSET(ORÇAMENTO!$X$15,ROW(AM51)-ROW(AM$15),0),
              ROUND(ROUND(OFFSET($P51,0,AM$13),15-13*ORÇAMENTO!$AF$7)*OFFSET(ORÇAMENTO!$W$15,ROW(AM51)-ROW(AM$15),0),15-13*ORÇAMENTO!$AF$11)),
         0)</f>
        <v>0</v>
      </c>
      <c r="AN51" s="453">
        <f ca="1">IF(AND($D51="Serviço",AN$12&lt;&gt;0,$H51&gt;0,OR(AUTOEVENTO&lt;&gt;"manual",$M51&lt;&gt;$A$15)),
        IF(Import.TipoArredondamento&lt;&gt;"TransfereGOV",
              ROUND(OFFSET($P51,0,AN$13),15-13*ORÇAMENTO!$AF$7)/$H51*OFFSET(ORÇAMENTO!$X$15,ROW(AN51)-ROW(AN$15),0),
              ROUND(ROUND(OFFSET($P51,0,AN$13),15-13*ORÇAMENTO!$AF$7)*OFFSET(ORÇAMENTO!$W$15,ROW(AN51)-ROW(AN$15),0),15-13*ORÇAMENTO!$AF$11)),
         0)</f>
        <v>0</v>
      </c>
      <c r="AO51" s="453">
        <f ca="1">IF(AND($D51="Serviço",AO$12&lt;&gt;0,$H51&gt;0,OR(AUTOEVENTO&lt;&gt;"manual",$M51&lt;&gt;$A$15)),
        IF(Import.TipoArredondamento&lt;&gt;"TransfereGOV",
              ROUND(OFFSET($P51,0,AO$13),15-13*ORÇAMENTO!$AF$7)/$H51*OFFSET(ORÇAMENTO!$X$15,ROW(AO51)-ROW(AO$15),0),
              ROUND(ROUND(OFFSET($P51,0,AO$13),15-13*ORÇAMENTO!$AF$7)*OFFSET(ORÇAMENTO!$W$15,ROW(AO51)-ROW(AO$15),0),15-13*ORÇAMENTO!$AF$11)),
         0)</f>
        <v>0</v>
      </c>
      <c r="AP51" s="453">
        <f ca="1">IF(AND($D51="Serviço",AP$12&lt;&gt;0,$H51&gt;0,OR(AUTOEVENTO&lt;&gt;"manual",$M51&lt;&gt;$A$15)),
        IF(Import.TipoArredondamento&lt;&gt;"TransfereGOV",
              ROUND(OFFSET($P51,0,AP$13),15-13*ORÇAMENTO!$AF$7)/$H51*OFFSET(ORÇAMENTO!$X$15,ROW(AP51)-ROW(AP$15),0),
              ROUND(ROUND(OFFSET($P51,0,AP$13),15-13*ORÇAMENTO!$AF$7)*OFFSET(ORÇAMENTO!$W$15,ROW(AP51)-ROW(AP$15),0),15-13*ORÇAMENTO!$AF$11)),
         0)</f>
        <v>0</v>
      </c>
      <c r="AQ51" s="453">
        <f ca="1">IF(AND($D51="Serviço",AQ$12&lt;&gt;0,$H51&gt;0,OR(AUTOEVENTO&lt;&gt;"manual",$M51&lt;&gt;$A$15)),
        IF(Import.TipoArredondamento&lt;&gt;"TransfereGOV",
              ROUND(OFFSET($P51,0,AQ$13),15-13*ORÇAMENTO!$AF$7)/$H51*OFFSET(ORÇAMENTO!$X$15,ROW(AQ51)-ROW(AQ$15),0),
              ROUND(ROUND(OFFSET($P51,0,AQ$13),15-13*ORÇAMENTO!$AF$7)*OFFSET(ORÇAMENTO!$W$15,ROW(AQ51)-ROW(AQ$15),0),15-13*ORÇAMENTO!$AF$11)),
         0)</f>
        <v>0</v>
      </c>
      <c r="AR51" s="453">
        <f ca="1">IF(AND($D51="Serviço",AR$12&lt;&gt;0,$H51&gt;0,OR(AUTOEVENTO&lt;&gt;"manual",$M51&lt;&gt;$A$15)),
        IF(Import.TipoArredondamento&lt;&gt;"TransfereGOV",
              ROUND(OFFSET($P51,0,AR$13),15-13*ORÇAMENTO!$AF$7)/$H51*OFFSET(ORÇAMENTO!$X$15,ROW(AR51)-ROW(AR$15),0),
              ROUND(ROUND(OFFSET($P51,0,AR$13),15-13*ORÇAMENTO!$AF$7)*OFFSET(ORÇAMENTO!$W$15,ROW(AR51)-ROW(AR$15),0),15-13*ORÇAMENTO!$AF$11)),
         0)</f>
        <v>0</v>
      </c>
      <c r="AS51" s="453">
        <f ca="1">IF(AND($D51="Serviço",AS$12&lt;&gt;0,$H51&gt;0,OR(AUTOEVENTO&lt;&gt;"manual",$M51&lt;&gt;$A$15)),
        IF(Import.TipoArredondamento&lt;&gt;"TransfereGOV",
              ROUND(OFFSET($P51,0,AS$13),15-13*ORÇAMENTO!$AF$7)/$H51*OFFSET(ORÇAMENTO!$X$15,ROW(AS51)-ROW(AS$15),0),
              ROUND(ROUND(OFFSET($P51,0,AS$13),15-13*ORÇAMENTO!$AF$7)*OFFSET(ORÇAMENTO!$W$15,ROW(AS51)-ROW(AS$15),0),15-13*ORÇAMENTO!$AF$11)),
         0)</f>
        <v>0</v>
      </c>
      <c r="AT51" s="453">
        <f ca="1">IF(AND($D51="Serviço",AT$12&lt;&gt;0,$H51&gt;0,OR(AUTOEVENTO&lt;&gt;"manual",$M51&lt;&gt;$A$15)),
        IF(Import.TipoArredondamento&lt;&gt;"TransfereGOV",
              ROUND(OFFSET($P51,0,AT$13),15-13*ORÇAMENTO!$AF$7)/$H51*OFFSET(ORÇAMENTO!$X$15,ROW(AT51)-ROW(AT$15),0),
              ROUND(ROUND(OFFSET($P51,0,AT$13),15-13*ORÇAMENTO!$AF$7)*OFFSET(ORÇAMENTO!$W$15,ROW(AT51)-ROW(AT$15),0),15-13*ORÇAMENTO!$AF$11)),
         0)</f>
        <v>0</v>
      </c>
      <c r="AU51" s="453">
        <f ca="1">IF(AND($D51="Serviço",AU$12&lt;&gt;0,$H51&gt;0,OR(AUTOEVENTO&lt;&gt;"manual",$M51&lt;&gt;$A$15)),
        IF(Import.TipoArredondamento&lt;&gt;"TransfereGOV",
              ROUND(OFFSET($P51,0,AU$13),15-13*ORÇAMENTO!$AF$7)/$H51*OFFSET(ORÇAMENTO!$X$15,ROW(AU51)-ROW(AU$15),0),
              ROUND(ROUND(OFFSET($P51,0,AU$13),15-13*ORÇAMENTO!$AF$7)*OFFSET(ORÇAMENTO!$W$15,ROW(AU51)-ROW(AU$15),0),15-13*ORÇAMENTO!$AF$11)),
         0)</f>
        <v>0</v>
      </c>
      <c r="AV51" s="453">
        <f ca="1">IF(AND($D51="Serviço",AV$12&lt;&gt;0,$H51&gt;0,OR(AUTOEVENTO&lt;&gt;"manual",$M51&lt;&gt;$A$15)),
        IF(Import.TipoArredondamento&lt;&gt;"TransfereGOV",
              ROUND(OFFSET($P51,0,AV$13),15-13*ORÇAMENTO!$AF$7)/$H51*OFFSET(ORÇAMENTO!$X$15,ROW(AV51)-ROW(AV$15),0),
              ROUND(ROUND(OFFSET($P51,0,AV$13),15-13*ORÇAMENTO!$AF$7)*OFFSET(ORÇAMENTO!$W$15,ROW(AV51)-ROW(AV$15),0),15-13*ORÇAMENTO!$AF$11)),
         0)</f>
        <v>0</v>
      </c>
      <c r="AW51" s="453">
        <f ca="1">IF(AND($D51="Serviço",AW$12&lt;&gt;0,$H51&gt;0,OR(AUTOEVENTO&lt;&gt;"manual",$M51&lt;&gt;$A$15)),
        IF(Import.TipoArredondamento&lt;&gt;"TransfereGOV",
              ROUND(OFFSET($P51,0,AW$13),15-13*ORÇAMENTO!$AF$7)/$H51*OFFSET(ORÇAMENTO!$X$15,ROW(AW51)-ROW(AW$15),0),
              ROUND(ROUND(OFFSET($P51,0,AW$13),15-13*ORÇAMENTO!$AF$7)*OFFSET(ORÇAMENTO!$W$15,ROW(AW51)-ROW(AW$15),0),15-13*ORÇAMENTO!$AF$11)),
         0)</f>
        <v>0</v>
      </c>
      <c r="AX51" s="453">
        <f ca="1">IF(AND($D51="Serviço",AX$12&lt;&gt;0,$H51&gt;0,OR(AUTOEVENTO&lt;&gt;"manual",$M51&lt;&gt;$A$15)),
        IF(Import.TipoArredondamento&lt;&gt;"TransfereGOV",
              ROUND(OFFSET($P51,0,AX$13),15-13*ORÇAMENTO!$AF$7)/$H51*OFFSET(ORÇAMENTO!$X$15,ROW(AX51)-ROW(AX$15),0),
              ROUND(ROUND(OFFSET($P51,0,AX$13),15-13*ORÇAMENTO!$AF$7)*OFFSET(ORÇAMENTO!$W$15,ROW(AX51)-ROW(AX$15),0),15-13*ORÇAMENTO!$AF$11)),
         0)</f>
        <v>0</v>
      </c>
      <c r="AY51" s="453">
        <f ca="1">IF(AND($D51="Serviço",AY$12&lt;&gt;0,$H51&gt;0,OR(AUTOEVENTO&lt;&gt;"manual",$M51&lt;&gt;$A$15)),
        IF(Import.TipoArredondamento&lt;&gt;"TransfereGOV",
              ROUND(OFFSET($P51,0,AY$13),15-13*ORÇAMENTO!$AF$7)/$H51*OFFSET(ORÇAMENTO!$X$15,ROW(AY51)-ROW(AY$15),0),
              ROUND(ROUND(OFFSET($P51,0,AY$13),15-13*ORÇAMENTO!$AF$7)*OFFSET(ORÇAMENTO!$W$15,ROW(AY51)-ROW(AY$15),0),15-13*ORÇAMENTO!$AF$11)),
         0)</f>
        <v>0</v>
      </c>
      <c r="AZ51" s="453">
        <f ca="1">IF(AND($D51="Serviço",AZ$12&lt;&gt;0,$H51&gt;0,OR(AUTOEVENTO&lt;&gt;"manual",$M51&lt;&gt;$A$15)),
        IF(Import.TipoArredondamento&lt;&gt;"TransfereGOV",
              ROUND(OFFSET($P51,0,AZ$13),15-13*ORÇAMENTO!$AF$7)/$H51*OFFSET(ORÇAMENTO!$X$15,ROW(AZ51)-ROW(AZ$15),0),
              ROUND(ROUND(OFFSET($P51,0,AZ$13),15-13*ORÇAMENTO!$AF$7)*OFFSET(ORÇAMENTO!$W$15,ROW(AZ51)-ROW(AZ$15),0),15-13*ORÇAMENTO!$AF$11)),
         0)</f>
        <v>0</v>
      </c>
      <c r="BA51" s="453">
        <f ca="1">IF(AND($D51="Serviço",BA$12&lt;&gt;0,$H51&gt;0,OR(AUTOEVENTO&lt;&gt;"manual",$M51&lt;&gt;$A$15)),
        IF(Import.TipoArredondamento&lt;&gt;"TransfereGOV",
              ROUND(OFFSET($P51,0,BA$13),15-13*ORÇAMENTO!$AF$7)/$H51*OFFSET(ORÇAMENTO!$X$15,ROW(BA51)-ROW(BA$15),0),
              ROUND(ROUND(OFFSET($P51,0,BA$13),15-13*ORÇAMENTO!$AF$7)*OFFSET(ORÇAMENTO!$W$15,ROW(BA51)-ROW(BA$15),0),15-13*ORÇAMENTO!$AF$11)),
         0)</f>
        <v>0</v>
      </c>
      <c r="BC51" s="171">
        <f ca="1">IF(OR($D51&lt;&gt;"Serviço",AND(AUTOEVENTO="Manual",$M51=$A$15)),0,
         IF(OFFSET(CRONOPLE!$F$15,$M51-$A$15,BC$13)=0,10^12,OFFSET(CRONOPLE!$F$15,$M51-$A$15,BC$13)))</f>
        <v>0</v>
      </c>
      <c r="BD51" s="171">
        <f ca="1">IF(OR($D51&lt;&gt;"Serviço",AND(AUTOEVENTO="Manual",$M51=$A$15)),0,
         IF(OFFSET(CRONOPLE!$F$15,$M51-$A$15,BD$13)=0,10^12,OFFSET(CRONOPLE!$F$15,$M51-$A$15,BD$13)))</f>
        <v>0</v>
      </c>
      <c r="BE51" s="171">
        <f ca="1">IF(OR($D51&lt;&gt;"Serviço",AND(AUTOEVENTO="Manual",$M51=$A$15)),0,
         IF(OFFSET(CRONOPLE!$F$15,$M51-$A$15,BE$13)=0,10^12,OFFSET(CRONOPLE!$F$15,$M51-$A$15,BE$13)))</f>
        <v>0</v>
      </c>
      <c r="BF51" s="171">
        <f ca="1">IF(OR($D51&lt;&gt;"Serviço",AND(AUTOEVENTO="Manual",$M51=$A$15)),0,
         IF(OFFSET(CRONOPLE!$F$15,$M51-$A$15,BF$13)=0,10^12,OFFSET(CRONOPLE!$F$15,$M51-$A$15,BF$13)))</f>
        <v>0</v>
      </c>
      <c r="BG51" s="171">
        <f ca="1">IF(OR($D51&lt;&gt;"Serviço",AND(AUTOEVENTO="Manual",$M51=$A$15)),0,
         IF(OFFSET(CRONOPLE!$F$15,$M51-$A$15,BG$13)=0,10^12,OFFSET(CRONOPLE!$F$15,$M51-$A$15,BG$13)))</f>
        <v>0</v>
      </c>
      <c r="BH51" s="171">
        <f ca="1">IF(OR($D51&lt;&gt;"Serviço",AND(AUTOEVENTO="Manual",$M51=$A$15)),0,
         IF(OFFSET(CRONOPLE!$F$15,$M51-$A$15,BH$13)=0,10^12,OFFSET(CRONOPLE!$F$15,$M51-$A$15,BH$13)))</f>
        <v>0</v>
      </c>
      <c r="BI51" s="171">
        <f ca="1">IF(OR($D51&lt;&gt;"Serviço",AND(AUTOEVENTO="Manual",$M51=$A$15)),0,
         IF(OFFSET(CRONOPLE!$F$15,$M51-$A$15,BI$13)=0,10^12,OFFSET(CRONOPLE!$F$15,$M51-$A$15,BI$13)))</f>
        <v>0</v>
      </c>
      <c r="BJ51" s="171">
        <f ca="1">IF(OR($D51&lt;&gt;"Serviço",AND(AUTOEVENTO="Manual",$M51=$A$15)),0,
         IF(OFFSET(CRONOPLE!$F$15,$M51-$A$15,BJ$13)=0,10^12,OFFSET(CRONOPLE!$F$15,$M51-$A$15,BJ$13)))</f>
        <v>0</v>
      </c>
      <c r="BK51" s="171">
        <f ca="1">IF(OR($D51&lt;&gt;"Serviço",AND(AUTOEVENTO="Manual",$M51=$A$15)),0,
         IF(OFFSET(CRONOPLE!$F$15,$M51-$A$15,BK$13)=0,10^12,OFFSET(CRONOPLE!$F$15,$M51-$A$15,BK$13)))</f>
        <v>0</v>
      </c>
      <c r="BL51" s="171">
        <f ca="1">IF(OR($D51&lt;&gt;"Serviço",AND(AUTOEVENTO="Manual",$M51=$A$15)),0,
         IF(OFFSET(CRONOPLE!$F$15,$M51-$A$15,BL$13)=0,10^12,OFFSET(CRONOPLE!$F$15,$M51-$A$15,BL$13)))</f>
        <v>0</v>
      </c>
      <c r="BM51" s="171">
        <f ca="1">IF(OR($D51&lt;&gt;"Serviço",AND(AUTOEVENTO="Manual",$M51=$A$15)),0,
         IF(OFFSET(CRONOPLE!$F$15,$M51-$A$15,BM$13)=0,10^12,OFFSET(CRONOPLE!$F$15,$M51-$A$15,BM$13)))</f>
        <v>0</v>
      </c>
      <c r="BN51" s="171">
        <f ca="1">IF(OR($D51&lt;&gt;"Serviço",AND(AUTOEVENTO="Manual",$M51=$A$15)),0,
         IF(OFFSET(CRONOPLE!$F$15,$M51-$A$15,BN$13)=0,10^12,OFFSET(CRONOPLE!$F$15,$M51-$A$15,BN$13)))</f>
        <v>0</v>
      </c>
      <c r="BO51" s="171">
        <f ca="1">IF(OR($D51&lt;&gt;"Serviço",AND(AUTOEVENTO="Manual",$M51=$A$15)),0,
         IF(OFFSET(CRONOPLE!$F$15,$M51-$A$15,BO$13)=0,10^12,OFFSET(CRONOPLE!$F$15,$M51-$A$15,BO$13)))</f>
        <v>0</v>
      </c>
      <c r="BP51" s="171">
        <f ca="1">IF(OR($D51&lt;&gt;"Serviço",AND(AUTOEVENTO="Manual",$M51=$A$15)),0,
         IF(OFFSET(CRONOPLE!$F$15,$M51-$A$15,BP$13)=0,10^12,OFFSET(CRONOPLE!$F$15,$M51-$A$15,BP$13)))</f>
        <v>0</v>
      </c>
      <c r="BQ51" s="171">
        <f ca="1">IF(OR($D51&lt;&gt;"Serviço",AND(AUTOEVENTO="Manual",$M51=$A$15)),0,
         IF(OFFSET(CRONOPLE!$F$15,$M51-$A$15,BQ$13)=0,10^12,OFFSET(CRONOPLE!$F$15,$M51-$A$15,BQ$13)))</f>
        <v>0</v>
      </c>
      <c r="BR51" s="171">
        <f ca="1">IF(OR($D51&lt;&gt;"Serviço",AND(AUTOEVENTO="Manual",$M51=$A$15)),0,
         IF(OFFSET(CRONOPLE!$F$15,$M51-$A$15,BR$13)=0,10^12,OFFSET(CRONOPLE!$F$15,$M51-$A$15,BR$13)))</f>
        <v>0</v>
      </c>
      <c r="BS51" s="171">
        <f ca="1">IF(OR($D51&lt;&gt;"Serviço",AND(AUTOEVENTO="Manual",$M51=$A$15)),0,
         IF(OFFSET(CRONOPLE!$F$15,$M51-$A$15,BS$13)=0,10^12,OFFSET(CRONOPLE!$F$15,$M51-$A$15,BS$13)))</f>
        <v>0</v>
      </c>
      <c r="BT51" s="171">
        <f ca="1">IF(OR($D51&lt;&gt;"Serviço",AND(AUTOEVENTO="Manual",$M51=$A$15)),0,
         IF(OFFSET(CRONOPLE!$F$15,$M51-$A$15,BT$13)=0,10^12,OFFSET(CRONOPLE!$F$15,$M51-$A$15,BT$13)))</f>
        <v>0</v>
      </c>
      <c r="BV51" s="172" cm="1">
        <f t="array" aca="1" ref="BV51" ca="1">IF(OR($D51&lt;&gt;"Serviço",AND(AUTOEVENTO="Manual",$M51=$A$15),$M51&gt;(ROW(PLE.lastrow)-ROW(PLE.firstrow))),0,
           IF(OFFSET(PLE!$G$15,$M51-$A$15,BV$13)="",10^12,OFFSET(PLE!$G$15,$M51-$A$15,BV$13)))</f>
        <v>0</v>
      </c>
      <c r="BW51" s="172" cm="1">
        <f t="array" aca="1" ref="BW51" ca="1">IF(OR($D51&lt;&gt;"Serviço",AND(AUTOEVENTO="Manual",$M51=$A$15),$M51&gt;(ROW(PLE.lastrow)-ROW(PLE.firstrow))),0,
           IF(OFFSET(PLE!$G$15,$M51-$A$15,BW$13)="",10^12,OFFSET(PLE!$G$15,$M51-$A$15,BW$13)))</f>
        <v>0</v>
      </c>
      <c r="BX51" s="172" cm="1">
        <f t="array" aca="1" ref="BX51" ca="1">IF(OR($D51&lt;&gt;"Serviço",AND(AUTOEVENTO="Manual",$M51=$A$15),$M51&gt;(ROW(PLE.lastrow)-ROW(PLE.firstrow))),0,
           IF(OFFSET(PLE!$G$15,$M51-$A$15,BX$13)="",10^12,OFFSET(PLE!$G$15,$M51-$A$15,BX$13)))</f>
        <v>0</v>
      </c>
      <c r="BY51" s="172" cm="1">
        <f t="array" aca="1" ref="BY51" ca="1">IF(OR($D51&lt;&gt;"Serviço",AND(AUTOEVENTO="Manual",$M51=$A$15),$M51&gt;(ROW(PLE.lastrow)-ROW(PLE.firstrow))),0,
           IF(OFFSET(PLE!$G$15,$M51-$A$15,BY$13)="",10^12,OFFSET(PLE!$G$15,$M51-$A$15,BY$13)))</f>
        <v>0</v>
      </c>
      <c r="BZ51" s="172" cm="1">
        <f t="array" aca="1" ref="BZ51" ca="1">IF(OR($D51&lt;&gt;"Serviço",AND(AUTOEVENTO="Manual",$M51=$A$15),$M51&gt;(ROW(PLE.lastrow)-ROW(PLE.firstrow))),0,
           IF(OFFSET(PLE!$G$15,$M51-$A$15,BZ$13)="",10^12,OFFSET(PLE!$G$15,$M51-$A$15,BZ$13)))</f>
        <v>0</v>
      </c>
      <c r="CA51" s="172" cm="1">
        <f t="array" aca="1" ref="CA51" ca="1">IF(OR($D51&lt;&gt;"Serviço",AND(AUTOEVENTO="Manual",$M51=$A$15),$M51&gt;(ROW(PLE.lastrow)-ROW(PLE.firstrow))),0,
           IF(OFFSET(PLE!$G$15,$M51-$A$15,CA$13)="",10^12,OFFSET(PLE!$G$15,$M51-$A$15,CA$13)))</f>
        <v>0</v>
      </c>
      <c r="CB51" s="172" cm="1">
        <f t="array" aca="1" ref="CB51" ca="1">IF(OR($D51&lt;&gt;"Serviço",AND(AUTOEVENTO="Manual",$M51=$A$15),$M51&gt;(ROW(PLE.lastrow)-ROW(PLE.firstrow))),0,
           IF(OFFSET(PLE!$G$15,$M51-$A$15,CB$13)="",10^12,OFFSET(PLE!$G$15,$M51-$A$15,CB$13)))</f>
        <v>0</v>
      </c>
      <c r="CC51" s="172" cm="1">
        <f t="array" aca="1" ref="CC51" ca="1">IF(OR($D51&lt;&gt;"Serviço",AND(AUTOEVENTO="Manual",$M51=$A$15),$M51&gt;(ROW(PLE.lastrow)-ROW(PLE.firstrow))),0,
           IF(OFFSET(PLE!$G$15,$M51-$A$15,CC$13)="",10^12,OFFSET(PLE!$G$15,$M51-$A$15,CC$13)))</f>
        <v>0</v>
      </c>
      <c r="CD51" s="172" cm="1">
        <f t="array" aca="1" ref="CD51" ca="1">IF(OR($D51&lt;&gt;"Serviço",AND(AUTOEVENTO="Manual",$M51=$A$15),$M51&gt;(ROW(PLE.lastrow)-ROW(PLE.firstrow))),0,
           IF(OFFSET(PLE!$G$15,$M51-$A$15,CD$13)="",10^12,OFFSET(PLE!$G$15,$M51-$A$15,CD$13)))</f>
        <v>0</v>
      </c>
      <c r="CE51" s="172" cm="1">
        <f t="array" aca="1" ref="CE51" ca="1">IF(OR($D51&lt;&gt;"Serviço",AND(AUTOEVENTO="Manual",$M51=$A$15),$M51&gt;(ROW(PLE.lastrow)-ROW(PLE.firstrow))),0,
           IF(OFFSET(PLE!$G$15,$M51-$A$15,CE$13)="",10^12,OFFSET(PLE!$G$15,$M51-$A$15,CE$13)))</f>
        <v>0</v>
      </c>
      <c r="CF51" s="172" cm="1">
        <f t="array" aca="1" ref="CF51" ca="1">IF(OR($D51&lt;&gt;"Serviço",AND(AUTOEVENTO="Manual",$M51=$A$15),$M51&gt;(ROW(PLE.lastrow)-ROW(PLE.firstrow))),0,
           IF(OFFSET(PLE!$G$15,$M51-$A$15,CF$13)="",10^12,OFFSET(PLE!$G$15,$M51-$A$15,CF$13)))</f>
        <v>0</v>
      </c>
      <c r="CG51" s="172" cm="1">
        <f t="array" aca="1" ref="CG51" ca="1">IF(OR($D51&lt;&gt;"Serviço",AND(AUTOEVENTO="Manual",$M51=$A$15),$M51&gt;(ROW(PLE.lastrow)-ROW(PLE.firstrow))),0,
           IF(OFFSET(PLE!$G$15,$M51-$A$15,CG$13)="",10^12,OFFSET(PLE!$G$15,$M51-$A$15,CG$13)))</f>
        <v>0</v>
      </c>
      <c r="CH51" s="172" cm="1">
        <f t="array" aca="1" ref="CH51" ca="1">IF(OR($D51&lt;&gt;"Serviço",AND(AUTOEVENTO="Manual",$M51=$A$15),$M51&gt;(ROW(PLE.lastrow)-ROW(PLE.firstrow))),0,
           IF(OFFSET(PLE!$G$15,$M51-$A$15,CH$13)="",10^12,OFFSET(PLE!$G$15,$M51-$A$15,CH$13)))</f>
        <v>0</v>
      </c>
      <c r="CI51" s="172" cm="1">
        <f t="array" aca="1" ref="CI51" ca="1">IF(OR($D51&lt;&gt;"Serviço",AND(AUTOEVENTO="Manual",$M51=$A$15),$M51&gt;(ROW(PLE.lastrow)-ROW(PLE.firstrow))),0,
           IF(OFFSET(PLE!$G$15,$M51-$A$15,CI$13)="",10^12,OFFSET(PLE!$G$15,$M51-$A$15,CI$13)))</f>
        <v>0</v>
      </c>
      <c r="CJ51" s="172" cm="1">
        <f t="array" aca="1" ref="CJ51" ca="1">IF(OR($D51&lt;&gt;"Serviço",AND(AUTOEVENTO="Manual",$M51=$A$15),$M51&gt;(ROW(PLE.lastrow)-ROW(PLE.firstrow))),0,
           IF(OFFSET(PLE!$G$15,$M51-$A$15,CJ$13)="",10^12,OFFSET(PLE!$G$15,$M51-$A$15,CJ$13)))</f>
        <v>0</v>
      </c>
      <c r="CK51" s="172" cm="1">
        <f t="array" aca="1" ref="CK51" ca="1">IF(OR($D51&lt;&gt;"Serviço",AND(AUTOEVENTO="Manual",$M51=$A$15),$M51&gt;(ROW(PLE.lastrow)-ROW(PLE.firstrow))),0,
           IF(OFFSET(PLE!$G$15,$M51-$A$15,CK$13)="",10^12,OFFSET(PLE!$G$15,$M51-$A$15,CK$13)))</f>
        <v>0</v>
      </c>
      <c r="CL51" s="172" cm="1">
        <f t="array" aca="1" ref="CL51" ca="1">IF(OR($D51&lt;&gt;"Serviço",AND(AUTOEVENTO="Manual",$M51=$A$15),$M51&gt;(ROW(PLE.lastrow)-ROW(PLE.firstrow))),0,
           IF(OFFSET(PLE!$G$15,$M51-$A$15,CL$13)="",10^12,OFFSET(PLE!$G$15,$M51-$A$15,CL$13)))</f>
        <v>0</v>
      </c>
      <c r="CM51" s="172" cm="1">
        <f t="array" aca="1" ref="CM51" ca="1">IF(OR($D51&lt;&gt;"Serviço",AND(AUTOEVENTO="Manual",$M51=$A$15),$M51&gt;(ROW(PLE.lastrow)-ROW(PLE.firstrow))),0,
           IF(OFFSET(PLE!$G$15,$M51-$A$15,CM$13)="",10^12,OFFSET(PLE!$G$15,$M51-$A$15,CM$13)))</f>
        <v>0</v>
      </c>
    </row>
    <row r="52" spans="1:91" s="670" customFormat="1" ht="25.5" x14ac:dyDescent="0.2">
      <c r="A52" s="668">
        <f t="shared" ca="1" si="10"/>
        <v>6</v>
      </c>
      <c r="B52" s="668" t="str">
        <f ca="1">OFFSET(ORÇAMENTO!C$15,$L52,0)</f>
        <v>S</v>
      </c>
      <c r="C52" s="668" t="str">
        <f ca="1">OFFSET(ORÇAMENTO!L$15,$L52,0)</f>
        <v>F</v>
      </c>
      <c r="D52" s="116" t="str">
        <f ca="1">OFFSET(ORÇAMENTO!N$15,$L52,0)</f>
        <v>Serviço</v>
      </c>
      <c r="E52" s="117" t="str">
        <f ca="1">OFFSET(ORÇAMENTO!O$15,$L52,0)</f>
        <v>1.8.1.</v>
      </c>
      <c r="F52" s="163" t="str">
        <f ca="1">OFFSET(ORÇAMENTO!R$15,$L52,0)</f>
        <v>REMOÇÃO DE TRAMA METÁLICA PARA COBERTURA, DE FORMA MANUAL, SEM REAPROVEITAMENTO. AF_09/2023</v>
      </c>
      <c r="G52" s="164" t="str">
        <f ca="1">IF($D52&lt;&gt;"Serviço","",OFFSET(ORÇAMENTO!S$15,$L52,0))</f>
        <v>M2</v>
      </c>
      <c r="H52" s="122" cm="1">
        <f t="array" aca="1" ref="H52" ca="1">IF($D52&lt;&gt;"Serviço",0,IF(ACOMPANHAMENTO="BM",ROUND(OFFSET(ORÇAMENTO!AJ$15,$L52,0),15-13*ORÇAMENTO!$AF$7),IF(IFERROR(CÁLCULO.FrentesPreenchidas,0)=0,0,SUM(ROUND(OFFSET($P52,0,1,1,CÁLCULO.FrentesPreenchidas),15-13*ORÇAMENTO!$AF$7)))))</f>
        <v>210.1</v>
      </c>
      <c r="I52" s="468" t="s">
        <v>1143</v>
      </c>
      <c r="J52" s="651" t="str" cm="1">
        <f t="array" aca="1" ref="J52" ca="1">IF(OR(B52&lt;&gt;"S",CÁLCULO.FrentesPreenchidas=0),"",IF(AND(ACOMPANHAMENTO="PLE",AUTOEVENTO="Manual",OR(H52&gt;0,ORÇAMENTO!AC52="QUANT."),OR(K52="",M52=0,N52="")),"►E",IF(AND(ACOMPANHAMENTO="PLE",ORÇAMENTO!AC52="QUANT."),"►Q",IF(AND(ACOMPANHAMENTO="PLE",H52&lt;&gt;SUMPRODUCT(($Q$1:$AI$1=1)*ROUND(Q52:AI52,15))),"►S",IF(AND(COUNTIF($P$11:$AI$11,"▼")=0,H52&gt;0,I52=""),"◄M","")))))</f>
        <v/>
      </c>
      <c r="K52" s="652" t="s">
        <v>1345</v>
      </c>
      <c r="L52" s="165">
        <f t="shared" ca="1" si="11"/>
        <v>37</v>
      </c>
      <c r="M52" s="166">
        <f ca="1">IF($D52&lt;&gt;"Serviço","",
          IF(AUTOEVENTO="manual",$A52,
                IF(ISERROR(MATCH($A52,$A$15:OFFSET($A52,-1,0),0)),MAX($M$15:OFFSET(M52,-1,0))+1,
                      INDEX($M$15:OFFSET(M52,-1,0),MATCH($A52,$A$15:OFFSET($A52,-1,0),0)))))</f>
        <v>6</v>
      </c>
      <c r="N52" s="167" t="str">
        <f ca="1">IF($D52&lt;&gt;"Serviço","",
         IF(AUTOEVENTO="Manual",
                IF($A52=0,"&lt;-- defina o número do agrupador",
                       OFFSET(EVENTOS!$D$15,$A52-$A$15,0)),
                OFFSET($F$15,$A52,0)))</f>
        <v>Demolições / Remoções</v>
      </c>
      <c r="O52" s="168"/>
      <c r="Q52" s="168"/>
      <c r="R52" s="169"/>
      <c r="S52" s="169"/>
      <c r="T52" s="169">
        <v>210.1</v>
      </c>
      <c r="U52" s="169"/>
      <c r="V52" s="169"/>
      <c r="W52" s="169"/>
      <c r="X52" s="169"/>
      <c r="Y52" s="169"/>
      <c r="Z52" s="170"/>
      <c r="AA52" s="705"/>
      <c r="AB52" s="705"/>
      <c r="AC52" s="705"/>
      <c r="AD52" s="705"/>
      <c r="AE52" s="705"/>
      <c r="AF52" s="705"/>
      <c r="AG52" s="705"/>
      <c r="AH52" s="706"/>
      <c r="AJ52" s="453">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3">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L52" s="453">
        <f ca="1">IF(AND($D52="Serviço",AL$12&lt;&gt;0,$H52&gt;0,OR(AUTOEVENTO&lt;&gt;"manual",$M52&lt;&gt;$A$15)),
        IF(Import.TipoArredondamento&lt;&gt;"TransfereGOV",
              ROUND(OFFSET($P52,0,AL$13),15-13*ORÇAMENTO!$AF$7)/$H52*OFFSET(ORÇAMENTO!$X$15,ROW(AL52)-ROW(AL$15),0),
              ROUND(ROUND(OFFSET($P52,0,AL$13),15-13*ORÇAMENTO!$AF$7)*OFFSET(ORÇAMENTO!$W$15,ROW(AL52)-ROW(AL$15),0),15-13*ORÇAMENTO!$AF$11)),
         0)</f>
        <v>0</v>
      </c>
      <c r="AM52" s="453">
        <f ca="1">IF(AND($D52="Serviço",AM$12&lt;&gt;0,$H52&gt;0,OR(AUTOEVENTO&lt;&gt;"manual",$M52&lt;&gt;$A$15)),
        IF(Import.TipoArredondamento&lt;&gt;"TransfereGOV",
              ROUND(OFFSET($P52,0,AM$13),15-13*ORÇAMENTO!$AF$7)/$H52*OFFSET(ORÇAMENTO!$X$15,ROW(AM52)-ROW(AM$15),0),
              ROUND(ROUND(OFFSET($P52,0,AM$13),15-13*ORÇAMENTO!$AF$7)*OFFSET(ORÇAMENTO!$W$15,ROW(AM52)-ROW(AM$15),0),15-13*ORÇAMENTO!$AF$11)),
         0)</f>
        <v>9412.48</v>
      </c>
      <c r="AN52" s="453">
        <f ca="1">IF(AND($D52="Serviço",AN$12&lt;&gt;0,$H52&gt;0,OR(AUTOEVENTO&lt;&gt;"manual",$M52&lt;&gt;$A$15)),
        IF(Import.TipoArredondamento&lt;&gt;"TransfereGOV",
              ROUND(OFFSET($P52,0,AN$13),15-13*ORÇAMENTO!$AF$7)/$H52*OFFSET(ORÇAMENTO!$X$15,ROW(AN52)-ROW(AN$15),0),
              ROUND(ROUND(OFFSET($P52,0,AN$13),15-13*ORÇAMENTO!$AF$7)*OFFSET(ORÇAMENTO!$W$15,ROW(AN52)-ROW(AN$15),0),15-13*ORÇAMENTO!$AF$11)),
         0)</f>
        <v>0</v>
      </c>
      <c r="AO52" s="453">
        <f ca="1">IF(AND($D52="Serviço",AO$12&lt;&gt;0,$H52&gt;0,OR(AUTOEVENTO&lt;&gt;"manual",$M52&lt;&gt;$A$15)),
        IF(Import.TipoArredondamento&lt;&gt;"TransfereGOV",
              ROUND(OFFSET($P52,0,AO$13),15-13*ORÇAMENTO!$AF$7)/$H52*OFFSET(ORÇAMENTO!$X$15,ROW(AO52)-ROW(AO$15),0),
              ROUND(ROUND(OFFSET($P52,0,AO$13),15-13*ORÇAMENTO!$AF$7)*OFFSET(ORÇAMENTO!$W$15,ROW(AO52)-ROW(AO$15),0),15-13*ORÇAMENTO!$AF$11)),
         0)</f>
        <v>0</v>
      </c>
      <c r="AP52" s="453">
        <f ca="1">IF(AND($D52="Serviço",AP$12&lt;&gt;0,$H52&gt;0,OR(AUTOEVENTO&lt;&gt;"manual",$M52&lt;&gt;$A$15)),
        IF(Import.TipoArredondamento&lt;&gt;"TransfereGOV",
              ROUND(OFFSET($P52,0,AP$13),15-13*ORÇAMENTO!$AF$7)/$H52*OFFSET(ORÇAMENTO!$X$15,ROW(AP52)-ROW(AP$15),0),
              ROUND(ROUND(OFFSET($P52,0,AP$13),15-13*ORÇAMENTO!$AF$7)*OFFSET(ORÇAMENTO!$W$15,ROW(AP52)-ROW(AP$15),0),15-13*ORÇAMENTO!$AF$11)),
         0)</f>
        <v>0</v>
      </c>
      <c r="AQ52" s="453">
        <f ca="1">IF(AND($D52="Serviço",AQ$12&lt;&gt;0,$H52&gt;0,OR(AUTOEVENTO&lt;&gt;"manual",$M52&lt;&gt;$A$15)),
        IF(Import.TipoArredondamento&lt;&gt;"TransfereGOV",
              ROUND(OFFSET($P52,0,AQ$13),15-13*ORÇAMENTO!$AF$7)/$H52*OFFSET(ORÇAMENTO!$X$15,ROW(AQ52)-ROW(AQ$15),0),
              ROUND(ROUND(OFFSET($P52,0,AQ$13),15-13*ORÇAMENTO!$AF$7)*OFFSET(ORÇAMENTO!$W$15,ROW(AQ52)-ROW(AQ$15),0),15-13*ORÇAMENTO!$AF$11)),
         0)</f>
        <v>0</v>
      </c>
      <c r="AR52" s="453">
        <f ca="1">IF(AND($D52="Serviço",AR$12&lt;&gt;0,$H52&gt;0,OR(AUTOEVENTO&lt;&gt;"manual",$M52&lt;&gt;$A$15)),
        IF(Import.TipoArredondamento&lt;&gt;"TransfereGOV",
              ROUND(OFFSET($P52,0,AR$13),15-13*ORÇAMENTO!$AF$7)/$H52*OFFSET(ORÇAMENTO!$X$15,ROW(AR52)-ROW(AR$15),0),
              ROUND(ROUND(OFFSET($P52,0,AR$13),15-13*ORÇAMENTO!$AF$7)*OFFSET(ORÇAMENTO!$W$15,ROW(AR52)-ROW(AR$15),0),15-13*ORÇAMENTO!$AF$11)),
         0)</f>
        <v>0</v>
      </c>
      <c r="AS52" s="453">
        <f ca="1">IF(AND($D52="Serviço",AS$12&lt;&gt;0,$H52&gt;0,OR(AUTOEVENTO&lt;&gt;"manual",$M52&lt;&gt;$A$15)),
        IF(Import.TipoArredondamento&lt;&gt;"TransfereGOV",
              ROUND(OFFSET($P52,0,AS$13),15-13*ORÇAMENTO!$AF$7)/$H52*OFFSET(ORÇAMENTO!$X$15,ROW(AS52)-ROW(AS$15),0),
              ROUND(ROUND(OFFSET($P52,0,AS$13),15-13*ORÇAMENTO!$AF$7)*OFFSET(ORÇAMENTO!$W$15,ROW(AS52)-ROW(AS$15),0),15-13*ORÇAMENTO!$AF$11)),
         0)</f>
        <v>0</v>
      </c>
      <c r="AT52" s="453">
        <f ca="1">IF(AND($D52="Serviço",AT$12&lt;&gt;0,$H52&gt;0,OR(AUTOEVENTO&lt;&gt;"manual",$M52&lt;&gt;$A$15)),
        IF(Import.TipoArredondamento&lt;&gt;"TransfereGOV",
              ROUND(OFFSET($P52,0,AT$13),15-13*ORÇAMENTO!$AF$7)/$H52*OFFSET(ORÇAMENTO!$X$15,ROW(AT52)-ROW(AT$15),0),
              ROUND(ROUND(OFFSET($P52,0,AT$13),15-13*ORÇAMENTO!$AF$7)*OFFSET(ORÇAMENTO!$W$15,ROW(AT52)-ROW(AT$15),0),15-13*ORÇAMENTO!$AF$11)),
         0)</f>
        <v>0</v>
      </c>
      <c r="AU52" s="453">
        <f ca="1">IF(AND($D52="Serviço",AU$12&lt;&gt;0,$H52&gt;0,OR(AUTOEVENTO&lt;&gt;"manual",$M52&lt;&gt;$A$15)),
        IF(Import.TipoArredondamento&lt;&gt;"TransfereGOV",
              ROUND(OFFSET($P52,0,AU$13),15-13*ORÇAMENTO!$AF$7)/$H52*OFFSET(ORÇAMENTO!$X$15,ROW(AU52)-ROW(AU$15),0),
              ROUND(ROUND(OFFSET($P52,0,AU$13),15-13*ORÇAMENTO!$AF$7)*OFFSET(ORÇAMENTO!$W$15,ROW(AU52)-ROW(AU$15),0),15-13*ORÇAMENTO!$AF$11)),
         0)</f>
        <v>0</v>
      </c>
      <c r="AV52" s="453">
        <f ca="1">IF(AND($D52="Serviço",AV$12&lt;&gt;0,$H52&gt;0,OR(AUTOEVENTO&lt;&gt;"manual",$M52&lt;&gt;$A$15)),
        IF(Import.TipoArredondamento&lt;&gt;"TransfereGOV",
              ROUND(OFFSET($P52,0,AV$13),15-13*ORÇAMENTO!$AF$7)/$H52*OFFSET(ORÇAMENTO!$X$15,ROW(AV52)-ROW(AV$15),0),
              ROUND(ROUND(OFFSET($P52,0,AV$13),15-13*ORÇAMENTO!$AF$7)*OFFSET(ORÇAMENTO!$W$15,ROW(AV52)-ROW(AV$15),0),15-13*ORÇAMENTO!$AF$11)),
         0)</f>
        <v>0</v>
      </c>
      <c r="AW52" s="453">
        <f ca="1">IF(AND($D52="Serviço",AW$12&lt;&gt;0,$H52&gt;0,OR(AUTOEVENTO&lt;&gt;"manual",$M52&lt;&gt;$A$15)),
        IF(Import.TipoArredondamento&lt;&gt;"TransfereGOV",
              ROUND(OFFSET($P52,0,AW$13),15-13*ORÇAMENTO!$AF$7)/$H52*OFFSET(ORÇAMENTO!$X$15,ROW(AW52)-ROW(AW$15),0),
              ROUND(ROUND(OFFSET($P52,0,AW$13),15-13*ORÇAMENTO!$AF$7)*OFFSET(ORÇAMENTO!$W$15,ROW(AW52)-ROW(AW$15),0),15-13*ORÇAMENTO!$AF$11)),
         0)</f>
        <v>0</v>
      </c>
      <c r="AX52" s="453">
        <f ca="1">IF(AND($D52="Serviço",AX$12&lt;&gt;0,$H52&gt;0,OR(AUTOEVENTO&lt;&gt;"manual",$M52&lt;&gt;$A$15)),
        IF(Import.TipoArredondamento&lt;&gt;"TransfereGOV",
              ROUND(OFFSET($P52,0,AX$13),15-13*ORÇAMENTO!$AF$7)/$H52*OFFSET(ORÇAMENTO!$X$15,ROW(AX52)-ROW(AX$15),0),
              ROUND(ROUND(OFFSET($P52,0,AX$13),15-13*ORÇAMENTO!$AF$7)*OFFSET(ORÇAMENTO!$W$15,ROW(AX52)-ROW(AX$15),0),15-13*ORÇAMENTO!$AF$11)),
         0)</f>
        <v>0</v>
      </c>
      <c r="AY52" s="453">
        <f ca="1">IF(AND($D52="Serviço",AY$12&lt;&gt;0,$H52&gt;0,OR(AUTOEVENTO&lt;&gt;"manual",$M52&lt;&gt;$A$15)),
        IF(Import.TipoArredondamento&lt;&gt;"TransfereGOV",
              ROUND(OFFSET($P52,0,AY$13),15-13*ORÇAMENTO!$AF$7)/$H52*OFFSET(ORÇAMENTO!$X$15,ROW(AY52)-ROW(AY$15),0),
              ROUND(ROUND(OFFSET($P52,0,AY$13),15-13*ORÇAMENTO!$AF$7)*OFFSET(ORÇAMENTO!$W$15,ROW(AY52)-ROW(AY$15),0),15-13*ORÇAMENTO!$AF$11)),
         0)</f>
        <v>0</v>
      </c>
      <c r="AZ52" s="453">
        <f ca="1">IF(AND($D52="Serviço",AZ$12&lt;&gt;0,$H52&gt;0,OR(AUTOEVENTO&lt;&gt;"manual",$M52&lt;&gt;$A$15)),
        IF(Import.TipoArredondamento&lt;&gt;"TransfereGOV",
              ROUND(OFFSET($P52,0,AZ$13),15-13*ORÇAMENTO!$AF$7)/$H52*OFFSET(ORÇAMENTO!$X$15,ROW(AZ52)-ROW(AZ$15),0),
              ROUND(ROUND(OFFSET($P52,0,AZ$13),15-13*ORÇAMENTO!$AF$7)*OFFSET(ORÇAMENTO!$W$15,ROW(AZ52)-ROW(AZ$15),0),15-13*ORÇAMENTO!$AF$11)),
         0)</f>
        <v>0</v>
      </c>
      <c r="BA52" s="453">
        <f ca="1">IF(AND($D52="Serviço",BA$12&lt;&gt;0,$H52&gt;0,OR(AUTOEVENTO&lt;&gt;"manual",$M52&lt;&gt;$A$15)),
        IF(Import.TipoArredondamento&lt;&gt;"TransfereGOV",
              ROUND(OFFSET($P52,0,BA$13),15-13*ORÇAMENTO!$AF$7)/$H52*OFFSET(ORÇAMENTO!$X$15,ROW(BA52)-ROW(BA$15),0),
              ROUND(ROUND(OFFSET($P52,0,BA$13),15-13*ORÇAMENTO!$AF$7)*OFFSET(ORÇAMENTO!$W$15,ROW(BA52)-ROW(BA$15),0),15-13*ORÇAMENTO!$AF$11)),
         0)</f>
        <v>0</v>
      </c>
      <c r="BC52" s="171">
        <f ca="1">IF(OR($D52&lt;&gt;"Serviço",AND(AUTOEVENTO="Manual",$M52=$A$15)),0,
         IF(OFFSET(CRONOPLE!$F$15,$M52-$A$15,BC$13)=0,10^12,OFFSET(CRONOPLE!$F$15,$M52-$A$15,BC$13)))</f>
        <v>10</v>
      </c>
      <c r="BD52" s="171">
        <f ca="1">IF(OR($D52&lt;&gt;"Serviço",AND(AUTOEVENTO="Manual",$M52=$A$15)),0,
         IF(OFFSET(CRONOPLE!$F$15,$M52-$A$15,BD$13)=0,10^12,OFFSET(CRONOPLE!$F$15,$M52-$A$15,BD$13)))</f>
        <v>1000000000000</v>
      </c>
      <c r="BE52" s="171">
        <f ca="1">IF(OR($D52&lt;&gt;"Serviço",AND(AUTOEVENTO="Manual",$M52=$A$15)),0,
         IF(OFFSET(CRONOPLE!$F$15,$M52-$A$15,BE$13)=0,10^12,OFFSET(CRONOPLE!$F$15,$M52-$A$15,BE$13)))</f>
        <v>1000000000000</v>
      </c>
      <c r="BF52" s="171">
        <f ca="1">IF(OR($D52&lt;&gt;"Serviço",AND(AUTOEVENTO="Manual",$M52=$A$15)),0,
         IF(OFFSET(CRONOPLE!$F$15,$M52-$A$15,BF$13)=0,10^12,OFFSET(CRONOPLE!$F$15,$M52-$A$15,BF$13)))</f>
        <v>9</v>
      </c>
      <c r="BG52" s="171">
        <f ca="1">IF(OR($D52&lt;&gt;"Serviço",AND(AUTOEVENTO="Manual",$M52=$A$15)),0,
         IF(OFFSET(CRONOPLE!$F$15,$M52-$A$15,BG$13)=0,10^12,OFFSET(CRONOPLE!$F$15,$M52-$A$15,BG$13)))</f>
        <v>1000000000000</v>
      </c>
      <c r="BH52" s="171">
        <f ca="1">IF(OR($D52&lt;&gt;"Serviço",AND(AUTOEVENTO="Manual",$M52=$A$15)),0,
         IF(OFFSET(CRONOPLE!$F$15,$M52-$A$15,BH$13)=0,10^12,OFFSET(CRONOPLE!$F$15,$M52-$A$15,BH$13)))</f>
        <v>1000000000000</v>
      </c>
      <c r="BI52" s="171">
        <f ca="1">IF(OR($D52&lt;&gt;"Serviço",AND(AUTOEVENTO="Manual",$M52=$A$15)),0,
         IF(OFFSET(CRONOPLE!$F$15,$M52-$A$15,BI$13)=0,10^12,OFFSET(CRONOPLE!$F$15,$M52-$A$15,BI$13)))</f>
        <v>1000000000000</v>
      </c>
      <c r="BJ52" s="171">
        <f ca="1">IF(OR($D52&lt;&gt;"Serviço",AND(AUTOEVENTO="Manual",$M52=$A$15)),0,
         IF(OFFSET(CRONOPLE!$F$15,$M52-$A$15,BJ$13)=0,10^12,OFFSET(CRONOPLE!$F$15,$M52-$A$15,BJ$13)))</f>
        <v>1000000000000</v>
      </c>
      <c r="BK52" s="171">
        <f ca="1">IF(OR($D52&lt;&gt;"Serviço",AND(AUTOEVENTO="Manual",$M52=$A$15)),0,
         IF(OFFSET(CRONOPLE!$F$15,$M52-$A$15,BK$13)=0,10^12,OFFSET(CRONOPLE!$F$15,$M52-$A$15,BK$13)))</f>
        <v>1000000000000</v>
      </c>
      <c r="BL52" s="171">
        <f ca="1">IF(OR($D52&lt;&gt;"Serviço",AND(AUTOEVENTO="Manual",$M52=$A$15)),0,
         IF(OFFSET(CRONOPLE!$F$15,$M52-$A$15,BL$13)=0,10^12,OFFSET(CRONOPLE!$F$15,$M52-$A$15,BL$13)))</f>
        <v>1000000000000</v>
      </c>
      <c r="BM52" s="171">
        <f ca="1">IF(OR($D52&lt;&gt;"Serviço",AND(AUTOEVENTO="Manual",$M52=$A$15)),0,
         IF(OFFSET(CRONOPLE!$F$15,$M52-$A$15,BM$13)=0,10^12,OFFSET(CRONOPLE!$F$15,$M52-$A$15,BM$13)))</f>
        <v>1000000000000</v>
      </c>
      <c r="BN52" s="171">
        <f ca="1">IF(OR($D52&lt;&gt;"Serviço",AND(AUTOEVENTO="Manual",$M52=$A$15)),0,
         IF(OFFSET(CRONOPLE!$F$15,$M52-$A$15,BN$13)=0,10^12,OFFSET(CRONOPLE!$F$15,$M52-$A$15,BN$13)))</f>
        <v>1000000000000</v>
      </c>
      <c r="BO52" s="171">
        <f ca="1">IF(OR($D52&lt;&gt;"Serviço",AND(AUTOEVENTO="Manual",$M52=$A$15)),0,
         IF(OFFSET(CRONOPLE!$F$15,$M52-$A$15,BO$13)=0,10^12,OFFSET(CRONOPLE!$F$15,$M52-$A$15,BO$13)))</f>
        <v>1000000000000</v>
      </c>
      <c r="BP52" s="171">
        <f ca="1">IF(OR($D52&lt;&gt;"Serviço",AND(AUTOEVENTO="Manual",$M52=$A$15)),0,
         IF(OFFSET(CRONOPLE!$F$15,$M52-$A$15,BP$13)=0,10^12,OFFSET(CRONOPLE!$F$15,$M52-$A$15,BP$13)))</f>
        <v>1000000000000</v>
      </c>
      <c r="BQ52" s="171">
        <f ca="1">IF(OR($D52&lt;&gt;"Serviço",AND(AUTOEVENTO="Manual",$M52=$A$15)),0,
         IF(OFFSET(CRONOPLE!$F$15,$M52-$A$15,BQ$13)=0,10^12,OFFSET(CRONOPLE!$F$15,$M52-$A$15,BQ$13)))</f>
        <v>1000000000000</v>
      </c>
      <c r="BR52" s="171">
        <f ca="1">IF(OR($D52&lt;&gt;"Serviço",AND(AUTOEVENTO="Manual",$M52=$A$15)),0,
         IF(OFFSET(CRONOPLE!$F$15,$M52-$A$15,BR$13)=0,10^12,OFFSET(CRONOPLE!$F$15,$M52-$A$15,BR$13)))</f>
        <v>1000000000000</v>
      </c>
      <c r="BS52" s="171">
        <f ca="1">IF(OR($D52&lt;&gt;"Serviço",AND(AUTOEVENTO="Manual",$M52=$A$15)),0,
         IF(OFFSET(CRONOPLE!$F$15,$M52-$A$15,BS$13)=0,10^12,OFFSET(CRONOPLE!$F$15,$M52-$A$15,BS$13)))</f>
        <v>1000000000000</v>
      </c>
      <c r="BT52" s="171">
        <f ca="1">IF(OR($D52&lt;&gt;"Serviço",AND(AUTOEVENTO="Manual",$M52=$A$15)),0,
         IF(OFFSET(CRONOPLE!$F$15,$M52-$A$15,BT$13)=0,10^12,OFFSET(CRONOPLE!$F$15,$M52-$A$15,BT$13)))</f>
        <v>1000000000000</v>
      </c>
      <c r="BV52" s="172" cm="1">
        <f t="array" aca="1" ref="BV52" ca="1">IF(OR($D52&lt;&gt;"Serviço",AND(AUTOEVENTO="Manual",$M52=$A$15),$M52&gt;(ROW(PLE.lastrow)-ROW(PLE.firstrow))),0,
           IF(OFFSET(PLE!$G$15,$M52-$A$15,BV$13)="",10^12,OFFSET(PLE!$G$15,$M52-$A$15,BV$13)))</f>
        <v>1000000000000</v>
      </c>
      <c r="BW52" s="172" cm="1">
        <f t="array" aca="1" ref="BW52" ca="1">IF(OR($D52&lt;&gt;"Serviço",AND(AUTOEVENTO="Manual",$M52=$A$15),$M52&gt;(ROW(PLE.lastrow)-ROW(PLE.firstrow))),0,
           IF(OFFSET(PLE!$G$15,$M52-$A$15,BW$13)="",10^12,OFFSET(PLE!$G$15,$M52-$A$15,BW$13)))</f>
        <v>1000000000000</v>
      </c>
      <c r="BX52" s="172" cm="1">
        <f t="array" aca="1" ref="BX52" ca="1">IF(OR($D52&lt;&gt;"Serviço",AND(AUTOEVENTO="Manual",$M52=$A$15),$M52&gt;(ROW(PLE.lastrow)-ROW(PLE.firstrow))),0,
           IF(OFFSET(PLE!$G$15,$M52-$A$15,BX$13)="",10^12,OFFSET(PLE!$G$15,$M52-$A$15,BX$13)))</f>
        <v>1000000000000</v>
      </c>
      <c r="BY52" s="172" cm="1">
        <f t="array" aca="1" ref="BY52" ca="1">IF(OR($D52&lt;&gt;"Serviço",AND(AUTOEVENTO="Manual",$M52=$A$15),$M52&gt;(ROW(PLE.lastrow)-ROW(PLE.firstrow))),0,
           IF(OFFSET(PLE!$G$15,$M52-$A$15,BY$13)="",10^12,OFFSET(PLE!$G$15,$M52-$A$15,BY$13)))</f>
        <v>1000000000000</v>
      </c>
      <c r="BZ52" s="172" cm="1">
        <f t="array" aca="1" ref="BZ52" ca="1">IF(OR($D52&lt;&gt;"Serviço",AND(AUTOEVENTO="Manual",$M52=$A$15),$M52&gt;(ROW(PLE.lastrow)-ROW(PLE.firstrow))),0,
           IF(OFFSET(PLE!$G$15,$M52-$A$15,BZ$13)="",10^12,OFFSET(PLE!$G$15,$M52-$A$15,BZ$13)))</f>
        <v>1000000000000</v>
      </c>
      <c r="CA52" s="172" cm="1">
        <f t="array" aca="1" ref="CA52" ca="1">IF(OR($D52&lt;&gt;"Serviço",AND(AUTOEVENTO="Manual",$M52=$A$15),$M52&gt;(ROW(PLE.lastrow)-ROW(PLE.firstrow))),0,
           IF(OFFSET(PLE!$G$15,$M52-$A$15,CA$13)="",10^12,OFFSET(PLE!$G$15,$M52-$A$15,CA$13)))</f>
        <v>1000000000000</v>
      </c>
      <c r="CB52" s="172" cm="1">
        <f t="array" aca="1" ref="CB52" ca="1">IF(OR($D52&lt;&gt;"Serviço",AND(AUTOEVENTO="Manual",$M52=$A$15),$M52&gt;(ROW(PLE.lastrow)-ROW(PLE.firstrow))),0,
           IF(OFFSET(PLE!$G$15,$M52-$A$15,CB$13)="",10^12,OFFSET(PLE!$G$15,$M52-$A$15,CB$13)))</f>
        <v>1000000000000</v>
      </c>
      <c r="CC52" s="172" cm="1">
        <f t="array" aca="1" ref="CC52" ca="1">IF(OR($D52&lt;&gt;"Serviço",AND(AUTOEVENTO="Manual",$M52=$A$15),$M52&gt;(ROW(PLE.lastrow)-ROW(PLE.firstrow))),0,
           IF(OFFSET(PLE!$G$15,$M52-$A$15,CC$13)="",10^12,OFFSET(PLE!$G$15,$M52-$A$15,CC$13)))</f>
        <v>1000000000000</v>
      </c>
      <c r="CD52" s="172" cm="1">
        <f t="array" aca="1" ref="CD52" ca="1">IF(OR($D52&lt;&gt;"Serviço",AND(AUTOEVENTO="Manual",$M52=$A$15),$M52&gt;(ROW(PLE.lastrow)-ROW(PLE.firstrow))),0,
           IF(OFFSET(PLE!$G$15,$M52-$A$15,CD$13)="",10^12,OFFSET(PLE!$G$15,$M52-$A$15,CD$13)))</f>
        <v>1000000000000</v>
      </c>
      <c r="CE52" s="172" cm="1">
        <f t="array" aca="1" ref="CE52" ca="1">IF(OR($D52&lt;&gt;"Serviço",AND(AUTOEVENTO="Manual",$M52=$A$15),$M52&gt;(ROW(PLE.lastrow)-ROW(PLE.firstrow))),0,
           IF(OFFSET(PLE!$G$15,$M52-$A$15,CE$13)="",10^12,OFFSET(PLE!$G$15,$M52-$A$15,CE$13)))</f>
        <v>1000000000000</v>
      </c>
      <c r="CF52" s="172" cm="1">
        <f t="array" aca="1" ref="CF52" ca="1">IF(OR($D52&lt;&gt;"Serviço",AND(AUTOEVENTO="Manual",$M52=$A$15),$M52&gt;(ROW(PLE.lastrow)-ROW(PLE.firstrow))),0,
           IF(OFFSET(PLE!$G$15,$M52-$A$15,CF$13)="",10^12,OFFSET(PLE!$G$15,$M52-$A$15,CF$13)))</f>
        <v>1000000000000</v>
      </c>
      <c r="CG52" s="172" cm="1">
        <f t="array" aca="1" ref="CG52" ca="1">IF(OR($D52&lt;&gt;"Serviço",AND(AUTOEVENTO="Manual",$M52=$A$15),$M52&gt;(ROW(PLE.lastrow)-ROW(PLE.firstrow))),0,
           IF(OFFSET(PLE!$G$15,$M52-$A$15,CG$13)="",10^12,OFFSET(PLE!$G$15,$M52-$A$15,CG$13)))</f>
        <v>1000000000000</v>
      </c>
      <c r="CH52" s="172" cm="1">
        <f t="array" aca="1" ref="CH52" ca="1">IF(OR($D52&lt;&gt;"Serviço",AND(AUTOEVENTO="Manual",$M52=$A$15),$M52&gt;(ROW(PLE.lastrow)-ROW(PLE.firstrow))),0,
           IF(OFFSET(PLE!$G$15,$M52-$A$15,CH$13)="",10^12,OFFSET(PLE!$G$15,$M52-$A$15,CH$13)))</f>
        <v>1000000000000</v>
      </c>
      <c r="CI52" s="172" cm="1">
        <f t="array" aca="1" ref="CI52" ca="1">IF(OR($D52&lt;&gt;"Serviço",AND(AUTOEVENTO="Manual",$M52=$A$15),$M52&gt;(ROW(PLE.lastrow)-ROW(PLE.firstrow))),0,
           IF(OFFSET(PLE!$G$15,$M52-$A$15,CI$13)="",10^12,OFFSET(PLE!$G$15,$M52-$A$15,CI$13)))</f>
        <v>1000000000000</v>
      </c>
      <c r="CJ52" s="172" cm="1">
        <f t="array" aca="1" ref="CJ52" ca="1">IF(OR($D52&lt;&gt;"Serviço",AND(AUTOEVENTO="Manual",$M52=$A$15),$M52&gt;(ROW(PLE.lastrow)-ROW(PLE.firstrow))),0,
           IF(OFFSET(PLE!$G$15,$M52-$A$15,CJ$13)="",10^12,OFFSET(PLE!$G$15,$M52-$A$15,CJ$13)))</f>
        <v>1000000000000</v>
      </c>
      <c r="CK52" s="172" cm="1">
        <f t="array" aca="1" ref="CK52" ca="1">IF(OR($D52&lt;&gt;"Serviço",AND(AUTOEVENTO="Manual",$M52=$A$15),$M52&gt;(ROW(PLE.lastrow)-ROW(PLE.firstrow))),0,
           IF(OFFSET(PLE!$G$15,$M52-$A$15,CK$13)="",10^12,OFFSET(PLE!$G$15,$M52-$A$15,CK$13)))</f>
        <v>1000000000000</v>
      </c>
      <c r="CL52" s="172" cm="1">
        <f t="array" aca="1" ref="CL52" ca="1">IF(OR($D52&lt;&gt;"Serviço",AND(AUTOEVENTO="Manual",$M52=$A$15),$M52&gt;(ROW(PLE.lastrow)-ROW(PLE.firstrow))),0,
           IF(OFFSET(PLE!$G$15,$M52-$A$15,CL$13)="",10^12,OFFSET(PLE!$G$15,$M52-$A$15,CL$13)))</f>
        <v>1000000000000</v>
      </c>
      <c r="CM52" s="172" cm="1">
        <f t="array" aca="1" ref="CM52" ca="1">IF(OR($D52&lt;&gt;"Serviço",AND(AUTOEVENTO="Manual",$M52=$A$15),$M52&gt;(ROW(PLE.lastrow)-ROW(PLE.firstrow))),0,
           IF(OFFSET(PLE!$G$15,$M52-$A$15,CM$13)="",10^12,OFFSET(PLE!$G$15,$M52-$A$15,CM$13)))</f>
        <v>1000000000000</v>
      </c>
    </row>
    <row r="53" spans="1:91" s="670" customFormat="1" ht="25.5" x14ac:dyDescent="0.2">
      <c r="A53" s="668">
        <f t="shared" ca="1" si="10"/>
        <v>30</v>
      </c>
      <c r="B53" s="668" t="str">
        <f ca="1">OFFSET(ORÇAMENTO!C$15,$L53,0)</f>
        <v>S</v>
      </c>
      <c r="C53" s="668" t="str">
        <f ca="1">OFFSET(ORÇAMENTO!L$15,$L53,0)</f>
        <v>F</v>
      </c>
      <c r="D53" s="116" t="str">
        <f ca="1">OFFSET(ORÇAMENTO!N$15,$L53,0)</f>
        <v>Serviço</v>
      </c>
      <c r="E53" s="117" t="str">
        <f ca="1">OFFSET(ORÇAMENTO!O$15,$L53,0)</f>
        <v>1.8.2.</v>
      </c>
      <c r="F53" s="163" t="str">
        <f ca="1">OFFSET(ORÇAMENTO!R$15,$L53,0)</f>
        <v>LIMPEZA FINAL PARA ENTREGA DA OBRA</v>
      </c>
      <c r="G53" s="164" t="str">
        <f ca="1">IF($D53&lt;&gt;"Serviço","",OFFSET(ORÇAMENTO!S$15,$L53,0))</f>
        <v>m2</v>
      </c>
      <c r="H53" s="122" cm="1">
        <f t="array" aca="1" ref="H53" ca="1">IF($D53&lt;&gt;"Serviço",0,IF(ACOMPANHAMENTO="BM",ROUND(OFFSET(ORÇAMENTO!AJ$15,$L53,0),15-13*ORÇAMENTO!$AF$7),IF(IFERROR(CÁLCULO.FrentesPreenchidas,0)=0,0,SUM(ROUND(OFFSET($P53,0,1,1,CÁLCULO.FrentesPreenchidas),15-13*ORÇAMENTO!$AF$7)))))</f>
        <v>1.98</v>
      </c>
      <c r="I53" s="679" t="s">
        <v>1144</v>
      </c>
      <c r="J53" s="651" t="str" cm="1">
        <f t="array" aca="1" ref="J53" ca="1">IF(OR(B53&lt;&gt;"S",CÁLCULO.FrentesPreenchidas=0),"",IF(AND(ACOMPANHAMENTO="PLE",AUTOEVENTO="Manual",OR(H53&gt;0,ORÇAMENTO!AC53="QUANT."),OR(K53="",M53=0,N53="")),"►E",IF(AND(ACOMPANHAMENTO="PLE",ORÇAMENTO!AC53="QUANT."),"►Q",IF(AND(ACOMPANHAMENTO="PLE",H53&lt;&gt;SUMPRODUCT(($Q$1:$AI$1=1)*ROUND(Q53:AI53,15))),"►S",IF(AND(COUNTIF($P$11:$AI$11,"▼")=0,H53&gt;0,I53=""),"◄M","")))))</f>
        <v/>
      </c>
      <c r="K53" s="652" t="s">
        <v>1335</v>
      </c>
      <c r="L53" s="165">
        <f t="shared" ca="1" si="11"/>
        <v>38</v>
      </c>
      <c r="M53" s="166">
        <f ca="1">IF($D53&lt;&gt;"Serviço","",
          IF(AUTOEVENTO="manual",$A53,
                IF(ISERROR(MATCH($A53,$A$15:OFFSET($A53,-1,0),0)),MAX($M$15:OFFSET(M53,-1,0))+1,
                      INDEX($M$15:OFFSET(M53,-1,0),MATCH($A53,$A$15:OFFSET($A53,-1,0),0)))))</f>
        <v>30</v>
      </c>
      <c r="N53" s="167" t="str">
        <f ca="1">IF($D53&lt;&gt;"Serviço","",
         IF(AUTOEVENTO="Manual",
                IF($A53=0,"&lt;-- defina o número do agrupador",
                       OFFSET(EVENTOS!$D$15,$A53-$A$15,0)),
                OFFSET($F$15,$A53,0)))</f>
        <v>Limpeza Final</v>
      </c>
      <c r="O53" s="168"/>
      <c r="Q53" s="168"/>
      <c r="R53" s="169"/>
      <c r="S53" s="169"/>
      <c r="T53" s="169">
        <v>1.98</v>
      </c>
      <c r="U53" s="169"/>
      <c r="V53" s="169"/>
      <c r="W53" s="169"/>
      <c r="X53" s="169"/>
      <c r="Y53" s="169"/>
      <c r="Z53" s="170"/>
      <c r="AA53" s="705"/>
      <c r="AB53" s="705"/>
      <c r="AC53" s="705"/>
      <c r="AD53" s="705"/>
      <c r="AE53" s="705"/>
      <c r="AF53" s="705"/>
      <c r="AG53" s="705"/>
      <c r="AH53" s="706"/>
      <c r="AJ53" s="453">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3">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L53" s="453">
        <f ca="1">IF(AND($D53="Serviço",AL$12&lt;&gt;0,$H53&gt;0,OR(AUTOEVENTO&lt;&gt;"manual",$M53&lt;&gt;$A$15)),
        IF(Import.TipoArredondamento&lt;&gt;"TransfereGOV",
              ROUND(OFFSET($P53,0,AL$13),15-13*ORÇAMENTO!$AF$7)/$H53*OFFSET(ORÇAMENTO!$X$15,ROW(AL53)-ROW(AL$15),0),
              ROUND(ROUND(OFFSET($P53,0,AL$13),15-13*ORÇAMENTO!$AF$7)*OFFSET(ORÇAMENTO!$W$15,ROW(AL53)-ROW(AL$15),0),15-13*ORÇAMENTO!$AF$11)),
         0)</f>
        <v>0</v>
      </c>
      <c r="AM53" s="453">
        <f ca="1">IF(AND($D53="Serviço",AM$12&lt;&gt;0,$H53&gt;0,OR(AUTOEVENTO&lt;&gt;"manual",$M53&lt;&gt;$A$15)),
        IF(Import.TipoArredondamento&lt;&gt;"TransfereGOV",
              ROUND(OFFSET($P53,0,AM$13),15-13*ORÇAMENTO!$AF$7)/$H53*OFFSET(ORÇAMENTO!$X$15,ROW(AM53)-ROW(AM$15),0),
              ROUND(ROUND(OFFSET($P53,0,AM$13),15-13*ORÇAMENTO!$AF$7)*OFFSET(ORÇAMENTO!$W$15,ROW(AM53)-ROW(AM$15),0),15-13*ORÇAMENTO!$AF$11)),
         0)</f>
        <v>20.43</v>
      </c>
      <c r="AN53" s="453">
        <f ca="1">IF(AND($D53="Serviço",AN$12&lt;&gt;0,$H53&gt;0,OR(AUTOEVENTO&lt;&gt;"manual",$M53&lt;&gt;$A$15)),
        IF(Import.TipoArredondamento&lt;&gt;"TransfereGOV",
              ROUND(OFFSET($P53,0,AN$13),15-13*ORÇAMENTO!$AF$7)/$H53*OFFSET(ORÇAMENTO!$X$15,ROW(AN53)-ROW(AN$15),0),
              ROUND(ROUND(OFFSET($P53,0,AN$13),15-13*ORÇAMENTO!$AF$7)*OFFSET(ORÇAMENTO!$W$15,ROW(AN53)-ROW(AN$15),0),15-13*ORÇAMENTO!$AF$11)),
         0)</f>
        <v>0</v>
      </c>
      <c r="AO53" s="453">
        <f ca="1">IF(AND($D53="Serviço",AO$12&lt;&gt;0,$H53&gt;0,OR(AUTOEVENTO&lt;&gt;"manual",$M53&lt;&gt;$A$15)),
        IF(Import.TipoArredondamento&lt;&gt;"TransfereGOV",
              ROUND(OFFSET($P53,0,AO$13),15-13*ORÇAMENTO!$AF$7)/$H53*OFFSET(ORÇAMENTO!$X$15,ROW(AO53)-ROW(AO$15),0),
              ROUND(ROUND(OFFSET($P53,0,AO$13),15-13*ORÇAMENTO!$AF$7)*OFFSET(ORÇAMENTO!$W$15,ROW(AO53)-ROW(AO$15),0),15-13*ORÇAMENTO!$AF$11)),
         0)</f>
        <v>0</v>
      </c>
      <c r="AP53" s="453">
        <f ca="1">IF(AND($D53="Serviço",AP$12&lt;&gt;0,$H53&gt;0,OR(AUTOEVENTO&lt;&gt;"manual",$M53&lt;&gt;$A$15)),
        IF(Import.TipoArredondamento&lt;&gt;"TransfereGOV",
              ROUND(OFFSET($P53,0,AP$13),15-13*ORÇAMENTO!$AF$7)/$H53*OFFSET(ORÇAMENTO!$X$15,ROW(AP53)-ROW(AP$15),0),
              ROUND(ROUND(OFFSET($P53,0,AP$13),15-13*ORÇAMENTO!$AF$7)*OFFSET(ORÇAMENTO!$W$15,ROW(AP53)-ROW(AP$15),0),15-13*ORÇAMENTO!$AF$11)),
         0)</f>
        <v>0</v>
      </c>
      <c r="AQ53" s="453">
        <f ca="1">IF(AND($D53="Serviço",AQ$12&lt;&gt;0,$H53&gt;0,OR(AUTOEVENTO&lt;&gt;"manual",$M53&lt;&gt;$A$15)),
        IF(Import.TipoArredondamento&lt;&gt;"TransfereGOV",
              ROUND(OFFSET($P53,0,AQ$13),15-13*ORÇAMENTO!$AF$7)/$H53*OFFSET(ORÇAMENTO!$X$15,ROW(AQ53)-ROW(AQ$15),0),
              ROUND(ROUND(OFFSET($P53,0,AQ$13),15-13*ORÇAMENTO!$AF$7)*OFFSET(ORÇAMENTO!$W$15,ROW(AQ53)-ROW(AQ$15),0),15-13*ORÇAMENTO!$AF$11)),
         0)</f>
        <v>0</v>
      </c>
      <c r="AR53" s="453">
        <f ca="1">IF(AND($D53="Serviço",AR$12&lt;&gt;0,$H53&gt;0,OR(AUTOEVENTO&lt;&gt;"manual",$M53&lt;&gt;$A$15)),
        IF(Import.TipoArredondamento&lt;&gt;"TransfereGOV",
              ROUND(OFFSET($P53,0,AR$13),15-13*ORÇAMENTO!$AF$7)/$H53*OFFSET(ORÇAMENTO!$X$15,ROW(AR53)-ROW(AR$15),0),
              ROUND(ROUND(OFFSET($P53,0,AR$13),15-13*ORÇAMENTO!$AF$7)*OFFSET(ORÇAMENTO!$W$15,ROW(AR53)-ROW(AR$15),0),15-13*ORÇAMENTO!$AF$11)),
         0)</f>
        <v>0</v>
      </c>
      <c r="AS53" s="453">
        <f ca="1">IF(AND($D53="Serviço",AS$12&lt;&gt;0,$H53&gt;0,OR(AUTOEVENTO&lt;&gt;"manual",$M53&lt;&gt;$A$15)),
        IF(Import.TipoArredondamento&lt;&gt;"TransfereGOV",
              ROUND(OFFSET($P53,0,AS$13),15-13*ORÇAMENTO!$AF$7)/$H53*OFFSET(ORÇAMENTO!$X$15,ROW(AS53)-ROW(AS$15),0),
              ROUND(ROUND(OFFSET($P53,0,AS$13),15-13*ORÇAMENTO!$AF$7)*OFFSET(ORÇAMENTO!$W$15,ROW(AS53)-ROW(AS$15),0),15-13*ORÇAMENTO!$AF$11)),
         0)</f>
        <v>0</v>
      </c>
      <c r="AT53" s="453">
        <f ca="1">IF(AND($D53="Serviço",AT$12&lt;&gt;0,$H53&gt;0,OR(AUTOEVENTO&lt;&gt;"manual",$M53&lt;&gt;$A$15)),
        IF(Import.TipoArredondamento&lt;&gt;"TransfereGOV",
              ROUND(OFFSET($P53,0,AT$13),15-13*ORÇAMENTO!$AF$7)/$H53*OFFSET(ORÇAMENTO!$X$15,ROW(AT53)-ROW(AT$15),0),
              ROUND(ROUND(OFFSET($P53,0,AT$13),15-13*ORÇAMENTO!$AF$7)*OFFSET(ORÇAMENTO!$W$15,ROW(AT53)-ROW(AT$15),0),15-13*ORÇAMENTO!$AF$11)),
         0)</f>
        <v>0</v>
      </c>
      <c r="AU53" s="453">
        <f ca="1">IF(AND($D53="Serviço",AU$12&lt;&gt;0,$H53&gt;0,OR(AUTOEVENTO&lt;&gt;"manual",$M53&lt;&gt;$A$15)),
        IF(Import.TipoArredondamento&lt;&gt;"TransfereGOV",
              ROUND(OFFSET($P53,0,AU$13),15-13*ORÇAMENTO!$AF$7)/$H53*OFFSET(ORÇAMENTO!$X$15,ROW(AU53)-ROW(AU$15),0),
              ROUND(ROUND(OFFSET($P53,0,AU$13),15-13*ORÇAMENTO!$AF$7)*OFFSET(ORÇAMENTO!$W$15,ROW(AU53)-ROW(AU$15),0),15-13*ORÇAMENTO!$AF$11)),
         0)</f>
        <v>0</v>
      </c>
      <c r="AV53" s="453">
        <f ca="1">IF(AND($D53="Serviço",AV$12&lt;&gt;0,$H53&gt;0,OR(AUTOEVENTO&lt;&gt;"manual",$M53&lt;&gt;$A$15)),
        IF(Import.TipoArredondamento&lt;&gt;"TransfereGOV",
              ROUND(OFFSET($P53,0,AV$13),15-13*ORÇAMENTO!$AF$7)/$H53*OFFSET(ORÇAMENTO!$X$15,ROW(AV53)-ROW(AV$15),0),
              ROUND(ROUND(OFFSET($P53,0,AV$13),15-13*ORÇAMENTO!$AF$7)*OFFSET(ORÇAMENTO!$W$15,ROW(AV53)-ROW(AV$15),0),15-13*ORÇAMENTO!$AF$11)),
         0)</f>
        <v>0</v>
      </c>
      <c r="AW53" s="453">
        <f ca="1">IF(AND($D53="Serviço",AW$12&lt;&gt;0,$H53&gt;0,OR(AUTOEVENTO&lt;&gt;"manual",$M53&lt;&gt;$A$15)),
        IF(Import.TipoArredondamento&lt;&gt;"TransfereGOV",
              ROUND(OFFSET($P53,0,AW$13),15-13*ORÇAMENTO!$AF$7)/$H53*OFFSET(ORÇAMENTO!$X$15,ROW(AW53)-ROW(AW$15),0),
              ROUND(ROUND(OFFSET($P53,0,AW$13),15-13*ORÇAMENTO!$AF$7)*OFFSET(ORÇAMENTO!$W$15,ROW(AW53)-ROW(AW$15),0),15-13*ORÇAMENTO!$AF$11)),
         0)</f>
        <v>0</v>
      </c>
      <c r="AX53" s="453">
        <f ca="1">IF(AND($D53="Serviço",AX$12&lt;&gt;0,$H53&gt;0,OR(AUTOEVENTO&lt;&gt;"manual",$M53&lt;&gt;$A$15)),
        IF(Import.TipoArredondamento&lt;&gt;"TransfereGOV",
              ROUND(OFFSET($P53,0,AX$13),15-13*ORÇAMENTO!$AF$7)/$H53*OFFSET(ORÇAMENTO!$X$15,ROW(AX53)-ROW(AX$15),0),
              ROUND(ROUND(OFFSET($P53,0,AX$13),15-13*ORÇAMENTO!$AF$7)*OFFSET(ORÇAMENTO!$W$15,ROW(AX53)-ROW(AX$15),0),15-13*ORÇAMENTO!$AF$11)),
         0)</f>
        <v>0</v>
      </c>
      <c r="AY53" s="453">
        <f ca="1">IF(AND($D53="Serviço",AY$12&lt;&gt;0,$H53&gt;0,OR(AUTOEVENTO&lt;&gt;"manual",$M53&lt;&gt;$A$15)),
        IF(Import.TipoArredondamento&lt;&gt;"TransfereGOV",
              ROUND(OFFSET($P53,0,AY$13),15-13*ORÇAMENTO!$AF$7)/$H53*OFFSET(ORÇAMENTO!$X$15,ROW(AY53)-ROW(AY$15),0),
              ROUND(ROUND(OFFSET($P53,0,AY$13),15-13*ORÇAMENTO!$AF$7)*OFFSET(ORÇAMENTO!$W$15,ROW(AY53)-ROW(AY$15),0),15-13*ORÇAMENTO!$AF$11)),
         0)</f>
        <v>0</v>
      </c>
      <c r="AZ53" s="453">
        <f ca="1">IF(AND($D53="Serviço",AZ$12&lt;&gt;0,$H53&gt;0,OR(AUTOEVENTO&lt;&gt;"manual",$M53&lt;&gt;$A$15)),
        IF(Import.TipoArredondamento&lt;&gt;"TransfereGOV",
              ROUND(OFFSET($P53,0,AZ$13),15-13*ORÇAMENTO!$AF$7)/$H53*OFFSET(ORÇAMENTO!$X$15,ROW(AZ53)-ROW(AZ$15),0),
              ROUND(ROUND(OFFSET($P53,0,AZ$13),15-13*ORÇAMENTO!$AF$7)*OFFSET(ORÇAMENTO!$W$15,ROW(AZ53)-ROW(AZ$15),0),15-13*ORÇAMENTO!$AF$11)),
         0)</f>
        <v>0</v>
      </c>
      <c r="BA53" s="453">
        <f ca="1">IF(AND($D53="Serviço",BA$12&lt;&gt;0,$H53&gt;0,OR(AUTOEVENTO&lt;&gt;"manual",$M53&lt;&gt;$A$15)),
        IF(Import.TipoArredondamento&lt;&gt;"TransfereGOV",
              ROUND(OFFSET($P53,0,BA$13),15-13*ORÇAMENTO!$AF$7)/$H53*OFFSET(ORÇAMENTO!$X$15,ROW(BA53)-ROW(BA$15),0),
              ROUND(ROUND(OFFSET($P53,0,BA$13),15-13*ORÇAMENTO!$AF$7)*OFFSET(ORÇAMENTO!$W$15,ROW(BA53)-ROW(BA$15),0),15-13*ORÇAMENTO!$AF$11)),
         0)</f>
        <v>0</v>
      </c>
      <c r="BC53" s="171">
        <f ca="1">IF(OR($D53&lt;&gt;"Serviço",AND(AUTOEVENTO="Manual",$M53=$A$15)),0,
         IF(OFFSET(CRONOPLE!$F$15,$M53-$A$15,BC$13)=0,10^12,OFFSET(CRONOPLE!$F$15,$M53-$A$15,BC$13)))</f>
        <v>1000000000000</v>
      </c>
      <c r="BD53" s="171">
        <f ca="1">IF(OR($D53&lt;&gt;"Serviço",AND(AUTOEVENTO="Manual",$M53=$A$15)),0,
         IF(OFFSET(CRONOPLE!$F$15,$M53-$A$15,BD$13)=0,10^12,OFFSET(CRONOPLE!$F$15,$M53-$A$15,BD$13)))</f>
        <v>12</v>
      </c>
      <c r="BE53" s="171">
        <f ca="1">IF(OR($D53&lt;&gt;"Serviço",AND(AUTOEVENTO="Manual",$M53=$A$15)),0,
         IF(OFFSET(CRONOPLE!$F$15,$M53-$A$15,BE$13)=0,10^12,OFFSET(CRONOPLE!$F$15,$M53-$A$15,BE$13)))</f>
        <v>1000000000000</v>
      </c>
      <c r="BF53" s="171">
        <f ca="1">IF(OR($D53&lt;&gt;"Serviço",AND(AUTOEVENTO="Manual",$M53=$A$15)),0,
         IF(OFFSET(CRONOPLE!$F$15,$M53-$A$15,BF$13)=0,10^12,OFFSET(CRONOPLE!$F$15,$M53-$A$15,BF$13)))</f>
        <v>12</v>
      </c>
      <c r="BG53" s="171">
        <f ca="1">IF(OR($D53&lt;&gt;"Serviço",AND(AUTOEVENTO="Manual",$M53=$A$15)),0,
         IF(OFFSET(CRONOPLE!$F$15,$M53-$A$15,BG$13)=0,10^12,OFFSET(CRONOPLE!$F$15,$M53-$A$15,BG$13)))</f>
        <v>1000000000000</v>
      </c>
      <c r="BH53" s="171">
        <f ca="1">IF(OR($D53&lt;&gt;"Serviço",AND(AUTOEVENTO="Manual",$M53=$A$15)),0,
         IF(OFFSET(CRONOPLE!$F$15,$M53-$A$15,BH$13)=0,10^12,OFFSET(CRONOPLE!$F$15,$M53-$A$15,BH$13)))</f>
        <v>1000000000000</v>
      </c>
      <c r="BI53" s="171">
        <f ca="1">IF(OR($D53&lt;&gt;"Serviço",AND(AUTOEVENTO="Manual",$M53=$A$15)),0,
         IF(OFFSET(CRONOPLE!$F$15,$M53-$A$15,BI$13)=0,10^12,OFFSET(CRONOPLE!$F$15,$M53-$A$15,BI$13)))</f>
        <v>1000000000000</v>
      </c>
      <c r="BJ53" s="171">
        <f ca="1">IF(OR($D53&lt;&gt;"Serviço",AND(AUTOEVENTO="Manual",$M53=$A$15)),0,
         IF(OFFSET(CRONOPLE!$F$15,$M53-$A$15,BJ$13)=0,10^12,OFFSET(CRONOPLE!$F$15,$M53-$A$15,BJ$13)))</f>
        <v>1000000000000</v>
      </c>
      <c r="BK53" s="171">
        <f ca="1">IF(OR($D53&lt;&gt;"Serviço",AND(AUTOEVENTO="Manual",$M53=$A$15)),0,
         IF(OFFSET(CRONOPLE!$F$15,$M53-$A$15,BK$13)=0,10^12,OFFSET(CRONOPLE!$F$15,$M53-$A$15,BK$13)))</f>
        <v>1000000000000</v>
      </c>
      <c r="BL53" s="171">
        <f ca="1">IF(OR($D53&lt;&gt;"Serviço",AND(AUTOEVENTO="Manual",$M53=$A$15)),0,
         IF(OFFSET(CRONOPLE!$F$15,$M53-$A$15,BL$13)=0,10^12,OFFSET(CRONOPLE!$F$15,$M53-$A$15,BL$13)))</f>
        <v>1000000000000</v>
      </c>
      <c r="BM53" s="171">
        <f ca="1">IF(OR($D53&lt;&gt;"Serviço",AND(AUTOEVENTO="Manual",$M53=$A$15)),0,
         IF(OFFSET(CRONOPLE!$F$15,$M53-$A$15,BM$13)=0,10^12,OFFSET(CRONOPLE!$F$15,$M53-$A$15,BM$13)))</f>
        <v>1000000000000</v>
      </c>
      <c r="BN53" s="171">
        <f ca="1">IF(OR($D53&lt;&gt;"Serviço",AND(AUTOEVENTO="Manual",$M53=$A$15)),0,
         IF(OFFSET(CRONOPLE!$F$15,$M53-$A$15,BN$13)=0,10^12,OFFSET(CRONOPLE!$F$15,$M53-$A$15,BN$13)))</f>
        <v>1000000000000</v>
      </c>
      <c r="BO53" s="171">
        <f ca="1">IF(OR($D53&lt;&gt;"Serviço",AND(AUTOEVENTO="Manual",$M53=$A$15)),0,
         IF(OFFSET(CRONOPLE!$F$15,$M53-$A$15,BO$13)=0,10^12,OFFSET(CRONOPLE!$F$15,$M53-$A$15,BO$13)))</f>
        <v>1000000000000</v>
      </c>
      <c r="BP53" s="171">
        <f ca="1">IF(OR($D53&lt;&gt;"Serviço",AND(AUTOEVENTO="Manual",$M53=$A$15)),0,
         IF(OFFSET(CRONOPLE!$F$15,$M53-$A$15,BP$13)=0,10^12,OFFSET(CRONOPLE!$F$15,$M53-$A$15,BP$13)))</f>
        <v>1000000000000</v>
      </c>
      <c r="BQ53" s="171">
        <f ca="1">IF(OR($D53&lt;&gt;"Serviço",AND(AUTOEVENTO="Manual",$M53=$A$15)),0,
         IF(OFFSET(CRONOPLE!$F$15,$M53-$A$15,BQ$13)=0,10^12,OFFSET(CRONOPLE!$F$15,$M53-$A$15,BQ$13)))</f>
        <v>1000000000000</v>
      </c>
      <c r="BR53" s="171">
        <f ca="1">IF(OR($D53&lt;&gt;"Serviço",AND(AUTOEVENTO="Manual",$M53=$A$15)),0,
         IF(OFFSET(CRONOPLE!$F$15,$M53-$A$15,BR$13)=0,10^12,OFFSET(CRONOPLE!$F$15,$M53-$A$15,BR$13)))</f>
        <v>1000000000000</v>
      </c>
      <c r="BS53" s="171">
        <f ca="1">IF(OR($D53&lt;&gt;"Serviço",AND(AUTOEVENTO="Manual",$M53=$A$15)),0,
         IF(OFFSET(CRONOPLE!$F$15,$M53-$A$15,BS$13)=0,10^12,OFFSET(CRONOPLE!$F$15,$M53-$A$15,BS$13)))</f>
        <v>1000000000000</v>
      </c>
      <c r="BT53" s="171">
        <f ca="1">IF(OR($D53&lt;&gt;"Serviço",AND(AUTOEVENTO="Manual",$M53=$A$15)),0,
         IF(OFFSET(CRONOPLE!$F$15,$M53-$A$15,BT$13)=0,10^12,OFFSET(CRONOPLE!$F$15,$M53-$A$15,BT$13)))</f>
        <v>1000000000000</v>
      </c>
      <c r="BV53" s="172" cm="1">
        <f t="array" aca="1" ref="BV53" ca="1">IF(OR($D53&lt;&gt;"Serviço",AND(AUTOEVENTO="Manual",$M53=$A$15),$M53&gt;(ROW(PLE.lastrow)-ROW(PLE.firstrow))),0,
           IF(OFFSET(PLE!$G$15,$M53-$A$15,BV$13)="",10^12,OFFSET(PLE!$G$15,$M53-$A$15,BV$13)))</f>
        <v>1000000000000</v>
      </c>
      <c r="BW53" s="172" cm="1">
        <f t="array" aca="1" ref="BW53" ca="1">IF(OR($D53&lt;&gt;"Serviço",AND(AUTOEVENTO="Manual",$M53=$A$15),$M53&gt;(ROW(PLE.lastrow)-ROW(PLE.firstrow))),0,
           IF(OFFSET(PLE!$G$15,$M53-$A$15,BW$13)="",10^12,OFFSET(PLE!$G$15,$M53-$A$15,BW$13)))</f>
        <v>1000000000000</v>
      </c>
      <c r="BX53" s="172" cm="1">
        <f t="array" aca="1" ref="BX53" ca="1">IF(OR($D53&lt;&gt;"Serviço",AND(AUTOEVENTO="Manual",$M53=$A$15),$M53&gt;(ROW(PLE.lastrow)-ROW(PLE.firstrow))),0,
           IF(OFFSET(PLE!$G$15,$M53-$A$15,BX$13)="",10^12,OFFSET(PLE!$G$15,$M53-$A$15,BX$13)))</f>
        <v>1000000000000</v>
      </c>
      <c r="BY53" s="172" cm="1">
        <f t="array" aca="1" ref="BY53" ca="1">IF(OR($D53&lt;&gt;"Serviço",AND(AUTOEVENTO="Manual",$M53=$A$15),$M53&gt;(ROW(PLE.lastrow)-ROW(PLE.firstrow))),0,
           IF(OFFSET(PLE!$G$15,$M53-$A$15,BY$13)="",10^12,OFFSET(PLE!$G$15,$M53-$A$15,BY$13)))</f>
        <v>1000000000000</v>
      </c>
      <c r="BZ53" s="172" cm="1">
        <f t="array" aca="1" ref="BZ53" ca="1">IF(OR($D53&lt;&gt;"Serviço",AND(AUTOEVENTO="Manual",$M53=$A$15),$M53&gt;(ROW(PLE.lastrow)-ROW(PLE.firstrow))),0,
           IF(OFFSET(PLE!$G$15,$M53-$A$15,BZ$13)="",10^12,OFFSET(PLE!$G$15,$M53-$A$15,BZ$13)))</f>
        <v>1000000000000</v>
      </c>
      <c r="CA53" s="172" cm="1">
        <f t="array" aca="1" ref="CA53" ca="1">IF(OR($D53&lt;&gt;"Serviço",AND(AUTOEVENTO="Manual",$M53=$A$15),$M53&gt;(ROW(PLE.lastrow)-ROW(PLE.firstrow))),0,
           IF(OFFSET(PLE!$G$15,$M53-$A$15,CA$13)="",10^12,OFFSET(PLE!$G$15,$M53-$A$15,CA$13)))</f>
        <v>1000000000000</v>
      </c>
      <c r="CB53" s="172" cm="1">
        <f t="array" aca="1" ref="CB53" ca="1">IF(OR($D53&lt;&gt;"Serviço",AND(AUTOEVENTO="Manual",$M53=$A$15),$M53&gt;(ROW(PLE.lastrow)-ROW(PLE.firstrow))),0,
           IF(OFFSET(PLE!$G$15,$M53-$A$15,CB$13)="",10^12,OFFSET(PLE!$G$15,$M53-$A$15,CB$13)))</f>
        <v>1000000000000</v>
      </c>
      <c r="CC53" s="172" cm="1">
        <f t="array" aca="1" ref="CC53" ca="1">IF(OR($D53&lt;&gt;"Serviço",AND(AUTOEVENTO="Manual",$M53=$A$15),$M53&gt;(ROW(PLE.lastrow)-ROW(PLE.firstrow))),0,
           IF(OFFSET(PLE!$G$15,$M53-$A$15,CC$13)="",10^12,OFFSET(PLE!$G$15,$M53-$A$15,CC$13)))</f>
        <v>1000000000000</v>
      </c>
      <c r="CD53" s="172" cm="1">
        <f t="array" aca="1" ref="CD53" ca="1">IF(OR($D53&lt;&gt;"Serviço",AND(AUTOEVENTO="Manual",$M53=$A$15),$M53&gt;(ROW(PLE.lastrow)-ROW(PLE.firstrow))),0,
           IF(OFFSET(PLE!$G$15,$M53-$A$15,CD$13)="",10^12,OFFSET(PLE!$G$15,$M53-$A$15,CD$13)))</f>
        <v>1000000000000</v>
      </c>
      <c r="CE53" s="172" cm="1">
        <f t="array" aca="1" ref="CE53" ca="1">IF(OR($D53&lt;&gt;"Serviço",AND(AUTOEVENTO="Manual",$M53=$A$15),$M53&gt;(ROW(PLE.lastrow)-ROW(PLE.firstrow))),0,
           IF(OFFSET(PLE!$G$15,$M53-$A$15,CE$13)="",10^12,OFFSET(PLE!$G$15,$M53-$A$15,CE$13)))</f>
        <v>1000000000000</v>
      </c>
      <c r="CF53" s="172" cm="1">
        <f t="array" aca="1" ref="CF53" ca="1">IF(OR($D53&lt;&gt;"Serviço",AND(AUTOEVENTO="Manual",$M53=$A$15),$M53&gt;(ROW(PLE.lastrow)-ROW(PLE.firstrow))),0,
           IF(OFFSET(PLE!$G$15,$M53-$A$15,CF$13)="",10^12,OFFSET(PLE!$G$15,$M53-$A$15,CF$13)))</f>
        <v>1000000000000</v>
      </c>
      <c r="CG53" s="172" cm="1">
        <f t="array" aca="1" ref="CG53" ca="1">IF(OR($D53&lt;&gt;"Serviço",AND(AUTOEVENTO="Manual",$M53=$A$15),$M53&gt;(ROW(PLE.lastrow)-ROW(PLE.firstrow))),0,
           IF(OFFSET(PLE!$G$15,$M53-$A$15,CG$13)="",10^12,OFFSET(PLE!$G$15,$M53-$A$15,CG$13)))</f>
        <v>1000000000000</v>
      </c>
      <c r="CH53" s="172" cm="1">
        <f t="array" aca="1" ref="CH53" ca="1">IF(OR($D53&lt;&gt;"Serviço",AND(AUTOEVENTO="Manual",$M53=$A$15),$M53&gt;(ROW(PLE.lastrow)-ROW(PLE.firstrow))),0,
           IF(OFFSET(PLE!$G$15,$M53-$A$15,CH$13)="",10^12,OFFSET(PLE!$G$15,$M53-$A$15,CH$13)))</f>
        <v>1000000000000</v>
      </c>
      <c r="CI53" s="172" cm="1">
        <f t="array" aca="1" ref="CI53" ca="1">IF(OR($D53&lt;&gt;"Serviço",AND(AUTOEVENTO="Manual",$M53=$A$15),$M53&gt;(ROW(PLE.lastrow)-ROW(PLE.firstrow))),0,
           IF(OFFSET(PLE!$G$15,$M53-$A$15,CI$13)="",10^12,OFFSET(PLE!$G$15,$M53-$A$15,CI$13)))</f>
        <v>1000000000000</v>
      </c>
      <c r="CJ53" s="172" cm="1">
        <f t="array" aca="1" ref="CJ53" ca="1">IF(OR($D53&lt;&gt;"Serviço",AND(AUTOEVENTO="Manual",$M53=$A$15),$M53&gt;(ROW(PLE.lastrow)-ROW(PLE.firstrow))),0,
           IF(OFFSET(PLE!$G$15,$M53-$A$15,CJ$13)="",10^12,OFFSET(PLE!$G$15,$M53-$A$15,CJ$13)))</f>
        <v>1000000000000</v>
      </c>
      <c r="CK53" s="172" cm="1">
        <f t="array" aca="1" ref="CK53" ca="1">IF(OR($D53&lt;&gt;"Serviço",AND(AUTOEVENTO="Manual",$M53=$A$15),$M53&gt;(ROW(PLE.lastrow)-ROW(PLE.firstrow))),0,
           IF(OFFSET(PLE!$G$15,$M53-$A$15,CK$13)="",10^12,OFFSET(PLE!$G$15,$M53-$A$15,CK$13)))</f>
        <v>1000000000000</v>
      </c>
      <c r="CL53" s="172" cm="1">
        <f t="array" aca="1" ref="CL53" ca="1">IF(OR($D53&lt;&gt;"Serviço",AND(AUTOEVENTO="Manual",$M53=$A$15),$M53&gt;(ROW(PLE.lastrow)-ROW(PLE.firstrow))),0,
           IF(OFFSET(PLE!$G$15,$M53-$A$15,CL$13)="",10^12,OFFSET(PLE!$G$15,$M53-$A$15,CL$13)))</f>
        <v>1000000000000</v>
      </c>
      <c r="CM53" s="172" cm="1">
        <f t="array" aca="1" ref="CM53" ca="1">IF(OR($D53&lt;&gt;"Serviço",AND(AUTOEVENTO="Manual",$M53=$A$15),$M53&gt;(ROW(PLE.lastrow)-ROW(PLE.firstrow))),0,
           IF(OFFSET(PLE!$G$15,$M53-$A$15,CM$13)="",10^12,OFFSET(PLE!$G$15,$M53-$A$15,CM$13)))</f>
        <v>1000000000000</v>
      </c>
    </row>
    <row r="54" spans="1:91" s="670" customFormat="1" ht="25.5" x14ac:dyDescent="0.2">
      <c r="A54" s="668">
        <f t="shared" ca="1" si="10"/>
        <v>7</v>
      </c>
      <c r="B54" s="668" t="str">
        <f ca="1">OFFSET(ORÇAMENTO!C$15,$L54,0)</f>
        <v>S</v>
      </c>
      <c r="C54" s="668" t="str">
        <f ca="1">OFFSET(ORÇAMENTO!L$15,$L54,0)</f>
        <v>F</v>
      </c>
      <c r="D54" s="116" t="str">
        <f ca="1">OFFSET(ORÇAMENTO!N$15,$L54,0)</f>
        <v>Serviço</v>
      </c>
      <c r="E54" s="117" t="str">
        <f ca="1">OFFSET(ORÇAMENTO!O$15,$L54,0)</f>
        <v>1.8.3.</v>
      </c>
      <c r="F54" s="163" t="str">
        <f ca="1">OFFSET(ORÇAMENTO!R$15,$L54,0)</f>
        <v>ESCAVAÇÃO MANUAL DE VALA. AF_09/2024</v>
      </c>
      <c r="G54" s="164" t="str">
        <f ca="1">IF($D54&lt;&gt;"Serviço","",OFFSET(ORÇAMENTO!S$15,$L54,0))</f>
        <v>M3</v>
      </c>
      <c r="H54" s="122" cm="1">
        <f t="array" aca="1" ref="H54" ca="1">IF($D54&lt;&gt;"Serviço",0,IF(ACOMPANHAMENTO="BM",ROUND(OFFSET(ORÇAMENTO!AJ$15,$L54,0),15-13*ORÇAMENTO!$AF$7),IF(IFERROR(CÁLCULO.FrentesPreenchidas,0)=0,0,SUM(ROUND(OFFSET($P54,0,1,1,CÁLCULO.FrentesPreenchidas),15-13*ORÇAMENTO!$AF$7)))))</f>
        <v>59.53</v>
      </c>
      <c r="I54" s="679" t="s">
        <v>1145</v>
      </c>
      <c r="J54" s="651" t="str" cm="1">
        <f t="array" aca="1" ref="J54" ca="1">IF(OR(B54&lt;&gt;"S",CÁLCULO.FrentesPreenchidas=0),"",IF(AND(ACOMPANHAMENTO="PLE",AUTOEVENTO="Manual",OR(H54&gt;0,ORÇAMENTO!AC54="QUANT."),OR(K54="",M54=0,N54="")),"►E",IF(AND(ACOMPANHAMENTO="PLE",ORÇAMENTO!AC54="QUANT."),"►Q",IF(AND(ACOMPANHAMENTO="PLE",H54&lt;&gt;SUMPRODUCT(($Q$1:$AI$1=1)*ROUND(Q54:AI54,15))),"►S",IF(AND(COUNTIF($P$11:$AI$11,"▼")=0,H54&gt;0,I54=""),"◄M","")))))</f>
        <v/>
      </c>
      <c r="K54" s="652" t="s">
        <v>1346</v>
      </c>
      <c r="L54" s="165">
        <f t="shared" ca="1" si="11"/>
        <v>39</v>
      </c>
      <c r="M54" s="166">
        <f ca="1">IF($D54&lt;&gt;"Serviço","",
          IF(AUTOEVENTO="manual",$A54,
                IF(ISERROR(MATCH($A54,$A$15:OFFSET($A54,-1,0),0)),MAX($M$15:OFFSET(M54,-1,0))+1,
                      INDEX($M$15:OFFSET(M54,-1,0),MATCH($A54,$A$15:OFFSET($A54,-1,0),0)))))</f>
        <v>7</v>
      </c>
      <c r="N54" s="167" t="str">
        <f ca="1">IF($D54&lt;&gt;"Serviço","",
         IF(AUTOEVENTO="Manual",
                IF($A54=0,"&lt;-- defina o número do agrupador",
                       OFFSET(EVENTOS!$D$15,$A54-$A$15,0)),
                OFFSET($F$15,$A54,0)))</f>
        <v>Escavação - preparo de fundo de vala</v>
      </c>
      <c r="O54" s="168"/>
      <c r="Q54" s="168"/>
      <c r="R54" s="169"/>
      <c r="S54" s="169"/>
      <c r="T54" s="169">
        <v>59.53</v>
      </c>
      <c r="U54" s="169"/>
      <c r="V54" s="169"/>
      <c r="W54" s="169"/>
      <c r="X54" s="169"/>
      <c r="Y54" s="169"/>
      <c r="Z54" s="170"/>
      <c r="AA54" s="705"/>
      <c r="AB54" s="705"/>
      <c r="AC54" s="705"/>
      <c r="AD54" s="705"/>
      <c r="AE54" s="705"/>
      <c r="AF54" s="705"/>
      <c r="AG54" s="705"/>
      <c r="AH54" s="706"/>
      <c r="AJ54" s="453">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3">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L54" s="453">
        <f ca="1">IF(AND($D54="Serviço",AL$12&lt;&gt;0,$H54&gt;0,OR(AUTOEVENTO&lt;&gt;"manual",$M54&lt;&gt;$A$15)),
        IF(Import.TipoArredondamento&lt;&gt;"TransfereGOV",
              ROUND(OFFSET($P54,0,AL$13),15-13*ORÇAMENTO!$AF$7)/$H54*OFFSET(ORÇAMENTO!$X$15,ROW(AL54)-ROW(AL$15),0),
              ROUND(ROUND(OFFSET($P54,0,AL$13),15-13*ORÇAMENTO!$AF$7)*OFFSET(ORÇAMENTO!$W$15,ROW(AL54)-ROW(AL$15),0),15-13*ORÇAMENTO!$AF$11)),
         0)</f>
        <v>0</v>
      </c>
      <c r="AM54" s="453">
        <f ca="1">IF(AND($D54="Serviço",AM$12&lt;&gt;0,$H54&gt;0,OR(AUTOEVENTO&lt;&gt;"manual",$M54&lt;&gt;$A$15)),
        IF(Import.TipoArredondamento&lt;&gt;"TransfereGOV",
              ROUND(OFFSET($P54,0,AM$13),15-13*ORÇAMENTO!$AF$7)/$H54*OFFSET(ORÇAMENTO!$X$15,ROW(AM54)-ROW(AM$15),0),
              ROUND(ROUND(OFFSET($P54,0,AM$13),15-13*ORÇAMENTO!$AF$7)*OFFSET(ORÇAMENTO!$W$15,ROW(AM54)-ROW(AM$15),0),15-13*ORÇAMENTO!$AF$11)),
         0)</f>
        <v>7264.45</v>
      </c>
      <c r="AN54" s="453">
        <f ca="1">IF(AND($D54="Serviço",AN$12&lt;&gt;0,$H54&gt;0,OR(AUTOEVENTO&lt;&gt;"manual",$M54&lt;&gt;$A$15)),
        IF(Import.TipoArredondamento&lt;&gt;"TransfereGOV",
              ROUND(OFFSET($P54,0,AN$13),15-13*ORÇAMENTO!$AF$7)/$H54*OFFSET(ORÇAMENTO!$X$15,ROW(AN54)-ROW(AN$15),0),
              ROUND(ROUND(OFFSET($P54,0,AN$13),15-13*ORÇAMENTO!$AF$7)*OFFSET(ORÇAMENTO!$W$15,ROW(AN54)-ROW(AN$15),0),15-13*ORÇAMENTO!$AF$11)),
         0)</f>
        <v>0</v>
      </c>
      <c r="AO54" s="453">
        <f ca="1">IF(AND($D54="Serviço",AO$12&lt;&gt;0,$H54&gt;0,OR(AUTOEVENTO&lt;&gt;"manual",$M54&lt;&gt;$A$15)),
        IF(Import.TipoArredondamento&lt;&gt;"TransfereGOV",
              ROUND(OFFSET($P54,0,AO$13),15-13*ORÇAMENTO!$AF$7)/$H54*OFFSET(ORÇAMENTO!$X$15,ROW(AO54)-ROW(AO$15),0),
              ROUND(ROUND(OFFSET($P54,0,AO$13),15-13*ORÇAMENTO!$AF$7)*OFFSET(ORÇAMENTO!$W$15,ROW(AO54)-ROW(AO$15),0),15-13*ORÇAMENTO!$AF$11)),
         0)</f>
        <v>0</v>
      </c>
      <c r="AP54" s="453">
        <f ca="1">IF(AND($D54="Serviço",AP$12&lt;&gt;0,$H54&gt;0,OR(AUTOEVENTO&lt;&gt;"manual",$M54&lt;&gt;$A$15)),
        IF(Import.TipoArredondamento&lt;&gt;"TransfereGOV",
              ROUND(OFFSET($P54,0,AP$13),15-13*ORÇAMENTO!$AF$7)/$H54*OFFSET(ORÇAMENTO!$X$15,ROW(AP54)-ROW(AP$15),0),
              ROUND(ROUND(OFFSET($P54,0,AP$13),15-13*ORÇAMENTO!$AF$7)*OFFSET(ORÇAMENTO!$W$15,ROW(AP54)-ROW(AP$15),0),15-13*ORÇAMENTO!$AF$11)),
         0)</f>
        <v>0</v>
      </c>
      <c r="AQ54" s="453">
        <f ca="1">IF(AND($D54="Serviço",AQ$12&lt;&gt;0,$H54&gt;0,OR(AUTOEVENTO&lt;&gt;"manual",$M54&lt;&gt;$A$15)),
        IF(Import.TipoArredondamento&lt;&gt;"TransfereGOV",
              ROUND(OFFSET($P54,0,AQ$13),15-13*ORÇAMENTO!$AF$7)/$H54*OFFSET(ORÇAMENTO!$X$15,ROW(AQ54)-ROW(AQ$15),0),
              ROUND(ROUND(OFFSET($P54,0,AQ$13),15-13*ORÇAMENTO!$AF$7)*OFFSET(ORÇAMENTO!$W$15,ROW(AQ54)-ROW(AQ$15),0),15-13*ORÇAMENTO!$AF$11)),
         0)</f>
        <v>0</v>
      </c>
      <c r="AR54" s="453">
        <f ca="1">IF(AND($D54="Serviço",AR$12&lt;&gt;0,$H54&gt;0,OR(AUTOEVENTO&lt;&gt;"manual",$M54&lt;&gt;$A$15)),
        IF(Import.TipoArredondamento&lt;&gt;"TransfereGOV",
              ROUND(OFFSET($P54,0,AR$13),15-13*ORÇAMENTO!$AF$7)/$H54*OFFSET(ORÇAMENTO!$X$15,ROW(AR54)-ROW(AR$15),0),
              ROUND(ROUND(OFFSET($P54,0,AR$13),15-13*ORÇAMENTO!$AF$7)*OFFSET(ORÇAMENTO!$W$15,ROW(AR54)-ROW(AR$15),0),15-13*ORÇAMENTO!$AF$11)),
         0)</f>
        <v>0</v>
      </c>
      <c r="AS54" s="453">
        <f ca="1">IF(AND($D54="Serviço",AS$12&lt;&gt;0,$H54&gt;0,OR(AUTOEVENTO&lt;&gt;"manual",$M54&lt;&gt;$A$15)),
        IF(Import.TipoArredondamento&lt;&gt;"TransfereGOV",
              ROUND(OFFSET($P54,0,AS$13),15-13*ORÇAMENTO!$AF$7)/$H54*OFFSET(ORÇAMENTO!$X$15,ROW(AS54)-ROW(AS$15),0),
              ROUND(ROUND(OFFSET($P54,0,AS$13),15-13*ORÇAMENTO!$AF$7)*OFFSET(ORÇAMENTO!$W$15,ROW(AS54)-ROW(AS$15),0),15-13*ORÇAMENTO!$AF$11)),
         0)</f>
        <v>0</v>
      </c>
      <c r="AT54" s="453">
        <f ca="1">IF(AND($D54="Serviço",AT$12&lt;&gt;0,$H54&gt;0,OR(AUTOEVENTO&lt;&gt;"manual",$M54&lt;&gt;$A$15)),
        IF(Import.TipoArredondamento&lt;&gt;"TransfereGOV",
              ROUND(OFFSET($P54,0,AT$13),15-13*ORÇAMENTO!$AF$7)/$H54*OFFSET(ORÇAMENTO!$X$15,ROW(AT54)-ROW(AT$15),0),
              ROUND(ROUND(OFFSET($P54,0,AT$13),15-13*ORÇAMENTO!$AF$7)*OFFSET(ORÇAMENTO!$W$15,ROW(AT54)-ROW(AT$15),0),15-13*ORÇAMENTO!$AF$11)),
         0)</f>
        <v>0</v>
      </c>
      <c r="AU54" s="453">
        <f ca="1">IF(AND($D54="Serviço",AU$12&lt;&gt;0,$H54&gt;0,OR(AUTOEVENTO&lt;&gt;"manual",$M54&lt;&gt;$A$15)),
        IF(Import.TipoArredondamento&lt;&gt;"TransfereGOV",
              ROUND(OFFSET($P54,0,AU$13),15-13*ORÇAMENTO!$AF$7)/$H54*OFFSET(ORÇAMENTO!$X$15,ROW(AU54)-ROW(AU$15),0),
              ROUND(ROUND(OFFSET($P54,0,AU$13),15-13*ORÇAMENTO!$AF$7)*OFFSET(ORÇAMENTO!$W$15,ROW(AU54)-ROW(AU$15),0),15-13*ORÇAMENTO!$AF$11)),
         0)</f>
        <v>0</v>
      </c>
      <c r="AV54" s="453">
        <f ca="1">IF(AND($D54="Serviço",AV$12&lt;&gt;0,$H54&gt;0,OR(AUTOEVENTO&lt;&gt;"manual",$M54&lt;&gt;$A$15)),
        IF(Import.TipoArredondamento&lt;&gt;"TransfereGOV",
              ROUND(OFFSET($P54,0,AV$13),15-13*ORÇAMENTO!$AF$7)/$H54*OFFSET(ORÇAMENTO!$X$15,ROW(AV54)-ROW(AV$15),0),
              ROUND(ROUND(OFFSET($P54,0,AV$13),15-13*ORÇAMENTO!$AF$7)*OFFSET(ORÇAMENTO!$W$15,ROW(AV54)-ROW(AV$15),0),15-13*ORÇAMENTO!$AF$11)),
         0)</f>
        <v>0</v>
      </c>
      <c r="AW54" s="453">
        <f ca="1">IF(AND($D54="Serviço",AW$12&lt;&gt;0,$H54&gt;0,OR(AUTOEVENTO&lt;&gt;"manual",$M54&lt;&gt;$A$15)),
        IF(Import.TipoArredondamento&lt;&gt;"TransfereGOV",
              ROUND(OFFSET($P54,0,AW$13),15-13*ORÇAMENTO!$AF$7)/$H54*OFFSET(ORÇAMENTO!$X$15,ROW(AW54)-ROW(AW$15),0),
              ROUND(ROUND(OFFSET($P54,0,AW$13),15-13*ORÇAMENTO!$AF$7)*OFFSET(ORÇAMENTO!$W$15,ROW(AW54)-ROW(AW$15),0),15-13*ORÇAMENTO!$AF$11)),
         0)</f>
        <v>0</v>
      </c>
      <c r="AX54" s="453">
        <f ca="1">IF(AND($D54="Serviço",AX$12&lt;&gt;0,$H54&gt;0,OR(AUTOEVENTO&lt;&gt;"manual",$M54&lt;&gt;$A$15)),
        IF(Import.TipoArredondamento&lt;&gt;"TransfereGOV",
              ROUND(OFFSET($P54,0,AX$13),15-13*ORÇAMENTO!$AF$7)/$H54*OFFSET(ORÇAMENTO!$X$15,ROW(AX54)-ROW(AX$15),0),
              ROUND(ROUND(OFFSET($P54,0,AX$13),15-13*ORÇAMENTO!$AF$7)*OFFSET(ORÇAMENTO!$W$15,ROW(AX54)-ROW(AX$15),0),15-13*ORÇAMENTO!$AF$11)),
         0)</f>
        <v>0</v>
      </c>
      <c r="AY54" s="453">
        <f ca="1">IF(AND($D54="Serviço",AY$12&lt;&gt;0,$H54&gt;0,OR(AUTOEVENTO&lt;&gt;"manual",$M54&lt;&gt;$A$15)),
        IF(Import.TipoArredondamento&lt;&gt;"TransfereGOV",
              ROUND(OFFSET($P54,0,AY$13),15-13*ORÇAMENTO!$AF$7)/$H54*OFFSET(ORÇAMENTO!$X$15,ROW(AY54)-ROW(AY$15),0),
              ROUND(ROUND(OFFSET($P54,0,AY$13),15-13*ORÇAMENTO!$AF$7)*OFFSET(ORÇAMENTO!$W$15,ROW(AY54)-ROW(AY$15),0),15-13*ORÇAMENTO!$AF$11)),
         0)</f>
        <v>0</v>
      </c>
      <c r="AZ54" s="453">
        <f ca="1">IF(AND($D54="Serviço",AZ$12&lt;&gt;0,$H54&gt;0,OR(AUTOEVENTO&lt;&gt;"manual",$M54&lt;&gt;$A$15)),
        IF(Import.TipoArredondamento&lt;&gt;"TransfereGOV",
              ROUND(OFFSET($P54,0,AZ$13),15-13*ORÇAMENTO!$AF$7)/$H54*OFFSET(ORÇAMENTO!$X$15,ROW(AZ54)-ROW(AZ$15),0),
              ROUND(ROUND(OFFSET($P54,0,AZ$13),15-13*ORÇAMENTO!$AF$7)*OFFSET(ORÇAMENTO!$W$15,ROW(AZ54)-ROW(AZ$15),0),15-13*ORÇAMENTO!$AF$11)),
         0)</f>
        <v>0</v>
      </c>
      <c r="BA54" s="453">
        <f ca="1">IF(AND($D54="Serviço",BA$12&lt;&gt;0,$H54&gt;0,OR(AUTOEVENTO&lt;&gt;"manual",$M54&lt;&gt;$A$15)),
        IF(Import.TipoArredondamento&lt;&gt;"TransfereGOV",
              ROUND(OFFSET($P54,0,BA$13),15-13*ORÇAMENTO!$AF$7)/$H54*OFFSET(ORÇAMENTO!$X$15,ROW(BA54)-ROW(BA$15),0),
              ROUND(ROUND(OFFSET($P54,0,BA$13),15-13*ORÇAMENTO!$AF$7)*OFFSET(ORÇAMENTO!$W$15,ROW(BA54)-ROW(BA$15),0),15-13*ORÇAMENTO!$AF$11)),
         0)</f>
        <v>0</v>
      </c>
      <c r="BC54" s="171">
        <f ca="1">IF(OR($D54&lt;&gt;"Serviço",AND(AUTOEVENTO="Manual",$M54=$A$15)),0,
         IF(OFFSET(CRONOPLE!$F$15,$M54-$A$15,BC$13)=0,10^12,OFFSET(CRONOPLE!$F$15,$M54-$A$15,BC$13)))</f>
        <v>10</v>
      </c>
      <c r="BD54" s="171">
        <f ca="1">IF(OR($D54&lt;&gt;"Serviço",AND(AUTOEVENTO="Manual",$M54=$A$15)),0,
         IF(OFFSET(CRONOPLE!$F$15,$M54-$A$15,BD$13)=0,10^12,OFFSET(CRONOPLE!$F$15,$M54-$A$15,BD$13)))</f>
        <v>1000000000000</v>
      </c>
      <c r="BE54" s="171">
        <f ca="1">IF(OR($D54&lt;&gt;"Serviço",AND(AUTOEVENTO="Manual",$M54=$A$15)),0,
         IF(OFFSET(CRONOPLE!$F$15,$M54-$A$15,BE$13)=0,10^12,OFFSET(CRONOPLE!$F$15,$M54-$A$15,BE$13)))</f>
        <v>4</v>
      </c>
      <c r="BF54" s="171">
        <f ca="1">IF(OR($D54&lt;&gt;"Serviço",AND(AUTOEVENTO="Manual",$M54=$A$15)),0,
         IF(OFFSET(CRONOPLE!$F$15,$M54-$A$15,BF$13)=0,10^12,OFFSET(CRONOPLE!$F$15,$M54-$A$15,BF$13)))</f>
        <v>9</v>
      </c>
      <c r="BG54" s="171">
        <f ca="1">IF(OR($D54&lt;&gt;"Serviço",AND(AUTOEVENTO="Manual",$M54=$A$15)),0,
         IF(OFFSET(CRONOPLE!$F$15,$M54-$A$15,BG$13)=0,10^12,OFFSET(CRONOPLE!$F$15,$M54-$A$15,BG$13)))</f>
        <v>6</v>
      </c>
      <c r="BH54" s="171">
        <f ca="1">IF(OR($D54&lt;&gt;"Serviço",AND(AUTOEVENTO="Manual",$M54=$A$15)),0,
         IF(OFFSET(CRONOPLE!$F$15,$M54-$A$15,BH$13)=0,10^12,OFFSET(CRONOPLE!$F$15,$M54-$A$15,BH$13)))</f>
        <v>6</v>
      </c>
      <c r="BI54" s="171">
        <f ca="1">IF(OR($D54&lt;&gt;"Serviço",AND(AUTOEVENTO="Manual",$M54=$A$15)),0,
         IF(OFFSET(CRONOPLE!$F$15,$M54-$A$15,BI$13)=0,10^12,OFFSET(CRONOPLE!$F$15,$M54-$A$15,BI$13)))</f>
        <v>9</v>
      </c>
      <c r="BJ54" s="171">
        <f ca="1">IF(OR($D54&lt;&gt;"Serviço",AND(AUTOEVENTO="Manual",$M54=$A$15)),0,
         IF(OFFSET(CRONOPLE!$F$15,$M54-$A$15,BJ$13)=0,10^12,OFFSET(CRONOPLE!$F$15,$M54-$A$15,BJ$13)))</f>
        <v>1000000000000</v>
      </c>
      <c r="BK54" s="171">
        <f ca="1">IF(OR($D54&lt;&gt;"Serviço",AND(AUTOEVENTO="Manual",$M54=$A$15)),0,
         IF(OFFSET(CRONOPLE!$F$15,$M54-$A$15,BK$13)=0,10^12,OFFSET(CRONOPLE!$F$15,$M54-$A$15,BK$13)))</f>
        <v>1000000000000</v>
      </c>
      <c r="BL54" s="171">
        <f ca="1">IF(OR($D54&lt;&gt;"Serviço",AND(AUTOEVENTO="Manual",$M54=$A$15)),0,
         IF(OFFSET(CRONOPLE!$F$15,$M54-$A$15,BL$13)=0,10^12,OFFSET(CRONOPLE!$F$15,$M54-$A$15,BL$13)))</f>
        <v>1000000000000</v>
      </c>
      <c r="BM54" s="171">
        <f ca="1">IF(OR($D54&lt;&gt;"Serviço",AND(AUTOEVENTO="Manual",$M54=$A$15)),0,
         IF(OFFSET(CRONOPLE!$F$15,$M54-$A$15,BM$13)=0,10^12,OFFSET(CRONOPLE!$F$15,$M54-$A$15,BM$13)))</f>
        <v>1000000000000</v>
      </c>
      <c r="BN54" s="171">
        <f ca="1">IF(OR($D54&lt;&gt;"Serviço",AND(AUTOEVENTO="Manual",$M54=$A$15)),0,
         IF(OFFSET(CRONOPLE!$F$15,$M54-$A$15,BN$13)=0,10^12,OFFSET(CRONOPLE!$F$15,$M54-$A$15,BN$13)))</f>
        <v>1000000000000</v>
      </c>
      <c r="BO54" s="171">
        <f ca="1">IF(OR($D54&lt;&gt;"Serviço",AND(AUTOEVENTO="Manual",$M54=$A$15)),0,
         IF(OFFSET(CRONOPLE!$F$15,$M54-$A$15,BO$13)=0,10^12,OFFSET(CRONOPLE!$F$15,$M54-$A$15,BO$13)))</f>
        <v>1000000000000</v>
      </c>
      <c r="BP54" s="171">
        <f ca="1">IF(OR($D54&lt;&gt;"Serviço",AND(AUTOEVENTO="Manual",$M54=$A$15)),0,
         IF(OFFSET(CRONOPLE!$F$15,$M54-$A$15,BP$13)=0,10^12,OFFSET(CRONOPLE!$F$15,$M54-$A$15,BP$13)))</f>
        <v>1000000000000</v>
      </c>
      <c r="BQ54" s="171">
        <f ca="1">IF(OR($D54&lt;&gt;"Serviço",AND(AUTOEVENTO="Manual",$M54=$A$15)),0,
         IF(OFFSET(CRONOPLE!$F$15,$M54-$A$15,BQ$13)=0,10^12,OFFSET(CRONOPLE!$F$15,$M54-$A$15,BQ$13)))</f>
        <v>1000000000000</v>
      </c>
      <c r="BR54" s="171">
        <f ca="1">IF(OR($D54&lt;&gt;"Serviço",AND(AUTOEVENTO="Manual",$M54=$A$15)),0,
         IF(OFFSET(CRONOPLE!$F$15,$M54-$A$15,BR$13)=0,10^12,OFFSET(CRONOPLE!$F$15,$M54-$A$15,BR$13)))</f>
        <v>1000000000000</v>
      </c>
      <c r="BS54" s="171">
        <f ca="1">IF(OR($D54&lt;&gt;"Serviço",AND(AUTOEVENTO="Manual",$M54=$A$15)),0,
         IF(OFFSET(CRONOPLE!$F$15,$M54-$A$15,BS$13)=0,10^12,OFFSET(CRONOPLE!$F$15,$M54-$A$15,BS$13)))</f>
        <v>1000000000000</v>
      </c>
      <c r="BT54" s="171">
        <f ca="1">IF(OR($D54&lt;&gt;"Serviço",AND(AUTOEVENTO="Manual",$M54=$A$15)),0,
         IF(OFFSET(CRONOPLE!$F$15,$M54-$A$15,BT$13)=0,10^12,OFFSET(CRONOPLE!$F$15,$M54-$A$15,BT$13)))</f>
        <v>1000000000000</v>
      </c>
      <c r="BV54" s="172" cm="1">
        <f t="array" aca="1" ref="BV54" ca="1">IF(OR($D54&lt;&gt;"Serviço",AND(AUTOEVENTO="Manual",$M54=$A$15),$M54&gt;(ROW(PLE.lastrow)-ROW(PLE.firstrow))),0,
           IF(OFFSET(PLE!$G$15,$M54-$A$15,BV$13)="",10^12,OFFSET(PLE!$G$15,$M54-$A$15,BV$13)))</f>
        <v>1000000000000</v>
      </c>
      <c r="BW54" s="172" cm="1">
        <f t="array" aca="1" ref="BW54" ca="1">IF(OR($D54&lt;&gt;"Serviço",AND(AUTOEVENTO="Manual",$M54=$A$15),$M54&gt;(ROW(PLE.lastrow)-ROW(PLE.firstrow))),0,
           IF(OFFSET(PLE!$G$15,$M54-$A$15,BW$13)="",10^12,OFFSET(PLE!$G$15,$M54-$A$15,BW$13)))</f>
        <v>1000000000000</v>
      </c>
      <c r="BX54" s="172" cm="1">
        <f t="array" aca="1" ref="BX54" ca="1">IF(OR($D54&lt;&gt;"Serviço",AND(AUTOEVENTO="Manual",$M54=$A$15),$M54&gt;(ROW(PLE.lastrow)-ROW(PLE.firstrow))),0,
           IF(OFFSET(PLE!$G$15,$M54-$A$15,BX$13)="",10^12,OFFSET(PLE!$G$15,$M54-$A$15,BX$13)))</f>
        <v>1000000000000</v>
      </c>
      <c r="BY54" s="172" cm="1">
        <f t="array" aca="1" ref="BY54" ca="1">IF(OR($D54&lt;&gt;"Serviço",AND(AUTOEVENTO="Manual",$M54=$A$15),$M54&gt;(ROW(PLE.lastrow)-ROW(PLE.firstrow))),0,
           IF(OFFSET(PLE!$G$15,$M54-$A$15,BY$13)="",10^12,OFFSET(PLE!$G$15,$M54-$A$15,BY$13)))</f>
        <v>1000000000000</v>
      </c>
      <c r="BZ54" s="172" cm="1">
        <f t="array" aca="1" ref="BZ54" ca="1">IF(OR($D54&lt;&gt;"Serviço",AND(AUTOEVENTO="Manual",$M54=$A$15),$M54&gt;(ROW(PLE.lastrow)-ROW(PLE.firstrow))),0,
           IF(OFFSET(PLE!$G$15,$M54-$A$15,BZ$13)="",10^12,OFFSET(PLE!$G$15,$M54-$A$15,BZ$13)))</f>
        <v>1000000000000</v>
      </c>
      <c r="CA54" s="172" cm="1">
        <f t="array" aca="1" ref="CA54" ca="1">IF(OR($D54&lt;&gt;"Serviço",AND(AUTOEVENTO="Manual",$M54=$A$15),$M54&gt;(ROW(PLE.lastrow)-ROW(PLE.firstrow))),0,
           IF(OFFSET(PLE!$G$15,$M54-$A$15,CA$13)="",10^12,OFFSET(PLE!$G$15,$M54-$A$15,CA$13)))</f>
        <v>1000000000000</v>
      </c>
      <c r="CB54" s="172" cm="1">
        <f t="array" aca="1" ref="CB54" ca="1">IF(OR($D54&lt;&gt;"Serviço",AND(AUTOEVENTO="Manual",$M54=$A$15),$M54&gt;(ROW(PLE.lastrow)-ROW(PLE.firstrow))),0,
           IF(OFFSET(PLE!$G$15,$M54-$A$15,CB$13)="",10^12,OFFSET(PLE!$G$15,$M54-$A$15,CB$13)))</f>
        <v>1000000000000</v>
      </c>
      <c r="CC54" s="172" cm="1">
        <f t="array" aca="1" ref="CC54" ca="1">IF(OR($D54&lt;&gt;"Serviço",AND(AUTOEVENTO="Manual",$M54=$A$15),$M54&gt;(ROW(PLE.lastrow)-ROW(PLE.firstrow))),0,
           IF(OFFSET(PLE!$G$15,$M54-$A$15,CC$13)="",10^12,OFFSET(PLE!$G$15,$M54-$A$15,CC$13)))</f>
        <v>1000000000000</v>
      </c>
      <c r="CD54" s="172" cm="1">
        <f t="array" aca="1" ref="CD54" ca="1">IF(OR($D54&lt;&gt;"Serviço",AND(AUTOEVENTO="Manual",$M54=$A$15),$M54&gt;(ROW(PLE.lastrow)-ROW(PLE.firstrow))),0,
           IF(OFFSET(PLE!$G$15,$M54-$A$15,CD$13)="",10^12,OFFSET(PLE!$G$15,$M54-$A$15,CD$13)))</f>
        <v>1000000000000</v>
      </c>
      <c r="CE54" s="172" cm="1">
        <f t="array" aca="1" ref="CE54" ca="1">IF(OR($D54&lt;&gt;"Serviço",AND(AUTOEVENTO="Manual",$M54=$A$15),$M54&gt;(ROW(PLE.lastrow)-ROW(PLE.firstrow))),0,
           IF(OFFSET(PLE!$G$15,$M54-$A$15,CE$13)="",10^12,OFFSET(PLE!$G$15,$M54-$A$15,CE$13)))</f>
        <v>1000000000000</v>
      </c>
      <c r="CF54" s="172" cm="1">
        <f t="array" aca="1" ref="CF54" ca="1">IF(OR($D54&lt;&gt;"Serviço",AND(AUTOEVENTO="Manual",$M54=$A$15),$M54&gt;(ROW(PLE.lastrow)-ROW(PLE.firstrow))),0,
           IF(OFFSET(PLE!$G$15,$M54-$A$15,CF$13)="",10^12,OFFSET(PLE!$G$15,$M54-$A$15,CF$13)))</f>
        <v>1000000000000</v>
      </c>
      <c r="CG54" s="172" cm="1">
        <f t="array" aca="1" ref="CG54" ca="1">IF(OR($D54&lt;&gt;"Serviço",AND(AUTOEVENTO="Manual",$M54=$A$15),$M54&gt;(ROW(PLE.lastrow)-ROW(PLE.firstrow))),0,
           IF(OFFSET(PLE!$G$15,$M54-$A$15,CG$13)="",10^12,OFFSET(PLE!$G$15,$M54-$A$15,CG$13)))</f>
        <v>1000000000000</v>
      </c>
      <c r="CH54" s="172" cm="1">
        <f t="array" aca="1" ref="CH54" ca="1">IF(OR($D54&lt;&gt;"Serviço",AND(AUTOEVENTO="Manual",$M54=$A$15),$M54&gt;(ROW(PLE.lastrow)-ROW(PLE.firstrow))),0,
           IF(OFFSET(PLE!$G$15,$M54-$A$15,CH$13)="",10^12,OFFSET(PLE!$G$15,$M54-$A$15,CH$13)))</f>
        <v>1000000000000</v>
      </c>
      <c r="CI54" s="172" cm="1">
        <f t="array" aca="1" ref="CI54" ca="1">IF(OR($D54&lt;&gt;"Serviço",AND(AUTOEVENTO="Manual",$M54=$A$15),$M54&gt;(ROW(PLE.lastrow)-ROW(PLE.firstrow))),0,
           IF(OFFSET(PLE!$G$15,$M54-$A$15,CI$13)="",10^12,OFFSET(PLE!$G$15,$M54-$A$15,CI$13)))</f>
        <v>1000000000000</v>
      </c>
      <c r="CJ54" s="172" cm="1">
        <f t="array" aca="1" ref="CJ54" ca="1">IF(OR($D54&lt;&gt;"Serviço",AND(AUTOEVENTO="Manual",$M54=$A$15),$M54&gt;(ROW(PLE.lastrow)-ROW(PLE.firstrow))),0,
           IF(OFFSET(PLE!$G$15,$M54-$A$15,CJ$13)="",10^12,OFFSET(PLE!$G$15,$M54-$A$15,CJ$13)))</f>
        <v>1000000000000</v>
      </c>
      <c r="CK54" s="172" cm="1">
        <f t="array" aca="1" ref="CK54" ca="1">IF(OR($D54&lt;&gt;"Serviço",AND(AUTOEVENTO="Manual",$M54=$A$15),$M54&gt;(ROW(PLE.lastrow)-ROW(PLE.firstrow))),0,
           IF(OFFSET(PLE!$G$15,$M54-$A$15,CK$13)="",10^12,OFFSET(PLE!$G$15,$M54-$A$15,CK$13)))</f>
        <v>1000000000000</v>
      </c>
      <c r="CL54" s="172" cm="1">
        <f t="array" aca="1" ref="CL54" ca="1">IF(OR($D54&lt;&gt;"Serviço",AND(AUTOEVENTO="Manual",$M54=$A$15),$M54&gt;(ROW(PLE.lastrow)-ROW(PLE.firstrow))),0,
           IF(OFFSET(PLE!$G$15,$M54-$A$15,CL$13)="",10^12,OFFSET(PLE!$G$15,$M54-$A$15,CL$13)))</f>
        <v>1000000000000</v>
      </c>
      <c r="CM54" s="172" cm="1">
        <f t="array" aca="1" ref="CM54" ca="1">IF(OR($D54&lt;&gt;"Serviço",AND(AUTOEVENTO="Manual",$M54=$A$15),$M54&gt;(ROW(PLE.lastrow)-ROW(PLE.firstrow))),0,
           IF(OFFSET(PLE!$G$15,$M54-$A$15,CM$13)="",10^12,OFFSET(PLE!$G$15,$M54-$A$15,CM$13)))</f>
        <v>1000000000000</v>
      </c>
    </row>
    <row r="55" spans="1:91" s="670" customFormat="1" ht="25.5" x14ac:dyDescent="0.2">
      <c r="A55" s="668">
        <f t="shared" ca="1" si="10"/>
        <v>9</v>
      </c>
      <c r="B55" s="668" t="str">
        <f ca="1">OFFSET(ORÇAMENTO!C$15,$L55,0)</f>
        <v>S</v>
      </c>
      <c r="C55" s="668" t="str">
        <f ca="1">OFFSET(ORÇAMENTO!L$15,$L55,0)</f>
        <v>F</v>
      </c>
      <c r="D55" s="116" t="str">
        <f ca="1">OFFSET(ORÇAMENTO!N$15,$L55,0)</f>
        <v>Serviço</v>
      </c>
      <c r="E55" s="117" t="str">
        <f ca="1">OFFSET(ORÇAMENTO!O$15,$L55,0)</f>
        <v>1.8.4.</v>
      </c>
      <c r="F55" s="163" t="str">
        <f ca="1">OFFSET(ORÇAMENTO!R$15,$L55,0)</f>
        <v>REATERRO MANUAL DE VALA, INCLUSIVE ESPALHAMENTO E COMPACTAÇÃO MANUAL COM SOQUETE</v>
      </c>
      <c r="G55" s="164" t="str">
        <f ca="1">IF($D55&lt;&gt;"Serviço","",OFFSET(ORÇAMENTO!S$15,$L55,0))</f>
        <v>m3</v>
      </c>
      <c r="H55" s="122" cm="1">
        <f t="array" aca="1" ref="H55" ca="1">IF($D55&lt;&gt;"Serviço",0,IF(ACOMPANHAMENTO="BM",ROUND(OFFSET(ORÇAMENTO!AJ$15,$L55,0),15-13*ORÇAMENTO!$AF$7),IF(IFERROR(CÁLCULO.FrentesPreenchidas,0)=0,0,SUM(ROUND(OFFSET($P55,0,1,1,CÁLCULO.FrentesPreenchidas),15-13*ORÇAMENTO!$AF$7)))))</f>
        <v>43.21</v>
      </c>
      <c r="I55" s="679" t="s">
        <v>1146</v>
      </c>
      <c r="J55" s="651" t="str" cm="1">
        <f t="array" aca="1" ref="J55" ca="1">IF(OR(B55&lt;&gt;"S",CÁLCULO.FrentesPreenchidas=0),"",IF(AND(ACOMPANHAMENTO="PLE",AUTOEVENTO="Manual",OR(H55&gt;0,ORÇAMENTO!AC55="QUANT."),OR(K55="",M55=0,N55="")),"►E",IF(AND(ACOMPANHAMENTO="PLE",ORÇAMENTO!AC55="QUANT."),"►Q",IF(AND(ACOMPANHAMENTO="PLE",H55&lt;&gt;SUMPRODUCT(($Q$1:$AI$1=1)*ROUND(Q55:AI55,15))),"►S",IF(AND(COUNTIF($P$11:$AI$11,"▼")=0,H55&gt;0,I55=""),"◄M","")))))</f>
        <v/>
      </c>
      <c r="K55" s="652" t="s">
        <v>1347</v>
      </c>
      <c r="L55" s="165">
        <f t="shared" ca="1" si="11"/>
        <v>40</v>
      </c>
      <c r="M55" s="166">
        <f ca="1">IF($D55&lt;&gt;"Serviço","",
          IF(AUTOEVENTO="manual",$A55,
                IF(ISERROR(MATCH($A55,$A$15:OFFSET($A55,-1,0),0)),MAX($M$15:OFFSET(M55,-1,0))+1,
                      INDEX($M$15:OFFSET(M55,-1,0),MATCH($A55,$A$15:OFFSET($A55,-1,0),0)))))</f>
        <v>9</v>
      </c>
      <c r="N55" s="167" t="str">
        <f ca="1">IF($D55&lt;&gt;"Serviço","",
         IF(AUTOEVENTO="Manual",
                IF($A55=0,"&lt;-- defina o número do agrupador",
                       OFFSET(EVENTOS!$D$15,$A55-$A$15,0)),
                OFFSET($F$15,$A55,0)))</f>
        <v>Reaterro</v>
      </c>
      <c r="O55" s="168"/>
      <c r="Q55" s="168"/>
      <c r="R55" s="169"/>
      <c r="S55" s="169"/>
      <c r="T55" s="169">
        <v>43.21</v>
      </c>
      <c r="U55" s="169"/>
      <c r="V55" s="169"/>
      <c r="W55" s="169"/>
      <c r="X55" s="169"/>
      <c r="Y55" s="169"/>
      <c r="Z55" s="170"/>
      <c r="AA55" s="705"/>
      <c r="AB55" s="705"/>
      <c r="AC55" s="705"/>
      <c r="AD55" s="705"/>
      <c r="AE55" s="705"/>
      <c r="AF55" s="705"/>
      <c r="AG55" s="705"/>
      <c r="AH55" s="706"/>
      <c r="AJ55" s="453">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3">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L55" s="453">
        <f ca="1">IF(AND($D55="Serviço",AL$12&lt;&gt;0,$H55&gt;0,OR(AUTOEVENTO&lt;&gt;"manual",$M55&lt;&gt;$A$15)),
        IF(Import.TipoArredondamento&lt;&gt;"TransfereGOV",
              ROUND(OFFSET($P55,0,AL$13),15-13*ORÇAMENTO!$AF$7)/$H55*OFFSET(ORÇAMENTO!$X$15,ROW(AL55)-ROW(AL$15),0),
              ROUND(ROUND(OFFSET($P55,0,AL$13),15-13*ORÇAMENTO!$AF$7)*OFFSET(ORÇAMENTO!$W$15,ROW(AL55)-ROW(AL$15),0),15-13*ORÇAMENTO!$AF$11)),
         0)</f>
        <v>0</v>
      </c>
      <c r="AM55" s="453">
        <f ca="1">IF(AND($D55="Serviço",AM$12&lt;&gt;0,$H55&gt;0,OR(AUTOEVENTO&lt;&gt;"manual",$M55&lt;&gt;$A$15)),
        IF(Import.TipoArredondamento&lt;&gt;"TransfereGOV",
              ROUND(OFFSET($P55,0,AM$13),15-13*ORÇAMENTO!$AF$7)/$H55*OFFSET(ORÇAMENTO!$X$15,ROW(AM55)-ROW(AM$15),0),
              ROUND(ROUND(OFFSET($P55,0,AM$13),15-13*ORÇAMENTO!$AF$7)*OFFSET(ORÇAMENTO!$W$15,ROW(AM55)-ROW(AM$15),0),15-13*ORÇAMENTO!$AF$11)),
         0)</f>
        <v>4141.25</v>
      </c>
      <c r="AN55" s="453">
        <f ca="1">IF(AND($D55="Serviço",AN$12&lt;&gt;0,$H55&gt;0,OR(AUTOEVENTO&lt;&gt;"manual",$M55&lt;&gt;$A$15)),
        IF(Import.TipoArredondamento&lt;&gt;"TransfereGOV",
              ROUND(OFFSET($P55,0,AN$13),15-13*ORÇAMENTO!$AF$7)/$H55*OFFSET(ORÇAMENTO!$X$15,ROW(AN55)-ROW(AN$15),0),
              ROUND(ROUND(OFFSET($P55,0,AN$13),15-13*ORÇAMENTO!$AF$7)*OFFSET(ORÇAMENTO!$W$15,ROW(AN55)-ROW(AN$15),0),15-13*ORÇAMENTO!$AF$11)),
         0)</f>
        <v>0</v>
      </c>
      <c r="AO55" s="453">
        <f ca="1">IF(AND($D55="Serviço",AO$12&lt;&gt;0,$H55&gt;0,OR(AUTOEVENTO&lt;&gt;"manual",$M55&lt;&gt;$A$15)),
        IF(Import.TipoArredondamento&lt;&gt;"TransfereGOV",
              ROUND(OFFSET($P55,0,AO$13),15-13*ORÇAMENTO!$AF$7)/$H55*OFFSET(ORÇAMENTO!$X$15,ROW(AO55)-ROW(AO$15),0),
              ROUND(ROUND(OFFSET($P55,0,AO$13),15-13*ORÇAMENTO!$AF$7)*OFFSET(ORÇAMENTO!$W$15,ROW(AO55)-ROW(AO$15),0),15-13*ORÇAMENTO!$AF$11)),
         0)</f>
        <v>0</v>
      </c>
      <c r="AP55" s="453">
        <f ca="1">IF(AND($D55="Serviço",AP$12&lt;&gt;0,$H55&gt;0,OR(AUTOEVENTO&lt;&gt;"manual",$M55&lt;&gt;$A$15)),
        IF(Import.TipoArredondamento&lt;&gt;"TransfereGOV",
              ROUND(OFFSET($P55,0,AP$13),15-13*ORÇAMENTO!$AF$7)/$H55*OFFSET(ORÇAMENTO!$X$15,ROW(AP55)-ROW(AP$15),0),
              ROUND(ROUND(OFFSET($P55,0,AP$13),15-13*ORÇAMENTO!$AF$7)*OFFSET(ORÇAMENTO!$W$15,ROW(AP55)-ROW(AP$15),0),15-13*ORÇAMENTO!$AF$11)),
         0)</f>
        <v>0</v>
      </c>
      <c r="AQ55" s="453">
        <f ca="1">IF(AND($D55="Serviço",AQ$12&lt;&gt;0,$H55&gt;0,OR(AUTOEVENTO&lt;&gt;"manual",$M55&lt;&gt;$A$15)),
        IF(Import.TipoArredondamento&lt;&gt;"TransfereGOV",
              ROUND(OFFSET($P55,0,AQ$13),15-13*ORÇAMENTO!$AF$7)/$H55*OFFSET(ORÇAMENTO!$X$15,ROW(AQ55)-ROW(AQ$15),0),
              ROUND(ROUND(OFFSET($P55,0,AQ$13),15-13*ORÇAMENTO!$AF$7)*OFFSET(ORÇAMENTO!$W$15,ROW(AQ55)-ROW(AQ$15),0),15-13*ORÇAMENTO!$AF$11)),
         0)</f>
        <v>0</v>
      </c>
      <c r="AR55" s="453">
        <f ca="1">IF(AND($D55="Serviço",AR$12&lt;&gt;0,$H55&gt;0,OR(AUTOEVENTO&lt;&gt;"manual",$M55&lt;&gt;$A$15)),
        IF(Import.TipoArredondamento&lt;&gt;"TransfereGOV",
              ROUND(OFFSET($P55,0,AR$13),15-13*ORÇAMENTO!$AF$7)/$H55*OFFSET(ORÇAMENTO!$X$15,ROW(AR55)-ROW(AR$15),0),
              ROUND(ROUND(OFFSET($P55,0,AR$13),15-13*ORÇAMENTO!$AF$7)*OFFSET(ORÇAMENTO!$W$15,ROW(AR55)-ROW(AR$15),0),15-13*ORÇAMENTO!$AF$11)),
         0)</f>
        <v>0</v>
      </c>
      <c r="AS55" s="453">
        <f ca="1">IF(AND($D55="Serviço",AS$12&lt;&gt;0,$H55&gt;0,OR(AUTOEVENTO&lt;&gt;"manual",$M55&lt;&gt;$A$15)),
        IF(Import.TipoArredondamento&lt;&gt;"TransfereGOV",
              ROUND(OFFSET($P55,0,AS$13),15-13*ORÇAMENTO!$AF$7)/$H55*OFFSET(ORÇAMENTO!$X$15,ROW(AS55)-ROW(AS$15),0),
              ROUND(ROUND(OFFSET($P55,0,AS$13),15-13*ORÇAMENTO!$AF$7)*OFFSET(ORÇAMENTO!$W$15,ROW(AS55)-ROW(AS$15),0),15-13*ORÇAMENTO!$AF$11)),
         0)</f>
        <v>0</v>
      </c>
      <c r="AT55" s="453">
        <f ca="1">IF(AND($D55="Serviço",AT$12&lt;&gt;0,$H55&gt;0,OR(AUTOEVENTO&lt;&gt;"manual",$M55&lt;&gt;$A$15)),
        IF(Import.TipoArredondamento&lt;&gt;"TransfereGOV",
              ROUND(OFFSET($P55,0,AT$13),15-13*ORÇAMENTO!$AF$7)/$H55*OFFSET(ORÇAMENTO!$X$15,ROW(AT55)-ROW(AT$15),0),
              ROUND(ROUND(OFFSET($P55,0,AT$13),15-13*ORÇAMENTO!$AF$7)*OFFSET(ORÇAMENTO!$W$15,ROW(AT55)-ROW(AT$15),0),15-13*ORÇAMENTO!$AF$11)),
         0)</f>
        <v>0</v>
      </c>
      <c r="AU55" s="453">
        <f ca="1">IF(AND($D55="Serviço",AU$12&lt;&gt;0,$H55&gt;0,OR(AUTOEVENTO&lt;&gt;"manual",$M55&lt;&gt;$A$15)),
        IF(Import.TipoArredondamento&lt;&gt;"TransfereGOV",
              ROUND(OFFSET($P55,0,AU$13),15-13*ORÇAMENTO!$AF$7)/$H55*OFFSET(ORÇAMENTO!$X$15,ROW(AU55)-ROW(AU$15),0),
              ROUND(ROUND(OFFSET($P55,0,AU$13),15-13*ORÇAMENTO!$AF$7)*OFFSET(ORÇAMENTO!$W$15,ROW(AU55)-ROW(AU$15),0),15-13*ORÇAMENTO!$AF$11)),
         0)</f>
        <v>0</v>
      </c>
      <c r="AV55" s="453">
        <f ca="1">IF(AND($D55="Serviço",AV$12&lt;&gt;0,$H55&gt;0,OR(AUTOEVENTO&lt;&gt;"manual",$M55&lt;&gt;$A$15)),
        IF(Import.TipoArredondamento&lt;&gt;"TransfereGOV",
              ROUND(OFFSET($P55,0,AV$13),15-13*ORÇAMENTO!$AF$7)/$H55*OFFSET(ORÇAMENTO!$X$15,ROW(AV55)-ROW(AV$15),0),
              ROUND(ROUND(OFFSET($P55,0,AV$13),15-13*ORÇAMENTO!$AF$7)*OFFSET(ORÇAMENTO!$W$15,ROW(AV55)-ROW(AV$15),0),15-13*ORÇAMENTO!$AF$11)),
         0)</f>
        <v>0</v>
      </c>
      <c r="AW55" s="453">
        <f ca="1">IF(AND($D55="Serviço",AW$12&lt;&gt;0,$H55&gt;0,OR(AUTOEVENTO&lt;&gt;"manual",$M55&lt;&gt;$A$15)),
        IF(Import.TipoArredondamento&lt;&gt;"TransfereGOV",
              ROUND(OFFSET($P55,0,AW$13),15-13*ORÇAMENTO!$AF$7)/$H55*OFFSET(ORÇAMENTO!$X$15,ROW(AW55)-ROW(AW$15),0),
              ROUND(ROUND(OFFSET($P55,0,AW$13),15-13*ORÇAMENTO!$AF$7)*OFFSET(ORÇAMENTO!$W$15,ROW(AW55)-ROW(AW$15),0),15-13*ORÇAMENTO!$AF$11)),
         0)</f>
        <v>0</v>
      </c>
      <c r="AX55" s="453">
        <f ca="1">IF(AND($D55="Serviço",AX$12&lt;&gt;0,$H55&gt;0,OR(AUTOEVENTO&lt;&gt;"manual",$M55&lt;&gt;$A$15)),
        IF(Import.TipoArredondamento&lt;&gt;"TransfereGOV",
              ROUND(OFFSET($P55,0,AX$13),15-13*ORÇAMENTO!$AF$7)/$H55*OFFSET(ORÇAMENTO!$X$15,ROW(AX55)-ROW(AX$15),0),
              ROUND(ROUND(OFFSET($P55,0,AX$13),15-13*ORÇAMENTO!$AF$7)*OFFSET(ORÇAMENTO!$W$15,ROW(AX55)-ROW(AX$15),0),15-13*ORÇAMENTO!$AF$11)),
         0)</f>
        <v>0</v>
      </c>
      <c r="AY55" s="453">
        <f ca="1">IF(AND($D55="Serviço",AY$12&lt;&gt;0,$H55&gt;0,OR(AUTOEVENTO&lt;&gt;"manual",$M55&lt;&gt;$A$15)),
        IF(Import.TipoArredondamento&lt;&gt;"TransfereGOV",
              ROUND(OFFSET($P55,0,AY$13),15-13*ORÇAMENTO!$AF$7)/$H55*OFFSET(ORÇAMENTO!$X$15,ROW(AY55)-ROW(AY$15),0),
              ROUND(ROUND(OFFSET($P55,0,AY$13),15-13*ORÇAMENTO!$AF$7)*OFFSET(ORÇAMENTO!$W$15,ROW(AY55)-ROW(AY$15),0),15-13*ORÇAMENTO!$AF$11)),
         0)</f>
        <v>0</v>
      </c>
      <c r="AZ55" s="453">
        <f ca="1">IF(AND($D55="Serviço",AZ$12&lt;&gt;0,$H55&gt;0,OR(AUTOEVENTO&lt;&gt;"manual",$M55&lt;&gt;$A$15)),
        IF(Import.TipoArredondamento&lt;&gt;"TransfereGOV",
              ROUND(OFFSET($P55,0,AZ$13),15-13*ORÇAMENTO!$AF$7)/$H55*OFFSET(ORÇAMENTO!$X$15,ROW(AZ55)-ROW(AZ$15),0),
              ROUND(ROUND(OFFSET($P55,0,AZ$13),15-13*ORÇAMENTO!$AF$7)*OFFSET(ORÇAMENTO!$W$15,ROW(AZ55)-ROW(AZ$15),0),15-13*ORÇAMENTO!$AF$11)),
         0)</f>
        <v>0</v>
      </c>
      <c r="BA55" s="453">
        <f ca="1">IF(AND($D55="Serviço",BA$12&lt;&gt;0,$H55&gt;0,OR(AUTOEVENTO&lt;&gt;"manual",$M55&lt;&gt;$A$15)),
        IF(Import.TipoArredondamento&lt;&gt;"TransfereGOV",
              ROUND(OFFSET($P55,0,BA$13),15-13*ORÇAMENTO!$AF$7)/$H55*OFFSET(ORÇAMENTO!$X$15,ROW(BA55)-ROW(BA$15),0),
              ROUND(ROUND(OFFSET($P55,0,BA$13),15-13*ORÇAMENTO!$AF$7)*OFFSET(ORÇAMENTO!$W$15,ROW(BA55)-ROW(BA$15),0),15-13*ORÇAMENTO!$AF$11)),
         0)</f>
        <v>0</v>
      </c>
      <c r="BC55" s="171">
        <f ca="1">IF(OR($D55&lt;&gt;"Serviço",AND(AUTOEVENTO="Manual",$M55=$A$15)),0,
         IF(OFFSET(CRONOPLE!$F$15,$M55-$A$15,BC$13)=0,10^12,OFFSET(CRONOPLE!$F$15,$M55-$A$15,BC$13)))</f>
        <v>1000000000000</v>
      </c>
      <c r="BD55" s="171">
        <f ca="1">IF(OR($D55&lt;&gt;"Serviço",AND(AUTOEVENTO="Manual",$M55=$A$15)),0,
         IF(OFFSET(CRONOPLE!$F$15,$M55-$A$15,BD$13)=0,10^12,OFFSET(CRONOPLE!$F$15,$M55-$A$15,BD$13)))</f>
        <v>1000000000000</v>
      </c>
      <c r="BE55" s="171">
        <f ca="1">IF(OR($D55&lt;&gt;"Serviço",AND(AUTOEVENTO="Manual",$M55=$A$15)),0,
         IF(OFFSET(CRONOPLE!$F$15,$M55-$A$15,BE$13)=0,10^12,OFFSET(CRONOPLE!$F$15,$M55-$A$15,BE$13)))</f>
        <v>1000000000000</v>
      </c>
      <c r="BF55" s="171">
        <f ca="1">IF(OR($D55&lt;&gt;"Serviço",AND(AUTOEVENTO="Manual",$M55=$A$15)),0,
         IF(OFFSET(CRONOPLE!$F$15,$M55-$A$15,BF$13)=0,10^12,OFFSET(CRONOPLE!$F$15,$M55-$A$15,BF$13)))</f>
        <v>11</v>
      </c>
      <c r="BG55" s="171">
        <f ca="1">IF(OR($D55&lt;&gt;"Serviço",AND(AUTOEVENTO="Manual",$M55=$A$15)),0,
         IF(OFFSET(CRONOPLE!$F$15,$M55-$A$15,BG$13)=0,10^12,OFFSET(CRONOPLE!$F$15,$M55-$A$15,BG$13)))</f>
        <v>7</v>
      </c>
      <c r="BH55" s="171">
        <f ca="1">IF(OR($D55&lt;&gt;"Serviço",AND(AUTOEVENTO="Manual",$M55=$A$15)),0,
         IF(OFFSET(CRONOPLE!$F$15,$M55-$A$15,BH$13)=0,10^12,OFFSET(CRONOPLE!$F$15,$M55-$A$15,BH$13)))</f>
        <v>1000000000000</v>
      </c>
      <c r="BI55" s="171">
        <f ca="1">IF(OR($D55&lt;&gt;"Serviço",AND(AUTOEVENTO="Manual",$M55=$A$15)),0,
         IF(OFFSET(CRONOPLE!$F$15,$M55-$A$15,BI$13)=0,10^12,OFFSET(CRONOPLE!$F$15,$M55-$A$15,BI$13)))</f>
        <v>12</v>
      </c>
      <c r="BJ55" s="171">
        <f ca="1">IF(OR($D55&lt;&gt;"Serviço",AND(AUTOEVENTO="Manual",$M55=$A$15)),0,
         IF(OFFSET(CRONOPLE!$F$15,$M55-$A$15,BJ$13)=0,10^12,OFFSET(CRONOPLE!$F$15,$M55-$A$15,BJ$13)))</f>
        <v>1000000000000</v>
      </c>
      <c r="BK55" s="171">
        <f ca="1">IF(OR($D55&lt;&gt;"Serviço",AND(AUTOEVENTO="Manual",$M55=$A$15)),0,
         IF(OFFSET(CRONOPLE!$F$15,$M55-$A$15,BK$13)=0,10^12,OFFSET(CRONOPLE!$F$15,$M55-$A$15,BK$13)))</f>
        <v>1000000000000</v>
      </c>
      <c r="BL55" s="171">
        <f ca="1">IF(OR($D55&lt;&gt;"Serviço",AND(AUTOEVENTO="Manual",$M55=$A$15)),0,
         IF(OFFSET(CRONOPLE!$F$15,$M55-$A$15,BL$13)=0,10^12,OFFSET(CRONOPLE!$F$15,$M55-$A$15,BL$13)))</f>
        <v>1000000000000</v>
      </c>
      <c r="BM55" s="171">
        <f ca="1">IF(OR($D55&lt;&gt;"Serviço",AND(AUTOEVENTO="Manual",$M55=$A$15)),0,
         IF(OFFSET(CRONOPLE!$F$15,$M55-$A$15,BM$13)=0,10^12,OFFSET(CRONOPLE!$F$15,$M55-$A$15,BM$13)))</f>
        <v>1000000000000</v>
      </c>
      <c r="BN55" s="171">
        <f ca="1">IF(OR($D55&lt;&gt;"Serviço",AND(AUTOEVENTO="Manual",$M55=$A$15)),0,
         IF(OFFSET(CRONOPLE!$F$15,$M55-$A$15,BN$13)=0,10^12,OFFSET(CRONOPLE!$F$15,$M55-$A$15,BN$13)))</f>
        <v>1000000000000</v>
      </c>
      <c r="BO55" s="171">
        <f ca="1">IF(OR($D55&lt;&gt;"Serviço",AND(AUTOEVENTO="Manual",$M55=$A$15)),0,
         IF(OFFSET(CRONOPLE!$F$15,$M55-$A$15,BO$13)=0,10^12,OFFSET(CRONOPLE!$F$15,$M55-$A$15,BO$13)))</f>
        <v>1000000000000</v>
      </c>
      <c r="BP55" s="171">
        <f ca="1">IF(OR($D55&lt;&gt;"Serviço",AND(AUTOEVENTO="Manual",$M55=$A$15)),0,
         IF(OFFSET(CRONOPLE!$F$15,$M55-$A$15,BP$13)=0,10^12,OFFSET(CRONOPLE!$F$15,$M55-$A$15,BP$13)))</f>
        <v>1000000000000</v>
      </c>
      <c r="BQ55" s="171">
        <f ca="1">IF(OR($D55&lt;&gt;"Serviço",AND(AUTOEVENTO="Manual",$M55=$A$15)),0,
         IF(OFFSET(CRONOPLE!$F$15,$M55-$A$15,BQ$13)=0,10^12,OFFSET(CRONOPLE!$F$15,$M55-$A$15,BQ$13)))</f>
        <v>1000000000000</v>
      </c>
      <c r="BR55" s="171">
        <f ca="1">IF(OR($D55&lt;&gt;"Serviço",AND(AUTOEVENTO="Manual",$M55=$A$15)),0,
         IF(OFFSET(CRONOPLE!$F$15,$M55-$A$15,BR$13)=0,10^12,OFFSET(CRONOPLE!$F$15,$M55-$A$15,BR$13)))</f>
        <v>1000000000000</v>
      </c>
      <c r="BS55" s="171">
        <f ca="1">IF(OR($D55&lt;&gt;"Serviço",AND(AUTOEVENTO="Manual",$M55=$A$15)),0,
         IF(OFFSET(CRONOPLE!$F$15,$M55-$A$15,BS$13)=0,10^12,OFFSET(CRONOPLE!$F$15,$M55-$A$15,BS$13)))</f>
        <v>1000000000000</v>
      </c>
      <c r="BT55" s="171">
        <f ca="1">IF(OR($D55&lt;&gt;"Serviço",AND(AUTOEVENTO="Manual",$M55=$A$15)),0,
         IF(OFFSET(CRONOPLE!$F$15,$M55-$A$15,BT$13)=0,10^12,OFFSET(CRONOPLE!$F$15,$M55-$A$15,BT$13)))</f>
        <v>1000000000000</v>
      </c>
      <c r="BV55" s="172" cm="1">
        <f t="array" aca="1" ref="BV55" ca="1">IF(OR($D55&lt;&gt;"Serviço",AND(AUTOEVENTO="Manual",$M55=$A$15),$M55&gt;(ROW(PLE.lastrow)-ROW(PLE.firstrow))),0,
           IF(OFFSET(PLE!$G$15,$M55-$A$15,BV$13)="",10^12,OFFSET(PLE!$G$15,$M55-$A$15,BV$13)))</f>
        <v>1000000000000</v>
      </c>
      <c r="BW55" s="172" cm="1">
        <f t="array" aca="1" ref="BW55" ca="1">IF(OR($D55&lt;&gt;"Serviço",AND(AUTOEVENTO="Manual",$M55=$A$15),$M55&gt;(ROW(PLE.lastrow)-ROW(PLE.firstrow))),0,
           IF(OFFSET(PLE!$G$15,$M55-$A$15,BW$13)="",10^12,OFFSET(PLE!$G$15,$M55-$A$15,BW$13)))</f>
        <v>1000000000000</v>
      </c>
      <c r="BX55" s="172" cm="1">
        <f t="array" aca="1" ref="BX55" ca="1">IF(OR($D55&lt;&gt;"Serviço",AND(AUTOEVENTO="Manual",$M55=$A$15),$M55&gt;(ROW(PLE.lastrow)-ROW(PLE.firstrow))),0,
           IF(OFFSET(PLE!$G$15,$M55-$A$15,BX$13)="",10^12,OFFSET(PLE!$G$15,$M55-$A$15,BX$13)))</f>
        <v>1000000000000</v>
      </c>
      <c r="BY55" s="172" cm="1">
        <f t="array" aca="1" ref="BY55" ca="1">IF(OR($D55&lt;&gt;"Serviço",AND(AUTOEVENTO="Manual",$M55=$A$15),$M55&gt;(ROW(PLE.lastrow)-ROW(PLE.firstrow))),0,
           IF(OFFSET(PLE!$G$15,$M55-$A$15,BY$13)="",10^12,OFFSET(PLE!$G$15,$M55-$A$15,BY$13)))</f>
        <v>1000000000000</v>
      </c>
      <c r="BZ55" s="172" cm="1">
        <f t="array" aca="1" ref="BZ55" ca="1">IF(OR($D55&lt;&gt;"Serviço",AND(AUTOEVENTO="Manual",$M55=$A$15),$M55&gt;(ROW(PLE.lastrow)-ROW(PLE.firstrow))),0,
           IF(OFFSET(PLE!$G$15,$M55-$A$15,BZ$13)="",10^12,OFFSET(PLE!$G$15,$M55-$A$15,BZ$13)))</f>
        <v>1000000000000</v>
      </c>
      <c r="CA55" s="172" cm="1">
        <f t="array" aca="1" ref="CA55" ca="1">IF(OR($D55&lt;&gt;"Serviço",AND(AUTOEVENTO="Manual",$M55=$A$15),$M55&gt;(ROW(PLE.lastrow)-ROW(PLE.firstrow))),0,
           IF(OFFSET(PLE!$G$15,$M55-$A$15,CA$13)="",10^12,OFFSET(PLE!$G$15,$M55-$A$15,CA$13)))</f>
        <v>1000000000000</v>
      </c>
      <c r="CB55" s="172" cm="1">
        <f t="array" aca="1" ref="CB55" ca="1">IF(OR($D55&lt;&gt;"Serviço",AND(AUTOEVENTO="Manual",$M55=$A$15),$M55&gt;(ROW(PLE.lastrow)-ROW(PLE.firstrow))),0,
           IF(OFFSET(PLE!$G$15,$M55-$A$15,CB$13)="",10^12,OFFSET(PLE!$G$15,$M55-$A$15,CB$13)))</f>
        <v>1000000000000</v>
      </c>
      <c r="CC55" s="172" cm="1">
        <f t="array" aca="1" ref="CC55" ca="1">IF(OR($D55&lt;&gt;"Serviço",AND(AUTOEVENTO="Manual",$M55=$A$15),$M55&gt;(ROW(PLE.lastrow)-ROW(PLE.firstrow))),0,
           IF(OFFSET(PLE!$G$15,$M55-$A$15,CC$13)="",10^12,OFFSET(PLE!$G$15,$M55-$A$15,CC$13)))</f>
        <v>1000000000000</v>
      </c>
      <c r="CD55" s="172" cm="1">
        <f t="array" aca="1" ref="CD55" ca="1">IF(OR($D55&lt;&gt;"Serviço",AND(AUTOEVENTO="Manual",$M55=$A$15),$M55&gt;(ROW(PLE.lastrow)-ROW(PLE.firstrow))),0,
           IF(OFFSET(PLE!$G$15,$M55-$A$15,CD$13)="",10^12,OFFSET(PLE!$G$15,$M55-$A$15,CD$13)))</f>
        <v>1000000000000</v>
      </c>
      <c r="CE55" s="172" cm="1">
        <f t="array" aca="1" ref="CE55" ca="1">IF(OR($D55&lt;&gt;"Serviço",AND(AUTOEVENTO="Manual",$M55=$A$15),$M55&gt;(ROW(PLE.lastrow)-ROW(PLE.firstrow))),0,
           IF(OFFSET(PLE!$G$15,$M55-$A$15,CE$13)="",10^12,OFFSET(PLE!$G$15,$M55-$A$15,CE$13)))</f>
        <v>1000000000000</v>
      </c>
      <c r="CF55" s="172" cm="1">
        <f t="array" aca="1" ref="CF55" ca="1">IF(OR($D55&lt;&gt;"Serviço",AND(AUTOEVENTO="Manual",$M55=$A$15),$M55&gt;(ROW(PLE.lastrow)-ROW(PLE.firstrow))),0,
           IF(OFFSET(PLE!$G$15,$M55-$A$15,CF$13)="",10^12,OFFSET(PLE!$G$15,$M55-$A$15,CF$13)))</f>
        <v>1000000000000</v>
      </c>
      <c r="CG55" s="172" cm="1">
        <f t="array" aca="1" ref="CG55" ca="1">IF(OR($D55&lt;&gt;"Serviço",AND(AUTOEVENTO="Manual",$M55=$A$15),$M55&gt;(ROW(PLE.lastrow)-ROW(PLE.firstrow))),0,
           IF(OFFSET(PLE!$G$15,$M55-$A$15,CG$13)="",10^12,OFFSET(PLE!$G$15,$M55-$A$15,CG$13)))</f>
        <v>1000000000000</v>
      </c>
      <c r="CH55" s="172" cm="1">
        <f t="array" aca="1" ref="CH55" ca="1">IF(OR($D55&lt;&gt;"Serviço",AND(AUTOEVENTO="Manual",$M55=$A$15),$M55&gt;(ROW(PLE.lastrow)-ROW(PLE.firstrow))),0,
           IF(OFFSET(PLE!$G$15,$M55-$A$15,CH$13)="",10^12,OFFSET(PLE!$G$15,$M55-$A$15,CH$13)))</f>
        <v>1000000000000</v>
      </c>
      <c r="CI55" s="172" cm="1">
        <f t="array" aca="1" ref="CI55" ca="1">IF(OR($D55&lt;&gt;"Serviço",AND(AUTOEVENTO="Manual",$M55=$A$15),$M55&gt;(ROW(PLE.lastrow)-ROW(PLE.firstrow))),0,
           IF(OFFSET(PLE!$G$15,$M55-$A$15,CI$13)="",10^12,OFFSET(PLE!$G$15,$M55-$A$15,CI$13)))</f>
        <v>1000000000000</v>
      </c>
      <c r="CJ55" s="172" cm="1">
        <f t="array" aca="1" ref="CJ55" ca="1">IF(OR($D55&lt;&gt;"Serviço",AND(AUTOEVENTO="Manual",$M55=$A$15),$M55&gt;(ROW(PLE.lastrow)-ROW(PLE.firstrow))),0,
           IF(OFFSET(PLE!$G$15,$M55-$A$15,CJ$13)="",10^12,OFFSET(PLE!$G$15,$M55-$A$15,CJ$13)))</f>
        <v>1000000000000</v>
      </c>
      <c r="CK55" s="172" cm="1">
        <f t="array" aca="1" ref="CK55" ca="1">IF(OR($D55&lt;&gt;"Serviço",AND(AUTOEVENTO="Manual",$M55=$A$15),$M55&gt;(ROW(PLE.lastrow)-ROW(PLE.firstrow))),0,
           IF(OFFSET(PLE!$G$15,$M55-$A$15,CK$13)="",10^12,OFFSET(PLE!$G$15,$M55-$A$15,CK$13)))</f>
        <v>1000000000000</v>
      </c>
      <c r="CL55" s="172" cm="1">
        <f t="array" aca="1" ref="CL55" ca="1">IF(OR($D55&lt;&gt;"Serviço",AND(AUTOEVENTO="Manual",$M55=$A$15),$M55&gt;(ROW(PLE.lastrow)-ROW(PLE.firstrow))),0,
           IF(OFFSET(PLE!$G$15,$M55-$A$15,CL$13)="",10^12,OFFSET(PLE!$G$15,$M55-$A$15,CL$13)))</f>
        <v>1000000000000</v>
      </c>
      <c r="CM55" s="172" cm="1">
        <f t="array" aca="1" ref="CM55" ca="1">IF(OR($D55&lt;&gt;"Serviço",AND(AUTOEVENTO="Manual",$M55=$A$15),$M55&gt;(ROW(PLE.lastrow)-ROW(PLE.firstrow))),0,
           IF(OFFSET(PLE!$G$15,$M55-$A$15,CM$13)="",10^12,OFFSET(PLE!$G$15,$M55-$A$15,CM$13)))</f>
        <v>1000000000000</v>
      </c>
    </row>
    <row r="56" spans="1:91" s="670" customFormat="1" ht="25.5" x14ac:dyDescent="0.2">
      <c r="A56" s="668">
        <f t="shared" ca="1" si="10"/>
        <v>17</v>
      </c>
      <c r="B56" s="668" t="str">
        <f ca="1">OFFSET(ORÇAMENTO!C$15,$L56,0)</f>
        <v>S</v>
      </c>
      <c r="C56" s="668" t="str">
        <f ca="1">OFFSET(ORÇAMENTO!L$15,$L56,0)</f>
        <v>F</v>
      </c>
      <c r="D56" s="116" t="str">
        <f ca="1">OFFSET(ORÇAMENTO!N$15,$L56,0)</f>
        <v>Serviço</v>
      </c>
      <c r="E56" s="117" t="str">
        <f ca="1">OFFSET(ORÇAMENTO!O$15,$L56,0)</f>
        <v>1.8.5.</v>
      </c>
      <c r="F56" s="163" t="str">
        <f ca="1">OFFSET(ORÇAMENTO!R$15,$L56,0)</f>
        <v>ALVENARIA ESTRUTURAL COM BLOCO DE CONCRETO, ESP. 14CM, (FBK 4,5MPA), INCLUSIVE ARGAMASSA PARA ASSENTAMENTO</v>
      </c>
      <c r="G56" s="164" t="str">
        <f ca="1">IF($D56&lt;&gt;"Serviço","",OFFSET(ORÇAMENTO!S$15,$L56,0))</f>
        <v>m2</v>
      </c>
      <c r="H56" s="122" cm="1">
        <f t="array" aca="1" ref="H56" ca="1">IF($D56&lt;&gt;"Serviço",0,IF(ACOMPANHAMENTO="BM",ROUND(OFFSET(ORÇAMENTO!AJ$15,$L56,0),15-13*ORÇAMENTO!$AF$7),IF(IFERROR(CÁLCULO.FrentesPreenchidas,0)=0,0,SUM(ROUND(OFFSET($P56,0,1,1,CÁLCULO.FrentesPreenchidas),15-13*ORÇAMENTO!$AF$7)))))</f>
        <v>300</v>
      </c>
      <c r="I56" s="468" t="s">
        <v>1147</v>
      </c>
      <c r="J56" s="651" t="str" cm="1">
        <f t="array" aca="1" ref="J56" ca="1">IF(OR(B56&lt;&gt;"S",CÁLCULO.FrentesPreenchidas=0),"",IF(AND(ACOMPANHAMENTO="PLE",AUTOEVENTO="Manual",OR(H56&gt;0,ORÇAMENTO!AC56="QUANT."),OR(K56="",M56=0,N56="")),"►E",IF(AND(ACOMPANHAMENTO="PLE",ORÇAMENTO!AC56="QUANT."),"►Q",IF(AND(ACOMPANHAMENTO="PLE",H56&lt;&gt;SUMPRODUCT(($Q$1:$AI$1=1)*ROUND(Q56:AI56,15))),"►S",IF(AND(COUNTIF($P$11:$AI$11,"▼")=0,H56&gt;0,I56=""),"◄M","")))))</f>
        <v/>
      </c>
      <c r="K56" s="652" t="s">
        <v>1348</v>
      </c>
      <c r="L56" s="165">
        <f t="shared" ca="1" si="11"/>
        <v>41</v>
      </c>
      <c r="M56" s="166">
        <f ca="1">IF($D56&lt;&gt;"Serviço","",
          IF(AUTOEVENTO="manual",$A56,
                IF(ISERROR(MATCH($A56,$A$15:OFFSET($A56,-1,0),0)),MAX($M$15:OFFSET(M56,-1,0))+1,
                      INDEX($M$15:OFFSET(M56,-1,0),MATCH($A56,$A$15:OFFSET($A56,-1,0),0)))))</f>
        <v>17</v>
      </c>
      <c r="N56" s="167" t="str">
        <f ca="1">IF($D56&lt;&gt;"Serviço","",
         IF(AUTOEVENTO="Manual",
                IF($A56=0,"&lt;-- defina o número do agrupador",
                       OFFSET(EVENTOS!$D$15,$A56-$A$15,0)),
                OFFSET($F$15,$A56,0)))</f>
        <v>Alvenaria estrutural</v>
      </c>
      <c r="O56" s="168"/>
      <c r="Q56" s="168"/>
      <c r="R56" s="169"/>
      <c r="S56" s="169"/>
      <c r="T56" s="169">
        <v>300</v>
      </c>
      <c r="U56" s="169"/>
      <c r="V56" s="169"/>
      <c r="W56" s="169"/>
      <c r="X56" s="169"/>
      <c r="Y56" s="169"/>
      <c r="Z56" s="170"/>
      <c r="AA56" s="705"/>
      <c r="AB56" s="705"/>
      <c r="AC56" s="705"/>
      <c r="AD56" s="705"/>
      <c r="AE56" s="705"/>
      <c r="AF56" s="705"/>
      <c r="AG56" s="705"/>
      <c r="AH56" s="706"/>
      <c r="AJ56" s="453">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3">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L56" s="453">
        <f ca="1">IF(AND($D56="Serviço",AL$12&lt;&gt;0,$H56&gt;0,OR(AUTOEVENTO&lt;&gt;"manual",$M56&lt;&gt;$A$15)),
        IF(Import.TipoArredondamento&lt;&gt;"TransfereGOV",
              ROUND(OFFSET($P56,0,AL$13),15-13*ORÇAMENTO!$AF$7)/$H56*OFFSET(ORÇAMENTO!$X$15,ROW(AL56)-ROW(AL$15),0),
              ROUND(ROUND(OFFSET($P56,0,AL$13),15-13*ORÇAMENTO!$AF$7)*OFFSET(ORÇAMENTO!$W$15,ROW(AL56)-ROW(AL$15),0),15-13*ORÇAMENTO!$AF$11)),
         0)</f>
        <v>0</v>
      </c>
      <c r="AM56" s="453">
        <f ca="1">IF(AND($D56="Serviço",AM$12&lt;&gt;0,$H56&gt;0,OR(AUTOEVENTO&lt;&gt;"manual",$M56&lt;&gt;$A$15)),
        IF(Import.TipoArredondamento&lt;&gt;"TransfereGOV",
              ROUND(OFFSET($P56,0,AM$13),15-13*ORÇAMENTO!$AF$7)/$H56*OFFSET(ORÇAMENTO!$X$15,ROW(AM56)-ROW(AM$15),0),
              ROUND(ROUND(OFFSET($P56,0,AM$13),15-13*ORÇAMENTO!$AF$7)*OFFSET(ORÇAMENTO!$W$15,ROW(AM56)-ROW(AM$15),0),15-13*ORÇAMENTO!$AF$11)),
         0)</f>
        <v>32301</v>
      </c>
      <c r="AN56" s="453">
        <f ca="1">IF(AND($D56="Serviço",AN$12&lt;&gt;0,$H56&gt;0,OR(AUTOEVENTO&lt;&gt;"manual",$M56&lt;&gt;$A$15)),
        IF(Import.TipoArredondamento&lt;&gt;"TransfereGOV",
              ROUND(OFFSET($P56,0,AN$13),15-13*ORÇAMENTO!$AF$7)/$H56*OFFSET(ORÇAMENTO!$X$15,ROW(AN56)-ROW(AN$15),0),
              ROUND(ROUND(OFFSET($P56,0,AN$13),15-13*ORÇAMENTO!$AF$7)*OFFSET(ORÇAMENTO!$W$15,ROW(AN56)-ROW(AN$15),0),15-13*ORÇAMENTO!$AF$11)),
         0)</f>
        <v>0</v>
      </c>
      <c r="AO56" s="453">
        <f ca="1">IF(AND($D56="Serviço",AO$12&lt;&gt;0,$H56&gt;0,OR(AUTOEVENTO&lt;&gt;"manual",$M56&lt;&gt;$A$15)),
        IF(Import.TipoArredondamento&lt;&gt;"TransfereGOV",
              ROUND(OFFSET($P56,0,AO$13),15-13*ORÇAMENTO!$AF$7)/$H56*OFFSET(ORÇAMENTO!$X$15,ROW(AO56)-ROW(AO$15),0),
              ROUND(ROUND(OFFSET($P56,0,AO$13),15-13*ORÇAMENTO!$AF$7)*OFFSET(ORÇAMENTO!$W$15,ROW(AO56)-ROW(AO$15),0),15-13*ORÇAMENTO!$AF$11)),
         0)</f>
        <v>0</v>
      </c>
      <c r="AP56" s="453">
        <f ca="1">IF(AND($D56="Serviço",AP$12&lt;&gt;0,$H56&gt;0,OR(AUTOEVENTO&lt;&gt;"manual",$M56&lt;&gt;$A$15)),
        IF(Import.TipoArredondamento&lt;&gt;"TransfereGOV",
              ROUND(OFFSET($P56,0,AP$13),15-13*ORÇAMENTO!$AF$7)/$H56*OFFSET(ORÇAMENTO!$X$15,ROW(AP56)-ROW(AP$15),0),
              ROUND(ROUND(OFFSET($P56,0,AP$13),15-13*ORÇAMENTO!$AF$7)*OFFSET(ORÇAMENTO!$W$15,ROW(AP56)-ROW(AP$15),0),15-13*ORÇAMENTO!$AF$11)),
         0)</f>
        <v>0</v>
      </c>
      <c r="AQ56" s="453">
        <f ca="1">IF(AND($D56="Serviço",AQ$12&lt;&gt;0,$H56&gt;0,OR(AUTOEVENTO&lt;&gt;"manual",$M56&lt;&gt;$A$15)),
        IF(Import.TipoArredondamento&lt;&gt;"TransfereGOV",
              ROUND(OFFSET($P56,0,AQ$13),15-13*ORÇAMENTO!$AF$7)/$H56*OFFSET(ORÇAMENTO!$X$15,ROW(AQ56)-ROW(AQ$15),0),
              ROUND(ROUND(OFFSET($P56,0,AQ$13),15-13*ORÇAMENTO!$AF$7)*OFFSET(ORÇAMENTO!$W$15,ROW(AQ56)-ROW(AQ$15),0),15-13*ORÇAMENTO!$AF$11)),
         0)</f>
        <v>0</v>
      </c>
      <c r="AR56" s="453">
        <f ca="1">IF(AND($D56="Serviço",AR$12&lt;&gt;0,$H56&gt;0,OR(AUTOEVENTO&lt;&gt;"manual",$M56&lt;&gt;$A$15)),
        IF(Import.TipoArredondamento&lt;&gt;"TransfereGOV",
              ROUND(OFFSET($P56,0,AR$13),15-13*ORÇAMENTO!$AF$7)/$H56*OFFSET(ORÇAMENTO!$X$15,ROW(AR56)-ROW(AR$15),0),
              ROUND(ROUND(OFFSET($P56,0,AR$13),15-13*ORÇAMENTO!$AF$7)*OFFSET(ORÇAMENTO!$W$15,ROW(AR56)-ROW(AR$15),0),15-13*ORÇAMENTO!$AF$11)),
         0)</f>
        <v>0</v>
      </c>
      <c r="AS56" s="453">
        <f ca="1">IF(AND($D56="Serviço",AS$12&lt;&gt;0,$H56&gt;0,OR(AUTOEVENTO&lt;&gt;"manual",$M56&lt;&gt;$A$15)),
        IF(Import.TipoArredondamento&lt;&gt;"TransfereGOV",
              ROUND(OFFSET($P56,0,AS$13),15-13*ORÇAMENTO!$AF$7)/$H56*OFFSET(ORÇAMENTO!$X$15,ROW(AS56)-ROW(AS$15),0),
              ROUND(ROUND(OFFSET($P56,0,AS$13),15-13*ORÇAMENTO!$AF$7)*OFFSET(ORÇAMENTO!$W$15,ROW(AS56)-ROW(AS$15),0),15-13*ORÇAMENTO!$AF$11)),
         0)</f>
        <v>0</v>
      </c>
      <c r="AT56" s="453">
        <f ca="1">IF(AND($D56="Serviço",AT$12&lt;&gt;0,$H56&gt;0,OR(AUTOEVENTO&lt;&gt;"manual",$M56&lt;&gt;$A$15)),
        IF(Import.TipoArredondamento&lt;&gt;"TransfereGOV",
              ROUND(OFFSET($P56,0,AT$13),15-13*ORÇAMENTO!$AF$7)/$H56*OFFSET(ORÇAMENTO!$X$15,ROW(AT56)-ROW(AT$15),0),
              ROUND(ROUND(OFFSET($P56,0,AT$13),15-13*ORÇAMENTO!$AF$7)*OFFSET(ORÇAMENTO!$W$15,ROW(AT56)-ROW(AT$15),0),15-13*ORÇAMENTO!$AF$11)),
         0)</f>
        <v>0</v>
      </c>
      <c r="AU56" s="453">
        <f ca="1">IF(AND($D56="Serviço",AU$12&lt;&gt;0,$H56&gt;0,OR(AUTOEVENTO&lt;&gt;"manual",$M56&lt;&gt;$A$15)),
        IF(Import.TipoArredondamento&lt;&gt;"TransfereGOV",
              ROUND(OFFSET($P56,0,AU$13),15-13*ORÇAMENTO!$AF$7)/$H56*OFFSET(ORÇAMENTO!$X$15,ROW(AU56)-ROW(AU$15),0),
              ROUND(ROUND(OFFSET($P56,0,AU$13),15-13*ORÇAMENTO!$AF$7)*OFFSET(ORÇAMENTO!$W$15,ROW(AU56)-ROW(AU$15),0),15-13*ORÇAMENTO!$AF$11)),
         0)</f>
        <v>0</v>
      </c>
      <c r="AV56" s="453">
        <f ca="1">IF(AND($D56="Serviço",AV$12&lt;&gt;0,$H56&gt;0,OR(AUTOEVENTO&lt;&gt;"manual",$M56&lt;&gt;$A$15)),
        IF(Import.TipoArredondamento&lt;&gt;"TransfereGOV",
              ROUND(OFFSET($P56,0,AV$13),15-13*ORÇAMENTO!$AF$7)/$H56*OFFSET(ORÇAMENTO!$X$15,ROW(AV56)-ROW(AV$15),0),
              ROUND(ROUND(OFFSET($P56,0,AV$13),15-13*ORÇAMENTO!$AF$7)*OFFSET(ORÇAMENTO!$W$15,ROW(AV56)-ROW(AV$15),0),15-13*ORÇAMENTO!$AF$11)),
         0)</f>
        <v>0</v>
      </c>
      <c r="AW56" s="453">
        <f ca="1">IF(AND($D56="Serviço",AW$12&lt;&gt;0,$H56&gt;0,OR(AUTOEVENTO&lt;&gt;"manual",$M56&lt;&gt;$A$15)),
        IF(Import.TipoArredondamento&lt;&gt;"TransfereGOV",
              ROUND(OFFSET($P56,0,AW$13),15-13*ORÇAMENTO!$AF$7)/$H56*OFFSET(ORÇAMENTO!$X$15,ROW(AW56)-ROW(AW$15),0),
              ROUND(ROUND(OFFSET($P56,0,AW$13),15-13*ORÇAMENTO!$AF$7)*OFFSET(ORÇAMENTO!$W$15,ROW(AW56)-ROW(AW$15),0),15-13*ORÇAMENTO!$AF$11)),
         0)</f>
        <v>0</v>
      </c>
      <c r="AX56" s="453">
        <f ca="1">IF(AND($D56="Serviço",AX$12&lt;&gt;0,$H56&gt;0,OR(AUTOEVENTO&lt;&gt;"manual",$M56&lt;&gt;$A$15)),
        IF(Import.TipoArredondamento&lt;&gt;"TransfereGOV",
              ROUND(OFFSET($P56,0,AX$13),15-13*ORÇAMENTO!$AF$7)/$H56*OFFSET(ORÇAMENTO!$X$15,ROW(AX56)-ROW(AX$15),0),
              ROUND(ROUND(OFFSET($P56,0,AX$13),15-13*ORÇAMENTO!$AF$7)*OFFSET(ORÇAMENTO!$W$15,ROW(AX56)-ROW(AX$15),0),15-13*ORÇAMENTO!$AF$11)),
         0)</f>
        <v>0</v>
      </c>
      <c r="AY56" s="453">
        <f ca="1">IF(AND($D56="Serviço",AY$12&lt;&gt;0,$H56&gt;0,OR(AUTOEVENTO&lt;&gt;"manual",$M56&lt;&gt;$A$15)),
        IF(Import.TipoArredondamento&lt;&gt;"TransfereGOV",
              ROUND(OFFSET($P56,0,AY$13),15-13*ORÇAMENTO!$AF$7)/$H56*OFFSET(ORÇAMENTO!$X$15,ROW(AY56)-ROW(AY$15),0),
              ROUND(ROUND(OFFSET($P56,0,AY$13),15-13*ORÇAMENTO!$AF$7)*OFFSET(ORÇAMENTO!$W$15,ROW(AY56)-ROW(AY$15),0),15-13*ORÇAMENTO!$AF$11)),
         0)</f>
        <v>0</v>
      </c>
      <c r="AZ56" s="453">
        <f ca="1">IF(AND($D56="Serviço",AZ$12&lt;&gt;0,$H56&gt;0,OR(AUTOEVENTO&lt;&gt;"manual",$M56&lt;&gt;$A$15)),
        IF(Import.TipoArredondamento&lt;&gt;"TransfereGOV",
              ROUND(OFFSET($P56,0,AZ$13),15-13*ORÇAMENTO!$AF$7)/$H56*OFFSET(ORÇAMENTO!$X$15,ROW(AZ56)-ROW(AZ$15),0),
              ROUND(ROUND(OFFSET($P56,0,AZ$13),15-13*ORÇAMENTO!$AF$7)*OFFSET(ORÇAMENTO!$W$15,ROW(AZ56)-ROW(AZ$15),0),15-13*ORÇAMENTO!$AF$11)),
         0)</f>
        <v>0</v>
      </c>
      <c r="BA56" s="453">
        <f ca="1">IF(AND($D56="Serviço",BA$12&lt;&gt;0,$H56&gt;0,OR(AUTOEVENTO&lt;&gt;"manual",$M56&lt;&gt;$A$15)),
        IF(Import.TipoArredondamento&lt;&gt;"TransfereGOV",
              ROUND(OFFSET($P56,0,BA$13),15-13*ORÇAMENTO!$AF$7)/$H56*OFFSET(ORÇAMENTO!$X$15,ROW(BA56)-ROW(BA$15),0),
              ROUND(ROUND(OFFSET($P56,0,BA$13),15-13*ORÇAMENTO!$AF$7)*OFFSET(ORÇAMENTO!$W$15,ROW(BA56)-ROW(BA$15),0),15-13*ORÇAMENTO!$AF$11)),
         0)</f>
        <v>0</v>
      </c>
      <c r="BC56" s="171">
        <f ca="1">IF(OR($D56&lt;&gt;"Serviço",AND(AUTOEVENTO="Manual",$M56=$A$15)),0,
         IF(OFFSET(CRONOPLE!$F$15,$M56-$A$15,BC$13)=0,10^12,OFFSET(CRONOPLE!$F$15,$M56-$A$15,BC$13)))</f>
        <v>1000000000000</v>
      </c>
      <c r="BD56" s="171">
        <f ca="1">IF(OR($D56&lt;&gt;"Serviço",AND(AUTOEVENTO="Manual",$M56=$A$15)),0,
         IF(OFFSET(CRONOPLE!$F$15,$M56-$A$15,BD$13)=0,10^12,OFFSET(CRONOPLE!$F$15,$M56-$A$15,BD$13)))</f>
        <v>1000000000000</v>
      </c>
      <c r="BE56" s="171">
        <f ca="1">IF(OR($D56&lt;&gt;"Serviço",AND(AUTOEVENTO="Manual",$M56=$A$15)),0,
         IF(OFFSET(CRONOPLE!$F$15,$M56-$A$15,BE$13)=0,10^12,OFFSET(CRONOPLE!$F$15,$M56-$A$15,BE$13)))</f>
        <v>1000000000000</v>
      </c>
      <c r="BF56" s="171">
        <f ca="1">IF(OR($D56&lt;&gt;"Serviço",AND(AUTOEVENTO="Manual",$M56=$A$15)),0,
         IF(OFFSET(CRONOPLE!$F$15,$M56-$A$15,BF$13)=0,10^12,OFFSET(CRONOPLE!$F$15,$M56-$A$15,BF$13)))</f>
        <v>12</v>
      </c>
      <c r="BG56" s="171">
        <f ca="1">IF(OR($D56&lt;&gt;"Serviço",AND(AUTOEVENTO="Manual",$M56=$A$15)),0,
         IF(OFFSET(CRONOPLE!$F$15,$M56-$A$15,BG$13)=0,10^12,OFFSET(CRONOPLE!$F$15,$M56-$A$15,BG$13)))</f>
        <v>1000000000000</v>
      </c>
      <c r="BH56" s="171">
        <f ca="1">IF(OR($D56&lt;&gt;"Serviço",AND(AUTOEVENTO="Manual",$M56=$A$15)),0,
         IF(OFFSET(CRONOPLE!$F$15,$M56-$A$15,BH$13)=0,10^12,OFFSET(CRONOPLE!$F$15,$M56-$A$15,BH$13)))</f>
        <v>1000000000000</v>
      </c>
      <c r="BI56" s="171">
        <f ca="1">IF(OR($D56&lt;&gt;"Serviço",AND(AUTOEVENTO="Manual",$M56=$A$15)),0,
         IF(OFFSET(CRONOPLE!$F$15,$M56-$A$15,BI$13)=0,10^12,OFFSET(CRONOPLE!$F$15,$M56-$A$15,BI$13)))</f>
        <v>1000000000000</v>
      </c>
      <c r="BJ56" s="171">
        <f ca="1">IF(OR($D56&lt;&gt;"Serviço",AND(AUTOEVENTO="Manual",$M56=$A$15)),0,
         IF(OFFSET(CRONOPLE!$F$15,$M56-$A$15,BJ$13)=0,10^12,OFFSET(CRONOPLE!$F$15,$M56-$A$15,BJ$13)))</f>
        <v>1000000000000</v>
      </c>
      <c r="BK56" s="171">
        <f ca="1">IF(OR($D56&lt;&gt;"Serviço",AND(AUTOEVENTO="Manual",$M56=$A$15)),0,
         IF(OFFSET(CRONOPLE!$F$15,$M56-$A$15,BK$13)=0,10^12,OFFSET(CRONOPLE!$F$15,$M56-$A$15,BK$13)))</f>
        <v>1000000000000</v>
      </c>
      <c r="BL56" s="171">
        <f ca="1">IF(OR($D56&lt;&gt;"Serviço",AND(AUTOEVENTO="Manual",$M56=$A$15)),0,
         IF(OFFSET(CRONOPLE!$F$15,$M56-$A$15,BL$13)=0,10^12,OFFSET(CRONOPLE!$F$15,$M56-$A$15,BL$13)))</f>
        <v>1000000000000</v>
      </c>
      <c r="BM56" s="171">
        <f ca="1">IF(OR($D56&lt;&gt;"Serviço",AND(AUTOEVENTO="Manual",$M56=$A$15)),0,
         IF(OFFSET(CRONOPLE!$F$15,$M56-$A$15,BM$13)=0,10^12,OFFSET(CRONOPLE!$F$15,$M56-$A$15,BM$13)))</f>
        <v>1000000000000</v>
      </c>
      <c r="BN56" s="171">
        <f ca="1">IF(OR($D56&lt;&gt;"Serviço",AND(AUTOEVENTO="Manual",$M56=$A$15)),0,
         IF(OFFSET(CRONOPLE!$F$15,$M56-$A$15,BN$13)=0,10^12,OFFSET(CRONOPLE!$F$15,$M56-$A$15,BN$13)))</f>
        <v>1000000000000</v>
      </c>
      <c r="BO56" s="171">
        <f ca="1">IF(OR($D56&lt;&gt;"Serviço",AND(AUTOEVENTO="Manual",$M56=$A$15)),0,
         IF(OFFSET(CRONOPLE!$F$15,$M56-$A$15,BO$13)=0,10^12,OFFSET(CRONOPLE!$F$15,$M56-$A$15,BO$13)))</f>
        <v>1000000000000</v>
      </c>
      <c r="BP56" s="171">
        <f ca="1">IF(OR($D56&lt;&gt;"Serviço",AND(AUTOEVENTO="Manual",$M56=$A$15)),0,
         IF(OFFSET(CRONOPLE!$F$15,$M56-$A$15,BP$13)=0,10^12,OFFSET(CRONOPLE!$F$15,$M56-$A$15,BP$13)))</f>
        <v>1000000000000</v>
      </c>
      <c r="BQ56" s="171">
        <f ca="1">IF(OR($D56&lt;&gt;"Serviço",AND(AUTOEVENTO="Manual",$M56=$A$15)),0,
         IF(OFFSET(CRONOPLE!$F$15,$M56-$A$15,BQ$13)=0,10^12,OFFSET(CRONOPLE!$F$15,$M56-$A$15,BQ$13)))</f>
        <v>1000000000000</v>
      </c>
      <c r="BR56" s="171">
        <f ca="1">IF(OR($D56&lt;&gt;"Serviço",AND(AUTOEVENTO="Manual",$M56=$A$15)),0,
         IF(OFFSET(CRONOPLE!$F$15,$M56-$A$15,BR$13)=0,10^12,OFFSET(CRONOPLE!$F$15,$M56-$A$15,BR$13)))</f>
        <v>1000000000000</v>
      </c>
      <c r="BS56" s="171">
        <f ca="1">IF(OR($D56&lt;&gt;"Serviço",AND(AUTOEVENTO="Manual",$M56=$A$15)),0,
         IF(OFFSET(CRONOPLE!$F$15,$M56-$A$15,BS$13)=0,10^12,OFFSET(CRONOPLE!$F$15,$M56-$A$15,BS$13)))</f>
        <v>1000000000000</v>
      </c>
      <c r="BT56" s="171">
        <f ca="1">IF(OR($D56&lt;&gt;"Serviço",AND(AUTOEVENTO="Manual",$M56=$A$15)),0,
         IF(OFFSET(CRONOPLE!$F$15,$M56-$A$15,BT$13)=0,10^12,OFFSET(CRONOPLE!$F$15,$M56-$A$15,BT$13)))</f>
        <v>1000000000000</v>
      </c>
      <c r="BV56" s="172" cm="1">
        <f t="array" aca="1" ref="BV56" ca="1">IF(OR($D56&lt;&gt;"Serviço",AND(AUTOEVENTO="Manual",$M56=$A$15),$M56&gt;(ROW(PLE.lastrow)-ROW(PLE.firstrow))),0,
           IF(OFFSET(PLE!$G$15,$M56-$A$15,BV$13)="",10^12,OFFSET(PLE!$G$15,$M56-$A$15,BV$13)))</f>
        <v>1000000000000</v>
      </c>
      <c r="BW56" s="172" cm="1">
        <f t="array" aca="1" ref="BW56" ca="1">IF(OR($D56&lt;&gt;"Serviço",AND(AUTOEVENTO="Manual",$M56=$A$15),$M56&gt;(ROW(PLE.lastrow)-ROW(PLE.firstrow))),0,
           IF(OFFSET(PLE!$G$15,$M56-$A$15,BW$13)="",10^12,OFFSET(PLE!$G$15,$M56-$A$15,BW$13)))</f>
        <v>1000000000000</v>
      </c>
      <c r="BX56" s="172" cm="1">
        <f t="array" aca="1" ref="BX56" ca="1">IF(OR($D56&lt;&gt;"Serviço",AND(AUTOEVENTO="Manual",$M56=$A$15),$M56&gt;(ROW(PLE.lastrow)-ROW(PLE.firstrow))),0,
           IF(OFFSET(PLE!$G$15,$M56-$A$15,BX$13)="",10^12,OFFSET(PLE!$G$15,$M56-$A$15,BX$13)))</f>
        <v>1000000000000</v>
      </c>
      <c r="BY56" s="172" cm="1">
        <f t="array" aca="1" ref="BY56" ca="1">IF(OR($D56&lt;&gt;"Serviço",AND(AUTOEVENTO="Manual",$M56=$A$15),$M56&gt;(ROW(PLE.lastrow)-ROW(PLE.firstrow))),0,
           IF(OFFSET(PLE!$G$15,$M56-$A$15,BY$13)="",10^12,OFFSET(PLE!$G$15,$M56-$A$15,BY$13)))</f>
        <v>1000000000000</v>
      </c>
      <c r="BZ56" s="172" cm="1">
        <f t="array" aca="1" ref="BZ56" ca="1">IF(OR($D56&lt;&gt;"Serviço",AND(AUTOEVENTO="Manual",$M56=$A$15),$M56&gt;(ROW(PLE.lastrow)-ROW(PLE.firstrow))),0,
           IF(OFFSET(PLE!$G$15,$M56-$A$15,BZ$13)="",10^12,OFFSET(PLE!$G$15,$M56-$A$15,BZ$13)))</f>
        <v>1000000000000</v>
      </c>
      <c r="CA56" s="172" cm="1">
        <f t="array" aca="1" ref="CA56" ca="1">IF(OR($D56&lt;&gt;"Serviço",AND(AUTOEVENTO="Manual",$M56=$A$15),$M56&gt;(ROW(PLE.lastrow)-ROW(PLE.firstrow))),0,
           IF(OFFSET(PLE!$G$15,$M56-$A$15,CA$13)="",10^12,OFFSET(PLE!$G$15,$M56-$A$15,CA$13)))</f>
        <v>1000000000000</v>
      </c>
      <c r="CB56" s="172" cm="1">
        <f t="array" aca="1" ref="CB56" ca="1">IF(OR($D56&lt;&gt;"Serviço",AND(AUTOEVENTO="Manual",$M56=$A$15),$M56&gt;(ROW(PLE.lastrow)-ROW(PLE.firstrow))),0,
           IF(OFFSET(PLE!$G$15,$M56-$A$15,CB$13)="",10^12,OFFSET(PLE!$G$15,$M56-$A$15,CB$13)))</f>
        <v>1000000000000</v>
      </c>
      <c r="CC56" s="172" cm="1">
        <f t="array" aca="1" ref="CC56" ca="1">IF(OR($D56&lt;&gt;"Serviço",AND(AUTOEVENTO="Manual",$M56=$A$15),$M56&gt;(ROW(PLE.lastrow)-ROW(PLE.firstrow))),0,
           IF(OFFSET(PLE!$G$15,$M56-$A$15,CC$13)="",10^12,OFFSET(PLE!$G$15,$M56-$A$15,CC$13)))</f>
        <v>1000000000000</v>
      </c>
      <c r="CD56" s="172" cm="1">
        <f t="array" aca="1" ref="CD56" ca="1">IF(OR($D56&lt;&gt;"Serviço",AND(AUTOEVENTO="Manual",$M56=$A$15),$M56&gt;(ROW(PLE.lastrow)-ROW(PLE.firstrow))),0,
           IF(OFFSET(PLE!$G$15,$M56-$A$15,CD$13)="",10^12,OFFSET(PLE!$G$15,$M56-$A$15,CD$13)))</f>
        <v>1000000000000</v>
      </c>
      <c r="CE56" s="172" cm="1">
        <f t="array" aca="1" ref="CE56" ca="1">IF(OR($D56&lt;&gt;"Serviço",AND(AUTOEVENTO="Manual",$M56=$A$15),$M56&gt;(ROW(PLE.lastrow)-ROW(PLE.firstrow))),0,
           IF(OFFSET(PLE!$G$15,$M56-$A$15,CE$13)="",10^12,OFFSET(PLE!$G$15,$M56-$A$15,CE$13)))</f>
        <v>1000000000000</v>
      </c>
      <c r="CF56" s="172" cm="1">
        <f t="array" aca="1" ref="CF56" ca="1">IF(OR($D56&lt;&gt;"Serviço",AND(AUTOEVENTO="Manual",$M56=$A$15),$M56&gt;(ROW(PLE.lastrow)-ROW(PLE.firstrow))),0,
           IF(OFFSET(PLE!$G$15,$M56-$A$15,CF$13)="",10^12,OFFSET(PLE!$G$15,$M56-$A$15,CF$13)))</f>
        <v>1000000000000</v>
      </c>
      <c r="CG56" s="172" cm="1">
        <f t="array" aca="1" ref="CG56" ca="1">IF(OR($D56&lt;&gt;"Serviço",AND(AUTOEVENTO="Manual",$M56=$A$15),$M56&gt;(ROW(PLE.lastrow)-ROW(PLE.firstrow))),0,
           IF(OFFSET(PLE!$G$15,$M56-$A$15,CG$13)="",10^12,OFFSET(PLE!$G$15,$M56-$A$15,CG$13)))</f>
        <v>1000000000000</v>
      </c>
      <c r="CH56" s="172" cm="1">
        <f t="array" aca="1" ref="CH56" ca="1">IF(OR($D56&lt;&gt;"Serviço",AND(AUTOEVENTO="Manual",$M56=$A$15),$M56&gt;(ROW(PLE.lastrow)-ROW(PLE.firstrow))),0,
           IF(OFFSET(PLE!$G$15,$M56-$A$15,CH$13)="",10^12,OFFSET(PLE!$G$15,$M56-$A$15,CH$13)))</f>
        <v>1000000000000</v>
      </c>
      <c r="CI56" s="172" cm="1">
        <f t="array" aca="1" ref="CI56" ca="1">IF(OR($D56&lt;&gt;"Serviço",AND(AUTOEVENTO="Manual",$M56=$A$15),$M56&gt;(ROW(PLE.lastrow)-ROW(PLE.firstrow))),0,
           IF(OFFSET(PLE!$G$15,$M56-$A$15,CI$13)="",10^12,OFFSET(PLE!$G$15,$M56-$A$15,CI$13)))</f>
        <v>1000000000000</v>
      </c>
      <c r="CJ56" s="172" cm="1">
        <f t="array" aca="1" ref="CJ56" ca="1">IF(OR($D56&lt;&gt;"Serviço",AND(AUTOEVENTO="Manual",$M56=$A$15),$M56&gt;(ROW(PLE.lastrow)-ROW(PLE.firstrow))),0,
           IF(OFFSET(PLE!$G$15,$M56-$A$15,CJ$13)="",10^12,OFFSET(PLE!$G$15,$M56-$A$15,CJ$13)))</f>
        <v>1000000000000</v>
      </c>
      <c r="CK56" s="172" cm="1">
        <f t="array" aca="1" ref="CK56" ca="1">IF(OR($D56&lt;&gt;"Serviço",AND(AUTOEVENTO="Manual",$M56=$A$15),$M56&gt;(ROW(PLE.lastrow)-ROW(PLE.firstrow))),0,
           IF(OFFSET(PLE!$G$15,$M56-$A$15,CK$13)="",10^12,OFFSET(PLE!$G$15,$M56-$A$15,CK$13)))</f>
        <v>1000000000000</v>
      </c>
      <c r="CL56" s="172" cm="1">
        <f t="array" aca="1" ref="CL56" ca="1">IF(OR($D56&lt;&gt;"Serviço",AND(AUTOEVENTO="Manual",$M56=$A$15),$M56&gt;(ROW(PLE.lastrow)-ROW(PLE.firstrow))),0,
           IF(OFFSET(PLE!$G$15,$M56-$A$15,CL$13)="",10^12,OFFSET(PLE!$G$15,$M56-$A$15,CL$13)))</f>
        <v>1000000000000</v>
      </c>
      <c r="CM56" s="172" cm="1">
        <f t="array" aca="1" ref="CM56" ca="1">IF(OR($D56&lt;&gt;"Serviço",AND(AUTOEVENTO="Manual",$M56=$A$15),$M56&gt;(ROW(PLE.lastrow)-ROW(PLE.firstrow))),0,
           IF(OFFSET(PLE!$G$15,$M56-$A$15,CM$13)="",10^12,OFFSET(PLE!$G$15,$M56-$A$15,CM$13)))</f>
        <v>1000000000000</v>
      </c>
    </row>
    <row r="57" spans="1:91" s="670" customFormat="1" ht="51" x14ac:dyDescent="0.2">
      <c r="A57" s="668">
        <f t="shared" ca="1" si="10"/>
        <v>16</v>
      </c>
      <c r="B57" s="668" t="str">
        <f ca="1">OFFSET(ORÇAMENTO!C$15,$L57,0)</f>
        <v>S</v>
      </c>
      <c r="C57" s="668" t="str">
        <f ca="1">OFFSET(ORÇAMENTO!L$15,$L57,0)</f>
        <v>F</v>
      </c>
      <c r="D57" s="116" t="str">
        <f ca="1">OFFSET(ORÇAMENTO!N$15,$L57,0)</f>
        <v>Serviço</v>
      </c>
      <c r="E57" s="117" t="str">
        <f ca="1">OFFSET(ORÇAMENTO!O$15,$L57,0)</f>
        <v>1.8.6.</v>
      </c>
      <c r="F57" s="163" t="str">
        <f ca="1">OFFSET(ORÇAMENTO!R$15,$L57,0)</f>
        <v>CONCRETAGEM DE EDIFICAÇÕES (PAREDES E LAJES) FEITAS COM SISTEMA DE FÔRMAS MANUSEÁVEIS, COM CONCRETO USINADO BOMBEÁVEL FCK 25 MPA - LANÇAMENTO, ADENSAMENTO E ACABAMENTO. AF_09/2024</v>
      </c>
      <c r="G57" s="164" t="str">
        <f ca="1">IF($D57&lt;&gt;"Serviço","",OFFSET(ORÇAMENTO!S$15,$L57,0))</f>
        <v>M3</v>
      </c>
      <c r="H57" s="122" cm="1">
        <f t="array" aca="1" ref="H57" ca="1">IF($D57&lt;&gt;"Serviço",0,IF(ACOMPANHAMENTO="BM",ROUND(OFFSET(ORÇAMENTO!AJ$15,$L57,0),15-13*ORÇAMENTO!$AF$7),IF(IFERROR(CÁLCULO.FrentesPreenchidas,0)=0,0,SUM(ROUND(OFFSET($P57,0,1,1,CÁLCULO.FrentesPreenchidas),15-13*ORÇAMENTO!$AF$7)))))</f>
        <v>1.7</v>
      </c>
      <c r="I57" s="679" t="s">
        <v>1149</v>
      </c>
      <c r="J57" s="651" t="str" cm="1">
        <f t="array" aca="1" ref="J57" ca="1">IF(OR(B57&lt;&gt;"S",CÁLCULO.FrentesPreenchidas=0),"",IF(AND(ACOMPANHAMENTO="PLE",AUTOEVENTO="Manual",OR(H57&gt;0,ORÇAMENTO!AC57="QUANT."),OR(K57="",M57=0,N57="")),"►E",IF(AND(ACOMPANHAMENTO="PLE",ORÇAMENTO!AC57="QUANT."),"►Q",IF(AND(ACOMPANHAMENTO="PLE",H57&lt;&gt;SUMPRODUCT(($Q$1:$AI$1=1)*ROUND(Q57:AI57,15))),"►S",IF(AND(COUNTIF($P$11:$AI$11,"▼")=0,H57&gt;0,I57=""),"◄M","")))))</f>
        <v/>
      </c>
      <c r="K57" s="652" t="s">
        <v>1341</v>
      </c>
      <c r="L57" s="165">
        <f t="shared" ca="1" si="11"/>
        <v>42</v>
      </c>
      <c r="M57" s="166">
        <f ca="1">IF($D57&lt;&gt;"Serviço","",
          IF(AUTOEVENTO="manual",$A57,
                IF(ISERROR(MATCH($A57,$A$15:OFFSET($A57,-1,0),0)),MAX($M$15:OFFSET(M57,-1,0))+1,
                      INDEX($M$15:OFFSET(M57,-1,0),MATCH($A57,$A$15:OFFSET($A57,-1,0),0)))))</f>
        <v>16</v>
      </c>
      <c r="N57" s="167" t="str">
        <f ca="1">IF($D57&lt;&gt;"Serviço","",
         IF(AUTOEVENTO="Manual",
                IF($A57=0,"&lt;-- defina o número do agrupador",
                       OFFSET(EVENTOS!$D$15,$A57-$A$15,0)),
                OFFSET($F$15,$A57,0)))</f>
        <v>Estrutura - Concretagem</v>
      </c>
      <c r="O57" s="168"/>
      <c r="Q57" s="168"/>
      <c r="R57" s="169"/>
      <c r="S57" s="169"/>
      <c r="T57" s="169">
        <v>1.7</v>
      </c>
      <c r="U57" s="169"/>
      <c r="V57" s="169"/>
      <c r="W57" s="169"/>
      <c r="X57" s="169"/>
      <c r="Y57" s="169"/>
      <c r="Z57" s="170"/>
      <c r="AA57" s="705"/>
      <c r="AB57" s="705"/>
      <c r="AC57" s="705"/>
      <c r="AD57" s="705"/>
      <c r="AE57" s="705"/>
      <c r="AF57" s="705"/>
      <c r="AG57" s="705"/>
      <c r="AH57" s="706"/>
      <c r="AJ57" s="453">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3">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L57" s="453">
        <f ca="1">IF(AND($D57="Serviço",AL$12&lt;&gt;0,$H57&gt;0,OR(AUTOEVENTO&lt;&gt;"manual",$M57&lt;&gt;$A$15)),
        IF(Import.TipoArredondamento&lt;&gt;"TransfereGOV",
              ROUND(OFFSET($P57,0,AL$13),15-13*ORÇAMENTO!$AF$7)/$H57*OFFSET(ORÇAMENTO!$X$15,ROW(AL57)-ROW(AL$15),0),
              ROUND(ROUND(OFFSET($P57,0,AL$13),15-13*ORÇAMENTO!$AF$7)*OFFSET(ORÇAMENTO!$W$15,ROW(AL57)-ROW(AL$15),0),15-13*ORÇAMENTO!$AF$11)),
         0)</f>
        <v>0</v>
      </c>
      <c r="AM57" s="453">
        <f ca="1">IF(AND($D57="Serviço",AM$12&lt;&gt;0,$H57&gt;0,OR(AUTOEVENTO&lt;&gt;"manual",$M57&lt;&gt;$A$15)),
        IF(Import.TipoArredondamento&lt;&gt;"TransfereGOV",
              ROUND(OFFSET($P57,0,AM$13),15-13*ORÇAMENTO!$AF$7)/$H57*OFFSET(ORÇAMENTO!$X$15,ROW(AM57)-ROW(AM$15),0),
              ROUND(ROUND(OFFSET($P57,0,AM$13),15-13*ORÇAMENTO!$AF$7)*OFFSET(ORÇAMENTO!$W$15,ROW(AM57)-ROW(AM$15),0),15-13*ORÇAMENTO!$AF$11)),
         0)</f>
        <v>1576.07</v>
      </c>
      <c r="AN57" s="453">
        <f ca="1">IF(AND($D57="Serviço",AN$12&lt;&gt;0,$H57&gt;0,OR(AUTOEVENTO&lt;&gt;"manual",$M57&lt;&gt;$A$15)),
        IF(Import.TipoArredondamento&lt;&gt;"TransfereGOV",
              ROUND(OFFSET($P57,0,AN$13),15-13*ORÇAMENTO!$AF$7)/$H57*OFFSET(ORÇAMENTO!$X$15,ROW(AN57)-ROW(AN$15),0),
              ROUND(ROUND(OFFSET($P57,0,AN$13),15-13*ORÇAMENTO!$AF$7)*OFFSET(ORÇAMENTO!$W$15,ROW(AN57)-ROW(AN$15),0),15-13*ORÇAMENTO!$AF$11)),
         0)</f>
        <v>0</v>
      </c>
      <c r="AO57" s="453">
        <f ca="1">IF(AND($D57="Serviço",AO$12&lt;&gt;0,$H57&gt;0,OR(AUTOEVENTO&lt;&gt;"manual",$M57&lt;&gt;$A$15)),
        IF(Import.TipoArredondamento&lt;&gt;"TransfereGOV",
              ROUND(OFFSET($P57,0,AO$13),15-13*ORÇAMENTO!$AF$7)/$H57*OFFSET(ORÇAMENTO!$X$15,ROW(AO57)-ROW(AO$15),0),
              ROUND(ROUND(OFFSET($P57,0,AO$13),15-13*ORÇAMENTO!$AF$7)*OFFSET(ORÇAMENTO!$W$15,ROW(AO57)-ROW(AO$15),0),15-13*ORÇAMENTO!$AF$11)),
         0)</f>
        <v>0</v>
      </c>
      <c r="AP57" s="453">
        <f ca="1">IF(AND($D57="Serviço",AP$12&lt;&gt;0,$H57&gt;0,OR(AUTOEVENTO&lt;&gt;"manual",$M57&lt;&gt;$A$15)),
        IF(Import.TipoArredondamento&lt;&gt;"TransfereGOV",
              ROUND(OFFSET($P57,0,AP$13),15-13*ORÇAMENTO!$AF$7)/$H57*OFFSET(ORÇAMENTO!$X$15,ROW(AP57)-ROW(AP$15),0),
              ROUND(ROUND(OFFSET($P57,0,AP$13),15-13*ORÇAMENTO!$AF$7)*OFFSET(ORÇAMENTO!$W$15,ROW(AP57)-ROW(AP$15),0),15-13*ORÇAMENTO!$AF$11)),
         0)</f>
        <v>0</v>
      </c>
      <c r="AQ57" s="453">
        <f ca="1">IF(AND($D57="Serviço",AQ$12&lt;&gt;0,$H57&gt;0,OR(AUTOEVENTO&lt;&gt;"manual",$M57&lt;&gt;$A$15)),
        IF(Import.TipoArredondamento&lt;&gt;"TransfereGOV",
              ROUND(OFFSET($P57,0,AQ$13),15-13*ORÇAMENTO!$AF$7)/$H57*OFFSET(ORÇAMENTO!$X$15,ROW(AQ57)-ROW(AQ$15),0),
              ROUND(ROUND(OFFSET($P57,0,AQ$13),15-13*ORÇAMENTO!$AF$7)*OFFSET(ORÇAMENTO!$W$15,ROW(AQ57)-ROW(AQ$15),0),15-13*ORÇAMENTO!$AF$11)),
         0)</f>
        <v>0</v>
      </c>
      <c r="AR57" s="453">
        <f ca="1">IF(AND($D57="Serviço",AR$12&lt;&gt;0,$H57&gt;0,OR(AUTOEVENTO&lt;&gt;"manual",$M57&lt;&gt;$A$15)),
        IF(Import.TipoArredondamento&lt;&gt;"TransfereGOV",
              ROUND(OFFSET($P57,0,AR$13),15-13*ORÇAMENTO!$AF$7)/$H57*OFFSET(ORÇAMENTO!$X$15,ROW(AR57)-ROW(AR$15),0),
              ROUND(ROUND(OFFSET($P57,0,AR$13),15-13*ORÇAMENTO!$AF$7)*OFFSET(ORÇAMENTO!$W$15,ROW(AR57)-ROW(AR$15),0),15-13*ORÇAMENTO!$AF$11)),
         0)</f>
        <v>0</v>
      </c>
      <c r="AS57" s="453">
        <f ca="1">IF(AND($D57="Serviço",AS$12&lt;&gt;0,$H57&gt;0,OR(AUTOEVENTO&lt;&gt;"manual",$M57&lt;&gt;$A$15)),
        IF(Import.TipoArredondamento&lt;&gt;"TransfereGOV",
              ROUND(OFFSET($P57,0,AS$13),15-13*ORÇAMENTO!$AF$7)/$H57*OFFSET(ORÇAMENTO!$X$15,ROW(AS57)-ROW(AS$15),0),
              ROUND(ROUND(OFFSET($P57,0,AS$13),15-13*ORÇAMENTO!$AF$7)*OFFSET(ORÇAMENTO!$W$15,ROW(AS57)-ROW(AS$15),0),15-13*ORÇAMENTO!$AF$11)),
         0)</f>
        <v>0</v>
      </c>
      <c r="AT57" s="453">
        <f ca="1">IF(AND($D57="Serviço",AT$12&lt;&gt;0,$H57&gt;0,OR(AUTOEVENTO&lt;&gt;"manual",$M57&lt;&gt;$A$15)),
        IF(Import.TipoArredondamento&lt;&gt;"TransfereGOV",
              ROUND(OFFSET($P57,0,AT$13),15-13*ORÇAMENTO!$AF$7)/$H57*OFFSET(ORÇAMENTO!$X$15,ROW(AT57)-ROW(AT$15),0),
              ROUND(ROUND(OFFSET($P57,0,AT$13),15-13*ORÇAMENTO!$AF$7)*OFFSET(ORÇAMENTO!$W$15,ROW(AT57)-ROW(AT$15),0),15-13*ORÇAMENTO!$AF$11)),
         0)</f>
        <v>0</v>
      </c>
      <c r="AU57" s="453">
        <f ca="1">IF(AND($D57="Serviço",AU$12&lt;&gt;0,$H57&gt;0,OR(AUTOEVENTO&lt;&gt;"manual",$M57&lt;&gt;$A$15)),
        IF(Import.TipoArredondamento&lt;&gt;"TransfereGOV",
              ROUND(OFFSET($P57,0,AU$13),15-13*ORÇAMENTO!$AF$7)/$H57*OFFSET(ORÇAMENTO!$X$15,ROW(AU57)-ROW(AU$15),0),
              ROUND(ROUND(OFFSET($P57,0,AU$13),15-13*ORÇAMENTO!$AF$7)*OFFSET(ORÇAMENTO!$W$15,ROW(AU57)-ROW(AU$15),0),15-13*ORÇAMENTO!$AF$11)),
         0)</f>
        <v>0</v>
      </c>
      <c r="AV57" s="453">
        <f ca="1">IF(AND($D57="Serviço",AV$12&lt;&gt;0,$H57&gt;0,OR(AUTOEVENTO&lt;&gt;"manual",$M57&lt;&gt;$A$15)),
        IF(Import.TipoArredondamento&lt;&gt;"TransfereGOV",
              ROUND(OFFSET($P57,0,AV$13),15-13*ORÇAMENTO!$AF$7)/$H57*OFFSET(ORÇAMENTO!$X$15,ROW(AV57)-ROW(AV$15),0),
              ROUND(ROUND(OFFSET($P57,0,AV$13),15-13*ORÇAMENTO!$AF$7)*OFFSET(ORÇAMENTO!$W$15,ROW(AV57)-ROW(AV$15),0),15-13*ORÇAMENTO!$AF$11)),
         0)</f>
        <v>0</v>
      </c>
      <c r="AW57" s="453">
        <f ca="1">IF(AND($D57="Serviço",AW$12&lt;&gt;0,$H57&gt;0,OR(AUTOEVENTO&lt;&gt;"manual",$M57&lt;&gt;$A$15)),
        IF(Import.TipoArredondamento&lt;&gt;"TransfereGOV",
              ROUND(OFFSET($P57,0,AW$13),15-13*ORÇAMENTO!$AF$7)/$H57*OFFSET(ORÇAMENTO!$X$15,ROW(AW57)-ROW(AW$15),0),
              ROUND(ROUND(OFFSET($P57,0,AW$13),15-13*ORÇAMENTO!$AF$7)*OFFSET(ORÇAMENTO!$W$15,ROW(AW57)-ROW(AW$15),0),15-13*ORÇAMENTO!$AF$11)),
         0)</f>
        <v>0</v>
      </c>
      <c r="AX57" s="453">
        <f ca="1">IF(AND($D57="Serviço",AX$12&lt;&gt;0,$H57&gt;0,OR(AUTOEVENTO&lt;&gt;"manual",$M57&lt;&gt;$A$15)),
        IF(Import.TipoArredondamento&lt;&gt;"TransfereGOV",
              ROUND(OFFSET($P57,0,AX$13),15-13*ORÇAMENTO!$AF$7)/$H57*OFFSET(ORÇAMENTO!$X$15,ROW(AX57)-ROW(AX$15),0),
              ROUND(ROUND(OFFSET($P57,0,AX$13),15-13*ORÇAMENTO!$AF$7)*OFFSET(ORÇAMENTO!$W$15,ROW(AX57)-ROW(AX$15),0),15-13*ORÇAMENTO!$AF$11)),
         0)</f>
        <v>0</v>
      </c>
      <c r="AY57" s="453">
        <f ca="1">IF(AND($D57="Serviço",AY$12&lt;&gt;0,$H57&gt;0,OR(AUTOEVENTO&lt;&gt;"manual",$M57&lt;&gt;$A$15)),
        IF(Import.TipoArredondamento&lt;&gt;"TransfereGOV",
              ROUND(OFFSET($P57,0,AY$13),15-13*ORÇAMENTO!$AF$7)/$H57*OFFSET(ORÇAMENTO!$X$15,ROW(AY57)-ROW(AY$15),0),
              ROUND(ROUND(OFFSET($P57,0,AY$13),15-13*ORÇAMENTO!$AF$7)*OFFSET(ORÇAMENTO!$W$15,ROW(AY57)-ROW(AY$15),0),15-13*ORÇAMENTO!$AF$11)),
         0)</f>
        <v>0</v>
      </c>
      <c r="AZ57" s="453">
        <f ca="1">IF(AND($D57="Serviço",AZ$12&lt;&gt;0,$H57&gt;0,OR(AUTOEVENTO&lt;&gt;"manual",$M57&lt;&gt;$A$15)),
        IF(Import.TipoArredondamento&lt;&gt;"TransfereGOV",
              ROUND(OFFSET($P57,0,AZ$13),15-13*ORÇAMENTO!$AF$7)/$H57*OFFSET(ORÇAMENTO!$X$15,ROW(AZ57)-ROW(AZ$15),0),
              ROUND(ROUND(OFFSET($P57,0,AZ$13),15-13*ORÇAMENTO!$AF$7)*OFFSET(ORÇAMENTO!$W$15,ROW(AZ57)-ROW(AZ$15),0),15-13*ORÇAMENTO!$AF$11)),
         0)</f>
        <v>0</v>
      </c>
      <c r="BA57" s="453">
        <f ca="1">IF(AND($D57="Serviço",BA$12&lt;&gt;0,$H57&gt;0,OR(AUTOEVENTO&lt;&gt;"manual",$M57&lt;&gt;$A$15)),
        IF(Import.TipoArredondamento&lt;&gt;"TransfereGOV",
              ROUND(OFFSET($P57,0,BA$13),15-13*ORÇAMENTO!$AF$7)/$H57*OFFSET(ORÇAMENTO!$X$15,ROW(BA57)-ROW(BA$15),0),
              ROUND(ROUND(OFFSET($P57,0,BA$13),15-13*ORÇAMENTO!$AF$7)*OFFSET(ORÇAMENTO!$W$15,ROW(BA57)-ROW(BA$15),0),15-13*ORÇAMENTO!$AF$11)),
         0)</f>
        <v>0</v>
      </c>
      <c r="BC57" s="171">
        <f ca="1">IF(OR($D57&lt;&gt;"Serviço",AND(AUTOEVENTO="Manual",$M57=$A$15)),0,
         IF(OFFSET(CRONOPLE!$F$15,$M57-$A$15,BC$13)=0,10^12,OFFSET(CRONOPLE!$F$15,$M57-$A$15,BC$13)))</f>
        <v>1000000000000</v>
      </c>
      <c r="BD57" s="171">
        <f ca="1">IF(OR($D57&lt;&gt;"Serviço",AND(AUTOEVENTO="Manual",$M57=$A$15)),0,
         IF(OFFSET(CRONOPLE!$F$15,$M57-$A$15,BD$13)=0,10^12,OFFSET(CRONOPLE!$F$15,$M57-$A$15,BD$13)))</f>
        <v>1000000000000</v>
      </c>
      <c r="BE57" s="171">
        <f ca="1">IF(OR($D57&lt;&gt;"Serviço",AND(AUTOEVENTO="Manual",$M57=$A$15)),0,
         IF(OFFSET(CRONOPLE!$F$15,$M57-$A$15,BE$13)=0,10^12,OFFSET(CRONOPLE!$F$15,$M57-$A$15,BE$13)))</f>
        <v>7</v>
      </c>
      <c r="BF57" s="171">
        <f ca="1">IF(OR($D57&lt;&gt;"Serviço",AND(AUTOEVENTO="Manual",$M57=$A$15)),0,
         IF(OFFSET(CRONOPLE!$F$15,$M57-$A$15,BF$13)=0,10^12,OFFSET(CRONOPLE!$F$15,$M57-$A$15,BF$13)))</f>
        <v>11</v>
      </c>
      <c r="BG57" s="171">
        <f ca="1">IF(OR($D57&lt;&gt;"Serviço",AND(AUTOEVENTO="Manual",$M57=$A$15)),0,
         IF(OFFSET(CRONOPLE!$F$15,$M57-$A$15,BG$13)=0,10^12,OFFSET(CRONOPLE!$F$15,$M57-$A$15,BG$13)))</f>
        <v>1000000000000</v>
      </c>
      <c r="BH57" s="171">
        <f ca="1">IF(OR($D57&lt;&gt;"Serviço",AND(AUTOEVENTO="Manual",$M57=$A$15)),0,
         IF(OFFSET(CRONOPLE!$F$15,$M57-$A$15,BH$13)=0,10^12,OFFSET(CRONOPLE!$F$15,$M57-$A$15,BH$13)))</f>
        <v>8</v>
      </c>
      <c r="BI57" s="171">
        <f ca="1">IF(OR($D57&lt;&gt;"Serviço",AND(AUTOEVENTO="Manual",$M57=$A$15)),0,
         IF(OFFSET(CRONOPLE!$F$15,$M57-$A$15,BI$13)=0,10^12,OFFSET(CRONOPLE!$F$15,$M57-$A$15,BI$13)))</f>
        <v>1000000000000</v>
      </c>
      <c r="BJ57" s="171">
        <f ca="1">IF(OR($D57&lt;&gt;"Serviço",AND(AUTOEVENTO="Manual",$M57=$A$15)),0,
         IF(OFFSET(CRONOPLE!$F$15,$M57-$A$15,BJ$13)=0,10^12,OFFSET(CRONOPLE!$F$15,$M57-$A$15,BJ$13)))</f>
        <v>1000000000000</v>
      </c>
      <c r="BK57" s="171">
        <f ca="1">IF(OR($D57&lt;&gt;"Serviço",AND(AUTOEVENTO="Manual",$M57=$A$15)),0,
         IF(OFFSET(CRONOPLE!$F$15,$M57-$A$15,BK$13)=0,10^12,OFFSET(CRONOPLE!$F$15,$M57-$A$15,BK$13)))</f>
        <v>1000000000000</v>
      </c>
      <c r="BL57" s="171">
        <f ca="1">IF(OR($D57&lt;&gt;"Serviço",AND(AUTOEVENTO="Manual",$M57=$A$15)),0,
         IF(OFFSET(CRONOPLE!$F$15,$M57-$A$15,BL$13)=0,10^12,OFFSET(CRONOPLE!$F$15,$M57-$A$15,BL$13)))</f>
        <v>1000000000000</v>
      </c>
      <c r="BM57" s="171">
        <f ca="1">IF(OR($D57&lt;&gt;"Serviço",AND(AUTOEVENTO="Manual",$M57=$A$15)),0,
         IF(OFFSET(CRONOPLE!$F$15,$M57-$A$15,BM$13)=0,10^12,OFFSET(CRONOPLE!$F$15,$M57-$A$15,BM$13)))</f>
        <v>1000000000000</v>
      </c>
      <c r="BN57" s="171">
        <f ca="1">IF(OR($D57&lt;&gt;"Serviço",AND(AUTOEVENTO="Manual",$M57=$A$15)),0,
         IF(OFFSET(CRONOPLE!$F$15,$M57-$A$15,BN$13)=0,10^12,OFFSET(CRONOPLE!$F$15,$M57-$A$15,BN$13)))</f>
        <v>1000000000000</v>
      </c>
      <c r="BO57" s="171">
        <f ca="1">IF(OR($D57&lt;&gt;"Serviço",AND(AUTOEVENTO="Manual",$M57=$A$15)),0,
         IF(OFFSET(CRONOPLE!$F$15,$M57-$A$15,BO$13)=0,10^12,OFFSET(CRONOPLE!$F$15,$M57-$A$15,BO$13)))</f>
        <v>1000000000000</v>
      </c>
      <c r="BP57" s="171">
        <f ca="1">IF(OR($D57&lt;&gt;"Serviço",AND(AUTOEVENTO="Manual",$M57=$A$15)),0,
         IF(OFFSET(CRONOPLE!$F$15,$M57-$A$15,BP$13)=0,10^12,OFFSET(CRONOPLE!$F$15,$M57-$A$15,BP$13)))</f>
        <v>1000000000000</v>
      </c>
      <c r="BQ57" s="171">
        <f ca="1">IF(OR($D57&lt;&gt;"Serviço",AND(AUTOEVENTO="Manual",$M57=$A$15)),0,
         IF(OFFSET(CRONOPLE!$F$15,$M57-$A$15,BQ$13)=0,10^12,OFFSET(CRONOPLE!$F$15,$M57-$A$15,BQ$13)))</f>
        <v>1000000000000</v>
      </c>
      <c r="BR57" s="171">
        <f ca="1">IF(OR($D57&lt;&gt;"Serviço",AND(AUTOEVENTO="Manual",$M57=$A$15)),0,
         IF(OFFSET(CRONOPLE!$F$15,$M57-$A$15,BR$13)=0,10^12,OFFSET(CRONOPLE!$F$15,$M57-$A$15,BR$13)))</f>
        <v>1000000000000</v>
      </c>
      <c r="BS57" s="171">
        <f ca="1">IF(OR($D57&lt;&gt;"Serviço",AND(AUTOEVENTO="Manual",$M57=$A$15)),0,
         IF(OFFSET(CRONOPLE!$F$15,$M57-$A$15,BS$13)=0,10^12,OFFSET(CRONOPLE!$F$15,$M57-$A$15,BS$13)))</f>
        <v>1000000000000</v>
      </c>
      <c r="BT57" s="171">
        <f ca="1">IF(OR($D57&lt;&gt;"Serviço",AND(AUTOEVENTO="Manual",$M57=$A$15)),0,
         IF(OFFSET(CRONOPLE!$F$15,$M57-$A$15,BT$13)=0,10^12,OFFSET(CRONOPLE!$F$15,$M57-$A$15,BT$13)))</f>
        <v>1000000000000</v>
      </c>
      <c r="BV57" s="172" cm="1">
        <f t="array" aca="1" ref="BV57" ca="1">IF(OR($D57&lt;&gt;"Serviço",AND(AUTOEVENTO="Manual",$M57=$A$15),$M57&gt;(ROW(PLE.lastrow)-ROW(PLE.firstrow))),0,
           IF(OFFSET(PLE!$G$15,$M57-$A$15,BV$13)="",10^12,OFFSET(PLE!$G$15,$M57-$A$15,BV$13)))</f>
        <v>1000000000000</v>
      </c>
      <c r="BW57" s="172" cm="1">
        <f t="array" aca="1" ref="BW57" ca="1">IF(OR($D57&lt;&gt;"Serviço",AND(AUTOEVENTO="Manual",$M57=$A$15),$M57&gt;(ROW(PLE.lastrow)-ROW(PLE.firstrow))),0,
           IF(OFFSET(PLE!$G$15,$M57-$A$15,BW$13)="",10^12,OFFSET(PLE!$G$15,$M57-$A$15,BW$13)))</f>
        <v>1000000000000</v>
      </c>
      <c r="BX57" s="172" cm="1">
        <f t="array" aca="1" ref="BX57" ca="1">IF(OR($D57&lt;&gt;"Serviço",AND(AUTOEVENTO="Manual",$M57=$A$15),$M57&gt;(ROW(PLE.lastrow)-ROW(PLE.firstrow))),0,
           IF(OFFSET(PLE!$G$15,$M57-$A$15,BX$13)="",10^12,OFFSET(PLE!$G$15,$M57-$A$15,BX$13)))</f>
        <v>1000000000000</v>
      </c>
      <c r="BY57" s="172" cm="1">
        <f t="array" aca="1" ref="BY57" ca="1">IF(OR($D57&lt;&gt;"Serviço",AND(AUTOEVENTO="Manual",$M57=$A$15),$M57&gt;(ROW(PLE.lastrow)-ROW(PLE.firstrow))),0,
           IF(OFFSET(PLE!$G$15,$M57-$A$15,BY$13)="",10^12,OFFSET(PLE!$G$15,$M57-$A$15,BY$13)))</f>
        <v>1000000000000</v>
      </c>
      <c r="BZ57" s="172" cm="1">
        <f t="array" aca="1" ref="BZ57" ca="1">IF(OR($D57&lt;&gt;"Serviço",AND(AUTOEVENTO="Manual",$M57=$A$15),$M57&gt;(ROW(PLE.lastrow)-ROW(PLE.firstrow))),0,
           IF(OFFSET(PLE!$G$15,$M57-$A$15,BZ$13)="",10^12,OFFSET(PLE!$G$15,$M57-$A$15,BZ$13)))</f>
        <v>1000000000000</v>
      </c>
      <c r="CA57" s="172" cm="1">
        <f t="array" aca="1" ref="CA57" ca="1">IF(OR($D57&lt;&gt;"Serviço",AND(AUTOEVENTO="Manual",$M57=$A$15),$M57&gt;(ROW(PLE.lastrow)-ROW(PLE.firstrow))),0,
           IF(OFFSET(PLE!$G$15,$M57-$A$15,CA$13)="",10^12,OFFSET(PLE!$G$15,$M57-$A$15,CA$13)))</f>
        <v>1000000000000</v>
      </c>
      <c r="CB57" s="172" cm="1">
        <f t="array" aca="1" ref="CB57" ca="1">IF(OR($D57&lt;&gt;"Serviço",AND(AUTOEVENTO="Manual",$M57=$A$15),$M57&gt;(ROW(PLE.lastrow)-ROW(PLE.firstrow))),0,
           IF(OFFSET(PLE!$G$15,$M57-$A$15,CB$13)="",10^12,OFFSET(PLE!$G$15,$M57-$A$15,CB$13)))</f>
        <v>1000000000000</v>
      </c>
      <c r="CC57" s="172" cm="1">
        <f t="array" aca="1" ref="CC57" ca="1">IF(OR($D57&lt;&gt;"Serviço",AND(AUTOEVENTO="Manual",$M57=$A$15),$M57&gt;(ROW(PLE.lastrow)-ROW(PLE.firstrow))),0,
           IF(OFFSET(PLE!$G$15,$M57-$A$15,CC$13)="",10^12,OFFSET(PLE!$G$15,$M57-$A$15,CC$13)))</f>
        <v>1000000000000</v>
      </c>
      <c r="CD57" s="172" cm="1">
        <f t="array" aca="1" ref="CD57" ca="1">IF(OR($D57&lt;&gt;"Serviço",AND(AUTOEVENTO="Manual",$M57=$A$15),$M57&gt;(ROW(PLE.lastrow)-ROW(PLE.firstrow))),0,
           IF(OFFSET(PLE!$G$15,$M57-$A$15,CD$13)="",10^12,OFFSET(PLE!$G$15,$M57-$A$15,CD$13)))</f>
        <v>1000000000000</v>
      </c>
      <c r="CE57" s="172" cm="1">
        <f t="array" aca="1" ref="CE57" ca="1">IF(OR($D57&lt;&gt;"Serviço",AND(AUTOEVENTO="Manual",$M57=$A$15),$M57&gt;(ROW(PLE.lastrow)-ROW(PLE.firstrow))),0,
           IF(OFFSET(PLE!$G$15,$M57-$A$15,CE$13)="",10^12,OFFSET(PLE!$G$15,$M57-$A$15,CE$13)))</f>
        <v>1000000000000</v>
      </c>
      <c r="CF57" s="172" cm="1">
        <f t="array" aca="1" ref="CF57" ca="1">IF(OR($D57&lt;&gt;"Serviço",AND(AUTOEVENTO="Manual",$M57=$A$15),$M57&gt;(ROW(PLE.lastrow)-ROW(PLE.firstrow))),0,
           IF(OFFSET(PLE!$G$15,$M57-$A$15,CF$13)="",10^12,OFFSET(PLE!$G$15,$M57-$A$15,CF$13)))</f>
        <v>1000000000000</v>
      </c>
      <c r="CG57" s="172" cm="1">
        <f t="array" aca="1" ref="CG57" ca="1">IF(OR($D57&lt;&gt;"Serviço",AND(AUTOEVENTO="Manual",$M57=$A$15),$M57&gt;(ROW(PLE.lastrow)-ROW(PLE.firstrow))),0,
           IF(OFFSET(PLE!$G$15,$M57-$A$15,CG$13)="",10^12,OFFSET(PLE!$G$15,$M57-$A$15,CG$13)))</f>
        <v>1000000000000</v>
      </c>
      <c r="CH57" s="172" cm="1">
        <f t="array" aca="1" ref="CH57" ca="1">IF(OR($D57&lt;&gt;"Serviço",AND(AUTOEVENTO="Manual",$M57=$A$15),$M57&gt;(ROW(PLE.lastrow)-ROW(PLE.firstrow))),0,
           IF(OFFSET(PLE!$G$15,$M57-$A$15,CH$13)="",10^12,OFFSET(PLE!$G$15,$M57-$A$15,CH$13)))</f>
        <v>1000000000000</v>
      </c>
      <c r="CI57" s="172" cm="1">
        <f t="array" aca="1" ref="CI57" ca="1">IF(OR($D57&lt;&gt;"Serviço",AND(AUTOEVENTO="Manual",$M57=$A$15),$M57&gt;(ROW(PLE.lastrow)-ROW(PLE.firstrow))),0,
           IF(OFFSET(PLE!$G$15,$M57-$A$15,CI$13)="",10^12,OFFSET(PLE!$G$15,$M57-$A$15,CI$13)))</f>
        <v>1000000000000</v>
      </c>
      <c r="CJ57" s="172" cm="1">
        <f t="array" aca="1" ref="CJ57" ca="1">IF(OR($D57&lt;&gt;"Serviço",AND(AUTOEVENTO="Manual",$M57=$A$15),$M57&gt;(ROW(PLE.lastrow)-ROW(PLE.firstrow))),0,
           IF(OFFSET(PLE!$G$15,$M57-$A$15,CJ$13)="",10^12,OFFSET(PLE!$G$15,$M57-$A$15,CJ$13)))</f>
        <v>1000000000000</v>
      </c>
      <c r="CK57" s="172" cm="1">
        <f t="array" aca="1" ref="CK57" ca="1">IF(OR($D57&lt;&gt;"Serviço",AND(AUTOEVENTO="Manual",$M57=$A$15),$M57&gt;(ROW(PLE.lastrow)-ROW(PLE.firstrow))),0,
           IF(OFFSET(PLE!$G$15,$M57-$A$15,CK$13)="",10^12,OFFSET(PLE!$G$15,$M57-$A$15,CK$13)))</f>
        <v>1000000000000</v>
      </c>
      <c r="CL57" s="172" cm="1">
        <f t="array" aca="1" ref="CL57" ca="1">IF(OR($D57&lt;&gt;"Serviço",AND(AUTOEVENTO="Manual",$M57=$A$15),$M57&gt;(ROW(PLE.lastrow)-ROW(PLE.firstrow))),0,
           IF(OFFSET(PLE!$G$15,$M57-$A$15,CL$13)="",10^12,OFFSET(PLE!$G$15,$M57-$A$15,CL$13)))</f>
        <v>1000000000000</v>
      </c>
      <c r="CM57" s="172" cm="1">
        <f t="array" aca="1" ref="CM57" ca="1">IF(OR($D57&lt;&gt;"Serviço",AND(AUTOEVENTO="Manual",$M57=$A$15),$M57&gt;(ROW(PLE.lastrow)-ROW(PLE.firstrow))),0,
           IF(OFFSET(PLE!$G$15,$M57-$A$15,CM$13)="",10^12,OFFSET(PLE!$G$15,$M57-$A$15,CM$13)))</f>
        <v>1000000000000</v>
      </c>
    </row>
    <row r="58" spans="1:91" s="680" customFormat="1" ht="25.5" x14ac:dyDescent="0.2">
      <c r="A58" s="681">
        <f ca="1">IFERROR(IF(AUTOEVENTO="Manual",IF(K58&lt;&gt;"",MIN(VALUE(LEFT(K58,FIND(".",K58)-1)),COUNTA(EVENTOS.Lista)),0),IF(OR($B58&gt;AUTOEVENTO,$B58="S",$B58=0),SUBSTITUTE(OFFSET($A58,-1,0),IF($D58="Serviço",".",""),""),$L58&amp;".")),0)</f>
        <v>16</v>
      </c>
      <c r="B58" s="681" t="str">
        <f ca="1">OFFSET(ORÇAMENTO!C$15,$L58,0)</f>
        <v>S</v>
      </c>
      <c r="C58" s="681" t="str">
        <f ca="1">OFFSET(ORÇAMENTO!L$15,$L58,0)</f>
        <v>F</v>
      </c>
      <c r="D58" s="686" t="str">
        <f ca="1">OFFSET(ORÇAMENTO!N$15,$L58,0)</f>
        <v>Serviço</v>
      </c>
      <c r="E58" s="687" t="str">
        <f ca="1">OFFSET(ORÇAMENTO!O$15,$L58,0)</f>
        <v>1.8.7.</v>
      </c>
      <c r="F58" s="699" t="str">
        <f ca="1">OFFSET(ORÇAMENTO!R$15,$L58,0)</f>
        <v>LANÇAMENTO COM USO DE BOMBA, ADENSAMENTO E ACABAMENTO DE CONCRETO EM ESTRUTURAS. AF_02/2022</v>
      </c>
      <c r="G58" s="700" t="str">
        <f ca="1">IF($D58&lt;&gt;"Serviço","",OFFSET(ORÇAMENTO!S$15,$L58,0))</f>
        <v>M3</v>
      </c>
      <c r="H58" s="692" cm="1">
        <f t="array" aca="1" ref="H58" ca="1">IF($D58&lt;&gt;"Serviço",0,IF(ACOMPANHAMENTO="BM",ROUND(OFFSET(ORÇAMENTO!AJ$15,$L58,0),15-13*ORÇAMENTO!$AF$7),IF(IFERROR(CÁLCULO.FrentesPreenchidas,0)=0,0,SUM(ROUND(OFFSET($P58,0,1,1,CÁLCULO.FrentesPreenchidas),15-13*ORÇAMENTO!$AF$7)))))</f>
        <v>28.3</v>
      </c>
      <c r="I58" s="720" t="s">
        <v>1222</v>
      </c>
      <c r="J58" s="724" t="str" cm="1">
        <f t="array" aca="1" ref="J58" ca="1">IF(OR(B58&lt;&gt;"S",CÁLCULO.FrentesPreenchidas=0),"",IF(AND(ACOMPANHAMENTO="PLE",AUTOEVENTO="Manual",OR(H58&gt;0,ORÇAMENTO!AC58="QUANT."),OR(K58="",M58=0,N58="")),"►E",IF(AND(ACOMPANHAMENTO="PLE",ORÇAMENTO!AC58="QUANT."),"►Q",IF(AND(ACOMPANHAMENTO="PLE",H58&lt;&gt;SUMPRODUCT(($Q$1:$AI$1=1)*ROUND(Q58:AI58,15))),"►S",IF(AND(COUNTIF($P$11:$AI$11,"▼")=0,H58&gt;0,I58=""),"◄M","")))))</f>
        <v/>
      </c>
      <c r="K58" s="652" t="s">
        <v>1341</v>
      </c>
      <c r="L58" s="701">
        <f ca="1">OFFSET(L58,-1,0)+1</f>
        <v>43</v>
      </c>
      <c r="M58" s="702">
        <f ca="1">IF($D58&lt;&gt;"Serviço","",
          IF(AUTOEVENTO="manual",$A58,
                IF(ISERROR(MATCH($A58,$A$15:OFFSET($A58,-1,0),0)),MAX($M$15:OFFSET(M58,-1,0))+1,
                      INDEX($M$15:OFFSET(M58,-1,0),MATCH($A58,$A$15:OFFSET($A58,-1,0),0)))))</f>
        <v>16</v>
      </c>
      <c r="N58" s="703" t="str">
        <f ca="1">IF($D58&lt;&gt;"Serviço","",
         IF(AUTOEVENTO="Manual",
                IF($A58=0,"&lt;-- defina o número do agrupador",
                       OFFSET(EVENTOS!$D$15,$A58-$A$15,0)),
                OFFSET($F$15,$A58,0)))</f>
        <v>Estrutura - Concretagem</v>
      </c>
      <c r="O58" s="704"/>
      <c r="Q58" s="704"/>
      <c r="R58" s="705"/>
      <c r="S58" s="705"/>
      <c r="T58" s="705">
        <v>28.3</v>
      </c>
      <c r="U58" s="705"/>
      <c r="V58" s="705"/>
      <c r="W58" s="705"/>
      <c r="X58" s="705"/>
      <c r="Y58" s="705"/>
      <c r="Z58" s="706"/>
      <c r="AA58" s="705"/>
      <c r="AB58" s="705"/>
      <c r="AC58" s="705"/>
      <c r="AD58" s="705"/>
      <c r="AE58" s="705"/>
      <c r="AF58" s="705"/>
      <c r="AG58" s="705"/>
      <c r="AH58" s="706"/>
      <c r="AJ58" s="453">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3">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L58" s="453">
        <f ca="1">IF(AND($D58="Serviço",AL$12&lt;&gt;0,$H58&gt;0,OR(AUTOEVENTO&lt;&gt;"manual",$M58&lt;&gt;$A$15)),
        IF(Import.TipoArredondamento&lt;&gt;"TransfereGOV",
              ROUND(OFFSET($P58,0,AL$13),15-13*ORÇAMENTO!$AF$7)/$H58*OFFSET(ORÇAMENTO!$X$15,ROW(AL58)-ROW(AL$15),0),
              ROUND(ROUND(OFFSET($P58,0,AL$13),15-13*ORÇAMENTO!$AF$7)*OFFSET(ORÇAMENTO!$W$15,ROW(AL58)-ROW(AL$15),0),15-13*ORÇAMENTO!$AF$11)),
         0)</f>
        <v>0</v>
      </c>
      <c r="AM58" s="453">
        <f ca="1">IF(AND($D58="Serviço",AM$12&lt;&gt;0,$H58&gt;0,OR(AUTOEVENTO&lt;&gt;"manual",$M58&lt;&gt;$A$15)),
        IF(Import.TipoArredondamento&lt;&gt;"TransfereGOV",
              ROUND(OFFSET($P58,0,AM$13),15-13*ORÇAMENTO!$AF$7)/$H58*OFFSET(ORÇAMENTO!$X$15,ROW(AM58)-ROW(AM$15),0),
              ROUND(ROUND(OFFSET($P58,0,AM$13),15-13*ORÇAMENTO!$AF$7)*OFFSET(ORÇAMENTO!$W$15,ROW(AM58)-ROW(AM$15),0),15-13*ORÇAMENTO!$AF$11)),
         0)</f>
        <v>1703.66</v>
      </c>
      <c r="AN58" s="453">
        <f ca="1">IF(AND($D58="Serviço",AN$12&lt;&gt;0,$H58&gt;0,OR(AUTOEVENTO&lt;&gt;"manual",$M58&lt;&gt;$A$15)),
        IF(Import.TipoArredondamento&lt;&gt;"TransfereGOV",
              ROUND(OFFSET($P58,0,AN$13),15-13*ORÇAMENTO!$AF$7)/$H58*OFFSET(ORÇAMENTO!$X$15,ROW(AN58)-ROW(AN$15),0),
              ROUND(ROUND(OFFSET($P58,0,AN$13),15-13*ORÇAMENTO!$AF$7)*OFFSET(ORÇAMENTO!$W$15,ROW(AN58)-ROW(AN$15),0),15-13*ORÇAMENTO!$AF$11)),
         0)</f>
        <v>0</v>
      </c>
      <c r="AO58" s="453">
        <f ca="1">IF(AND($D58="Serviço",AO$12&lt;&gt;0,$H58&gt;0,OR(AUTOEVENTO&lt;&gt;"manual",$M58&lt;&gt;$A$15)),
        IF(Import.TipoArredondamento&lt;&gt;"TransfereGOV",
              ROUND(OFFSET($P58,0,AO$13),15-13*ORÇAMENTO!$AF$7)/$H58*OFFSET(ORÇAMENTO!$X$15,ROW(AO58)-ROW(AO$15),0),
              ROUND(ROUND(OFFSET($P58,0,AO$13),15-13*ORÇAMENTO!$AF$7)*OFFSET(ORÇAMENTO!$W$15,ROW(AO58)-ROW(AO$15),0),15-13*ORÇAMENTO!$AF$11)),
         0)</f>
        <v>0</v>
      </c>
      <c r="AP58" s="453">
        <f ca="1">IF(AND($D58="Serviço",AP$12&lt;&gt;0,$H58&gt;0,OR(AUTOEVENTO&lt;&gt;"manual",$M58&lt;&gt;$A$15)),
        IF(Import.TipoArredondamento&lt;&gt;"TransfereGOV",
              ROUND(OFFSET($P58,0,AP$13),15-13*ORÇAMENTO!$AF$7)/$H58*OFFSET(ORÇAMENTO!$X$15,ROW(AP58)-ROW(AP$15),0),
              ROUND(ROUND(OFFSET($P58,0,AP$13),15-13*ORÇAMENTO!$AF$7)*OFFSET(ORÇAMENTO!$W$15,ROW(AP58)-ROW(AP$15),0),15-13*ORÇAMENTO!$AF$11)),
         0)</f>
        <v>0</v>
      </c>
      <c r="AQ58" s="453">
        <f ca="1">IF(AND($D58="Serviço",AQ$12&lt;&gt;0,$H58&gt;0,OR(AUTOEVENTO&lt;&gt;"manual",$M58&lt;&gt;$A$15)),
        IF(Import.TipoArredondamento&lt;&gt;"TransfereGOV",
              ROUND(OFFSET($P58,0,AQ$13),15-13*ORÇAMENTO!$AF$7)/$H58*OFFSET(ORÇAMENTO!$X$15,ROW(AQ58)-ROW(AQ$15),0),
              ROUND(ROUND(OFFSET($P58,0,AQ$13),15-13*ORÇAMENTO!$AF$7)*OFFSET(ORÇAMENTO!$W$15,ROW(AQ58)-ROW(AQ$15),0),15-13*ORÇAMENTO!$AF$11)),
         0)</f>
        <v>0</v>
      </c>
      <c r="AR58" s="453">
        <f ca="1">IF(AND($D58="Serviço",AR$12&lt;&gt;0,$H58&gt;0,OR(AUTOEVENTO&lt;&gt;"manual",$M58&lt;&gt;$A$15)),
        IF(Import.TipoArredondamento&lt;&gt;"TransfereGOV",
              ROUND(OFFSET($P58,0,AR$13),15-13*ORÇAMENTO!$AF$7)/$H58*OFFSET(ORÇAMENTO!$X$15,ROW(AR58)-ROW(AR$15),0),
              ROUND(ROUND(OFFSET($P58,0,AR$13),15-13*ORÇAMENTO!$AF$7)*OFFSET(ORÇAMENTO!$W$15,ROW(AR58)-ROW(AR$15),0),15-13*ORÇAMENTO!$AF$11)),
         0)</f>
        <v>0</v>
      </c>
      <c r="AS58" s="453">
        <f ca="1">IF(AND($D58="Serviço",AS$12&lt;&gt;0,$H58&gt;0,OR(AUTOEVENTO&lt;&gt;"manual",$M58&lt;&gt;$A$15)),
        IF(Import.TipoArredondamento&lt;&gt;"TransfereGOV",
              ROUND(OFFSET($P58,0,AS$13),15-13*ORÇAMENTO!$AF$7)/$H58*OFFSET(ORÇAMENTO!$X$15,ROW(AS58)-ROW(AS$15),0),
              ROUND(ROUND(OFFSET($P58,0,AS$13),15-13*ORÇAMENTO!$AF$7)*OFFSET(ORÇAMENTO!$W$15,ROW(AS58)-ROW(AS$15),0),15-13*ORÇAMENTO!$AF$11)),
         0)</f>
        <v>0</v>
      </c>
      <c r="AT58" s="453">
        <f ca="1">IF(AND($D58="Serviço",AT$12&lt;&gt;0,$H58&gt;0,OR(AUTOEVENTO&lt;&gt;"manual",$M58&lt;&gt;$A$15)),
        IF(Import.TipoArredondamento&lt;&gt;"TransfereGOV",
              ROUND(OFFSET($P58,0,AT$13),15-13*ORÇAMENTO!$AF$7)/$H58*OFFSET(ORÇAMENTO!$X$15,ROW(AT58)-ROW(AT$15),0),
              ROUND(ROUND(OFFSET($P58,0,AT$13),15-13*ORÇAMENTO!$AF$7)*OFFSET(ORÇAMENTO!$W$15,ROW(AT58)-ROW(AT$15),0),15-13*ORÇAMENTO!$AF$11)),
         0)</f>
        <v>0</v>
      </c>
      <c r="AU58" s="453">
        <f ca="1">IF(AND($D58="Serviço",AU$12&lt;&gt;0,$H58&gt;0,OR(AUTOEVENTO&lt;&gt;"manual",$M58&lt;&gt;$A$15)),
        IF(Import.TipoArredondamento&lt;&gt;"TransfereGOV",
              ROUND(OFFSET($P58,0,AU$13),15-13*ORÇAMENTO!$AF$7)/$H58*OFFSET(ORÇAMENTO!$X$15,ROW(AU58)-ROW(AU$15),0),
              ROUND(ROUND(OFFSET($P58,0,AU$13),15-13*ORÇAMENTO!$AF$7)*OFFSET(ORÇAMENTO!$W$15,ROW(AU58)-ROW(AU$15),0),15-13*ORÇAMENTO!$AF$11)),
         0)</f>
        <v>0</v>
      </c>
      <c r="AV58" s="453">
        <f ca="1">IF(AND($D58="Serviço",AV$12&lt;&gt;0,$H58&gt;0,OR(AUTOEVENTO&lt;&gt;"manual",$M58&lt;&gt;$A$15)),
        IF(Import.TipoArredondamento&lt;&gt;"TransfereGOV",
              ROUND(OFFSET($P58,0,AV$13),15-13*ORÇAMENTO!$AF$7)/$H58*OFFSET(ORÇAMENTO!$X$15,ROW(AV58)-ROW(AV$15),0),
              ROUND(ROUND(OFFSET($P58,0,AV$13),15-13*ORÇAMENTO!$AF$7)*OFFSET(ORÇAMENTO!$W$15,ROW(AV58)-ROW(AV$15),0),15-13*ORÇAMENTO!$AF$11)),
         0)</f>
        <v>0</v>
      </c>
      <c r="AW58" s="453">
        <f ca="1">IF(AND($D58="Serviço",AW$12&lt;&gt;0,$H58&gt;0,OR(AUTOEVENTO&lt;&gt;"manual",$M58&lt;&gt;$A$15)),
        IF(Import.TipoArredondamento&lt;&gt;"TransfereGOV",
              ROUND(OFFSET($P58,0,AW$13),15-13*ORÇAMENTO!$AF$7)/$H58*OFFSET(ORÇAMENTO!$X$15,ROW(AW58)-ROW(AW$15),0),
              ROUND(ROUND(OFFSET($P58,0,AW$13),15-13*ORÇAMENTO!$AF$7)*OFFSET(ORÇAMENTO!$W$15,ROW(AW58)-ROW(AW$15),0),15-13*ORÇAMENTO!$AF$11)),
         0)</f>
        <v>0</v>
      </c>
      <c r="AX58" s="453">
        <f ca="1">IF(AND($D58="Serviço",AX$12&lt;&gt;0,$H58&gt;0,OR(AUTOEVENTO&lt;&gt;"manual",$M58&lt;&gt;$A$15)),
        IF(Import.TipoArredondamento&lt;&gt;"TransfereGOV",
              ROUND(OFFSET($P58,0,AX$13),15-13*ORÇAMENTO!$AF$7)/$H58*OFFSET(ORÇAMENTO!$X$15,ROW(AX58)-ROW(AX$15),0),
              ROUND(ROUND(OFFSET($P58,0,AX$13),15-13*ORÇAMENTO!$AF$7)*OFFSET(ORÇAMENTO!$W$15,ROW(AX58)-ROW(AX$15),0),15-13*ORÇAMENTO!$AF$11)),
         0)</f>
        <v>0</v>
      </c>
      <c r="AY58" s="453">
        <f ca="1">IF(AND($D58="Serviço",AY$12&lt;&gt;0,$H58&gt;0,OR(AUTOEVENTO&lt;&gt;"manual",$M58&lt;&gt;$A$15)),
        IF(Import.TipoArredondamento&lt;&gt;"TransfereGOV",
              ROUND(OFFSET($P58,0,AY$13),15-13*ORÇAMENTO!$AF$7)/$H58*OFFSET(ORÇAMENTO!$X$15,ROW(AY58)-ROW(AY$15),0),
              ROUND(ROUND(OFFSET($P58,0,AY$13),15-13*ORÇAMENTO!$AF$7)*OFFSET(ORÇAMENTO!$W$15,ROW(AY58)-ROW(AY$15),0),15-13*ORÇAMENTO!$AF$11)),
         0)</f>
        <v>0</v>
      </c>
      <c r="AZ58" s="453">
        <f ca="1">IF(AND($D58="Serviço",AZ$12&lt;&gt;0,$H58&gt;0,OR(AUTOEVENTO&lt;&gt;"manual",$M58&lt;&gt;$A$15)),
        IF(Import.TipoArredondamento&lt;&gt;"TransfereGOV",
              ROUND(OFFSET($P58,0,AZ$13),15-13*ORÇAMENTO!$AF$7)/$H58*OFFSET(ORÇAMENTO!$X$15,ROW(AZ58)-ROW(AZ$15),0),
              ROUND(ROUND(OFFSET($P58,0,AZ$13),15-13*ORÇAMENTO!$AF$7)*OFFSET(ORÇAMENTO!$W$15,ROW(AZ58)-ROW(AZ$15),0),15-13*ORÇAMENTO!$AF$11)),
         0)</f>
        <v>0</v>
      </c>
      <c r="BA58" s="453">
        <f ca="1">IF(AND($D58="Serviço",BA$12&lt;&gt;0,$H58&gt;0,OR(AUTOEVENTO&lt;&gt;"manual",$M58&lt;&gt;$A$15)),
        IF(Import.TipoArredondamento&lt;&gt;"TransfereGOV",
              ROUND(OFFSET($P58,0,BA$13),15-13*ORÇAMENTO!$AF$7)/$H58*OFFSET(ORÇAMENTO!$X$15,ROW(BA58)-ROW(BA$15),0),
              ROUND(ROUND(OFFSET($P58,0,BA$13),15-13*ORÇAMENTO!$AF$7)*OFFSET(ORÇAMENTO!$W$15,ROW(BA58)-ROW(BA$15),0),15-13*ORÇAMENTO!$AF$11)),
         0)</f>
        <v>0</v>
      </c>
      <c r="BC58" s="171">
        <f ca="1">IF(OR($D58&lt;&gt;"Serviço",AND(AUTOEVENTO="Manual",$M58=$A$15)),0,
         IF(OFFSET(CRONOPLE!$F$15,$M58-$A$15,BC$13)=0,10^12,OFFSET(CRONOPLE!$F$15,$M58-$A$15,BC$13)))</f>
        <v>1000000000000</v>
      </c>
      <c r="BD58" s="171">
        <f ca="1">IF(OR($D58&lt;&gt;"Serviço",AND(AUTOEVENTO="Manual",$M58=$A$15)),0,
         IF(OFFSET(CRONOPLE!$F$15,$M58-$A$15,BD$13)=0,10^12,OFFSET(CRONOPLE!$F$15,$M58-$A$15,BD$13)))</f>
        <v>1000000000000</v>
      </c>
      <c r="BE58" s="171">
        <f ca="1">IF(OR($D58&lt;&gt;"Serviço",AND(AUTOEVENTO="Manual",$M58=$A$15)),0,
         IF(OFFSET(CRONOPLE!$F$15,$M58-$A$15,BE$13)=0,10^12,OFFSET(CRONOPLE!$F$15,$M58-$A$15,BE$13)))</f>
        <v>7</v>
      </c>
      <c r="BF58" s="171">
        <f ca="1">IF(OR($D58&lt;&gt;"Serviço",AND(AUTOEVENTO="Manual",$M58=$A$15)),0,
         IF(OFFSET(CRONOPLE!$F$15,$M58-$A$15,BF$13)=0,10^12,OFFSET(CRONOPLE!$F$15,$M58-$A$15,BF$13)))</f>
        <v>11</v>
      </c>
      <c r="BG58" s="171">
        <f ca="1">IF(OR($D58&lt;&gt;"Serviço",AND(AUTOEVENTO="Manual",$M58=$A$15)),0,
         IF(OFFSET(CRONOPLE!$F$15,$M58-$A$15,BG$13)=0,10^12,OFFSET(CRONOPLE!$F$15,$M58-$A$15,BG$13)))</f>
        <v>1000000000000</v>
      </c>
      <c r="BH58" s="171">
        <f ca="1">IF(OR($D58&lt;&gt;"Serviço",AND(AUTOEVENTO="Manual",$M58=$A$15)),0,
         IF(OFFSET(CRONOPLE!$F$15,$M58-$A$15,BH$13)=0,10^12,OFFSET(CRONOPLE!$F$15,$M58-$A$15,BH$13)))</f>
        <v>8</v>
      </c>
      <c r="BI58" s="171">
        <f ca="1">IF(OR($D58&lt;&gt;"Serviço",AND(AUTOEVENTO="Manual",$M58=$A$15)),0,
         IF(OFFSET(CRONOPLE!$F$15,$M58-$A$15,BI$13)=0,10^12,OFFSET(CRONOPLE!$F$15,$M58-$A$15,BI$13)))</f>
        <v>1000000000000</v>
      </c>
      <c r="BJ58" s="171">
        <f ca="1">IF(OR($D58&lt;&gt;"Serviço",AND(AUTOEVENTO="Manual",$M58=$A$15)),0,
         IF(OFFSET(CRONOPLE!$F$15,$M58-$A$15,BJ$13)=0,10^12,OFFSET(CRONOPLE!$F$15,$M58-$A$15,BJ$13)))</f>
        <v>1000000000000</v>
      </c>
      <c r="BK58" s="171">
        <f ca="1">IF(OR($D58&lt;&gt;"Serviço",AND(AUTOEVENTO="Manual",$M58=$A$15)),0,
         IF(OFFSET(CRONOPLE!$F$15,$M58-$A$15,BK$13)=0,10^12,OFFSET(CRONOPLE!$F$15,$M58-$A$15,BK$13)))</f>
        <v>1000000000000</v>
      </c>
      <c r="BL58" s="171">
        <f ca="1">IF(OR($D58&lt;&gt;"Serviço",AND(AUTOEVENTO="Manual",$M58=$A$15)),0,
         IF(OFFSET(CRONOPLE!$F$15,$M58-$A$15,BL$13)=0,10^12,OFFSET(CRONOPLE!$F$15,$M58-$A$15,BL$13)))</f>
        <v>1000000000000</v>
      </c>
      <c r="BM58" s="171">
        <f ca="1">IF(OR($D58&lt;&gt;"Serviço",AND(AUTOEVENTO="Manual",$M58=$A$15)),0,
         IF(OFFSET(CRONOPLE!$F$15,$M58-$A$15,BM$13)=0,10^12,OFFSET(CRONOPLE!$F$15,$M58-$A$15,BM$13)))</f>
        <v>1000000000000</v>
      </c>
      <c r="BN58" s="171">
        <f ca="1">IF(OR($D58&lt;&gt;"Serviço",AND(AUTOEVENTO="Manual",$M58=$A$15)),0,
         IF(OFFSET(CRONOPLE!$F$15,$M58-$A$15,BN$13)=0,10^12,OFFSET(CRONOPLE!$F$15,$M58-$A$15,BN$13)))</f>
        <v>1000000000000</v>
      </c>
      <c r="BO58" s="171">
        <f ca="1">IF(OR($D58&lt;&gt;"Serviço",AND(AUTOEVENTO="Manual",$M58=$A$15)),0,
         IF(OFFSET(CRONOPLE!$F$15,$M58-$A$15,BO$13)=0,10^12,OFFSET(CRONOPLE!$F$15,$M58-$A$15,BO$13)))</f>
        <v>1000000000000</v>
      </c>
      <c r="BP58" s="171">
        <f ca="1">IF(OR($D58&lt;&gt;"Serviço",AND(AUTOEVENTO="Manual",$M58=$A$15)),0,
         IF(OFFSET(CRONOPLE!$F$15,$M58-$A$15,BP$13)=0,10^12,OFFSET(CRONOPLE!$F$15,$M58-$A$15,BP$13)))</f>
        <v>1000000000000</v>
      </c>
      <c r="BQ58" s="171">
        <f ca="1">IF(OR($D58&lt;&gt;"Serviço",AND(AUTOEVENTO="Manual",$M58=$A$15)),0,
         IF(OFFSET(CRONOPLE!$F$15,$M58-$A$15,BQ$13)=0,10^12,OFFSET(CRONOPLE!$F$15,$M58-$A$15,BQ$13)))</f>
        <v>1000000000000</v>
      </c>
      <c r="BR58" s="171">
        <f ca="1">IF(OR($D58&lt;&gt;"Serviço",AND(AUTOEVENTO="Manual",$M58=$A$15)),0,
         IF(OFFSET(CRONOPLE!$F$15,$M58-$A$15,BR$13)=0,10^12,OFFSET(CRONOPLE!$F$15,$M58-$A$15,BR$13)))</f>
        <v>1000000000000</v>
      </c>
      <c r="BS58" s="171">
        <f ca="1">IF(OR($D58&lt;&gt;"Serviço",AND(AUTOEVENTO="Manual",$M58=$A$15)),0,
         IF(OFFSET(CRONOPLE!$F$15,$M58-$A$15,BS$13)=0,10^12,OFFSET(CRONOPLE!$F$15,$M58-$A$15,BS$13)))</f>
        <v>1000000000000</v>
      </c>
      <c r="BT58" s="171">
        <f ca="1">IF(OR($D58&lt;&gt;"Serviço",AND(AUTOEVENTO="Manual",$M58=$A$15)),0,
         IF(OFFSET(CRONOPLE!$F$15,$M58-$A$15,BT$13)=0,10^12,OFFSET(CRONOPLE!$F$15,$M58-$A$15,BT$13)))</f>
        <v>1000000000000</v>
      </c>
      <c r="BV58" s="172" cm="1">
        <f t="array" aca="1" ref="BV58" ca="1">IF(OR($D58&lt;&gt;"Serviço",AND(AUTOEVENTO="Manual",$M58=$A$15),$M58&gt;(ROW(PLE.lastrow)-ROW(PLE.firstrow))),0,
           IF(OFFSET(PLE!$G$15,$M58-$A$15,BV$13)="",10^12,OFFSET(PLE!$G$15,$M58-$A$15,BV$13)))</f>
        <v>1000000000000</v>
      </c>
      <c r="BW58" s="172" cm="1">
        <f t="array" aca="1" ref="BW58" ca="1">IF(OR($D58&lt;&gt;"Serviço",AND(AUTOEVENTO="Manual",$M58=$A$15),$M58&gt;(ROW(PLE.lastrow)-ROW(PLE.firstrow))),0,
           IF(OFFSET(PLE!$G$15,$M58-$A$15,BW$13)="",10^12,OFFSET(PLE!$G$15,$M58-$A$15,BW$13)))</f>
        <v>1000000000000</v>
      </c>
      <c r="BX58" s="172" cm="1">
        <f t="array" aca="1" ref="BX58" ca="1">IF(OR($D58&lt;&gt;"Serviço",AND(AUTOEVENTO="Manual",$M58=$A$15),$M58&gt;(ROW(PLE.lastrow)-ROW(PLE.firstrow))),0,
           IF(OFFSET(PLE!$G$15,$M58-$A$15,BX$13)="",10^12,OFFSET(PLE!$G$15,$M58-$A$15,BX$13)))</f>
        <v>1000000000000</v>
      </c>
      <c r="BY58" s="172" cm="1">
        <f t="array" aca="1" ref="BY58" ca="1">IF(OR($D58&lt;&gt;"Serviço",AND(AUTOEVENTO="Manual",$M58=$A$15),$M58&gt;(ROW(PLE.lastrow)-ROW(PLE.firstrow))),0,
           IF(OFFSET(PLE!$G$15,$M58-$A$15,BY$13)="",10^12,OFFSET(PLE!$G$15,$M58-$A$15,BY$13)))</f>
        <v>1000000000000</v>
      </c>
      <c r="BZ58" s="172" cm="1">
        <f t="array" aca="1" ref="BZ58" ca="1">IF(OR($D58&lt;&gt;"Serviço",AND(AUTOEVENTO="Manual",$M58=$A$15),$M58&gt;(ROW(PLE.lastrow)-ROW(PLE.firstrow))),0,
           IF(OFFSET(PLE!$G$15,$M58-$A$15,BZ$13)="",10^12,OFFSET(PLE!$G$15,$M58-$A$15,BZ$13)))</f>
        <v>1000000000000</v>
      </c>
      <c r="CA58" s="172" cm="1">
        <f t="array" aca="1" ref="CA58" ca="1">IF(OR($D58&lt;&gt;"Serviço",AND(AUTOEVENTO="Manual",$M58=$A$15),$M58&gt;(ROW(PLE.lastrow)-ROW(PLE.firstrow))),0,
           IF(OFFSET(PLE!$G$15,$M58-$A$15,CA$13)="",10^12,OFFSET(PLE!$G$15,$M58-$A$15,CA$13)))</f>
        <v>1000000000000</v>
      </c>
      <c r="CB58" s="172" cm="1">
        <f t="array" aca="1" ref="CB58" ca="1">IF(OR($D58&lt;&gt;"Serviço",AND(AUTOEVENTO="Manual",$M58=$A$15),$M58&gt;(ROW(PLE.lastrow)-ROW(PLE.firstrow))),0,
           IF(OFFSET(PLE!$G$15,$M58-$A$15,CB$13)="",10^12,OFFSET(PLE!$G$15,$M58-$A$15,CB$13)))</f>
        <v>1000000000000</v>
      </c>
      <c r="CC58" s="172" cm="1">
        <f t="array" aca="1" ref="CC58" ca="1">IF(OR($D58&lt;&gt;"Serviço",AND(AUTOEVENTO="Manual",$M58=$A$15),$M58&gt;(ROW(PLE.lastrow)-ROW(PLE.firstrow))),0,
           IF(OFFSET(PLE!$G$15,$M58-$A$15,CC$13)="",10^12,OFFSET(PLE!$G$15,$M58-$A$15,CC$13)))</f>
        <v>1000000000000</v>
      </c>
      <c r="CD58" s="172" cm="1">
        <f t="array" aca="1" ref="CD58" ca="1">IF(OR($D58&lt;&gt;"Serviço",AND(AUTOEVENTO="Manual",$M58=$A$15),$M58&gt;(ROW(PLE.lastrow)-ROW(PLE.firstrow))),0,
           IF(OFFSET(PLE!$G$15,$M58-$A$15,CD$13)="",10^12,OFFSET(PLE!$G$15,$M58-$A$15,CD$13)))</f>
        <v>1000000000000</v>
      </c>
      <c r="CE58" s="172" cm="1">
        <f t="array" aca="1" ref="CE58" ca="1">IF(OR($D58&lt;&gt;"Serviço",AND(AUTOEVENTO="Manual",$M58=$A$15),$M58&gt;(ROW(PLE.lastrow)-ROW(PLE.firstrow))),0,
           IF(OFFSET(PLE!$G$15,$M58-$A$15,CE$13)="",10^12,OFFSET(PLE!$G$15,$M58-$A$15,CE$13)))</f>
        <v>1000000000000</v>
      </c>
      <c r="CF58" s="172" cm="1">
        <f t="array" aca="1" ref="CF58" ca="1">IF(OR($D58&lt;&gt;"Serviço",AND(AUTOEVENTO="Manual",$M58=$A$15),$M58&gt;(ROW(PLE.lastrow)-ROW(PLE.firstrow))),0,
           IF(OFFSET(PLE!$G$15,$M58-$A$15,CF$13)="",10^12,OFFSET(PLE!$G$15,$M58-$A$15,CF$13)))</f>
        <v>1000000000000</v>
      </c>
      <c r="CG58" s="172" cm="1">
        <f t="array" aca="1" ref="CG58" ca="1">IF(OR($D58&lt;&gt;"Serviço",AND(AUTOEVENTO="Manual",$M58=$A$15),$M58&gt;(ROW(PLE.lastrow)-ROW(PLE.firstrow))),0,
           IF(OFFSET(PLE!$G$15,$M58-$A$15,CG$13)="",10^12,OFFSET(PLE!$G$15,$M58-$A$15,CG$13)))</f>
        <v>1000000000000</v>
      </c>
      <c r="CH58" s="172" cm="1">
        <f t="array" aca="1" ref="CH58" ca="1">IF(OR($D58&lt;&gt;"Serviço",AND(AUTOEVENTO="Manual",$M58=$A$15),$M58&gt;(ROW(PLE.lastrow)-ROW(PLE.firstrow))),0,
           IF(OFFSET(PLE!$G$15,$M58-$A$15,CH$13)="",10^12,OFFSET(PLE!$G$15,$M58-$A$15,CH$13)))</f>
        <v>1000000000000</v>
      </c>
      <c r="CI58" s="172" cm="1">
        <f t="array" aca="1" ref="CI58" ca="1">IF(OR($D58&lt;&gt;"Serviço",AND(AUTOEVENTO="Manual",$M58=$A$15),$M58&gt;(ROW(PLE.lastrow)-ROW(PLE.firstrow))),0,
           IF(OFFSET(PLE!$G$15,$M58-$A$15,CI$13)="",10^12,OFFSET(PLE!$G$15,$M58-$A$15,CI$13)))</f>
        <v>1000000000000</v>
      </c>
      <c r="CJ58" s="172" cm="1">
        <f t="array" aca="1" ref="CJ58" ca="1">IF(OR($D58&lt;&gt;"Serviço",AND(AUTOEVENTO="Manual",$M58=$A$15),$M58&gt;(ROW(PLE.lastrow)-ROW(PLE.firstrow))),0,
           IF(OFFSET(PLE!$G$15,$M58-$A$15,CJ$13)="",10^12,OFFSET(PLE!$G$15,$M58-$A$15,CJ$13)))</f>
        <v>1000000000000</v>
      </c>
      <c r="CK58" s="172" cm="1">
        <f t="array" aca="1" ref="CK58" ca="1">IF(OR($D58&lt;&gt;"Serviço",AND(AUTOEVENTO="Manual",$M58=$A$15),$M58&gt;(ROW(PLE.lastrow)-ROW(PLE.firstrow))),0,
           IF(OFFSET(PLE!$G$15,$M58-$A$15,CK$13)="",10^12,OFFSET(PLE!$G$15,$M58-$A$15,CK$13)))</f>
        <v>1000000000000</v>
      </c>
      <c r="CL58" s="172" cm="1">
        <f t="array" aca="1" ref="CL58" ca="1">IF(OR($D58&lt;&gt;"Serviço",AND(AUTOEVENTO="Manual",$M58=$A$15),$M58&gt;(ROW(PLE.lastrow)-ROW(PLE.firstrow))),0,
           IF(OFFSET(PLE!$G$15,$M58-$A$15,CL$13)="",10^12,OFFSET(PLE!$G$15,$M58-$A$15,CL$13)))</f>
        <v>1000000000000</v>
      </c>
      <c r="CM58" s="172" cm="1">
        <f t="array" aca="1" ref="CM58" ca="1">IF(OR($D58&lt;&gt;"Serviço",AND(AUTOEVENTO="Manual",$M58=$A$15),$M58&gt;(ROW(PLE.lastrow)-ROW(PLE.firstrow))),0,
           IF(OFFSET(PLE!$G$15,$M58-$A$15,CM$13)="",10^12,OFFSET(PLE!$G$15,$M58-$A$15,CM$13)))</f>
        <v>1000000000000</v>
      </c>
    </row>
    <row r="59" spans="1:91" s="670" customFormat="1" ht="51" x14ac:dyDescent="0.2">
      <c r="A59" s="668">
        <f t="shared" ca="1" si="10"/>
        <v>16</v>
      </c>
      <c r="B59" s="668" t="str">
        <f ca="1">OFFSET(ORÇAMENTO!C$15,$L59,0)</f>
        <v>S</v>
      </c>
      <c r="C59" s="668" t="str">
        <f ca="1">OFFSET(ORÇAMENTO!L$15,$L59,0)</f>
        <v>F</v>
      </c>
      <c r="D59" s="116" t="str">
        <f ca="1">OFFSET(ORÇAMENTO!N$15,$L59,0)</f>
        <v>Serviço</v>
      </c>
      <c r="E59" s="117" t="str">
        <f ca="1">OFFSET(ORÇAMENTO!O$15,$L59,0)</f>
        <v>1.8.8.</v>
      </c>
      <c r="F59" s="163" t="str">
        <f ca="1">OFFSET(ORÇAMENTO!R$15,$L59,0)</f>
        <v>CONCRETAGEM DE EDIFICAÇÕES (PAREDES E LAJES) FEITAS COM SISTEMA DE FÔRMAS MANUSEÁVEIS, COM CONCRETO USINADO BOMBEÁVEL FCK 25 MPA - LANÇAMENTO, ADENSAMENTO E ACABAMENTO. AF_09/2024</v>
      </c>
      <c r="G59" s="164" t="str">
        <f ca="1">IF($D59&lt;&gt;"Serviço","",OFFSET(ORÇAMENTO!S$15,$L59,0))</f>
        <v>M3</v>
      </c>
      <c r="H59" s="122" cm="1">
        <f t="array" aca="1" ref="H59" ca="1">IF($D59&lt;&gt;"Serviço",0,IF(ACOMPANHAMENTO="BM",ROUND(OFFSET(ORÇAMENTO!AJ$15,$L59,0),15-13*ORÇAMENTO!$AF$7),IF(IFERROR(CÁLCULO.FrentesPreenchidas,0)=0,0,SUM(ROUND(OFFSET($P59,0,1,1,CÁLCULO.FrentesPreenchidas),15-13*ORÇAMENTO!$AF$7)))))</f>
        <v>26.6</v>
      </c>
      <c r="I59" s="468" t="s">
        <v>1148</v>
      </c>
      <c r="J59" s="651" t="str" cm="1">
        <f t="array" aca="1" ref="J59" ca="1">IF(OR(B59&lt;&gt;"S",CÁLCULO.FrentesPreenchidas=0),"",IF(AND(ACOMPANHAMENTO="PLE",AUTOEVENTO="Manual",OR(H59&gt;0,ORÇAMENTO!AC59="QUANT."),OR(K59="",M59=0,N59="")),"►E",IF(AND(ACOMPANHAMENTO="PLE",ORÇAMENTO!AC59="QUANT."),"►Q",IF(AND(ACOMPANHAMENTO="PLE",H59&lt;&gt;SUMPRODUCT(($Q$1:$AI$1=1)*ROUND(Q59:AI59,15))),"►S",IF(AND(COUNTIF($P$11:$AI$11,"▼")=0,H59&gt;0,I59=""),"◄M","")))))</f>
        <v/>
      </c>
      <c r="K59" s="652" t="s">
        <v>1341</v>
      </c>
      <c r="L59" s="165">
        <f t="shared" ca="1" si="11"/>
        <v>44</v>
      </c>
      <c r="M59" s="166">
        <f ca="1">IF($D59&lt;&gt;"Serviço","",
          IF(AUTOEVENTO="manual",$A59,
                IF(ISERROR(MATCH($A59,$A$15:OFFSET($A59,-1,0),0)),MAX($M$15:OFFSET(M59,-1,0))+1,
                      INDEX($M$15:OFFSET(M59,-1,0),MATCH($A59,$A$15:OFFSET($A59,-1,0),0)))))</f>
        <v>16</v>
      </c>
      <c r="N59" s="167" t="str">
        <f ca="1">IF($D59&lt;&gt;"Serviço","",
         IF(AUTOEVENTO="Manual",
                IF($A59=0,"&lt;-- defina o número do agrupador",
                       OFFSET(EVENTOS!$D$15,$A59-$A$15,0)),
                OFFSET($F$15,$A59,0)))</f>
        <v>Estrutura - Concretagem</v>
      </c>
      <c r="O59" s="168"/>
      <c r="Q59" s="168"/>
      <c r="R59" s="169"/>
      <c r="S59" s="169"/>
      <c r="T59" s="169">
        <v>26.6</v>
      </c>
      <c r="U59" s="169"/>
      <c r="V59" s="169"/>
      <c r="W59" s="169"/>
      <c r="X59" s="169"/>
      <c r="Y59" s="169"/>
      <c r="Z59" s="170"/>
      <c r="AA59" s="705"/>
      <c r="AB59" s="705"/>
      <c r="AC59" s="705"/>
      <c r="AD59" s="705"/>
      <c r="AE59" s="705"/>
      <c r="AF59" s="705"/>
      <c r="AG59" s="705"/>
      <c r="AH59" s="706"/>
      <c r="AJ59" s="453">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3">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L59" s="453">
        <f ca="1">IF(AND($D59="Serviço",AL$12&lt;&gt;0,$H59&gt;0,OR(AUTOEVENTO&lt;&gt;"manual",$M59&lt;&gt;$A$15)),
        IF(Import.TipoArredondamento&lt;&gt;"TransfereGOV",
              ROUND(OFFSET($P59,0,AL$13),15-13*ORÇAMENTO!$AF$7)/$H59*OFFSET(ORÇAMENTO!$X$15,ROW(AL59)-ROW(AL$15),0),
              ROUND(ROUND(OFFSET($P59,0,AL$13),15-13*ORÇAMENTO!$AF$7)*OFFSET(ORÇAMENTO!$W$15,ROW(AL59)-ROW(AL$15),0),15-13*ORÇAMENTO!$AF$11)),
         0)</f>
        <v>0</v>
      </c>
      <c r="AM59" s="453">
        <f ca="1">IF(AND($D59="Serviço",AM$12&lt;&gt;0,$H59&gt;0,OR(AUTOEVENTO&lt;&gt;"manual",$M59&lt;&gt;$A$15)),
        IF(Import.TipoArredondamento&lt;&gt;"TransfereGOV",
              ROUND(OFFSET($P59,0,AM$13),15-13*ORÇAMENTO!$AF$7)/$H59*OFFSET(ORÇAMENTO!$X$15,ROW(AM59)-ROW(AM$15),0),
              ROUND(ROUND(OFFSET($P59,0,AM$13),15-13*ORÇAMENTO!$AF$7)*OFFSET(ORÇAMENTO!$W$15,ROW(AM59)-ROW(AM$15),0),15-13*ORÇAMENTO!$AF$11)),
         0)</f>
        <v>24660.86</v>
      </c>
      <c r="AN59" s="453">
        <f ca="1">IF(AND($D59="Serviço",AN$12&lt;&gt;0,$H59&gt;0,OR(AUTOEVENTO&lt;&gt;"manual",$M59&lt;&gt;$A$15)),
        IF(Import.TipoArredondamento&lt;&gt;"TransfereGOV",
              ROUND(OFFSET($P59,0,AN$13),15-13*ORÇAMENTO!$AF$7)/$H59*OFFSET(ORÇAMENTO!$X$15,ROW(AN59)-ROW(AN$15),0),
              ROUND(ROUND(OFFSET($P59,0,AN$13),15-13*ORÇAMENTO!$AF$7)*OFFSET(ORÇAMENTO!$W$15,ROW(AN59)-ROW(AN$15),0),15-13*ORÇAMENTO!$AF$11)),
         0)</f>
        <v>0</v>
      </c>
      <c r="AO59" s="453">
        <f ca="1">IF(AND($D59="Serviço",AO$12&lt;&gt;0,$H59&gt;0,OR(AUTOEVENTO&lt;&gt;"manual",$M59&lt;&gt;$A$15)),
        IF(Import.TipoArredondamento&lt;&gt;"TransfereGOV",
              ROUND(OFFSET($P59,0,AO$13),15-13*ORÇAMENTO!$AF$7)/$H59*OFFSET(ORÇAMENTO!$X$15,ROW(AO59)-ROW(AO$15),0),
              ROUND(ROUND(OFFSET($P59,0,AO$13),15-13*ORÇAMENTO!$AF$7)*OFFSET(ORÇAMENTO!$W$15,ROW(AO59)-ROW(AO$15),0),15-13*ORÇAMENTO!$AF$11)),
         0)</f>
        <v>0</v>
      </c>
      <c r="AP59" s="453">
        <f ca="1">IF(AND($D59="Serviço",AP$12&lt;&gt;0,$H59&gt;0,OR(AUTOEVENTO&lt;&gt;"manual",$M59&lt;&gt;$A$15)),
        IF(Import.TipoArredondamento&lt;&gt;"TransfereGOV",
              ROUND(OFFSET($P59,0,AP$13),15-13*ORÇAMENTO!$AF$7)/$H59*OFFSET(ORÇAMENTO!$X$15,ROW(AP59)-ROW(AP$15),0),
              ROUND(ROUND(OFFSET($P59,0,AP$13),15-13*ORÇAMENTO!$AF$7)*OFFSET(ORÇAMENTO!$W$15,ROW(AP59)-ROW(AP$15),0),15-13*ORÇAMENTO!$AF$11)),
         0)</f>
        <v>0</v>
      </c>
      <c r="AQ59" s="453">
        <f ca="1">IF(AND($D59="Serviço",AQ$12&lt;&gt;0,$H59&gt;0,OR(AUTOEVENTO&lt;&gt;"manual",$M59&lt;&gt;$A$15)),
        IF(Import.TipoArredondamento&lt;&gt;"TransfereGOV",
              ROUND(OFFSET($P59,0,AQ$13),15-13*ORÇAMENTO!$AF$7)/$H59*OFFSET(ORÇAMENTO!$X$15,ROW(AQ59)-ROW(AQ$15),0),
              ROUND(ROUND(OFFSET($P59,0,AQ$13),15-13*ORÇAMENTO!$AF$7)*OFFSET(ORÇAMENTO!$W$15,ROW(AQ59)-ROW(AQ$15),0),15-13*ORÇAMENTO!$AF$11)),
         0)</f>
        <v>0</v>
      </c>
      <c r="AR59" s="453">
        <f ca="1">IF(AND($D59="Serviço",AR$12&lt;&gt;0,$H59&gt;0,OR(AUTOEVENTO&lt;&gt;"manual",$M59&lt;&gt;$A$15)),
        IF(Import.TipoArredondamento&lt;&gt;"TransfereGOV",
              ROUND(OFFSET($P59,0,AR$13),15-13*ORÇAMENTO!$AF$7)/$H59*OFFSET(ORÇAMENTO!$X$15,ROW(AR59)-ROW(AR$15),0),
              ROUND(ROUND(OFFSET($P59,0,AR$13),15-13*ORÇAMENTO!$AF$7)*OFFSET(ORÇAMENTO!$W$15,ROW(AR59)-ROW(AR$15),0),15-13*ORÇAMENTO!$AF$11)),
         0)</f>
        <v>0</v>
      </c>
      <c r="AS59" s="453">
        <f ca="1">IF(AND($D59="Serviço",AS$12&lt;&gt;0,$H59&gt;0,OR(AUTOEVENTO&lt;&gt;"manual",$M59&lt;&gt;$A$15)),
        IF(Import.TipoArredondamento&lt;&gt;"TransfereGOV",
              ROUND(OFFSET($P59,0,AS$13),15-13*ORÇAMENTO!$AF$7)/$H59*OFFSET(ORÇAMENTO!$X$15,ROW(AS59)-ROW(AS$15),0),
              ROUND(ROUND(OFFSET($P59,0,AS$13),15-13*ORÇAMENTO!$AF$7)*OFFSET(ORÇAMENTO!$W$15,ROW(AS59)-ROW(AS$15),0),15-13*ORÇAMENTO!$AF$11)),
         0)</f>
        <v>0</v>
      </c>
      <c r="AT59" s="453">
        <f ca="1">IF(AND($D59="Serviço",AT$12&lt;&gt;0,$H59&gt;0,OR(AUTOEVENTO&lt;&gt;"manual",$M59&lt;&gt;$A$15)),
        IF(Import.TipoArredondamento&lt;&gt;"TransfereGOV",
              ROUND(OFFSET($P59,0,AT$13),15-13*ORÇAMENTO!$AF$7)/$H59*OFFSET(ORÇAMENTO!$X$15,ROW(AT59)-ROW(AT$15),0),
              ROUND(ROUND(OFFSET($P59,0,AT$13),15-13*ORÇAMENTO!$AF$7)*OFFSET(ORÇAMENTO!$W$15,ROW(AT59)-ROW(AT$15),0),15-13*ORÇAMENTO!$AF$11)),
         0)</f>
        <v>0</v>
      </c>
      <c r="AU59" s="453">
        <f ca="1">IF(AND($D59="Serviço",AU$12&lt;&gt;0,$H59&gt;0,OR(AUTOEVENTO&lt;&gt;"manual",$M59&lt;&gt;$A$15)),
        IF(Import.TipoArredondamento&lt;&gt;"TransfereGOV",
              ROUND(OFFSET($P59,0,AU$13),15-13*ORÇAMENTO!$AF$7)/$H59*OFFSET(ORÇAMENTO!$X$15,ROW(AU59)-ROW(AU$15),0),
              ROUND(ROUND(OFFSET($P59,0,AU$13),15-13*ORÇAMENTO!$AF$7)*OFFSET(ORÇAMENTO!$W$15,ROW(AU59)-ROW(AU$15),0),15-13*ORÇAMENTO!$AF$11)),
         0)</f>
        <v>0</v>
      </c>
      <c r="AV59" s="453">
        <f ca="1">IF(AND($D59="Serviço",AV$12&lt;&gt;0,$H59&gt;0,OR(AUTOEVENTO&lt;&gt;"manual",$M59&lt;&gt;$A$15)),
        IF(Import.TipoArredondamento&lt;&gt;"TransfereGOV",
              ROUND(OFFSET($P59,0,AV$13),15-13*ORÇAMENTO!$AF$7)/$H59*OFFSET(ORÇAMENTO!$X$15,ROW(AV59)-ROW(AV$15),0),
              ROUND(ROUND(OFFSET($P59,0,AV$13),15-13*ORÇAMENTO!$AF$7)*OFFSET(ORÇAMENTO!$W$15,ROW(AV59)-ROW(AV$15),0),15-13*ORÇAMENTO!$AF$11)),
         0)</f>
        <v>0</v>
      </c>
      <c r="AW59" s="453">
        <f ca="1">IF(AND($D59="Serviço",AW$12&lt;&gt;0,$H59&gt;0,OR(AUTOEVENTO&lt;&gt;"manual",$M59&lt;&gt;$A$15)),
        IF(Import.TipoArredondamento&lt;&gt;"TransfereGOV",
              ROUND(OFFSET($P59,0,AW$13),15-13*ORÇAMENTO!$AF$7)/$H59*OFFSET(ORÇAMENTO!$X$15,ROW(AW59)-ROW(AW$15),0),
              ROUND(ROUND(OFFSET($P59,0,AW$13),15-13*ORÇAMENTO!$AF$7)*OFFSET(ORÇAMENTO!$W$15,ROW(AW59)-ROW(AW$15),0),15-13*ORÇAMENTO!$AF$11)),
         0)</f>
        <v>0</v>
      </c>
      <c r="AX59" s="453">
        <f ca="1">IF(AND($D59="Serviço",AX$12&lt;&gt;0,$H59&gt;0,OR(AUTOEVENTO&lt;&gt;"manual",$M59&lt;&gt;$A$15)),
        IF(Import.TipoArredondamento&lt;&gt;"TransfereGOV",
              ROUND(OFFSET($P59,0,AX$13),15-13*ORÇAMENTO!$AF$7)/$H59*OFFSET(ORÇAMENTO!$X$15,ROW(AX59)-ROW(AX$15),0),
              ROUND(ROUND(OFFSET($P59,0,AX$13),15-13*ORÇAMENTO!$AF$7)*OFFSET(ORÇAMENTO!$W$15,ROW(AX59)-ROW(AX$15),0),15-13*ORÇAMENTO!$AF$11)),
         0)</f>
        <v>0</v>
      </c>
      <c r="AY59" s="453">
        <f ca="1">IF(AND($D59="Serviço",AY$12&lt;&gt;0,$H59&gt;0,OR(AUTOEVENTO&lt;&gt;"manual",$M59&lt;&gt;$A$15)),
        IF(Import.TipoArredondamento&lt;&gt;"TransfereGOV",
              ROUND(OFFSET($P59,0,AY$13),15-13*ORÇAMENTO!$AF$7)/$H59*OFFSET(ORÇAMENTO!$X$15,ROW(AY59)-ROW(AY$15),0),
              ROUND(ROUND(OFFSET($P59,0,AY$13),15-13*ORÇAMENTO!$AF$7)*OFFSET(ORÇAMENTO!$W$15,ROW(AY59)-ROW(AY$15),0),15-13*ORÇAMENTO!$AF$11)),
         0)</f>
        <v>0</v>
      </c>
      <c r="AZ59" s="453">
        <f ca="1">IF(AND($D59="Serviço",AZ$12&lt;&gt;0,$H59&gt;0,OR(AUTOEVENTO&lt;&gt;"manual",$M59&lt;&gt;$A$15)),
        IF(Import.TipoArredondamento&lt;&gt;"TransfereGOV",
              ROUND(OFFSET($P59,0,AZ$13),15-13*ORÇAMENTO!$AF$7)/$H59*OFFSET(ORÇAMENTO!$X$15,ROW(AZ59)-ROW(AZ$15),0),
              ROUND(ROUND(OFFSET($P59,0,AZ$13),15-13*ORÇAMENTO!$AF$7)*OFFSET(ORÇAMENTO!$W$15,ROW(AZ59)-ROW(AZ$15),0),15-13*ORÇAMENTO!$AF$11)),
         0)</f>
        <v>0</v>
      </c>
      <c r="BA59" s="453">
        <f ca="1">IF(AND($D59="Serviço",BA$12&lt;&gt;0,$H59&gt;0,OR(AUTOEVENTO&lt;&gt;"manual",$M59&lt;&gt;$A$15)),
        IF(Import.TipoArredondamento&lt;&gt;"TransfereGOV",
              ROUND(OFFSET($P59,0,BA$13),15-13*ORÇAMENTO!$AF$7)/$H59*OFFSET(ORÇAMENTO!$X$15,ROW(BA59)-ROW(BA$15),0),
              ROUND(ROUND(OFFSET($P59,0,BA$13),15-13*ORÇAMENTO!$AF$7)*OFFSET(ORÇAMENTO!$W$15,ROW(BA59)-ROW(BA$15),0),15-13*ORÇAMENTO!$AF$11)),
         0)</f>
        <v>0</v>
      </c>
      <c r="BC59" s="171">
        <f ca="1">IF(OR($D59&lt;&gt;"Serviço",AND(AUTOEVENTO="Manual",$M59=$A$15)),0,
         IF(OFFSET(CRONOPLE!$F$15,$M59-$A$15,BC$13)=0,10^12,OFFSET(CRONOPLE!$F$15,$M59-$A$15,BC$13)))</f>
        <v>1000000000000</v>
      </c>
      <c r="BD59" s="171">
        <f ca="1">IF(OR($D59&lt;&gt;"Serviço",AND(AUTOEVENTO="Manual",$M59=$A$15)),0,
         IF(OFFSET(CRONOPLE!$F$15,$M59-$A$15,BD$13)=0,10^12,OFFSET(CRONOPLE!$F$15,$M59-$A$15,BD$13)))</f>
        <v>1000000000000</v>
      </c>
      <c r="BE59" s="171">
        <f ca="1">IF(OR($D59&lt;&gt;"Serviço",AND(AUTOEVENTO="Manual",$M59=$A$15)),0,
         IF(OFFSET(CRONOPLE!$F$15,$M59-$A$15,BE$13)=0,10^12,OFFSET(CRONOPLE!$F$15,$M59-$A$15,BE$13)))</f>
        <v>7</v>
      </c>
      <c r="BF59" s="171">
        <f ca="1">IF(OR($D59&lt;&gt;"Serviço",AND(AUTOEVENTO="Manual",$M59=$A$15)),0,
         IF(OFFSET(CRONOPLE!$F$15,$M59-$A$15,BF$13)=0,10^12,OFFSET(CRONOPLE!$F$15,$M59-$A$15,BF$13)))</f>
        <v>11</v>
      </c>
      <c r="BG59" s="171">
        <f ca="1">IF(OR($D59&lt;&gt;"Serviço",AND(AUTOEVENTO="Manual",$M59=$A$15)),0,
         IF(OFFSET(CRONOPLE!$F$15,$M59-$A$15,BG$13)=0,10^12,OFFSET(CRONOPLE!$F$15,$M59-$A$15,BG$13)))</f>
        <v>1000000000000</v>
      </c>
      <c r="BH59" s="171">
        <f ca="1">IF(OR($D59&lt;&gt;"Serviço",AND(AUTOEVENTO="Manual",$M59=$A$15)),0,
         IF(OFFSET(CRONOPLE!$F$15,$M59-$A$15,BH$13)=0,10^12,OFFSET(CRONOPLE!$F$15,$M59-$A$15,BH$13)))</f>
        <v>8</v>
      </c>
      <c r="BI59" s="171">
        <f ca="1">IF(OR($D59&lt;&gt;"Serviço",AND(AUTOEVENTO="Manual",$M59=$A$15)),0,
         IF(OFFSET(CRONOPLE!$F$15,$M59-$A$15,BI$13)=0,10^12,OFFSET(CRONOPLE!$F$15,$M59-$A$15,BI$13)))</f>
        <v>1000000000000</v>
      </c>
      <c r="BJ59" s="171">
        <f ca="1">IF(OR($D59&lt;&gt;"Serviço",AND(AUTOEVENTO="Manual",$M59=$A$15)),0,
         IF(OFFSET(CRONOPLE!$F$15,$M59-$A$15,BJ$13)=0,10^12,OFFSET(CRONOPLE!$F$15,$M59-$A$15,BJ$13)))</f>
        <v>1000000000000</v>
      </c>
      <c r="BK59" s="171">
        <f ca="1">IF(OR($D59&lt;&gt;"Serviço",AND(AUTOEVENTO="Manual",$M59=$A$15)),0,
         IF(OFFSET(CRONOPLE!$F$15,$M59-$A$15,BK$13)=0,10^12,OFFSET(CRONOPLE!$F$15,$M59-$A$15,BK$13)))</f>
        <v>1000000000000</v>
      </c>
      <c r="BL59" s="171">
        <f ca="1">IF(OR($D59&lt;&gt;"Serviço",AND(AUTOEVENTO="Manual",$M59=$A$15)),0,
         IF(OFFSET(CRONOPLE!$F$15,$M59-$A$15,BL$13)=0,10^12,OFFSET(CRONOPLE!$F$15,$M59-$A$15,BL$13)))</f>
        <v>1000000000000</v>
      </c>
      <c r="BM59" s="171">
        <f ca="1">IF(OR($D59&lt;&gt;"Serviço",AND(AUTOEVENTO="Manual",$M59=$A$15)),0,
         IF(OFFSET(CRONOPLE!$F$15,$M59-$A$15,BM$13)=0,10^12,OFFSET(CRONOPLE!$F$15,$M59-$A$15,BM$13)))</f>
        <v>1000000000000</v>
      </c>
      <c r="BN59" s="171">
        <f ca="1">IF(OR($D59&lt;&gt;"Serviço",AND(AUTOEVENTO="Manual",$M59=$A$15)),0,
         IF(OFFSET(CRONOPLE!$F$15,$M59-$A$15,BN$13)=0,10^12,OFFSET(CRONOPLE!$F$15,$M59-$A$15,BN$13)))</f>
        <v>1000000000000</v>
      </c>
      <c r="BO59" s="171">
        <f ca="1">IF(OR($D59&lt;&gt;"Serviço",AND(AUTOEVENTO="Manual",$M59=$A$15)),0,
         IF(OFFSET(CRONOPLE!$F$15,$M59-$A$15,BO$13)=0,10^12,OFFSET(CRONOPLE!$F$15,$M59-$A$15,BO$13)))</f>
        <v>1000000000000</v>
      </c>
      <c r="BP59" s="171">
        <f ca="1">IF(OR($D59&lt;&gt;"Serviço",AND(AUTOEVENTO="Manual",$M59=$A$15)),0,
         IF(OFFSET(CRONOPLE!$F$15,$M59-$A$15,BP$13)=0,10^12,OFFSET(CRONOPLE!$F$15,$M59-$A$15,BP$13)))</f>
        <v>1000000000000</v>
      </c>
      <c r="BQ59" s="171">
        <f ca="1">IF(OR($D59&lt;&gt;"Serviço",AND(AUTOEVENTO="Manual",$M59=$A$15)),0,
         IF(OFFSET(CRONOPLE!$F$15,$M59-$A$15,BQ$13)=0,10^12,OFFSET(CRONOPLE!$F$15,$M59-$A$15,BQ$13)))</f>
        <v>1000000000000</v>
      </c>
      <c r="BR59" s="171">
        <f ca="1">IF(OR($D59&lt;&gt;"Serviço",AND(AUTOEVENTO="Manual",$M59=$A$15)),0,
         IF(OFFSET(CRONOPLE!$F$15,$M59-$A$15,BR$13)=0,10^12,OFFSET(CRONOPLE!$F$15,$M59-$A$15,BR$13)))</f>
        <v>1000000000000</v>
      </c>
      <c r="BS59" s="171">
        <f ca="1">IF(OR($D59&lt;&gt;"Serviço",AND(AUTOEVENTO="Manual",$M59=$A$15)),0,
         IF(OFFSET(CRONOPLE!$F$15,$M59-$A$15,BS$13)=0,10^12,OFFSET(CRONOPLE!$F$15,$M59-$A$15,BS$13)))</f>
        <v>1000000000000</v>
      </c>
      <c r="BT59" s="171">
        <f ca="1">IF(OR($D59&lt;&gt;"Serviço",AND(AUTOEVENTO="Manual",$M59=$A$15)),0,
         IF(OFFSET(CRONOPLE!$F$15,$M59-$A$15,BT$13)=0,10^12,OFFSET(CRONOPLE!$F$15,$M59-$A$15,BT$13)))</f>
        <v>1000000000000</v>
      </c>
      <c r="BV59" s="172" cm="1">
        <f t="array" aca="1" ref="BV59" ca="1">IF(OR($D59&lt;&gt;"Serviço",AND(AUTOEVENTO="Manual",$M59=$A$15),$M59&gt;(ROW(PLE.lastrow)-ROW(PLE.firstrow))),0,
           IF(OFFSET(PLE!$G$15,$M59-$A$15,BV$13)="",10^12,OFFSET(PLE!$G$15,$M59-$A$15,BV$13)))</f>
        <v>1000000000000</v>
      </c>
      <c r="BW59" s="172" cm="1">
        <f t="array" aca="1" ref="BW59" ca="1">IF(OR($D59&lt;&gt;"Serviço",AND(AUTOEVENTO="Manual",$M59=$A$15),$M59&gt;(ROW(PLE.lastrow)-ROW(PLE.firstrow))),0,
           IF(OFFSET(PLE!$G$15,$M59-$A$15,BW$13)="",10^12,OFFSET(PLE!$G$15,$M59-$A$15,BW$13)))</f>
        <v>1000000000000</v>
      </c>
      <c r="BX59" s="172" cm="1">
        <f t="array" aca="1" ref="BX59" ca="1">IF(OR($D59&lt;&gt;"Serviço",AND(AUTOEVENTO="Manual",$M59=$A$15),$M59&gt;(ROW(PLE.lastrow)-ROW(PLE.firstrow))),0,
           IF(OFFSET(PLE!$G$15,$M59-$A$15,BX$13)="",10^12,OFFSET(PLE!$G$15,$M59-$A$15,BX$13)))</f>
        <v>1000000000000</v>
      </c>
      <c r="BY59" s="172" cm="1">
        <f t="array" aca="1" ref="BY59" ca="1">IF(OR($D59&lt;&gt;"Serviço",AND(AUTOEVENTO="Manual",$M59=$A$15),$M59&gt;(ROW(PLE.lastrow)-ROW(PLE.firstrow))),0,
           IF(OFFSET(PLE!$G$15,$M59-$A$15,BY$13)="",10^12,OFFSET(PLE!$G$15,$M59-$A$15,BY$13)))</f>
        <v>1000000000000</v>
      </c>
      <c r="BZ59" s="172" cm="1">
        <f t="array" aca="1" ref="BZ59" ca="1">IF(OR($D59&lt;&gt;"Serviço",AND(AUTOEVENTO="Manual",$M59=$A$15),$M59&gt;(ROW(PLE.lastrow)-ROW(PLE.firstrow))),0,
           IF(OFFSET(PLE!$G$15,$M59-$A$15,BZ$13)="",10^12,OFFSET(PLE!$G$15,$M59-$A$15,BZ$13)))</f>
        <v>1000000000000</v>
      </c>
      <c r="CA59" s="172" cm="1">
        <f t="array" aca="1" ref="CA59" ca="1">IF(OR($D59&lt;&gt;"Serviço",AND(AUTOEVENTO="Manual",$M59=$A$15),$M59&gt;(ROW(PLE.lastrow)-ROW(PLE.firstrow))),0,
           IF(OFFSET(PLE!$G$15,$M59-$A$15,CA$13)="",10^12,OFFSET(PLE!$G$15,$M59-$A$15,CA$13)))</f>
        <v>1000000000000</v>
      </c>
      <c r="CB59" s="172" cm="1">
        <f t="array" aca="1" ref="CB59" ca="1">IF(OR($D59&lt;&gt;"Serviço",AND(AUTOEVENTO="Manual",$M59=$A$15),$M59&gt;(ROW(PLE.lastrow)-ROW(PLE.firstrow))),0,
           IF(OFFSET(PLE!$G$15,$M59-$A$15,CB$13)="",10^12,OFFSET(PLE!$G$15,$M59-$A$15,CB$13)))</f>
        <v>1000000000000</v>
      </c>
      <c r="CC59" s="172" cm="1">
        <f t="array" aca="1" ref="CC59" ca="1">IF(OR($D59&lt;&gt;"Serviço",AND(AUTOEVENTO="Manual",$M59=$A$15),$M59&gt;(ROW(PLE.lastrow)-ROW(PLE.firstrow))),0,
           IF(OFFSET(PLE!$G$15,$M59-$A$15,CC$13)="",10^12,OFFSET(PLE!$G$15,$M59-$A$15,CC$13)))</f>
        <v>1000000000000</v>
      </c>
      <c r="CD59" s="172" cm="1">
        <f t="array" aca="1" ref="CD59" ca="1">IF(OR($D59&lt;&gt;"Serviço",AND(AUTOEVENTO="Manual",$M59=$A$15),$M59&gt;(ROW(PLE.lastrow)-ROW(PLE.firstrow))),0,
           IF(OFFSET(PLE!$G$15,$M59-$A$15,CD$13)="",10^12,OFFSET(PLE!$G$15,$M59-$A$15,CD$13)))</f>
        <v>1000000000000</v>
      </c>
      <c r="CE59" s="172" cm="1">
        <f t="array" aca="1" ref="CE59" ca="1">IF(OR($D59&lt;&gt;"Serviço",AND(AUTOEVENTO="Manual",$M59=$A$15),$M59&gt;(ROW(PLE.lastrow)-ROW(PLE.firstrow))),0,
           IF(OFFSET(PLE!$G$15,$M59-$A$15,CE$13)="",10^12,OFFSET(PLE!$G$15,$M59-$A$15,CE$13)))</f>
        <v>1000000000000</v>
      </c>
      <c r="CF59" s="172" cm="1">
        <f t="array" aca="1" ref="CF59" ca="1">IF(OR($D59&lt;&gt;"Serviço",AND(AUTOEVENTO="Manual",$M59=$A$15),$M59&gt;(ROW(PLE.lastrow)-ROW(PLE.firstrow))),0,
           IF(OFFSET(PLE!$G$15,$M59-$A$15,CF$13)="",10^12,OFFSET(PLE!$G$15,$M59-$A$15,CF$13)))</f>
        <v>1000000000000</v>
      </c>
      <c r="CG59" s="172" cm="1">
        <f t="array" aca="1" ref="CG59" ca="1">IF(OR($D59&lt;&gt;"Serviço",AND(AUTOEVENTO="Manual",$M59=$A$15),$M59&gt;(ROW(PLE.lastrow)-ROW(PLE.firstrow))),0,
           IF(OFFSET(PLE!$G$15,$M59-$A$15,CG$13)="",10^12,OFFSET(PLE!$G$15,$M59-$A$15,CG$13)))</f>
        <v>1000000000000</v>
      </c>
      <c r="CH59" s="172" cm="1">
        <f t="array" aca="1" ref="CH59" ca="1">IF(OR($D59&lt;&gt;"Serviço",AND(AUTOEVENTO="Manual",$M59=$A$15),$M59&gt;(ROW(PLE.lastrow)-ROW(PLE.firstrow))),0,
           IF(OFFSET(PLE!$G$15,$M59-$A$15,CH$13)="",10^12,OFFSET(PLE!$G$15,$M59-$A$15,CH$13)))</f>
        <v>1000000000000</v>
      </c>
      <c r="CI59" s="172" cm="1">
        <f t="array" aca="1" ref="CI59" ca="1">IF(OR($D59&lt;&gt;"Serviço",AND(AUTOEVENTO="Manual",$M59=$A$15),$M59&gt;(ROW(PLE.lastrow)-ROW(PLE.firstrow))),0,
           IF(OFFSET(PLE!$G$15,$M59-$A$15,CI$13)="",10^12,OFFSET(PLE!$G$15,$M59-$A$15,CI$13)))</f>
        <v>1000000000000</v>
      </c>
      <c r="CJ59" s="172" cm="1">
        <f t="array" aca="1" ref="CJ59" ca="1">IF(OR($D59&lt;&gt;"Serviço",AND(AUTOEVENTO="Manual",$M59=$A$15),$M59&gt;(ROW(PLE.lastrow)-ROW(PLE.firstrow))),0,
           IF(OFFSET(PLE!$G$15,$M59-$A$15,CJ$13)="",10^12,OFFSET(PLE!$G$15,$M59-$A$15,CJ$13)))</f>
        <v>1000000000000</v>
      </c>
      <c r="CK59" s="172" cm="1">
        <f t="array" aca="1" ref="CK59" ca="1">IF(OR($D59&lt;&gt;"Serviço",AND(AUTOEVENTO="Manual",$M59=$A$15),$M59&gt;(ROW(PLE.lastrow)-ROW(PLE.firstrow))),0,
           IF(OFFSET(PLE!$G$15,$M59-$A$15,CK$13)="",10^12,OFFSET(PLE!$G$15,$M59-$A$15,CK$13)))</f>
        <v>1000000000000</v>
      </c>
      <c r="CL59" s="172" cm="1">
        <f t="array" aca="1" ref="CL59" ca="1">IF(OR($D59&lt;&gt;"Serviço",AND(AUTOEVENTO="Manual",$M59=$A$15),$M59&gt;(ROW(PLE.lastrow)-ROW(PLE.firstrow))),0,
           IF(OFFSET(PLE!$G$15,$M59-$A$15,CL$13)="",10^12,OFFSET(PLE!$G$15,$M59-$A$15,CL$13)))</f>
        <v>1000000000000</v>
      </c>
      <c r="CM59" s="172" cm="1">
        <f t="array" aca="1" ref="CM59" ca="1">IF(OR($D59&lt;&gt;"Serviço",AND(AUTOEVENTO="Manual",$M59=$A$15),$M59&gt;(ROW(PLE.lastrow)-ROW(PLE.firstrow))),0,
           IF(OFFSET(PLE!$G$15,$M59-$A$15,CM$13)="",10^12,OFFSET(PLE!$G$15,$M59-$A$15,CM$13)))</f>
        <v>1000000000000</v>
      </c>
    </row>
    <row r="60" spans="1:91" s="670" customFormat="1" ht="38.25" x14ac:dyDescent="0.2">
      <c r="A60" s="668">
        <f t="shared" ca="1" si="10"/>
        <v>14</v>
      </c>
      <c r="B60" s="668" t="str">
        <f ca="1">OFFSET(ORÇAMENTO!C$15,$L60,0)</f>
        <v>S</v>
      </c>
      <c r="C60" s="668" t="str">
        <f ca="1">OFFSET(ORÇAMENTO!L$15,$L60,0)</f>
        <v>F</v>
      </c>
      <c r="D60" s="116" t="str">
        <f ca="1">OFFSET(ORÇAMENTO!N$15,$L60,0)</f>
        <v>Serviço</v>
      </c>
      <c r="E60" s="117" t="str">
        <f ca="1">OFFSET(ORÇAMENTO!O$15,$L60,0)</f>
        <v>1.8.9.</v>
      </c>
      <c r="F60" s="163" t="str">
        <f ca="1">OFFSET(ORÇAMENTO!R$15,$L60,0)</f>
        <v>FABRICAÇÃO DE FÔRMA PARA PILARES E ESTRUTURAS SIMILARES, EM CHAPA DE MADEIRA COMPENSADA RESINADA, E = 17 MM. AF_09/2020</v>
      </c>
      <c r="G60" s="164" t="str">
        <f ca="1">IF($D60&lt;&gt;"Serviço","",OFFSET(ORÇAMENTO!S$15,$L60,0))</f>
        <v>M2</v>
      </c>
      <c r="H60" s="122" cm="1">
        <f t="array" aca="1" ref="H60" ca="1">IF($D60&lt;&gt;"Serviço",0,IF(ACOMPANHAMENTO="BM",ROUND(OFFSET(ORÇAMENTO!AJ$15,$L60,0),15-13*ORÇAMENTO!$AF$7),IF(IFERROR(CÁLCULO.FrentesPreenchidas,0)=0,0,SUM(ROUND(OFFSET($P60,0,1,1,CÁLCULO.FrentesPreenchidas),15-13*ORÇAMENTO!$AF$7)))))</f>
        <v>281.94</v>
      </c>
      <c r="I60" s="468" t="s">
        <v>1150</v>
      </c>
      <c r="J60" s="651" t="str" cm="1">
        <f t="array" aca="1" ref="J60" ca="1">IF(OR(B60&lt;&gt;"S",CÁLCULO.FrentesPreenchidas=0),"",IF(AND(ACOMPANHAMENTO="PLE",AUTOEVENTO="Manual",OR(H60&gt;0,ORÇAMENTO!AC60="QUANT."),OR(K60="",M60=0,N60="")),"►E",IF(AND(ACOMPANHAMENTO="PLE",ORÇAMENTO!AC60="QUANT."),"►Q",IF(AND(ACOMPANHAMENTO="PLE",H60&lt;&gt;SUMPRODUCT(($Q$1:$AI$1=1)*ROUND(Q60:AI60,15))),"►S",IF(AND(COUNTIF($P$11:$AI$11,"▼")=0,H60&gt;0,I60=""),"◄M","")))))</f>
        <v/>
      </c>
      <c r="K60" s="652" t="s">
        <v>1342</v>
      </c>
      <c r="L60" s="165">
        <f t="shared" ca="1" si="11"/>
        <v>45</v>
      </c>
      <c r="M60" s="166">
        <f ca="1">IF($D60&lt;&gt;"Serviço","",
          IF(AUTOEVENTO="manual",$A60,
                IF(ISERROR(MATCH($A60,$A$15:OFFSET($A60,-1,0),0)),MAX($M$15:OFFSET(M60,-1,0))+1,
                      INDEX($M$15:OFFSET(M60,-1,0),MATCH($A60,$A$15:OFFSET($A60,-1,0),0)))))</f>
        <v>14</v>
      </c>
      <c r="N60" s="167" t="str">
        <f ca="1">IF($D60&lt;&gt;"Serviço","",
         IF(AUTOEVENTO="Manual",
                IF($A60=0,"&lt;-- defina o número do agrupador",
                       OFFSET(EVENTOS!$D$15,$A60-$A$15,0)),
                OFFSET($F$15,$A60,0)))</f>
        <v>Estrutura - Forma</v>
      </c>
      <c r="O60" s="168"/>
      <c r="Q60" s="168"/>
      <c r="R60" s="169"/>
      <c r="S60" s="169"/>
      <c r="T60" s="169">
        <v>281.94</v>
      </c>
      <c r="U60" s="169"/>
      <c r="V60" s="169"/>
      <c r="W60" s="169"/>
      <c r="X60" s="169"/>
      <c r="Y60" s="169"/>
      <c r="Z60" s="170"/>
      <c r="AA60" s="705"/>
      <c r="AB60" s="705"/>
      <c r="AC60" s="705"/>
      <c r="AD60" s="705"/>
      <c r="AE60" s="705"/>
      <c r="AF60" s="705"/>
      <c r="AG60" s="705"/>
      <c r="AH60" s="706"/>
      <c r="AJ60" s="453">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3">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L60" s="453">
        <f ca="1">IF(AND($D60="Serviço",AL$12&lt;&gt;0,$H60&gt;0,OR(AUTOEVENTO&lt;&gt;"manual",$M60&lt;&gt;$A$15)),
        IF(Import.TipoArredondamento&lt;&gt;"TransfereGOV",
              ROUND(OFFSET($P60,0,AL$13),15-13*ORÇAMENTO!$AF$7)/$H60*OFFSET(ORÇAMENTO!$X$15,ROW(AL60)-ROW(AL$15),0),
              ROUND(ROUND(OFFSET($P60,0,AL$13),15-13*ORÇAMENTO!$AF$7)*OFFSET(ORÇAMENTO!$W$15,ROW(AL60)-ROW(AL$15),0),15-13*ORÇAMENTO!$AF$11)),
         0)</f>
        <v>0</v>
      </c>
      <c r="AM60" s="453">
        <f ca="1">IF(AND($D60="Serviço",AM$12&lt;&gt;0,$H60&gt;0,OR(AUTOEVENTO&lt;&gt;"manual",$M60&lt;&gt;$A$15)),
        IF(Import.TipoArredondamento&lt;&gt;"TransfereGOV",
              ROUND(OFFSET($P60,0,AM$13),15-13*ORÇAMENTO!$AF$7)/$H60*OFFSET(ORÇAMENTO!$X$15,ROW(AM60)-ROW(AM$15),0),
              ROUND(ROUND(OFFSET($P60,0,AM$13),15-13*ORÇAMENTO!$AF$7)*OFFSET(ORÇAMENTO!$W$15,ROW(AM60)-ROW(AM$15),0),15-13*ORÇAMENTO!$AF$11)),
         0)</f>
        <v>60783.44</v>
      </c>
      <c r="AN60" s="453">
        <f ca="1">IF(AND($D60="Serviço",AN$12&lt;&gt;0,$H60&gt;0,OR(AUTOEVENTO&lt;&gt;"manual",$M60&lt;&gt;$A$15)),
        IF(Import.TipoArredondamento&lt;&gt;"TransfereGOV",
              ROUND(OFFSET($P60,0,AN$13),15-13*ORÇAMENTO!$AF$7)/$H60*OFFSET(ORÇAMENTO!$X$15,ROW(AN60)-ROW(AN$15),0),
              ROUND(ROUND(OFFSET($P60,0,AN$13),15-13*ORÇAMENTO!$AF$7)*OFFSET(ORÇAMENTO!$W$15,ROW(AN60)-ROW(AN$15),0),15-13*ORÇAMENTO!$AF$11)),
         0)</f>
        <v>0</v>
      </c>
      <c r="AO60" s="453">
        <f ca="1">IF(AND($D60="Serviço",AO$12&lt;&gt;0,$H60&gt;0,OR(AUTOEVENTO&lt;&gt;"manual",$M60&lt;&gt;$A$15)),
        IF(Import.TipoArredondamento&lt;&gt;"TransfereGOV",
              ROUND(OFFSET($P60,0,AO$13),15-13*ORÇAMENTO!$AF$7)/$H60*OFFSET(ORÇAMENTO!$X$15,ROW(AO60)-ROW(AO$15),0),
              ROUND(ROUND(OFFSET($P60,0,AO$13),15-13*ORÇAMENTO!$AF$7)*OFFSET(ORÇAMENTO!$W$15,ROW(AO60)-ROW(AO$15),0),15-13*ORÇAMENTO!$AF$11)),
         0)</f>
        <v>0</v>
      </c>
      <c r="AP60" s="453">
        <f ca="1">IF(AND($D60="Serviço",AP$12&lt;&gt;0,$H60&gt;0,OR(AUTOEVENTO&lt;&gt;"manual",$M60&lt;&gt;$A$15)),
        IF(Import.TipoArredondamento&lt;&gt;"TransfereGOV",
              ROUND(OFFSET($P60,0,AP$13),15-13*ORÇAMENTO!$AF$7)/$H60*OFFSET(ORÇAMENTO!$X$15,ROW(AP60)-ROW(AP$15),0),
              ROUND(ROUND(OFFSET($P60,0,AP$13),15-13*ORÇAMENTO!$AF$7)*OFFSET(ORÇAMENTO!$W$15,ROW(AP60)-ROW(AP$15),0),15-13*ORÇAMENTO!$AF$11)),
         0)</f>
        <v>0</v>
      </c>
      <c r="AQ60" s="453">
        <f ca="1">IF(AND($D60="Serviço",AQ$12&lt;&gt;0,$H60&gt;0,OR(AUTOEVENTO&lt;&gt;"manual",$M60&lt;&gt;$A$15)),
        IF(Import.TipoArredondamento&lt;&gt;"TransfereGOV",
              ROUND(OFFSET($P60,0,AQ$13),15-13*ORÇAMENTO!$AF$7)/$H60*OFFSET(ORÇAMENTO!$X$15,ROW(AQ60)-ROW(AQ$15),0),
              ROUND(ROUND(OFFSET($P60,0,AQ$13),15-13*ORÇAMENTO!$AF$7)*OFFSET(ORÇAMENTO!$W$15,ROW(AQ60)-ROW(AQ$15),0),15-13*ORÇAMENTO!$AF$11)),
         0)</f>
        <v>0</v>
      </c>
      <c r="AR60" s="453">
        <f ca="1">IF(AND($D60="Serviço",AR$12&lt;&gt;0,$H60&gt;0,OR(AUTOEVENTO&lt;&gt;"manual",$M60&lt;&gt;$A$15)),
        IF(Import.TipoArredondamento&lt;&gt;"TransfereGOV",
              ROUND(OFFSET($P60,0,AR$13),15-13*ORÇAMENTO!$AF$7)/$H60*OFFSET(ORÇAMENTO!$X$15,ROW(AR60)-ROW(AR$15),0),
              ROUND(ROUND(OFFSET($P60,0,AR$13),15-13*ORÇAMENTO!$AF$7)*OFFSET(ORÇAMENTO!$W$15,ROW(AR60)-ROW(AR$15),0),15-13*ORÇAMENTO!$AF$11)),
         0)</f>
        <v>0</v>
      </c>
      <c r="AS60" s="453">
        <f ca="1">IF(AND($D60="Serviço",AS$12&lt;&gt;0,$H60&gt;0,OR(AUTOEVENTO&lt;&gt;"manual",$M60&lt;&gt;$A$15)),
        IF(Import.TipoArredondamento&lt;&gt;"TransfereGOV",
              ROUND(OFFSET($P60,0,AS$13),15-13*ORÇAMENTO!$AF$7)/$H60*OFFSET(ORÇAMENTO!$X$15,ROW(AS60)-ROW(AS$15),0),
              ROUND(ROUND(OFFSET($P60,0,AS$13),15-13*ORÇAMENTO!$AF$7)*OFFSET(ORÇAMENTO!$W$15,ROW(AS60)-ROW(AS$15),0),15-13*ORÇAMENTO!$AF$11)),
         0)</f>
        <v>0</v>
      </c>
      <c r="AT60" s="453">
        <f ca="1">IF(AND($D60="Serviço",AT$12&lt;&gt;0,$H60&gt;0,OR(AUTOEVENTO&lt;&gt;"manual",$M60&lt;&gt;$A$15)),
        IF(Import.TipoArredondamento&lt;&gt;"TransfereGOV",
              ROUND(OFFSET($P60,0,AT$13),15-13*ORÇAMENTO!$AF$7)/$H60*OFFSET(ORÇAMENTO!$X$15,ROW(AT60)-ROW(AT$15),0),
              ROUND(ROUND(OFFSET($P60,0,AT$13),15-13*ORÇAMENTO!$AF$7)*OFFSET(ORÇAMENTO!$W$15,ROW(AT60)-ROW(AT$15),0),15-13*ORÇAMENTO!$AF$11)),
         0)</f>
        <v>0</v>
      </c>
      <c r="AU60" s="453">
        <f ca="1">IF(AND($D60="Serviço",AU$12&lt;&gt;0,$H60&gt;0,OR(AUTOEVENTO&lt;&gt;"manual",$M60&lt;&gt;$A$15)),
        IF(Import.TipoArredondamento&lt;&gt;"TransfereGOV",
              ROUND(OFFSET($P60,0,AU$13),15-13*ORÇAMENTO!$AF$7)/$H60*OFFSET(ORÇAMENTO!$X$15,ROW(AU60)-ROW(AU$15),0),
              ROUND(ROUND(OFFSET($P60,0,AU$13),15-13*ORÇAMENTO!$AF$7)*OFFSET(ORÇAMENTO!$W$15,ROW(AU60)-ROW(AU$15),0),15-13*ORÇAMENTO!$AF$11)),
         0)</f>
        <v>0</v>
      </c>
      <c r="AV60" s="453">
        <f ca="1">IF(AND($D60="Serviço",AV$12&lt;&gt;0,$H60&gt;0,OR(AUTOEVENTO&lt;&gt;"manual",$M60&lt;&gt;$A$15)),
        IF(Import.TipoArredondamento&lt;&gt;"TransfereGOV",
              ROUND(OFFSET($P60,0,AV$13),15-13*ORÇAMENTO!$AF$7)/$H60*OFFSET(ORÇAMENTO!$X$15,ROW(AV60)-ROW(AV$15),0),
              ROUND(ROUND(OFFSET($P60,0,AV$13),15-13*ORÇAMENTO!$AF$7)*OFFSET(ORÇAMENTO!$W$15,ROW(AV60)-ROW(AV$15),0),15-13*ORÇAMENTO!$AF$11)),
         0)</f>
        <v>0</v>
      </c>
      <c r="AW60" s="453">
        <f ca="1">IF(AND($D60="Serviço",AW$12&lt;&gt;0,$H60&gt;0,OR(AUTOEVENTO&lt;&gt;"manual",$M60&lt;&gt;$A$15)),
        IF(Import.TipoArredondamento&lt;&gt;"TransfereGOV",
              ROUND(OFFSET($P60,0,AW$13),15-13*ORÇAMENTO!$AF$7)/$H60*OFFSET(ORÇAMENTO!$X$15,ROW(AW60)-ROW(AW$15),0),
              ROUND(ROUND(OFFSET($P60,0,AW$13),15-13*ORÇAMENTO!$AF$7)*OFFSET(ORÇAMENTO!$W$15,ROW(AW60)-ROW(AW$15),0),15-13*ORÇAMENTO!$AF$11)),
         0)</f>
        <v>0</v>
      </c>
      <c r="AX60" s="453">
        <f ca="1">IF(AND($D60="Serviço",AX$12&lt;&gt;0,$H60&gt;0,OR(AUTOEVENTO&lt;&gt;"manual",$M60&lt;&gt;$A$15)),
        IF(Import.TipoArredondamento&lt;&gt;"TransfereGOV",
              ROUND(OFFSET($P60,0,AX$13),15-13*ORÇAMENTO!$AF$7)/$H60*OFFSET(ORÇAMENTO!$X$15,ROW(AX60)-ROW(AX$15),0),
              ROUND(ROUND(OFFSET($P60,0,AX$13),15-13*ORÇAMENTO!$AF$7)*OFFSET(ORÇAMENTO!$W$15,ROW(AX60)-ROW(AX$15),0),15-13*ORÇAMENTO!$AF$11)),
         0)</f>
        <v>0</v>
      </c>
      <c r="AY60" s="453">
        <f ca="1">IF(AND($D60="Serviço",AY$12&lt;&gt;0,$H60&gt;0,OR(AUTOEVENTO&lt;&gt;"manual",$M60&lt;&gt;$A$15)),
        IF(Import.TipoArredondamento&lt;&gt;"TransfereGOV",
              ROUND(OFFSET($P60,0,AY$13),15-13*ORÇAMENTO!$AF$7)/$H60*OFFSET(ORÇAMENTO!$X$15,ROW(AY60)-ROW(AY$15),0),
              ROUND(ROUND(OFFSET($P60,0,AY$13),15-13*ORÇAMENTO!$AF$7)*OFFSET(ORÇAMENTO!$W$15,ROW(AY60)-ROW(AY$15),0),15-13*ORÇAMENTO!$AF$11)),
         0)</f>
        <v>0</v>
      </c>
      <c r="AZ60" s="453">
        <f ca="1">IF(AND($D60="Serviço",AZ$12&lt;&gt;0,$H60&gt;0,OR(AUTOEVENTO&lt;&gt;"manual",$M60&lt;&gt;$A$15)),
        IF(Import.TipoArredondamento&lt;&gt;"TransfereGOV",
              ROUND(OFFSET($P60,0,AZ$13),15-13*ORÇAMENTO!$AF$7)/$H60*OFFSET(ORÇAMENTO!$X$15,ROW(AZ60)-ROW(AZ$15),0),
              ROUND(ROUND(OFFSET($P60,0,AZ$13),15-13*ORÇAMENTO!$AF$7)*OFFSET(ORÇAMENTO!$W$15,ROW(AZ60)-ROW(AZ$15),0),15-13*ORÇAMENTO!$AF$11)),
         0)</f>
        <v>0</v>
      </c>
      <c r="BA60" s="453">
        <f ca="1">IF(AND($D60="Serviço",BA$12&lt;&gt;0,$H60&gt;0,OR(AUTOEVENTO&lt;&gt;"manual",$M60&lt;&gt;$A$15)),
        IF(Import.TipoArredondamento&lt;&gt;"TransfereGOV",
              ROUND(OFFSET($P60,0,BA$13),15-13*ORÇAMENTO!$AF$7)/$H60*OFFSET(ORÇAMENTO!$X$15,ROW(BA60)-ROW(BA$15),0),
              ROUND(ROUND(OFFSET($P60,0,BA$13),15-13*ORÇAMENTO!$AF$7)*OFFSET(ORÇAMENTO!$W$15,ROW(BA60)-ROW(BA$15),0),15-13*ORÇAMENTO!$AF$11)),
         0)</f>
        <v>0</v>
      </c>
      <c r="BC60" s="171">
        <f ca="1">IF(OR($D60&lt;&gt;"Serviço",AND(AUTOEVENTO="Manual",$M60=$A$15)),0,
         IF(OFFSET(CRONOPLE!$F$15,$M60-$A$15,BC$13)=0,10^12,OFFSET(CRONOPLE!$F$15,$M60-$A$15,BC$13)))</f>
        <v>1000000000000</v>
      </c>
      <c r="BD60" s="171">
        <f ca="1">IF(OR($D60&lt;&gt;"Serviço",AND(AUTOEVENTO="Manual",$M60=$A$15)),0,
         IF(OFFSET(CRONOPLE!$F$15,$M60-$A$15,BD$13)=0,10^12,OFFSET(CRONOPLE!$F$15,$M60-$A$15,BD$13)))</f>
        <v>1000000000000</v>
      </c>
      <c r="BE60" s="171">
        <f ca="1">IF(OR($D60&lt;&gt;"Serviço",AND(AUTOEVENTO="Manual",$M60=$A$15)),0,
         IF(OFFSET(CRONOPLE!$F$15,$M60-$A$15,BE$13)=0,10^12,OFFSET(CRONOPLE!$F$15,$M60-$A$15,BE$13)))</f>
        <v>6</v>
      </c>
      <c r="BF60" s="171">
        <f ca="1">IF(OR($D60&lt;&gt;"Serviço",AND(AUTOEVENTO="Manual",$M60=$A$15)),0,
         IF(OFFSET(CRONOPLE!$F$15,$M60-$A$15,BF$13)=0,10^12,OFFSET(CRONOPLE!$F$15,$M60-$A$15,BF$13)))</f>
        <v>10</v>
      </c>
      <c r="BG60" s="171">
        <f ca="1">IF(OR($D60&lt;&gt;"Serviço",AND(AUTOEVENTO="Manual",$M60=$A$15)),0,
         IF(OFFSET(CRONOPLE!$F$15,$M60-$A$15,BG$13)=0,10^12,OFFSET(CRONOPLE!$F$15,$M60-$A$15,BG$13)))</f>
        <v>10</v>
      </c>
      <c r="BH60" s="171">
        <f ca="1">IF(OR($D60&lt;&gt;"Serviço",AND(AUTOEVENTO="Manual",$M60=$A$15)),0,
         IF(OFFSET(CRONOPLE!$F$15,$M60-$A$15,BH$13)=0,10^12,OFFSET(CRONOPLE!$F$15,$M60-$A$15,BH$13)))</f>
        <v>1000000000000</v>
      </c>
      <c r="BI60" s="171">
        <f ca="1">IF(OR($D60&lt;&gt;"Serviço",AND(AUTOEVENTO="Manual",$M60=$A$15)),0,
         IF(OFFSET(CRONOPLE!$F$15,$M60-$A$15,BI$13)=0,10^12,OFFSET(CRONOPLE!$F$15,$M60-$A$15,BI$13)))</f>
        <v>1000000000000</v>
      </c>
      <c r="BJ60" s="171">
        <f ca="1">IF(OR($D60&lt;&gt;"Serviço",AND(AUTOEVENTO="Manual",$M60=$A$15)),0,
         IF(OFFSET(CRONOPLE!$F$15,$M60-$A$15,BJ$13)=0,10^12,OFFSET(CRONOPLE!$F$15,$M60-$A$15,BJ$13)))</f>
        <v>1000000000000</v>
      </c>
      <c r="BK60" s="171">
        <f ca="1">IF(OR($D60&lt;&gt;"Serviço",AND(AUTOEVENTO="Manual",$M60=$A$15)),0,
         IF(OFFSET(CRONOPLE!$F$15,$M60-$A$15,BK$13)=0,10^12,OFFSET(CRONOPLE!$F$15,$M60-$A$15,BK$13)))</f>
        <v>1000000000000</v>
      </c>
      <c r="BL60" s="171">
        <f ca="1">IF(OR($D60&lt;&gt;"Serviço",AND(AUTOEVENTO="Manual",$M60=$A$15)),0,
         IF(OFFSET(CRONOPLE!$F$15,$M60-$A$15,BL$13)=0,10^12,OFFSET(CRONOPLE!$F$15,$M60-$A$15,BL$13)))</f>
        <v>1000000000000</v>
      </c>
      <c r="BM60" s="171">
        <f ca="1">IF(OR($D60&lt;&gt;"Serviço",AND(AUTOEVENTO="Manual",$M60=$A$15)),0,
         IF(OFFSET(CRONOPLE!$F$15,$M60-$A$15,BM$13)=0,10^12,OFFSET(CRONOPLE!$F$15,$M60-$A$15,BM$13)))</f>
        <v>1000000000000</v>
      </c>
      <c r="BN60" s="171">
        <f ca="1">IF(OR($D60&lt;&gt;"Serviço",AND(AUTOEVENTO="Manual",$M60=$A$15)),0,
         IF(OFFSET(CRONOPLE!$F$15,$M60-$A$15,BN$13)=0,10^12,OFFSET(CRONOPLE!$F$15,$M60-$A$15,BN$13)))</f>
        <v>1000000000000</v>
      </c>
      <c r="BO60" s="171">
        <f ca="1">IF(OR($D60&lt;&gt;"Serviço",AND(AUTOEVENTO="Manual",$M60=$A$15)),0,
         IF(OFFSET(CRONOPLE!$F$15,$M60-$A$15,BO$13)=0,10^12,OFFSET(CRONOPLE!$F$15,$M60-$A$15,BO$13)))</f>
        <v>1000000000000</v>
      </c>
      <c r="BP60" s="171">
        <f ca="1">IF(OR($D60&lt;&gt;"Serviço",AND(AUTOEVENTO="Manual",$M60=$A$15)),0,
         IF(OFFSET(CRONOPLE!$F$15,$M60-$A$15,BP$13)=0,10^12,OFFSET(CRONOPLE!$F$15,$M60-$A$15,BP$13)))</f>
        <v>1000000000000</v>
      </c>
      <c r="BQ60" s="171">
        <f ca="1">IF(OR($D60&lt;&gt;"Serviço",AND(AUTOEVENTO="Manual",$M60=$A$15)),0,
         IF(OFFSET(CRONOPLE!$F$15,$M60-$A$15,BQ$13)=0,10^12,OFFSET(CRONOPLE!$F$15,$M60-$A$15,BQ$13)))</f>
        <v>1000000000000</v>
      </c>
      <c r="BR60" s="171">
        <f ca="1">IF(OR($D60&lt;&gt;"Serviço",AND(AUTOEVENTO="Manual",$M60=$A$15)),0,
         IF(OFFSET(CRONOPLE!$F$15,$M60-$A$15,BR$13)=0,10^12,OFFSET(CRONOPLE!$F$15,$M60-$A$15,BR$13)))</f>
        <v>1000000000000</v>
      </c>
      <c r="BS60" s="171">
        <f ca="1">IF(OR($D60&lt;&gt;"Serviço",AND(AUTOEVENTO="Manual",$M60=$A$15)),0,
         IF(OFFSET(CRONOPLE!$F$15,$M60-$A$15,BS$13)=0,10^12,OFFSET(CRONOPLE!$F$15,$M60-$A$15,BS$13)))</f>
        <v>1000000000000</v>
      </c>
      <c r="BT60" s="171">
        <f ca="1">IF(OR($D60&lt;&gt;"Serviço",AND(AUTOEVENTO="Manual",$M60=$A$15)),0,
         IF(OFFSET(CRONOPLE!$F$15,$M60-$A$15,BT$13)=0,10^12,OFFSET(CRONOPLE!$F$15,$M60-$A$15,BT$13)))</f>
        <v>1000000000000</v>
      </c>
      <c r="BV60" s="172" cm="1">
        <f t="array" aca="1" ref="BV60" ca="1">IF(OR($D60&lt;&gt;"Serviço",AND(AUTOEVENTO="Manual",$M60=$A$15),$M60&gt;(ROW(PLE.lastrow)-ROW(PLE.firstrow))),0,
           IF(OFFSET(PLE!$G$15,$M60-$A$15,BV$13)="",10^12,OFFSET(PLE!$G$15,$M60-$A$15,BV$13)))</f>
        <v>1000000000000</v>
      </c>
      <c r="BW60" s="172" cm="1">
        <f t="array" aca="1" ref="BW60" ca="1">IF(OR($D60&lt;&gt;"Serviço",AND(AUTOEVENTO="Manual",$M60=$A$15),$M60&gt;(ROW(PLE.lastrow)-ROW(PLE.firstrow))),0,
           IF(OFFSET(PLE!$G$15,$M60-$A$15,BW$13)="",10^12,OFFSET(PLE!$G$15,$M60-$A$15,BW$13)))</f>
        <v>1000000000000</v>
      </c>
      <c r="BX60" s="172" cm="1">
        <f t="array" aca="1" ref="BX60" ca="1">IF(OR($D60&lt;&gt;"Serviço",AND(AUTOEVENTO="Manual",$M60=$A$15),$M60&gt;(ROW(PLE.lastrow)-ROW(PLE.firstrow))),0,
           IF(OFFSET(PLE!$G$15,$M60-$A$15,BX$13)="",10^12,OFFSET(PLE!$G$15,$M60-$A$15,BX$13)))</f>
        <v>1000000000000</v>
      </c>
      <c r="BY60" s="172" cm="1">
        <f t="array" aca="1" ref="BY60" ca="1">IF(OR($D60&lt;&gt;"Serviço",AND(AUTOEVENTO="Manual",$M60=$A$15),$M60&gt;(ROW(PLE.lastrow)-ROW(PLE.firstrow))),0,
           IF(OFFSET(PLE!$G$15,$M60-$A$15,BY$13)="",10^12,OFFSET(PLE!$G$15,$M60-$A$15,BY$13)))</f>
        <v>1000000000000</v>
      </c>
      <c r="BZ60" s="172" cm="1">
        <f t="array" aca="1" ref="BZ60" ca="1">IF(OR($D60&lt;&gt;"Serviço",AND(AUTOEVENTO="Manual",$M60=$A$15),$M60&gt;(ROW(PLE.lastrow)-ROW(PLE.firstrow))),0,
           IF(OFFSET(PLE!$G$15,$M60-$A$15,BZ$13)="",10^12,OFFSET(PLE!$G$15,$M60-$A$15,BZ$13)))</f>
        <v>1000000000000</v>
      </c>
      <c r="CA60" s="172" cm="1">
        <f t="array" aca="1" ref="CA60" ca="1">IF(OR($D60&lt;&gt;"Serviço",AND(AUTOEVENTO="Manual",$M60=$A$15),$M60&gt;(ROW(PLE.lastrow)-ROW(PLE.firstrow))),0,
           IF(OFFSET(PLE!$G$15,$M60-$A$15,CA$13)="",10^12,OFFSET(PLE!$G$15,$M60-$A$15,CA$13)))</f>
        <v>1000000000000</v>
      </c>
      <c r="CB60" s="172" cm="1">
        <f t="array" aca="1" ref="CB60" ca="1">IF(OR($D60&lt;&gt;"Serviço",AND(AUTOEVENTO="Manual",$M60=$A$15),$M60&gt;(ROW(PLE.lastrow)-ROW(PLE.firstrow))),0,
           IF(OFFSET(PLE!$G$15,$M60-$A$15,CB$13)="",10^12,OFFSET(PLE!$G$15,$M60-$A$15,CB$13)))</f>
        <v>1000000000000</v>
      </c>
      <c r="CC60" s="172" cm="1">
        <f t="array" aca="1" ref="CC60" ca="1">IF(OR($D60&lt;&gt;"Serviço",AND(AUTOEVENTO="Manual",$M60=$A$15),$M60&gt;(ROW(PLE.lastrow)-ROW(PLE.firstrow))),0,
           IF(OFFSET(PLE!$G$15,$M60-$A$15,CC$13)="",10^12,OFFSET(PLE!$G$15,$M60-$A$15,CC$13)))</f>
        <v>1000000000000</v>
      </c>
      <c r="CD60" s="172" cm="1">
        <f t="array" aca="1" ref="CD60" ca="1">IF(OR($D60&lt;&gt;"Serviço",AND(AUTOEVENTO="Manual",$M60=$A$15),$M60&gt;(ROW(PLE.lastrow)-ROW(PLE.firstrow))),0,
           IF(OFFSET(PLE!$G$15,$M60-$A$15,CD$13)="",10^12,OFFSET(PLE!$G$15,$M60-$A$15,CD$13)))</f>
        <v>1000000000000</v>
      </c>
      <c r="CE60" s="172" cm="1">
        <f t="array" aca="1" ref="CE60" ca="1">IF(OR($D60&lt;&gt;"Serviço",AND(AUTOEVENTO="Manual",$M60=$A$15),$M60&gt;(ROW(PLE.lastrow)-ROW(PLE.firstrow))),0,
           IF(OFFSET(PLE!$G$15,$M60-$A$15,CE$13)="",10^12,OFFSET(PLE!$G$15,$M60-$A$15,CE$13)))</f>
        <v>1000000000000</v>
      </c>
      <c r="CF60" s="172" cm="1">
        <f t="array" aca="1" ref="CF60" ca="1">IF(OR($D60&lt;&gt;"Serviço",AND(AUTOEVENTO="Manual",$M60=$A$15),$M60&gt;(ROW(PLE.lastrow)-ROW(PLE.firstrow))),0,
           IF(OFFSET(PLE!$G$15,$M60-$A$15,CF$13)="",10^12,OFFSET(PLE!$G$15,$M60-$A$15,CF$13)))</f>
        <v>1000000000000</v>
      </c>
      <c r="CG60" s="172" cm="1">
        <f t="array" aca="1" ref="CG60" ca="1">IF(OR($D60&lt;&gt;"Serviço",AND(AUTOEVENTO="Manual",$M60=$A$15),$M60&gt;(ROW(PLE.lastrow)-ROW(PLE.firstrow))),0,
           IF(OFFSET(PLE!$G$15,$M60-$A$15,CG$13)="",10^12,OFFSET(PLE!$G$15,$M60-$A$15,CG$13)))</f>
        <v>1000000000000</v>
      </c>
      <c r="CH60" s="172" cm="1">
        <f t="array" aca="1" ref="CH60" ca="1">IF(OR($D60&lt;&gt;"Serviço",AND(AUTOEVENTO="Manual",$M60=$A$15),$M60&gt;(ROW(PLE.lastrow)-ROW(PLE.firstrow))),0,
           IF(OFFSET(PLE!$G$15,$M60-$A$15,CH$13)="",10^12,OFFSET(PLE!$G$15,$M60-$A$15,CH$13)))</f>
        <v>1000000000000</v>
      </c>
      <c r="CI60" s="172" cm="1">
        <f t="array" aca="1" ref="CI60" ca="1">IF(OR($D60&lt;&gt;"Serviço",AND(AUTOEVENTO="Manual",$M60=$A$15),$M60&gt;(ROW(PLE.lastrow)-ROW(PLE.firstrow))),0,
           IF(OFFSET(PLE!$G$15,$M60-$A$15,CI$13)="",10^12,OFFSET(PLE!$G$15,$M60-$A$15,CI$13)))</f>
        <v>1000000000000</v>
      </c>
      <c r="CJ60" s="172" cm="1">
        <f t="array" aca="1" ref="CJ60" ca="1">IF(OR($D60&lt;&gt;"Serviço",AND(AUTOEVENTO="Manual",$M60=$A$15),$M60&gt;(ROW(PLE.lastrow)-ROW(PLE.firstrow))),0,
           IF(OFFSET(PLE!$G$15,$M60-$A$15,CJ$13)="",10^12,OFFSET(PLE!$G$15,$M60-$A$15,CJ$13)))</f>
        <v>1000000000000</v>
      </c>
      <c r="CK60" s="172" cm="1">
        <f t="array" aca="1" ref="CK60" ca="1">IF(OR($D60&lt;&gt;"Serviço",AND(AUTOEVENTO="Manual",$M60=$A$15),$M60&gt;(ROW(PLE.lastrow)-ROW(PLE.firstrow))),0,
           IF(OFFSET(PLE!$G$15,$M60-$A$15,CK$13)="",10^12,OFFSET(PLE!$G$15,$M60-$A$15,CK$13)))</f>
        <v>1000000000000</v>
      </c>
      <c r="CL60" s="172" cm="1">
        <f t="array" aca="1" ref="CL60" ca="1">IF(OR($D60&lt;&gt;"Serviço",AND(AUTOEVENTO="Manual",$M60=$A$15),$M60&gt;(ROW(PLE.lastrow)-ROW(PLE.firstrow))),0,
           IF(OFFSET(PLE!$G$15,$M60-$A$15,CL$13)="",10^12,OFFSET(PLE!$G$15,$M60-$A$15,CL$13)))</f>
        <v>1000000000000</v>
      </c>
      <c r="CM60" s="172" cm="1">
        <f t="array" aca="1" ref="CM60" ca="1">IF(OR($D60&lt;&gt;"Serviço",AND(AUTOEVENTO="Manual",$M60=$A$15),$M60&gt;(ROW(PLE.lastrow)-ROW(PLE.firstrow))),0,
           IF(OFFSET(PLE!$G$15,$M60-$A$15,CM$13)="",10^12,OFFSET(PLE!$G$15,$M60-$A$15,CM$13)))</f>
        <v>1000000000000</v>
      </c>
    </row>
    <row r="61" spans="1:91" s="670" customFormat="1" ht="12.75" x14ac:dyDescent="0.2">
      <c r="A61" s="668">
        <f t="shared" ca="1" si="10"/>
        <v>11</v>
      </c>
      <c r="B61" s="668" t="str">
        <f ca="1">OFFSET(ORÇAMENTO!C$15,$L61,0)</f>
        <v>S</v>
      </c>
      <c r="C61" s="668" t="str">
        <f ca="1">OFFSET(ORÇAMENTO!L$15,$L61,0)</f>
        <v>F</v>
      </c>
      <c r="D61" s="116" t="str">
        <f ca="1">OFFSET(ORÇAMENTO!N$15,$L61,0)</f>
        <v>Serviço</v>
      </c>
      <c r="E61" s="117" t="str">
        <f ca="1">OFFSET(ORÇAMENTO!O$15,$L61,0)</f>
        <v>1.8.10.</v>
      </c>
      <c r="F61" s="163" t="str">
        <f ca="1">OFFSET(ORÇAMENTO!R$15,$L61,0)</f>
        <v>CORTE E DOBRA DE AÇO CA-25, DIÂMETRO DE 20,0 MM. AF_06/2022</v>
      </c>
      <c r="G61" s="164" t="str">
        <f ca="1">IF($D61&lt;&gt;"Serviço","",OFFSET(ORÇAMENTO!S$15,$L61,0))</f>
        <v>KG</v>
      </c>
      <c r="H61" s="122" cm="1">
        <f t="array" aca="1" ref="H61" ca="1">IF($D61&lt;&gt;"Serviço",0,IF(ACOMPANHAMENTO="BM",ROUND(OFFSET(ORÇAMENTO!AJ$15,$L61,0),15-13*ORÇAMENTO!$AF$7),IF(IFERROR(CÁLCULO.FrentesPreenchidas,0)=0,0,SUM(ROUND(OFFSET($P61,0,1,1,CÁLCULO.FrentesPreenchidas),15-13*ORÇAMENTO!$AF$7)))))</f>
        <v>1791.8</v>
      </c>
      <c r="I61" s="468" t="s">
        <v>1151</v>
      </c>
      <c r="J61" s="651" t="str" cm="1">
        <f t="array" aca="1" ref="J61" ca="1">IF(OR(B61&lt;&gt;"S",CÁLCULO.FrentesPreenchidas=0),"",IF(AND(ACOMPANHAMENTO="PLE",AUTOEVENTO="Manual",OR(H61&gt;0,ORÇAMENTO!AC61="QUANT."),OR(K61="",M61=0,N61="")),"►E",IF(AND(ACOMPANHAMENTO="PLE",ORÇAMENTO!AC61="QUANT."),"►Q",IF(AND(ACOMPANHAMENTO="PLE",H61&lt;&gt;SUMPRODUCT(($Q$1:$AI$1=1)*ROUND(Q61:AI61,15))),"►S",IF(AND(COUNTIF($P$11:$AI$11,"▼")=0,H61&gt;0,I61=""),"◄M","")))))</f>
        <v/>
      </c>
      <c r="K61" s="652" t="s">
        <v>1340</v>
      </c>
      <c r="L61" s="165">
        <f t="shared" ca="1" si="11"/>
        <v>46</v>
      </c>
      <c r="M61" s="166">
        <f ca="1">IF($D61&lt;&gt;"Serviço","",
          IF(AUTOEVENTO="manual",$A61,
                IF(ISERROR(MATCH($A61,$A$15:OFFSET($A61,-1,0),0)),MAX($M$15:OFFSET(M61,-1,0))+1,
                      INDEX($M$15:OFFSET(M61,-1,0),MATCH($A61,$A$15:OFFSET($A61,-1,0),0)))))</f>
        <v>11</v>
      </c>
      <c r="N61" s="167" t="str">
        <f ca="1">IF($D61&lt;&gt;"Serviço","",
         IF(AUTOEVENTO="Manual",
                IF($A61=0,"&lt;-- defina o número do agrupador",
                       OFFSET(EVENTOS!$D$15,$A61-$A$15,0)),
                OFFSET($F$15,$A61,0)))</f>
        <v>Fundação - Armação</v>
      </c>
      <c r="O61" s="168"/>
      <c r="Q61" s="168"/>
      <c r="R61" s="169"/>
      <c r="S61" s="169"/>
      <c r="T61" s="169">
        <v>1791.8</v>
      </c>
      <c r="U61" s="169"/>
      <c r="V61" s="169"/>
      <c r="W61" s="169"/>
      <c r="X61" s="169"/>
      <c r="Y61" s="169"/>
      <c r="Z61" s="170"/>
      <c r="AA61" s="705"/>
      <c r="AB61" s="705"/>
      <c r="AC61" s="705"/>
      <c r="AD61" s="705"/>
      <c r="AE61" s="705"/>
      <c r="AF61" s="705"/>
      <c r="AG61" s="705"/>
      <c r="AH61" s="706"/>
      <c r="AJ61" s="453">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3">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L61" s="453">
        <f ca="1">IF(AND($D61="Serviço",AL$12&lt;&gt;0,$H61&gt;0,OR(AUTOEVENTO&lt;&gt;"manual",$M61&lt;&gt;$A$15)),
        IF(Import.TipoArredondamento&lt;&gt;"TransfereGOV",
              ROUND(OFFSET($P61,0,AL$13),15-13*ORÇAMENTO!$AF$7)/$H61*OFFSET(ORÇAMENTO!$X$15,ROW(AL61)-ROW(AL$15),0),
              ROUND(ROUND(OFFSET($P61,0,AL$13),15-13*ORÇAMENTO!$AF$7)*OFFSET(ORÇAMENTO!$W$15,ROW(AL61)-ROW(AL$15),0),15-13*ORÇAMENTO!$AF$11)),
         0)</f>
        <v>0</v>
      </c>
      <c r="AM61" s="453">
        <f ca="1">IF(AND($D61="Serviço",AM$12&lt;&gt;0,$H61&gt;0,OR(AUTOEVENTO&lt;&gt;"manual",$M61&lt;&gt;$A$15)),
        IF(Import.TipoArredondamento&lt;&gt;"TransfereGOV",
              ROUND(OFFSET($P61,0,AM$13),15-13*ORÇAMENTO!$AF$7)/$H61*OFFSET(ORÇAMENTO!$X$15,ROW(AM61)-ROW(AM$15),0),
              ROUND(ROUND(OFFSET($P61,0,AM$13),15-13*ORÇAMENTO!$AF$7)*OFFSET(ORÇAMENTO!$W$15,ROW(AM61)-ROW(AM$15),0),15-13*ORÇAMENTO!$AF$11)),
         0)</f>
        <v>18831.82</v>
      </c>
      <c r="AN61" s="453">
        <f ca="1">IF(AND($D61="Serviço",AN$12&lt;&gt;0,$H61&gt;0,OR(AUTOEVENTO&lt;&gt;"manual",$M61&lt;&gt;$A$15)),
        IF(Import.TipoArredondamento&lt;&gt;"TransfereGOV",
              ROUND(OFFSET($P61,0,AN$13),15-13*ORÇAMENTO!$AF$7)/$H61*OFFSET(ORÇAMENTO!$X$15,ROW(AN61)-ROW(AN$15),0),
              ROUND(ROUND(OFFSET($P61,0,AN$13),15-13*ORÇAMENTO!$AF$7)*OFFSET(ORÇAMENTO!$W$15,ROW(AN61)-ROW(AN$15),0),15-13*ORÇAMENTO!$AF$11)),
         0)</f>
        <v>0</v>
      </c>
      <c r="AO61" s="453">
        <f ca="1">IF(AND($D61="Serviço",AO$12&lt;&gt;0,$H61&gt;0,OR(AUTOEVENTO&lt;&gt;"manual",$M61&lt;&gt;$A$15)),
        IF(Import.TipoArredondamento&lt;&gt;"TransfereGOV",
              ROUND(OFFSET($P61,0,AO$13),15-13*ORÇAMENTO!$AF$7)/$H61*OFFSET(ORÇAMENTO!$X$15,ROW(AO61)-ROW(AO$15),0),
              ROUND(ROUND(OFFSET($P61,0,AO$13),15-13*ORÇAMENTO!$AF$7)*OFFSET(ORÇAMENTO!$W$15,ROW(AO61)-ROW(AO$15),0),15-13*ORÇAMENTO!$AF$11)),
         0)</f>
        <v>0</v>
      </c>
      <c r="AP61" s="453">
        <f ca="1">IF(AND($D61="Serviço",AP$12&lt;&gt;0,$H61&gt;0,OR(AUTOEVENTO&lt;&gt;"manual",$M61&lt;&gt;$A$15)),
        IF(Import.TipoArredondamento&lt;&gt;"TransfereGOV",
              ROUND(OFFSET($P61,0,AP$13),15-13*ORÇAMENTO!$AF$7)/$H61*OFFSET(ORÇAMENTO!$X$15,ROW(AP61)-ROW(AP$15),0),
              ROUND(ROUND(OFFSET($P61,0,AP$13),15-13*ORÇAMENTO!$AF$7)*OFFSET(ORÇAMENTO!$W$15,ROW(AP61)-ROW(AP$15),0),15-13*ORÇAMENTO!$AF$11)),
         0)</f>
        <v>0</v>
      </c>
      <c r="AQ61" s="453">
        <f ca="1">IF(AND($D61="Serviço",AQ$12&lt;&gt;0,$H61&gt;0,OR(AUTOEVENTO&lt;&gt;"manual",$M61&lt;&gt;$A$15)),
        IF(Import.TipoArredondamento&lt;&gt;"TransfereGOV",
              ROUND(OFFSET($P61,0,AQ$13),15-13*ORÇAMENTO!$AF$7)/$H61*OFFSET(ORÇAMENTO!$X$15,ROW(AQ61)-ROW(AQ$15),0),
              ROUND(ROUND(OFFSET($P61,0,AQ$13),15-13*ORÇAMENTO!$AF$7)*OFFSET(ORÇAMENTO!$W$15,ROW(AQ61)-ROW(AQ$15),0),15-13*ORÇAMENTO!$AF$11)),
         0)</f>
        <v>0</v>
      </c>
      <c r="AR61" s="453">
        <f ca="1">IF(AND($D61="Serviço",AR$12&lt;&gt;0,$H61&gt;0,OR(AUTOEVENTO&lt;&gt;"manual",$M61&lt;&gt;$A$15)),
        IF(Import.TipoArredondamento&lt;&gt;"TransfereGOV",
              ROUND(OFFSET($P61,0,AR$13),15-13*ORÇAMENTO!$AF$7)/$H61*OFFSET(ORÇAMENTO!$X$15,ROW(AR61)-ROW(AR$15),0),
              ROUND(ROUND(OFFSET($P61,0,AR$13),15-13*ORÇAMENTO!$AF$7)*OFFSET(ORÇAMENTO!$W$15,ROW(AR61)-ROW(AR$15),0),15-13*ORÇAMENTO!$AF$11)),
         0)</f>
        <v>0</v>
      </c>
      <c r="AS61" s="453">
        <f ca="1">IF(AND($D61="Serviço",AS$12&lt;&gt;0,$H61&gt;0,OR(AUTOEVENTO&lt;&gt;"manual",$M61&lt;&gt;$A$15)),
        IF(Import.TipoArredondamento&lt;&gt;"TransfereGOV",
              ROUND(OFFSET($P61,0,AS$13),15-13*ORÇAMENTO!$AF$7)/$H61*OFFSET(ORÇAMENTO!$X$15,ROW(AS61)-ROW(AS$15),0),
              ROUND(ROUND(OFFSET($P61,0,AS$13),15-13*ORÇAMENTO!$AF$7)*OFFSET(ORÇAMENTO!$W$15,ROW(AS61)-ROW(AS$15),0),15-13*ORÇAMENTO!$AF$11)),
         0)</f>
        <v>0</v>
      </c>
      <c r="AT61" s="453">
        <f ca="1">IF(AND($D61="Serviço",AT$12&lt;&gt;0,$H61&gt;0,OR(AUTOEVENTO&lt;&gt;"manual",$M61&lt;&gt;$A$15)),
        IF(Import.TipoArredondamento&lt;&gt;"TransfereGOV",
              ROUND(OFFSET($P61,0,AT$13),15-13*ORÇAMENTO!$AF$7)/$H61*OFFSET(ORÇAMENTO!$X$15,ROW(AT61)-ROW(AT$15),0),
              ROUND(ROUND(OFFSET($P61,0,AT$13),15-13*ORÇAMENTO!$AF$7)*OFFSET(ORÇAMENTO!$W$15,ROW(AT61)-ROW(AT$15),0),15-13*ORÇAMENTO!$AF$11)),
         0)</f>
        <v>0</v>
      </c>
      <c r="AU61" s="453">
        <f ca="1">IF(AND($D61="Serviço",AU$12&lt;&gt;0,$H61&gt;0,OR(AUTOEVENTO&lt;&gt;"manual",$M61&lt;&gt;$A$15)),
        IF(Import.TipoArredondamento&lt;&gt;"TransfereGOV",
              ROUND(OFFSET($P61,0,AU$13),15-13*ORÇAMENTO!$AF$7)/$H61*OFFSET(ORÇAMENTO!$X$15,ROW(AU61)-ROW(AU$15),0),
              ROUND(ROUND(OFFSET($P61,0,AU$13),15-13*ORÇAMENTO!$AF$7)*OFFSET(ORÇAMENTO!$W$15,ROW(AU61)-ROW(AU$15),0),15-13*ORÇAMENTO!$AF$11)),
         0)</f>
        <v>0</v>
      </c>
      <c r="AV61" s="453">
        <f ca="1">IF(AND($D61="Serviço",AV$12&lt;&gt;0,$H61&gt;0,OR(AUTOEVENTO&lt;&gt;"manual",$M61&lt;&gt;$A$15)),
        IF(Import.TipoArredondamento&lt;&gt;"TransfereGOV",
              ROUND(OFFSET($P61,0,AV$13),15-13*ORÇAMENTO!$AF$7)/$H61*OFFSET(ORÇAMENTO!$X$15,ROW(AV61)-ROW(AV$15),0),
              ROUND(ROUND(OFFSET($P61,0,AV$13),15-13*ORÇAMENTO!$AF$7)*OFFSET(ORÇAMENTO!$W$15,ROW(AV61)-ROW(AV$15),0),15-13*ORÇAMENTO!$AF$11)),
         0)</f>
        <v>0</v>
      </c>
      <c r="AW61" s="453">
        <f ca="1">IF(AND($D61="Serviço",AW$12&lt;&gt;0,$H61&gt;0,OR(AUTOEVENTO&lt;&gt;"manual",$M61&lt;&gt;$A$15)),
        IF(Import.TipoArredondamento&lt;&gt;"TransfereGOV",
              ROUND(OFFSET($P61,0,AW$13),15-13*ORÇAMENTO!$AF$7)/$H61*OFFSET(ORÇAMENTO!$X$15,ROW(AW61)-ROW(AW$15),0),
              ROUND(ROUND(OFFSET($P61,0,AW$13),15-13*ORÇAMENTO!$AF$7)*OFFSET(ORÇAMENTO!$W$15,ROW(AW61)-ROW(AW$15),0),15-13*ORÇAMENTO!$AF$11)),
         0)</f>
        <v>0</v>
      </c>
      <c r="AX61" s="453">
        <f ca="1">IF(AND($D61="Serviço",AX$12&lt;&gt;0,$H61&gt;0,OR(AUTOEVENTO&lt;&gt;"manual",$M61&lt;&gt;$A$15)),
        IF(Import.TipoArredondamento&lt;&gt;"TransfereGOV",
              ROUND(OFFSET($P61,0,AX$13),15-13*ORÇAMENTO!$AF$7)/$H61*OFFSET(ORÇAMENTO!$X$15,ROW(AX61)-ROW(AX$15),0),
              ROUND(ROUND(OFFSET($P61,0,AX$13),15-13*ORÇAMENTO!$AF$7)*OFFSET(ORÇAMENTO!$W$15,ROW(AX61)-ROW(AX$15),0),15-13*ORÇAMENTO!$AF$11)),
         0)</f>
        <v>0</v>
      </c>
      <c r="AY61" s="453">
        <f ca="1">IF(AND($D61="Serviço",AY$12&lt;&gt;0,$H61&gt;0,OR(AUTOEVENTO&lt;&gt;"manual",$M61&lt;&gt;$A$15)),
        IF(Import.TipoArredondamento&lt;&gt;"TransfereGOV",
              ROUND(OFFSET($P61,0,AY$13),15-13*ORÇAMENTO!$AF$7)/$H61*OFFSET(ORÇAMENTO!$X$15,ROW(AY61)-ROW(AY$15),0),
              ROUND(ROUND(OFFSET($P61,0,AY$13),15-13*ORÇAMENTO!$AF$7)*OFFSET(ORÇAMENTO!$W$15,ROW(AY61)-ROW(AY$15),0),15-13*ORÇAMENTO!$AF$11)),
         0)</f>
        <v>0</v>
      </c>
      <c r="AZ61" s="453">
        <f ca="1">IF(AND($D61="Serviço",AZ$12&lt;&gt;0,$H61&gt;0,OR(AUTOEVENTO&lt;&gt;"manual",$M61&lt;&gt;$A$15)),
        IF(Import.TipoArredondamento&lt;&gt;"TransfereGOV",
              ROUND(OFFSET($P61,0,AZ$13),15-13*ORÇAMENTO!$AF$7)/$H61*OFFSET(ORÇAMENTO!$X$15,ROW(AZ61)-ROW(AZ$15),0),
              ROUND(ROUND(OFFSET($P61,0,AZ$13),15-13*ORÇAMENTO!$AF$7)*OFFSET(ORÇAMENTO!$W$15,ROW(AZ61)-ROW(AZ$15),0),15-13*ORÇAMENTO!$AF$11)),
         0)</f>
        <v>0</v>
      </c>
      <c r="BA61" s="453">
        <f ca="1">IF(AND($D61="Serviço",BA$12&lt;&gt;0,$H61&gt;0,OR(AUTOEVENTO&lt;&gt;"manual",$M61&lt;&gt;$A$15)),
        IF(Import.TipoArredondamento&lt;&gt;"TransfereGOV",
              ROUND(OFFSET($P61,0,BA$13),15-13*ORÇAMENTO!$AF$7)/$H61*OFFSET(ORÇAMENTO!$X$15,ROW(BA61)-ROW(BA$15),0),
              ROUND(ROUND(OFFSET($P61,0,BA$13),15-13*ORÇAMENTO!$AF$7)*OFFSET(ORÇAMENTO!$W$15,ROW(BA61)-ROW(BA$15),0),15-13*ORÇAMENTO!$AF$11)),
         0)</f>
        <v>0</v>
      </c>
      <c r="BC61" s="171">
        <f ca="1">IF(OR($D61&lt;&gt;"Serviço",AND(AUTOEVENTO="Manual",$M61=$A$15)),0,
         IF(OFFSET(CRONOPLE!$F$15,$M61-$A$15,BC$13)=0,10^12,OFFSET(CRONOPLE!$F$15,$M61-$A$15,BC$13)))</f>
        <v>1000000000000</v>
      </c>
      <c r="BD61" s="171">
        <f ca="1">IF(OR($D61&lt;&gt;"Serviço",AND(AUTOEVENTO="Manual",$M61=$A$15)),0,
         IF(OFFSET(CRONOPLE!$F$15,$M61-$A$15,BD$13)=0,10^12,OFFSET(CRONOPLE!$F$15,$M61-$A$15,BD$13)))</f>
        <v>1000000000000</v>
      </c>
      <c r="BE61" s="171">
        <f ca="1">IF(OR($D61&lt;&gt;"Serviço",AND(AUTOEVENTO="Manual",$M61=$A$15)),0,
         IF(OFFSET(CRONOPLE!$F$15,$M61-$A$15,BE$13)=0,10^12,OFFSET(CRONOPLE!$F$15,$M61-$A$15,BE$13)))</f>
        <v>6</v>
      </c>
      <c r="BF61" s="171">
        <f ca="1">IF(OR($D61&lt;&gt;"Serviço",AND(AUTOEVENTO="Manual",$M61=$A$15)),0,
         IF(OFFSET(CRONOPLE!$F$15,$M61-$A$15,BF$13)=0,10^12,OFFSET(CRONOPLE!$F$15,$M61-$A$15,BF$13)))</f>
        <v>10</v>
      </c>
      <c r="BG61" s="171">
        <f ca="1">IF(OR($D61&lt;&gt;"Serviço",AND(AUTOEVENTO="Manual",$M61=$A$15)),0,
         IF(OFFSET(CRONOPLE!$F$15,$M61-$A$15,BG$13)=0,10^12,OFFSET(CRONOPLE!$F$15,$M61-$A$15,BG$13)))</f>
        <v>9</v>
      </c>
      <c r="BH61" s="171">
        <f ca="1">IF(OR($D61&lt;&gt;"Serviço",AND(AUTOEVENTO="Manual",$M61=$A$15)),0,
         IF(OFFSET(CRONOPLE!$F$15,$M61-$A$15,BH$13)=0,10^12,OFFSET(CRONOPLE!$F$15,$M61-$A$15,BH$13)))</f>
        <v>7</v>
      </c>
      <c r="BI61" s="171">
        <f ca="1">IF(OR($D61&lt;&gt;"Serviço",AND(AUTOEVENTO="Manual",$M61=$A$15)),0,
         IF(OFFSET(CRONOPLE!$F$15,$M61-$A$15,BI$13)=0,10^12,OFFSET(CRONOPLE!$F$15,$M61-$A$15,BI$13)))</f>
        <v>10</v>
      </c>
      <c r="BJ61" s="171">
        <f ca="1">IF(OR($D61&lt;&gt;"Serviço",AND(AUTOEVENTO="Manual",$M61=$A$15)),0,
         IF(OFFSET(CRONOPLE!$F$15,$M61-$A$15,BJ$13)=0,10^12,OFFSET(CRONOPLE!$F$15,$M61-$A$15,BJ$13)))</f>
        <v>1000000000000</v>
      </c>
      <c r="BK61" s="171">
        <f ca="1">IF(OR($D61&lt;&gt;"Serviço",AND(AUTOEVENTO="Manual",$M61=$A$15)),0,
         IF(OFFSET(CRONOPLE!$F$15,$M61-$A$15,BK$13)=0,10^12,OFFSET(CRONOPLE!$F$15,$M61-$A$15,BK$13)))</f>
        <v>1000000000000</v>
      </c>
      <c r="BL61" s="171">
        <f ca="1">IF(OR($D61&lt;&gt;"Serviço",AND(AUTOEVENTO="Manual",$M61=$A$15)),0,
         IF(OFFSET(CRONOPLE!$F$15,$M61-$A$15,BL$13)=0,10^12,OFFSET(CRONOPLE!$F$15,$M61-$A$15,BL$13)))</f>
        <v>1000000000000</v>
      </c>
      <c r="BM61" s="171">
        <f ca="1">IF(OR($D61&lt;&gt;"Serviço",AND(AUTOEVENTO="Manual",$M61=$A$15)),0,
         IF(OFFSET(CRONOPLE!$F$15,$M61-$A$15,BM$13)=0,10^12,OFFSET(CRONOPLE!$F$15,$M61-$A$15,BM$13)))</f>
        <v>1000000000000</v>
      </c>
      <c r="BN61" s="171">
        <f ca="1">IF(OR($D61&lt;&gt;"Serviço",AND(AUTOEVENTO="Manual",$M61=$A$15)),0,
         IF(OFFSET(CRONOPLE!$F$15,$M61-$A$15,BN$13)=0,10^12,OFFSET(CRONOPLE!$F$15,$M61-$A$15,BN$13)))</f>
        <v>1000000000000</v>
      </c>
      <c r="BO61" s="171">
        <f ca="1">IF(OR($D61&lt;&gt;"Serviço",AND(AUTOEVENTO="Manual",$M61=$A$15)),0,
         IF(OFFSET(CRONOPLE!$F$15,$M61-$A$15,BO$13)=0,10^12,OFFSET(CRONOPLE!$F$15,$M61-$A$15,BO$13)))</f>
        <v>1000000000000</v>
      </c>
      <c r="BP61" s="171">
        <f ca="1">IF(OR($D61&lt;&gt;"Serviço",AND(AUTOEVENTO="Manual",$M61=$A$15)),0,
         IF(OFFSET(CRONOPLE!$F$15,$M61-$A$15,BP$13)=0,10^12,OFFSET(CRONOPLE!$F$15,$M61-$A$15,BP$13)))</f>
        <v>1000000000000</v>
      </c>
      <c r="BQ61" s="171">
        <f ca="1">IF(OR($D61&lt;&gt;"Serviço",AND(AUTOEVENTO="Manual",$M61=$A$15)),0,
         IF(OFFSET(CRONOPLE!$F$15,$M61-$A$15,BQ$13)=0,10^12,OFFSET(CRONOPLE!$F$15,$M61-$A$15,BQ$13)))</f>
        <v>1000000000000</v>
      </c>
      <c r="BR61" s="171">
        <f ca="1">IF(OR($D61&lt;&gt;"Serviço",AND(AUTOEVENTO="Manual",$M61=$A$15)),0,
         IF(OFFSET(CRONOPLE!$F$15,$M61-$A$15,BR$13)=0,10^12,OFFSET(CRONOPLE!$F$15,$M61-$A$15,BR$13)))</f>
        <v>1000000000000</v>
      </c>
      <c r="BS61" s="171">
        <f ca="1">IF(OR($D61&lt;&gt;"Serviço",AND(AUTOEVENTO="Manual",$M61=$A$15)),0,
         IF(OFFSET(CRONOPLE!$F$15,$M61-$A$15,BS$13)=0,10^12,OFFSET(CRONOPLE!$F$15,$M61-$A$15,BS$13)))</f>
        <v>1000000000000</v>
      </c>
      <c r="BT61" s="171">
        <f ca="1">IF(OR($D61&lt;&gt;"Serviço",AND(AUTOEVENTO="Manual",$M61=$A$15)),0,
         IF(OFFSET(CRONOPLE!$F$15,$M61-$A$15,BT$13)=0,10^12,OFFSET(CRONOPLE!$F$15,$M61-$A$15,BT$13)))</f>
        <v>1000000000000</v>
      </c>
      <c r="BV61" s="172" cm="1">
        <f t="array" aca="1" ref="BV61" ca="1">IF(OR($D61&lt;&gt;"Serviço",AND(AUTOEVENTO="Manual",$M61=$A$15),$M61&gt;(ROW(PLE.lastrow)-ROW(PLE.firstrow))),0,
           IF(OFFSET(PLE!$G$15,$M61-$A$15,BV$13)="",10^12,OFFSET(PLE!$G$15,$M61-$A$15,BV$13)))</f>
        <v>1000000000000</v>
      </c>
      <c r="BW61" s="172" cm="1">
        <f t="array" aca="1" ref="BW61" ca="1">IF(OR($D61&lt;&gt;"Serviço",AND(AUTOEVENTO="Manual",$M61=$A$15),$M61&gt;(ROW(PLE.lastrow)-ROW(PLE.firstrow))),0,
           IF(OFFSET(PLE!$G$15,$M61-$A$15,BW$13)="",10^12,OFFSET(PLE!$G$15,$M61-$A$15,BW$13)))</f>
        <v>1000000000000</v>
      </c>
      <c r="BX61" s="172" cm="1">
        <f t="array" aca="1" ref="BX61" ca="1">IF(OR($D61&lt;&gt;"Serviço",AND(AUTOEVENTO="Manual",$M61=$A$15),$M61&gt;(ROW(PLE.lastrow)-ROW(PLE.firstrow))),0,
           IF(OFFSET(PLE!$G$15,$M61-$A$15,BX$13)="",10^12,OFFSET(PLE!$G$15,$M61-$A$15,BX$13)))</f>
        <v>1000000000000</v>
      </c>
      <c r="BY61" s="172" cm="1">
        <f t="array" aca="1" ref="BY61" ca="1">IF(OR($D61&lt;&gt;"Serviço",AND(AUTOEVENTO="Manual",$M61=$A$15),$M61&gt;(ROW(PLE.lastrow)-ROW(PLE.firstrow))),0,
           IF(OFFSET(PLE!$G$15,$M61-$A$15,BY$13)="",10^12,OFFSET(PLE!$G$15,$M61-$A$15,BY$13)))</f>
        <v>1000000000000</v>
      </c>
      <c r="BZ61" s="172" cm="1">
        <f t="array" aca="1" ref="BZ61" ca="1">IF(OR($D61&lt;&gt;"Serviço",AND(AUTOEVENTO="Manual",$M61=$A$15),$M61&gt;(ROW(PLE.lastrow)-ROW(PLE.firstrow))),0,
           IF(OFFSET(PLE!$G$15,$M61-$A$15,BZ$13)="",10^12,OFFSET(PLE!$G$15,$M61-$A$15,BZ$13)))</f>
        <v>1000000000000</v>
      </c>
      <c r="CA61" s="172" cm="1">
        <f t="array" aca="1" ref="CA61" ca="1">IF(OR($D61&lt;&gt;"Serviço",AND(AUTOEVENTO="Manual",$M61=$A$15),$M61&gt;(ROW(PLE.lastrow)-ROW(PLE.firstrow))),0,
           IF(OFFSET(PLE!$G$15,$M61-$A$15,CA$13)="",10^12,OFFSET(PLE!$G$15,$M61-$A$15,CA$13)))</f>
        <v>1000000000000</v>
      </c>
      <c r="CB61" s="172" cm="1">
        <f t="array" aca="1" ref="CB61" ca="1">IF(OR($D61&lt;&gt;"Serviço",AND(AUTOEVENTO="Manual",$M61=$A$15),$M61&gt;(ROW(PLE.lastrow)-ROW(PLE.firstrow))),0,
           IF(OFFSET(PLE!$G$15,$M61-$A$15,CB$13)="",10^12,OFFSET(PLE!$G$15,$M61-$A$15,CB$13)))</f>
        <v>1000000000000</v>
      </c>
      <c r="CC61" s="172" cm="1">
        <f t="array" aca="1" ref="CC61" ca="1">IF(OR($D61&lt;&gt;"Serviço",AND(AUTOEVENTO="Manual",$M61=$A$15),$M61&gt;(ROW(PLE.lastrow)-ROW(PLE.firstrow))),0,
           IF(OFFSET(PLE!$G$15,$M61-$A$15,CC$13)="",10^12,OFFSET(PLE!$G$15,$M61-$A$15,CC$13)))</f>
        <v>1000000000000</v>
      </c>
      <c r="CD61" s="172" cm="1">
        <f t="array" aca="1" ref="CD61" ca="1">IF(OR($D61&lt;&gt;"Serviço",AND(AUTOEVENTO="Manual",$M61=$A$15),$M61&gt;(ROW(PLE.lastrow)-ROW(PLE.firstrow))),0,
           IF(OFFSET(PLE!$G$15,$M61-$A$15,CD$13)="",10^12,OFFSET(PLE!$G$15,$M61-$A$15,CD$13)))</f>
        <v>1000000000000</v>
      </c>
      <c r="CE61" s="172" cm="1">
        <f t="array" aca="1" ref="CE61" ca="1">IF(OR($D61&lt;&gt;"Serviço",AND(AUTOEVENTO="Manual",$M61=$A$15),$M61&gt;(ROW(PLE.lastrow)-ROW(PLE.firstrow))),0,
           IF(OFFSET(PLE!$G$15,$M61-$A$15,CE$13)="",10^12,OFFSET(PLE!$G$15,$M61-$A$15,CE$13)))</f>
        <v>1000000000000</v>
      </c>
      <c r="CF61" s="172" cm="1">
        <f t="array" aca="1" ref="CF61" ca="1">IF(OR($D61&lt;&gt;"Serviço",AND(AUTOEVENTO="Manual",$M61=$A$15),$M61&gt;(ROW(PLE.lastrow)-ROW(PLE.firstrow))),0,
           IF(OFFSET(PLE!$G$15,$M61-$A$15,CF$13)="",10^12,OFFSET(PLE!$G$15,$M61-$A$15,CF$13)))</f>
        <v>1000000000000</v>
      </c>
      <c r="CG61" s="172" cm="1">
        <f t="array" aca="1" ref="CG61" ca="1">IF(OR($D61&lt;&gt;"Serviço",AND(AUTOEVENTO="Manual",$M61=$A$15),$M61&gt;(ROW(PLE.lastrow)-ROW(PLE.firstrow))),0,
           IF(OFFSET(PLE!$G$15,$M61-$A$15,CG$13)="",10^12,OFFSET(PLE!$G$15,$M61-$A$15,CG$13)))</f>
        <v>1000000000000</v>
      </c>
      <c r="CH61" s="172" cm="1">
        <f t="array" aca="1" ref="CH61" ca="1">IF(OR($D61&lt;&gt;"Serviço",AND(AUTOEVENTO="Manual",$M61=$A$15),$M61&gt;(ROW(PLE.lastrow)-ROW(PLE.firstrow))),0,
           IF(OFFSET(PLE!$G$15,$M61-$A$15,CH$13)="",10^12,OFFSET(PLE!$G$15,$M61-$A$15,CH$13)))</f>
        <v>1000000000000</v>
      </c>
      <c r="CI61" s="172" cm="1">
        <f t="array" aca="1" ref="CI61" ca="1">IF(OR($D61&lt;&gt;"Serviço",AND(AUTOEVENTO="Manual",$M61=$A$15),$M61&gt;(ROW(PLE.lastrow)-ROW(PLE.firstrow))),0,
           IF(OFFSET(PLE!$G$15,$M61-$A$15,CI$13)="",10^12,OFFSET(PLE!$G$15,$M61-$A$15,CI$13)))</f>
        <v>1000000000000</v>
      </c>
      <c r="CJ61" s="172" cm="1">
        <f t="array" aca="1" ref="CJ61" ca="1">IF(OR($D61&lt;&gt;"Serviço",AND(AUTOEVENTO="Manual",$M61=$A$15),$M61&gt;(ROW(PLE.lastrow)-ROW(PLE.firstrow))),0,
           IF(OFFSET(PLE!$G$15,$M61-$A$15,CJ$13)="",10^12,OFFSET(PLE!$G$15,$M61-$A$15,CJ$13)))</f>
        <v>1000000000000</v>
      </c>
      <c r="CK61" s="172" cm="1">
        <f t="array" aca="1" ref="CK61" ca="1">IF(OR($D61&lt;&gt;"Serviço",AND(AUTOEVENTO="Manual",$M61=$A$15),$M61&gt;(ROW(PLE.lastrow)-ROW(PLE.firstrow))),0,
           IF(OFFSET(PLE!$G$15,$M61-$A$15,CK$13)="",10^12,OFFSET(PLE!$G$15,$M61-$A$15,CK$13)))</f>
        <v>1000000000000</v>
      </c>
      <c r="CL61" s="172" cm="1">
        <f t="array" aca="1" ref="CL61" ca="1">IF(OR($D61&lt;&gt;"Serviço",AND(AUTOEVENTO="Manual",$M61=$A$15),$M61&gt;(ROW(PLE.lastrow)-ROW(PLE.firstrow))),0,
           IF(OFFSET(PLE!$G$15,$M61-$A$15,CL$13)="",10^12,OFFSET(PLE!$G$15,$M61-$A$15,CL$13)))</f>
        <v>1000000000000</v>
      </c>
      <c r="CM61" s="172" cm="1">
        <f t="array" aca="1" ref="CM61" ca="1">IF(OR($D61&lt;&gt;"Serviço",AND(AUTOEVENTO="Manual",$M61=$A$15),$M61&gt;(ROW(PLE.lastrow)-ROW(PLE.firstrow))),0,
           IF(OFFSET(PLE!$G$15,$M61-$A$15,CM$13)="",10^12,OFFSET(PLE!$G$15,$M61-$A$15,CM$13)))</f>
        <v>1000000000000</v>
      </c>
    </row>
    <row r="62" spans="1:91" s="680" customFormat="1" ht="25.5" x14ac:dyDescent="0.2">
      <c r="A62" s="681">
        <f ca="1">IFERROR(IF(AUTOEVENTO="Manual",IF(K62&lt;&gt;"",MIN(VALUE(LEFT(K62,FIND(".",K62)-1)),COUNTA(EVENTOS.Lista)),0),IF(OR($B62&gt;AUTOEVENTO,$B62="S",$B62=0),SUBSTITUTE(OFFSET($A62,-1,0),IF($D62="Serviço",".",""),""),$L62&amp;".")),0)</f>
        <v>11</v>
      </c>
      <c r="B62" s="681" t="str">
        <f ca="1">OFFSET(ORÇAMENTO!C$15,$L62,0)</f>
        <v>S</v>
      </c>
      <c r="C62" s="681" t="str">
        <f ca="1">OFFSET(ORÇAMENTO!L$15,$L62,0)</f>
        <v>F</v>
      </c>
      <c r="D62" s="686" t="str">
        <f ca="1">OFFSET(ORÇAMENTO!N$15,$L62,0)</f>
        <v>Serviço</v>
      </c>
      <c r="E62" s="687" t="str">
        <f ca="1">OFFSET(ORÇAMENTO!O$15,$L62,0)</f>
        <v>1.8.11.</v>
      </c>
      <c r="F62" s="699" t="str">
        <f ca="1">OFFSET(ORÇAMENTO!R$15,$L62,0)</f>
        <v>ARMAÇÃO DE BLOCO, SAPATA ISOLADA E SAPATA CORRIDA UTILIZANDO AÇO CA-50 DE 20 MM - MONTAGEM. AF_01/2024</v>
      </c>
      <c r="G62" s="700" t="str">
        <f ca="1">IF($D62&lt;&gt;"Serviço","",OFFSET(ORÇAMENTO!S$15,$L62,0))</f>
        <v>KG</v>
      </c>
      <c r="H62" s="692" cm="1">
        <f t="array" aca="1" ref="H62" ca="1">IF($D62&lt;&gt;"Serviço",0,IF(ACOMPANHAMENTO="BM",ROUND(OFFSET(ORÇAMENTO!AJ$15,$L62,0),15-13*ORÇAMENTO!$AF$7),IF(IFERROR(CÁLCULO.FrentesPreenchidas,0)=0,0,SUM(ROUND(OFFSET($P62,0,1,1,CÁLCULO.FrentesPreenchidas),15-13*ORÇAMENTO!$AF$7)))))</f>
        <v>1791.8</v>
      </c>
      <c r="I62" s="720" t="s">
        <v>1226</v>
      </c>
      <c r="J62" s="724" t="str" cm="1">
        <f t="array" aca="1" ref="J62" ca="1">IF(OR(B62&lt;&gt;"S",CÁLCULO.FrentesPreenchidas=0),"",IF(AND(ACOMPANHAMENTO="PLE",AUTOEVENTO="Manual",OR(H62&gt;0,ORÇAMENTO!AC62="QUANT."),OR(K62="",M62=0,N62="")),"►E",IF(AND(ACOMPANHAMENTO="PLE",ORÇAMENTO!AC62="QUANT."),"►Q",IF(AND(ACOMPANHAMENTO="PLE",H62&lt;&gt;SUMPRODUCT(($Q$1:$AI$1=1)*ROUND(Q62:AI62,15))),"►S",IF(AND(COUNTIF($P$11:$AI$11,"▼")=0,H62&gt;0,I62=""),"◄M","")))))</f>
        <v/>
      </c>
      <c r="K62" s="652" t="s">
        <v>1340</v>
      </c>
      <c r="L62" s="701">
        <f ca="1">OFFSET(L62,-1,0)+1</f>
        <v>47</v>
      </c>
      <c r="M62" s="702">
        <f ca="1">IF($D62&lt;&gt;"Serviço","",
          IF(AUTOEVENTO="manual",$A62,
                IF(ISERROR(MATCH($A62,$A$15:OFFSET($A62,-1,0),0)),MAX($M$15:OFFSET(M62,-1,0))+1,
                      INDEX($M$15:OFFSET(M62,-1,0),MATCH($A62,$A$15:OFFSET($A62,-1,0),0)))))</f>
        <v>11</v>
      </c>
      <c r="N62" s="703" t="str">
        <f ca="1">IF($D62&lt;&gt;"Serviço","",
         IF(AUTOEVENTO="Manual",
                IF($A62=0,"&lt;-- defina o número do agrupador",
                       OFFSET(EVENTOS!$D$15,$A62-$A$15,0)),
                OFFSET($F$15,$A62,0)))</f>
        <v>Fundação - Armação</v>
      </c>
      <c r="O62" s="704"/>
      <c r="Q62" s="704"/>
      <c r="R62" s="705"/>
      <c r="S62" s="705"/>
      <c r="T62" s="705">
        <v>1791.8</v>
      </c>
      <c r="U62" s="705"/>
      <c r="V62" s="705"/>
      <c r="W62" s="705"/>
      <c r="X62" s="705"/>
      <c r="Y62" s="705"/>
      <c r="Z62" s="706"/>
      <c r="AA62" s="705"/>
      <c r="AB62" s="705"/>
      <c r="AC62" s="705"/>
      <c r="AD62" s="705"/>
      <c r="AE62" s="705"/>
      <c r="AF62" s="705"/>
      <c r="AG62" s="705"/>
      <c r="AH62" s="706"/>
      <c r="AJ62" s="453">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3">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L62" s="453">
        <f ca="1">IF(AND($D62="Serviço",AL$12&lt;&gt;0,$H62&gt;0,OR(AUTOEVENTO&lt;&gt;"manual",$M62&lt;&gt;$A$15)),
        IF(Import.TipoArredondamento&lt;&gt;"TransfereGOV",
              ROUND(OFFSET($P62,0,AL$13),15-13*ORÇAMENTO!$AF$7)/$H62*OFFSET(ORÇAMENTO!$X$15,ROW(AL62)-ROW(AL$15),0),
              ROUND(ROUND(OFFSET($P62,0,AL$13),15-13*ORÇAMENTO!$AF$7)*OFFSET(ORÇAMENTO!$W$15,ROW(AL62)-ROW(AL$15),0),15-13*ORÇAMENTO!$AF$11)),
         0)</f>
        <v>0</v>
      </c>
      <c r="AM62" s="453">
        <f ca="1">IF(AND($D62="Serviço",AM$12&lt;&gt;0,$H62&gt;0,OR(AUTOEVENTO&lt;&gt;"manual",$M62&lt;&gt;$A$15)),
        IF(Import.TipoArredondamento&lt;&gt;"TransfereGOV",
              ROUND(OFFSET($P62,0,AM$13),15-13*ORÇAMENTO!$AF$7)/$H62*OFFSET(ORÇAMENTO!$X$15,ROW(AM62)-ROW(AM$15),0),
              ROUND(ROUND(OFFSET($P62,0,AM$13),15-13*ORÇAMENTO!$AF$7)*OFFSET(ORÇAMENTO!$W$15,ROW(AM62)-ROW(AM$15),0),15-13*ORÇAMENTO!$AF$11)),
         0)</f>
        <v>23544.25</v>
      </c>
      <c r="AN62" s="453">
        <f ca="1">IF(AND($D62="Serviço",AN$12&lt;&gt;0,$H62&gt;0,OR(AUTOEVENTO&lt;&gt;"manual",$M62&lt;&gt;$A$15)),
        IF(Import.TipoArredondamento&lt;&gt;"TransfereGOV",
              ROUND(OFFSET($P62,0,AN$13),15-13*ORÇAMENTO!$AF$7)/$H62*OFFSET(ORÇAMENTO!$X$15,ROW(AN62)-ROW(AN$15),0),
              ROUND(ROUND(OFFSET($P62,0,AN$13),15-13*ORÇAMENTO!$AF$7)*OFFSET(ORÇAMENTO!$W$15,ROW(AN62)-ROW(AN$15),0),15-13*ORÇAMENTO!$AF$11)),
         0)</f>
        <v>0</v>
      </c>
      <c r="AO62" s="453">
        <f ca="1">IF(AND($D62="Serviço",AO$12&lt;&gt;0,$H62&gt;0,OR(AUTOEVENTO&lt;&gt;"manual",$M62&lt;&gt;$A$15)),
        IF(Import.TipoArredondamento&lt;&gt;"TransfereGOV",
              ROUND(OFFSET($P62,0,AO$13),15-13*ORÇAMENTO!$AF$7)/$H62*OFFSET(ORÇAMENTO!$X$15,ROW(AO62)-ROW(AO$15),0),
              ROUND(ROUND(OFFSET($P62,0,AO$13),15-13*ORÇAMENTO!$AF$7)*OFFSET(ORÇAMENTO!$W$15,ROW(AO62)-ROW(AO$15),0),15-13*ORÇAMENTO!$AF$11)),
         0)</f>
        <v>0</v>
      </c>
      <c r="AP62" s="453">
        <f ca="1">IF(AND($D62="Serviço",AP$12&lt;&gt;0,$H62&gt;0,OR(AUTOEVENTO&lt;&gt;"manual",$M62&lt;&gt;$A$15)),
        IF(Import.TipoArredondamento&lt;&gt;"TransfereGOV",
              ROUND(OFFSET($P62,0,AP$13),15-13*ORÇAMENTO!$AF$7)/$H62*OFFSET(ORÇAMENTO!$X$15,ROW(AP62)-ROW(AP$15),0),
              ROUND(ROUND(OFFSET($P62,0,AP$13),15-13*ORÇAMENTO!$AF$7)*OFFSET(ORÇAMENTO!$W$15,ROW(AP62)-ROW(AP$15),0),15-13*ORÇAMENTO!$AF$11)),
         0)</f>
        <v>0</v>
      </c>
      <c r="AQ62" s="453">
        <f ca="1">IF(AND($D62="Serviço",AQ$12&lt;&gt;0,$H62&gt;0,OR(AUTOEVENTO&lt;&gt;"manual",$M62&lt;&gt;$A$15)),
        IF(Import.TipoArredondamento&lt;&gt;"TransfereGOV",
              ROUND(OFFSET($P62,0,AQ$13),15-13*ORÇAMENTO!$AF$7)/$H62*OFFSET(ORÇAMENTO!$X$15,ROW(AQ62)-ROW(AQ$15),0),
              ROUND(ROUND(OFFSET($P62,0,AQ$13),15-13*ORÇAMENTO!$AF$7)*OFFSET(ORÇAMENTO!$W$15,ROW(AQ62)-ROW(AQ$15),0),15-13*ORÇAMENTO!$AF$11)),
         0)</f>
        <v>0</v>
      </c>
      <c r="AR62" s="453">
        <f ca="1">IF(AND($D62="Serviço",AR$12&lt;&gt;0,$H62&gt;0,OR(AUTOEVENTO&lt;&gt;"manual",$M62&lt;&gt;$A$15)),
        IF(Import.TipoArredondamento&lt;&gt;"TransfereGOV",
              ROUND(OFFSET($P62,0,AR$13),15-13*ORÇAMENTO!$AF$7)/$H62*OFFSET(ORÇAMENTO!$X$15,ROW(AR62)-ROW(AR$15),0),
              ROUND(ROUND(OFFSET($P62,0,AR$13),15-13*ORÇAMENTO!$AF$7)*OFFSET(ORÇAMENTO!$W$15,ROW(AR62)-ROW(AR$15),0),15-13*ORÇAMENTO!$AF$11)),
         0)</f>
        <v>0</v>
      </c>
      <c r="AS62" s="453">
        <f ca="1">IF(AND($D62="Serviço",AS$12&lt;&gt;0,$H62&gt;0,OR(AUTOEVENTO&lt;&gt;"manual",$M62&lt;&gt;$A$15)),
        IF(Import.TipoArredondamento&lt;&gt;"TransfereGOV",
              ROUND(OFFSET($P62,0,AS$13),15-13*ORÇAMENTO!$AF$7)/$H62*OFFSET(ORÇAMENTO!$X$15,ROW(AS62)-ROW(AS$15),0),
              ROUND(ROUND(OFFSET($P62,0,AS$13),15-13*ORÇAMENTO!$AF$7)*OFFSET(ORÇAMENTO!$W$15,ROW(AS62)-ROW(AS$15),0),15-13*ORÇAMENTO!$AF$11)),
         0)</f>
        <v>0</v>
      </c>
      <c r="AT62" s="453">
        <f ca="1">IF(AND($D62="Serviço",AT$12&lt;&gt;0,$H62&gt;0,OR(AUTOEVENTO&lt;&gt;"manual",$M62&lt;&gt;$A$15)),
        IF(Import.TipoArredondamento&lt;&gt;"TransfereGOV",
              ROUND(OFFSET($P62,0,AT$13),15-13*ORÇAMENTO!$AF$7)/$H62*OFFSET(ORÇAMENTO!$X$15,ROW(AT62)-ROW(AT$15),0),
              ROUND(ROUND(OFFSET($P62,0,AT$13),15-13*ORÇAMENTO!$AF$7)*OFFSET(ORÇAMENTO!$W$15,ROW(AT62)-ROW(AT$15),0),15-13*ORÇAMENTO!$AF$11)),
         0)</f>
        <v>0</v>
      </c>
      <c r="AU62" s="453">
        <f ca="1">IF(AND($D62="Serviço",AU$12&lt;&gt;0,$H62&gt;0,OR(AUTOEVENTO&lt;&gt;"manual",$M62&lt;&gt;$A$15)),
        IF(Import.TipoArredondamento&lt;&gt;"TransfereGOV",
              ROUND(OFFSET($P62,0,AU$13),15-13*ORÇAMENTO!$AF$7)/$H62*OFFSET(ORÇAMENTO!$X$15,ROW(AU62)-ROW(AU$15),0),
              ROUND(ROUND(OFFSET($P62,0,AU$13),15-13*ORÇAMENTO!$AF$7)*OFFSET(ORÇAMENTO!$W$15,ROW(AU62)-ROW(AU$15),0),15-13*ORÇAMENTO!$AF$11)),
         0)</f>
        <v>0</v>
      </c>
      <c r="AV62" s="453">
        <f ca="1">IF(AND($D62="Serviço",AV$12&lt;&gt;0,$H62&gt;0,OR(AUTOEVENTO&lt;&gt;"manual",$M62&lt;&gt;$A$15)),
        IF(Import.TipoArredondamento&lt;&gt;"TransfereGOV",
              ROUND(OFFSET($P62,0,AV$13),15-13*ORÇAMENTO!$AF$7)/$H62*OFFSET(ORÇAMENTO!$X$15,ROW(AV62)-ROW(AV$15),0),
              ROUND(ROUND(OFFSET($P62,0,AV$13),15-13*ORÇAMENTO!$AF$7)*OFFSET(ORÇAMENTO!$W$15,ROW(AV62)-ROW(AV$15),0),15-13*ORÇAMENTO!$AF$11)),
         0)</f>
        <v>0</v>
      </c>
      <c r="AW62" s="453">
        <f ca="1">IF(AND($D62="Serviço",AW$12&lt;&gt;0,$H62&gt;0,OR(AUTOEVENTO&lt;&gt;"manual",$M62&lt;&gt;$A$15)),
        IF(Import.TipoArredondamento&lt;&gt;"TransfereGOV",
              ROUND(OFFSET($P62,0,AW$13),15-13*ORÇAMENTO!$AF$7)/$H62*OFFSET(ORÇAMENTO!$X$15,ROW(AW62)-ROW(AW$15),0),
              ROUND(ROUND(OFFSET($P62,0,AW$13),15-13*ORÇAMENTO!$AF$7)*OFFSET(ORÇAMENTO!$W$15,ROW(AW62)-ROW(AW$15),0),15-13*ORÇAMENTO!$AF$11)),
         0)</f>
        <v>0</v>
      </c>
      <c r="AX62" s="453">
        <f ca="1">IF(AND($D62="Serviço",AX$12&lt;&gt;0,$H62&gt;0,OR(AUTOEVENTO&lt;&gt;"manual",$M62&lt;&gt;$A$15)),
        IF(Import.TipoArredondamento&lt;&gt;"TransfereGOV",
              ROUND(OFFSET($P62,0,AX$13),15-13*ORÇAMENTO!$AF$7)/$H62*OFFSET(ORÇAMENTO!$X$15,ROW(AX62)-ROW(AX$15),0),
              ROUND(ROUND(OFFSET($P62,0,AX$13),15-13*ORÇAMENTO!$AF$7)*OFFSET(ORÇAMENTO!$W$15,ROW(AX62)-ROW(AX$15),0),15-13*ORÇAMENTO!$AF$11)),
         0)</f>
        <v>0</v>
      </c>
      <c r="AY62" s="453">
        <f ca="1">IF(AND($D62="Serviço",AY$12&lt;&gt;0,$H62&gt;0,OR(AUTOEVENTO&lt;&gt;"manual",$M62&lt;&gt;$A$15)),
        IF(Import.TipoArredondamento&lt;&gt;"TransfereGOV",
              ROUND(OFFSET($P62,0,AY$13),15-13*ORÇAMENTO!$AF$7)/$H62*OFFSET(ORÇAMENTO!$X$15,ROW(AY62)-ROW(AY$15),0),
              ROUND(ROUND(OFFSET($P62,0,AY$13),15-13*ORÇAMENTO!$AF$7)*OFFSET(ORÇAMENTO!$W$15,ROW(AY62)-ROW(AY$15),0),15-13*ORÇAMENTO!$AF$11)),
         0)</f>
        <v>0</v>
      </c>
      <c r="AZ62" s="453">
        <f ca="1">IF(AND($D62="Serviço",AZ$12&lt;&gt;0,$H62&gt;0,OR(AUTOEVENTO&lt;&gt;"manual",$M62&lt;&gt;$A$15)),
        IF(Import.TipoArredondamento&lt;&gt;"TransfereGOV",
              ROUND(OFFSET($P62,0,AZ$13),15-13*ORÇAMENTO!$AF$7)/$H62*OFFSET(ORÇAMENTO!$X$15,ROW(AZ62)-ROW(AZ$15),0),
              ROUND(ROUND(OFFSET($P62,0,AZ$13),15-13*ORÇAMENTO!$AF$7)*OFFSET(ORÇAMENTO!$W$15,ROW(AZ62)-ROW(AZ$15),0),15-13*ORÇAMENTO!$AF$11)),
         0)</f>
        <v>0</v>
      </c>
      <c r="BA62" s="453">
        <f ca="1">IF(AND($D62="Serviço",BA$12&lt;&gt;0,$H62&gt;0,OR(AUTOEVENTO&lt;&gt;"manual",$M62&lt;&gt;$A$15)),
        IF(Import.TipoArredondamento&lt;&gt;"TransfereGOV",
              ROUND(OFFSET($P62,0,BA$13),15-13*ORÇAMENTO!$AF$7)/$H62*OFFSET(ORÇAMENTO!$X$15,ROW(BA62)-ROW(BA$15),0),
              ROUND(ROUND(OFFSET($P62,0,BA$13),15-13*ORÇAMENTO!$AF$7)*OFFSET(ORÇAMENTO!$W$15,ROW(BA62)-ROW(BA$15),0),15-13*ORÇAMENTO!$AF$11)),
         0)</f>
        <v>0</v>
      </c>
      <c r="BC62" s="171">
        <f ca="1">IF(OR($D62&lt;&gt;"Serviço",AND(AUTOEVENTO="Manual",$M62=$A$15)),0,
         IF(OFFSET(CRONOPLE!$F$15,$M62-$A$15,BC$13)=0,10^12,OFFSET(CRONOPLE!$F$15,$M62-$A$15,BC$13)))</f>
        <v>1000000000000</v>
      </c>
      <c r="BD62" s="171">
        <f ca="1">IF(OR($D62&lt;&gt;"Serviço",AND(AUTOEVENTO="Manual",$M62=$A$15)),0,
         IF(OFFSET(CRONOPLE!$F$15,$M62-$A$15,BD$13)=0,10^12,OFFSET(CRONOPLE!$F$15,$M62-$A$15,BD$13)))</f>
        <v>1000000000000</v>
      </c>
      <c r="BE62" s="171">
        <f ca="1">IF(OR($D62&lt;&gt;"Serviço",AND(AUTOEVENTO="Manual",$M62=$A$15)),0,
         IF(OFFSET(CRONOPLE!$F$15,$M62-$A$15,BE$13)=0,10^12,OFFSET(CRONOPLE!$F$15,$M62-$A$15,BE$13)))</f>
        <v>6</v>
      </c>
      <c r="BF62" s="171">
        <f ca="1">IF(OR($D62&lt;&gt;"Serviço",AND(AUTOEVENTO="Manual",$M62=$A$15)),0,
         IF(OFFSET(CRONOPLE!$F$15,$M62-$A$15,BF$13)=0,10^12,OFFSET(CRONOPLE!$F$15,$M62-$A$15,BF$13)))</f>
        <v>10</v>
      </c>
      <c r="BG62" s="171">
        <f ca="1">IF(OR($D62&lt;&gt;"Serviço",AND(AUTOEVENTO="Manual",$M62=$A$15)),0,
         IF(OFFSET(CRONOPLE!$F$15,$M62-$A$15,BG$13)=0,10^12,OFFSET(CRONOPLE!$F$15,$M62-$A$15,BG$13)))</f>
        <v>9</v>
      </c>
      <c r="BH62" s="171">
        <f ca="1">IF(OR($D62&lt;&gt;"Serviço",AND(AUTOEVENTO="Manual",$M62=$A$15)),0,
         IF(OFFSET(CRONOPLE!$F$15,$M62-$A$15,BH$13)=0,10^12,OFFSET(CRONOPLE!$F$15,$M62-$A$15,BH$13)))</f>
        <v>7</v>
      </c>
      <c r="BI62" s="171">
        <f ca="1">IF(OR($D62&lt;&gt;"Serviço",AND(AUTOEVENTO="Manual",$M62=$A$15)),0,
         IF(OFFSET(CRONOPLE!$F$15,$M62-$A$15,BI$13)=0,10^12,OFFSET(CRONOPLE!$F$15,$M62-$A$15,BI$13)))</f>
        <v>10</v>
      </c>
      <c r="BJ62" s="171">
        <f ca="1">IF(OR($D62&lt;&gt;"Serviço",AND(AUTOEVENTO="Manual",$M62=$A$15)),0,
         IF(OFFSET(CRONOPLE!$F$15,$M62-$A$15,BJ$13)=0,10^12,OFFSET(CRONOPLE!$F$15,$M62-$A$15,BJ$13)))</f>
        <v>1000000000000</v>
      </c>
      <c r="BK62" s="171">
        <f ca="1">IF(OR($D62&lt;&gt;"Serviço",AND(AUTOEVENTO="Manual",$M62=$A$15)),0,
         IF(OFFSET(CRONOPLE!$F$15,$M62-$A$15,BK$13)=0,10^12,OFFSET(CRONOPLE!$F$15,$M62-$A$15,BK$13)))</f>
        <v>1000000000000</v>
      </c>
      <c r="BL62" s="171">
        <f ca="1">IF(OR($D62&lt;&gt;"Serviço",AND(AUTOEVENTO="Manual",$M62=$A$15)),0,
         IF(OFFSET(CRONOPLE!$F$15,$M62-$A$15,BL$13)=0,10^12,OFFSET(CRONOPLE!$F$15,$M62-$A$15,BL$13)))</f>
        <v>1000000000000</v>
      </c>
      <c r="BM62" s="171">
        <f ca="1">IF(OR($D62&lt;&gt;"Serviço",AND(AUTOEVENTO="Manual",$M62=$A$15)),0,
         IF(OFFSET(CRONOPLE!$F$15,$M62-$A$15,BM$13)=0,10^12,OFFSET(CRONOPLE!$F$15,$M62-$A$15,BM$13)))</f>
        <v>1000000000000</v>
      </c>
      <c r="BN62" s="171">
        <f ca="1">IF(OR($D62&lt;&gt;"Serviço",AND(AUTOEVENTO="Manual",$M62=$A$15)),0,
         IF(OFFSET(CRONOPLE!$F$15,$M62-$A$15,BN$13)=0,10^12,OFFSET(CRONOPLE!$F$15,$M62-$A$15,BN$13)))</f>
        <v>1000000000000</v>
      </c>
      <c r="BO62" s="171">
        <f ca="1">IF(OR($D62&lt;&gt;"Serviço",AND(AUTOEVENTO="Manual",$M62=$A$15)),0,
         IF(OFFSET(CRONOPLE!$F$15,$M62-$A$15,BO$13)=0,10^12,OFFSET(CRONOPLE!$F$15,$M62-$A$15,BO$13)))</f>
        <v>1000000000000</v>
      </c>
      <c r="BP62" s="171">
        <f ca="1">IF(OR($D62&lt;&gt;"Serviço",AND(AUTOEVENTO="Manual",$M62=$A$15)),0,
         IF(OFFSET(CRONOPLE!$F$15,$M62-$A$15,BP$13)=0,10^12,OFFSET(CRONOPLE!$F$15,$M62-$A$15,BP$13)))</f>
        <v>1000000000000</v>
      </c>
      <c r="BQ62" s="171">
        <f ca="1">IF(OR($D62&lt;&gt;"Serviço",AND(AUTOEVENTO="Manual",$M62=$A$15)),0,
         IF(OFFSET(CRONOPLE!$F$15,$M62-$A$15,BQ$13)=0,10^12,OFFSET(CRONOPLE!$F$15,$M62-$A$15,BQ$13)))</f>
        <v>1000000000000</v>
      </c>
      <c r="BR62" s="171">
        <f ca="1">IF(OR($D62&lt;&gt;"Serviço",AND(AUTOEVENTO="Manual",$M62=$A$15)),0,
         IF(OFFSET(CRONOPLE!$F$15,$M62-$A$15,BR$13)=0,10^12,OFFSET(CRONOPLE!$F$15,$M62-$A$15,BR$13)))</f>
        <v>1000000000000</v>
      </c>
      <c r="BS62" s="171">
        <f ca="1">IF(OR($D62&lt;&gt;"Serviço",AND(AUTOEVENTO="Manual",$M62=$A$15)),0,
         IF(OFFSET(CRONOPLE!$F$15,$M62-$A$15,BS$13)=0,10^12,OFFSET(CRONOPLE!$F$15,$M62-$A$15,BS$13)))</f>
        <v>1000000000000</v>
      </c>
      <c r="BT62" s="171">
        <f ca="1">IF(OR($D62&lt;&gt;"Serviço",AND(AUTOEVENTO="Manual",$M62=$A$15)),0,
         IF(OFFSET(CRONOPLE!$F$15,$M62-$A$15,BT$13)=0,10^12,OFFSET(CRONOPLE!$F$15,$M62-$A$15,BT$13)))</f>
        <v>1000000000000</v>
      </c>
      <c r="BV62" s="172" cm="1">
        <f t="array" aca="1" ref="BV62" ca="1">IF(OR($D62&lt;&gt;"Serviço",AND(AUTOEVENTO="Manual",$M62=$A$15),$M62&gt;(ROW(PLE.lastrow)-ROW(PLE.firstrow))),0,
           IF(OFFSET(PLE!$G$15,$M62-$A$15,BV$13)="",10^12,OFFSET(PLE!$G$15,$M62-$A$15,BV$13)))</f>
        <v>1000000000000</v>
      </c>
      <c r="BW62" s="172" cm="1">
        <f t="array" aca="1" ref="BW62" ca="1">IF(OR($D62&lt;&gt;"Serviço",AND(AUTOEVENTO="Manual",$M62=$A$15),$M62&gt;(ROW(PLE.lastrow)-ROW(PLE.firstrow))),0,
           IF(OFFSET(PLE!$G$15,$M62-$A$15,BW$13)="",10^12,OFFSET(PLE!$G$15,$M62-$A$15,BW$13)))</f>
        <v>1000000000000</v>
      </c>
      <c r="BX62" s="172" cm="1">
        <f t="array" aca="1" ref="BX62" ca="1">IF(OR($D62&lt;&gt;"Serviço",AND(AUTOEVENTO="Manual",$M62=$A$15),$M62&gt;(ROW(PLE.lastrow)-ROW(PLE.firstrow))),0,
           IF(OFFSET(PLE!$G$15,$M62-$A$15,BX$13)="",10^12,OFFSET(PLE!$G$15,$M62-$A$15,BX$13)))</f>
        <v>1000000000000</v>
      </c>
      <c r="BY62" s="172" cm="1">
        <f t="array" aca="1" ref="BY62" ca="1">IF(OR($D62&lt;&gt;"Serviço",AND(AUTOEVENTO="Manual",$M62=$A$15),$M62&gt;(ROW(PLE.lastrow)-ROW(PLE.firstrow))),0,
           IF(OFFSET(PLE!$G$15,$M62-$A$15,BY$13)="",10^12,OFFSET(PLE!$G$15,$M62-$A$15,BY$13)))</f>
        <v>1000000000000</v>
      </c>
      <c r="BZ62" s="172" cm="1">
        <f t="array" aca="1" ref="BZ62" ca="1">IF(OR($D62&lt;&gt;"Serviço",AND(AUTOEVENTO="Manual",$M62=$A$15),$M62&gt;(ROW(PLE.lastrow)-ROW(PLE.firstrow))),0,
           IF(OFFSET(PLE!$G$15,$M62-$A$15,BZ$13)="",10^12,OFFSET(PLE!$G$15,$M62-$A$15,BZ$13)))</f>
        <v>1000000000000</v>
      </c>
      <c r="CA62" s="172" cm="1">
        <f t="array" aca="1" ref="CA62" ca="1">IF(OR($D62&lt;&gt;"Serviço",AND(AUTOEVENTO="Manual",$M62=$A$15),$M62&gt;(ROW(PLE.lastrow)-ROW(PLE.firstrow))),0,
           IF(OFFSET(PLE!$G$15,$M62-$A$15,CA$13)="",10^12,OFFSET(PLE!$G$15,$M62-$A$15,CA$13)))</f>
        <v>1000000000000</v>
      </c>
      <c r="CB62" s="172" cm="1">
        <f t="array" aca="1" ref="CB62" ca="1">IF(OR($D62&lt;&gt;"Serviço",AND(AUTOEVENTO="Manual",$M62=$A$15),$M62&gt;(ROW(PLE.lastrow)-ROW(PLE.firstrow))),0,
           IF(OFFSET(PLE!$G$15,$M62-$A$15,CB$13)="",10^12,OFFSET(PLE!$G$15,$M62-$A$15,CB$13)))</f>
        <v>1000000000000</v>
      </c>
      <c r="CC62" s="172" cm="1">
        <f t="array" aca="1" ref="CC62" ca="1">IF(OR($D62&lt;&gt;"Serviço",AND(AUTOEVENTO="Manual",$M62=$A$15),$M62&gt;(ROW(PLE.lastrow)-ROW(PLE.firstrow))),0,
           IF(OFFSET(PLE!$G$15,$M62-$A$15,CC$13)="",10^12,OFFSET(PLE!$G$15,$M62-$A$15,CC$13)))</f>
        <v>1000000000000</v>
      </c>
      <c r="CD62" s="172" cm="1">
        <f t="array" aca="1" ref="CD62" ca="1">IF(OR($D62&lt;&gt;"Serviço",AND(AUTOEVENTO="Manual",$M62=$A$15),$M62&gt;(ROW(PLE.lastrow)-ROW(PLE.firstrow))),0,
           IF(OFFSET(PLE!$G$15,$M62-$A$15,CD$13)="",10^12,OFFSET(PLE!$G$15,$M62-$A$15,CD$13)))</f>
        <v>1000000000000</v>
      </c>
      <c r="CE62" s="172" cm="1">
        <f t="array" aca="1" ref="CE62" ca="1">IF(OR($D62&lt;&gt;"Serviço",AND(AUTOEVENTO="Manual",$M62=$A$15),$M62&gt;(ROW(PLE.lastrow)-ROW(PLE.firstrow))),0,
           IF(OFFSET(PLE!$G$15,$M62-$A$15,CE$13)="",10^12,OFFSET(PLE!$G$15,$M62-$A$15,CE$13)))</f>
        <v>1000000000000</v>
      </c>
      <c r="CF62" s="172" cm="1">
        <f t="array" aca="1" ref="CF62" ca="1">IF(OR($D62&lt;&gt;"Serviço",AND(AUTOEVENTO="Manual",$M62=$A$15),$M62&gt;(ROW(PLE.lastrow)-ROW(PLE.firstrow))),0,
           IF(OFFSET(PLE!$G$15,$M62-$A$15,CF$13)="",10^12,OFFSET(PLE!$G$15,$M62-$A$15,CF$13)))</f>
        <v>1000000000000</v>
      </c>
      <c r="CG62" s="172" cm="1">
        <f t="array" aca="1" ref="CG62" ca="1">IF(OR($D62&lt;&gt;"Serviço",AND(AUTOEVENTO="Manual",$M62=$A$15),$M62&gt;(ROW(PLE.lastrow)-ROW(PLE.firstrow))),0,
           IF(OFFSET(PLE!$G$15,$M62-$A$15,CG$13)="",10^12,OFFSET(PLE!$G$15,$M62-$A$15,CG$13)))</f>
        <v>1000000000000</v>
      </c>
      <c r="CH62" s="172" cm="1">
        <f t="array" aca="1" ref="CH62" ca="1">IF(OR($D62&lt;&gt;"Serviço",AND(AUTOEVENTO="Manual",$M62=$A$15),$M62&gt;(ROW(PLE.lastrow)-ROW(PLE.firstrow))),0,
           IF(OFFSET(PLE!$G$15,$M62-$A$15,CH$13)="",10^12,OFFSET(PLE!$G$15,$M62-$A$15,CH$13)))</f>
        <v>1000000000000</v>
      </c>
      <c r="CI62" s="172" cm="1">
        <f t="array" aca="1" ref="CI62" ca="1">IF(OR($D62&lt;&gt;"Serviço",AND(AUTOEVENTO="Manual",$M62=$A$15),$M62&gt;(ROW(PLE.lastrow)-ROW(PLE.firstrow))),0,
           IF(OFFSET(PLE!$G$15,$M62-$A$15,CI$13)="",10^12,OFFSET(PLE!$G$15,$M62-$A$15,CI$13)))</f>
        <v>1000000000000</v>
      </c>
      <c r="CJ62" s="172" cm="1">
        <f t="array" aca="1" ref="CJ62" ca="1">IF(OR($D62&lt;&gt;"Serviço",AND(AUTOEVENTO="Manual",$M62=$A$15),$M62&gt;(ROW(PLE.lastrow)-ROW(PLE.firstrow))),0,
           IF(OFFSET(PLE!$G$15,$M62-$A$15,CJ$13)="",10^12,OFFSET(PLE!$G$15,$M62-$A$15,CJ$13)))</f>
        <v>1000000000000</v>
      </c>
      <c r="CK62" s="172" cm="1">
        <f t="array" aca="1" ref="CK62" ca="1">IF(OR($D62&lt;&gt;"Serviço",AND(AUTOEVENTO="Manual",$M62=$A$15),$M62&gt;(ROW(PLE.lastrow)-ROW(PLE.firstrow))),0,
           IF(OFFSET(PLE!$G$15,$M62-$A$15,CK$13)="",10^12,OFFSET(PLE!$G$15,$M62-$A$15,CK$13)))</f>
        <v>1000000000000</v>
      </c>
      <c r="CL62" s="172" cm="1">
        <f t="array" aca="1" ref="CL62" ca="1">IF(OR($D62&lt;&gt;"Serviço",AND(AUTOEVENTO="Manual",$M62=$A$15),$M62&gt;(ROW(PLE.lastrow)-ROW(PLE.firstrow))),0,
           IF(OFFSET(PLE!$G$15,$M62-$A$15,CL$13)="",10^12,OFFSET(PLE!$G$15,$M62-$A$15,CL$13)))</f>
        <v>1000000000000</v>
      </c>
      <c r="CM62" s="172" cm="1">
        <f t="array" aca="1" ref="CM62" ca="1">IF(OR($D62&lt;&gt;"Serviço",AND(AUTOEVENTO="Manual",$M62=$A$15),$M62&gt;(ROW(PLE.lastrow)-ROW(PLE.firstrow))),0,
           IF(OFFSET(PLE!$G$15,$M62-$A$15,CM$13)="",10^12,OFFSET(PLE!$G$15,$M62-$A$15,CM$13)))</f>
        <v>1000000000000</v>
      </c>
    </row>
    <row r="63" spans="1:91" s="670" customFormat="1" ht="25.5" x14ac:dyDescent="0.2">
      <c r="A63" s="668">
        <f t="shared" ca="1" si="10"/>
        <v>27</v>
      </c>
      <c r="B63" s="668" t="str">
        <f ca="1">OFFSET(ORÇAMENTO!C$15,$L63,0)</f>
        <v>S</v>
      </c>
      <c r="C63" s="668" t="str">
        <f ca="1">OFFSET(ORÇAMENTO!L$15,$L63,0)</f>
        <v>F</v>
      </c>
      <c r="D63" s="116" t="str">
        <f ca="1">OFFSET(ORÇAMENTO!N$15,$L63,0)</f>
        <v>Serviço</v>
      </c>
      <c r="E63" s="117" t="str">
        <f ca="1">OFFSET(ORÇAMENTO!O$15,$L63,0)</f>
        <v>1.8.12.</v>
      </c>
      <c r="F63" s="163" t="str">
        <f ca="1">OFFSET(ORÇAMENTO!R$15,$L63,0)</f>
        <v>PORTÃO COM TUBOS E TELAS DE AÇO, 1 FOLHA - SOLDADO EM ESTRUTURA - FORNECIMENTO E INSTALAÇÃO</v>
      </c>
      <c r="G63" s="164" t="str">
        <f ca="1">IF($D63&lt;&gt;"Serviço","",OFFSET(ORÇAMENTO!S$15,$L63,0))</f>
        <v>M2</v>
      </c>
      <c r="H63" s="122" cm="1">
        <f t="array" aca="1" ref="H63" ca="1">IF($D63&lt;&gt;"Serviço",0,IF(ACOMPANHAMENTO="BM",ROUND(OFFSET(ORÇAMENTO!AJ$15,$L63,0),15-13*ORÇAMENTO!$AF$7),IF(IFERROR(CÁLCULO.FrentesPreenchidas,0)=0,0,SUM(ROUND(OFFSET($P63,0,1,1,CÁLCULO.FrentesPreenchidas),15-13*ORÇAMENTO!$AF$7)))))</f>
        <v>19.2</v>
      </c>
      <c r="I63" s="468" t="s">
        <v>1152</v>
      </c>
      <c r="J63" s="651" t="str" cm="1">
        <f t="array" aca="1" ref="J63" ca="1">IF(OR(B63&lt;&gt;"S",CÁLCULO.FrentesPreenchidas=0),"",IF(AND(ACOMPANHAMENTO="PLE",AUTOEVENTO="Manual",OR(H63&gt;0,ORÇAMENTO!AC63="QUANT."),OR(K63="",M63=0,N63="")),"►E",IF(AND(ACOMPANHAMENTO="PLE",ORÇAMENTO!AC63="QUANT."),"►Q",IF(AND(ACOMPANHAMENTO="PLE",H63&lt;&gt;SUMPRODUCT(($Q$1:$AI$1=1)*ROUND(Q63:AI63,15))),"►S",IF(AND(COUNTIF($P$11:$AI$11,"▼")=0,H63&gt;0,I63=""),"◄M","")))))</f>
        <v/>
      </c>
      <c r="K63" s="652" t="s">
        <v>1349</v>
      </c>
      <c r="L63" s="165">
        <f t="shared" ca="1" si="11"/>
        <v>48</v>
      </c>
      <c r="M63" s="166">
        <f ca="1">IF($D63&lt;&gt;"Serviço","",
          IF(AUTOEVENTO="manual",$A63,
                IF(ISERROR(MATCH($A63,$A$15:OFFSET($A63,-1,0),0)),MAX($M$15:OFFSET(M63,-1,0))+1,
                      INDEX($M$15:OFFSET(M63,-1,0),MATCH($A63,$A$15:OFFSET($A63,-1,0),0)))))</f>
        <v>27</v>
      </c>
      <c r="N63" s="167" t="str">
        <f ca="1">IF($D63&lt;&gt;"Serviço","",
         IF(AUTOEVENTO="Manual",
                IF($A63=0,"&lt;-- defina o número do agrupador",
                       OFFSET(EVENTOS!$D$15,$A63-$A$15,0)),
                OFFSET($F$15,$A63,0)))</f>
        <v>Esquadrias</v>
      </c>
      <c r="O63" s="168"/>
      <c r="Q63" s="168"/>
      <c r="R63" s="169"/>
      <c r="S63" s="169"/>
      <c r="T63" s="169">
        <v>19.2</v>
      </c>
      <c r="U63" s="169"/>
      <c r="V63" s="169"/>
      <c r="W63" s="169"/>
      <c r="X63" s="169"/>
      <c r="Y63" s="169"/>
      <c r="Z63" s="170"/>
      <c r="AA63" s="705"/>
      <c r="AB63" s="705"/>
      <c r="AC63" s="705"/>
      <c r="AD63" s="705"/>
      <c r="AE63" s="705"/>
      <c r="AF63" s="705"/>
      <c r="AG63" s="705"/>
      <c r="AH63" s="706"/>
      <c r="AJ63" s="453">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3">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L63" s="453">
        <f ca="1">IF(AND($D63="Serviço",AL$12&lt;&gt;0,$H63&gt;0,OR(AUTOEVENTO&lt;&gt;"manual",$M63&lt;&gt;$A$15)),
        IF(Import.TipoArredondamento&lt;&gt;"TransfereGOV",
              ROUND(OFFSET($P63,0,AL$13),15-13*ORÇAMENTO!$AF$7)/$H63*OFFSET(ORÇAMENTO!$X$15,ROW(AL63)-ROW(AL$15),0),
              ROUND(ROUND(OFFSET($P63,0,AL$13),15-13*ORÇAMENTO!$AF$7)*OFFSET(ORÇAMENTO!$W$15,ROW(AL63)-ROW(AL$15),0),15-13*ORÇAMENTO!$AF$11)),
         0)</f>
        <v>0</v>
      </c>
      <c r="AM63" s="453">
        <f ca="1">IF(AND($D63="Serviço",AM$12&lt;&gt;0,$H63&gt;0,OR(AUTOEVENTO&lt;&gt;"manual",$M63&lt;&gt;$A$15)),
        IF(Import.TipoArredondamento&lt;&gt;"TransfereGOV",
              ROUND(OFFSET($P63,0,AM$13),15-13*ORÇAMENTO!$AF$7)/$H63*OFFSET(ORÇAMENTO!$X$15,ROW(AM63)-ROW(AM$15),0),
              ROUND(ROUND(OFFSET($P63,0,AM$13),15-13*ORÇAMENTO!$AF$7)*OFFSET(ORÇAMENTO!$W$15,ROW(AM63)-ROW(AM$15),0),15-13*ORÇAMENTO!$AF$11)),
         0)</f>
        <v>8055.94</v>
      </c>
      <c r="AN63" s="453">
        <f ca="1">IF(AND($D63="Serviço",AN$12&lt;&gt;0,$H63&gt;0,OR(AUTOEVENTO&lt;&gt;"manual",$M63&lt;&gt;$A$15)),
        IF(Import.TipoArredondamento&lt;&gt;"TransfereGOV",
              ROUND(OFFSET($P63,0,AN$13),15-13*ORÇAMENTO!$AF$7)/$H63*OFFSET(ORÇAMENTO!$X$15,ROW(AN63)-ROW(AN$15),0),
              ROUND(ROUND(OFFSET($P63,0,AN$13),15-13*ORÇAMENTO!$AF$7)*OFFSET(ORÇAMENTO!$W$15,ROW(AN63)-ROW(AN$15),0),15-13*ORÇAMENTO!$AF$11)),
         0)</f>
        <v>0</v>
      </c>
      <c r="AO63" s="453">
        <f ca="1">IF(AND($D63="Serviço",AO$12&lt;&gt;0,$H63&gt;0,OR(AUTOEVENTO&lt;&gt;"manual",$M63&lt;&gt;$A$15)),
        IF(Import.TipoArredondamento&lt;&gt;"TransfereGOV",
              ROUND(OFFSET($P63,0,AO$13),15-13*ORÇAMENTO!$AF$7)/$H63*OFFSET(ORÇAMENTO!$X$15,ROW(AO63)-ROW(AO$15),0),
              ROUND(ROUND(OFFSET($P63,0,AO$13),15-13*ORÇAMENTO!$AF$7)*OFFSET(ORÇAMENTO!$W$15,ROW(AO63)-ROW(AO$15),0),15-13*ORÇAMENTO!$AF$11)),
         0)</f>
        <v>0</v>
      </c>
      <c r="AP63" s="453">
        <f ca="1">IF(AND($D63="Serviço",AP$12&lt;&gt;0,$H63&gt;0,OR(AUTOEVENTO&lt;&gt;"manual",$M63&lt;&gt;$A$15)),
        IF(Import.TipoArredondamento&lt;&gt;"TransfereGOV",
              ROUND(OFFSET($P63,0,AP$13),15-13*ORÇAMENTO!$AF$7)/$H63*OFFSET(ORÇAMENTO!$X$15,ROW(AP63)-ROW(AP$15),0),
              ROUND(ROUND(OFFSET($P63,0,AP$13),15-13*ORÇAMENTO!$AF$7)*OFFSET(ORÇAMENTO!$W$15,ROW(AP63)-ROW(AP$15),0),15-13*ORÇAMENTO!$AF$11)),
         0)</f>
        <v>0</v>
      </c>
      <c r="AQ63" s="453">
        <f ca="1">IF(AND($D63="Serviço",AQ$12&lt;&gt;0,$H63&gt;0,OR(AUTOEVENTO&lt;&gt;"manual",$M63&lt;&gt;$A$15)),
        IF(Import.TipoArredondamento&lt;&gt;"TransfereGOV",
              ROUND(OFFSET($P63,0,AQ$13),15-13*ORÇAMENTO!$AF$7)/$H63*OFFSET(ORÇAMENTO!$X$15,ROW(AQ63)-ROW(AQ$15),0),
              ROUND(ROUND(OFFSET($P63,0,AQ$13),15-13*ORÇAMENTO!$AF$7)*OFFSET(ORÇAMENTO!$W$15,ROW(AQ63)-ROW(AQ$15),0),15-13*ORÇAMENTO!$AF$11)),
         0)</f>
        <v>0</v>
      </c>
      <c r="AR63" s="453">
        <f ca="1">IF(AND($D63="Serviço",AR$12&lt;&gt;0,$H63&gt;0,OR(AUTOEVENTO&lt;&gt;"manual",$M63&lt;&gt;$A$15)),
        IF(Import.TipoArredondamento&lt;&gt;"TransfereGOV",
              ROUND(OFFSET($P63,0,AR$13),15-13*ORÇAMENTO!$AF$7)/$H63*OFFSET(ORÇAMENTO!$X$15,ROW(AR63)-ROW(AR$15),0),
              ROUND(ROUND(OFFSET($P63,0,AR$13),15-13*ORÇAMENTO!$AF$7)*OFFSET(ORÇAMENTO!$W$15,ROW(AR63)-ROW(AR$15),0),15-13*ORÇAMENTO!$AF$11)),
         0)</f>
        <v>0</v>
      </c>
      <c r="AS63" s="453">
        <f ca="1">IF(AND($D63="Serviço",AS$12&lt;&gt;0,$H63&gt;0,OR(AUTOEVENTO&lt;&gt;"manual",$M63&lt;&gt;$A$15)),
        IF(Import.TipoArredondamento&lt;&gt;"TransfereGOV",
              ROUND(OFFSET($P63,0,AS$13),15-13*ORÇAMENTO!$AF$7)/$H63*OFFSET(ORÇAMENTO!$X$15,ROW(AS63)-ROW(AS$15),0),
              ROUND(ROUND(OFFSET($P63,0,AS$13),15-13*ORÇAMENTO!$AF$7)*OFFSET(ORÇAMENTO!$W$15,ROW(AS63)-ROW(AS$15),0),15-13*ORÇAMENTO!$AF$11)),
         0)</f>
        <v>0</v>
      </c>
      <c r="AT63" s="453">
        <f ca="1">IF(AND($D63="Serviço",AT$12&lt;&gt;0,$H63&gt;0,OR(AUTOEVENTO&lt;&gt;"manual",$M63&lt;&gt;$A$15)),
        IF(Import.TipoArredondamento&lt;&gt;"TransfereGOV",
              ROUND(OFFSET($P63,0,AT$13),15-13*ORÇAMENTO!$AF$7)/$H63*OFFSET(ORÇAMENTO!$X$15,ROW(AT63)-ROW(AT$15),0),
              ROUND(ROUND(OFFSET($P63,0,AT$13),15-13*ORÇAMENTO!$AF$7)*OFFSET(ORÇAMENTO!$W$15,ROW(AT63)-ROW(AT$15),0),15-13*ORÇAMENTO!$AF$11)),
         0)</f>
        <v>0</v>
      </c>
      <c r="AU63" s="453">
        <f ca="1">IF(AND($D63="Serviço",AU$12&lt;&gt;0,$H63&gt;0,OR(AUTOEVENTO&lt;&gt;"manual",$M63&lt;&gt;$A$15)),
        IF(Import.TipoArredondamento&lt;&gt;"TransfereGOV",
              ROUND(OFFSET($P63,0,AU$13),15-13*ORÇAMENTO!$AF$7)/$H63*OFFSET(ORÇAMENTO!$X$15,ROW(AU63)-ROW(AU$15),0),
              ROUND(ROUND(OFFSET($P63,0,AU$13),15-13*ORÇAMENTO!$AF$7)*OFFSET(ORÇAMENTO!$W$15,ROW(AU63)-ROW(AU$15),0),15-13*ORÇAMENTO!$AF$11)),
         0)</f>
        <v>0</v>
      </c>
      <c r="AV63" s="453">
        <f ca="1">IF(AND($D63="Serviço",AV$12&lt;&gt;0,$H63&gt;0,OR(AUTOEVENTO&lt;&gt;"manual",$M63&lt;&gt;$A$15)),
        IF(Import.TipoArredondamento&lt;&gt;"TransfereGOV",
              ROUND(OFFSET($P63,0,AV$13),15-13*ORÇAMENTO!$AF$7)/$H63*OFFSET(ORÇAMENTO!$X$15,ROW(AV63)-ROW(AV$15),0),
              ROUND(ROUND(OFFSET($P63,0,AV$13),15-13*ORÇAMENTO!$AF$7)*OFFSET(ORÇAMENTO!$W$15,ROW(AV63)-ROW(AV$15),0),15-13*ORÇAMENTO!$AF$11)),
         0)</f>
        <v>0</v>
      </c>
      <c r="AW63" s="453">
        <f ca="1">IF(AND($D63="Serviço",AW$12&lt;&gt;0,$H63&gt;0,OR(AUTOEVENTO&lt;&gt;"manual",$M63&lt;&gt;$A$15)),
        IF(Import.TipoArredondamento&lt;&gt;"TransfereGOV",
              ROUND(OFFSET($P63,0,AW$13),15-13*ORÇAMENTO!$AF$7)/$H63*OFFSET(ORÇAMENTO!$X$15,ROW(AW63)-ROW(AW$15),0),
              ROUND(ROUND(OFFSET($P63,0,AW$13),15-13*ORÇAMENTO!$AF$7)*OFFSET(ORÇAMENTO!$W$15,ROW(AW63)-ROW(AW$15),0),15-13*ORÇAMENTO!$AF$11)),
         0)</f>
        <v>0</v>
      </c>
      <c r="AX63" s="453">
        <f ca="1">IF(AND($D63="Serviço",AX$12&lt;&gt;0,$H63&gt;0,OR(AUTOEVENTO&lt;&gt;"manual",$M63&lt;&gt;$A$15)),
        IF(Import.TipoArredondamento&lt;&gt;"TransfereGOV",
              ROUND(OFFSET($P63,0,AX$13),15-13*ORÇAMENTO!$AF$7)/$H63*OFFSET(ORÇAMENTO!$X$15,ROW(AX63)-ROW(AX$15),0),
              ROUND(ROUND(OFFSET($P63,0,AX$13),15-13*ORÇAMENTO!$AF$7)*OFFSET(ORÇAMENTO!$W$15,ROW(AX63)-ROW(AX$15),0),15-13*ORÇAMENTO!$AF$11)),
         0)</f>
        <v>0</v>
      </c>
      <c r="AY63" s="453">
        <f ca="1">IF(AND($D63="Serviço",AY$12&lt;&gt;0,$H63&gt;0,OR(AUTOEVENTO&lt;&gt;"manual",$M63&lt;&gt;$A$15)),
        IF(Import.TipoArredondamento&lt;&gt;"TransfereGOV",
              ROUND(OFFSET($P63,0,AY$13),15-13*ORÇAMENTO!$AF$7)/$H63*OFFSET(ORÇAMENTO!$X$15,ROW(AY63)-ROW(AY$15),0),
              ROUND(ROUND(OFFSET($P63,0,AY$13),15-13*ORÇAMENTO!$AF$7)*OFFSET(ORÇAMENTO!$W$15,ROW(AY63)-ROW(AY$15),0),15-13*ORÇAMENTO!$AF$11)),
         0)</f>
        <v>0</v>
      </c>
      <c r="AZ63" s="453">
        <f ca="1">IF(AND($D63="Serviço",AZ$12&lt;&gt;0,$H63&gt;0,OR(AUTOEVENTO&lt;&gt;"manual",$M63&lt;&gt;$A$15)),
        IF(Import.TipoArredondamento&lt;&gt;"TransfereGOV",
              ROUND(OFFSET($P63,0,AZ$13),15-13*ORÇAMENTO!$AF$7)/$H63*OFFSET(ORÇAMENTO!$X$15,ROW(AZ63)-ROW(AZ$15),0),
              ROUND(ROUND(OFFSET($P63,0,AZ$13),15-13*ORÇAMENTO!$AF$7)*OFFSET(ORÇAMENTO!$W$15,ROW(AZ63)-ROW(AZ$15),0),15-13*ORÇAMENTO!$AF$11)),
         0)</f>
        <v>0</v>
      </c>
      <c r="BA63" s="453">
        <f ca="1">IF(AND($D63="Serviço",BA$12&lt;&gt;0,$H63&gt;0,OR(AUTOEVENTO&lt;&gt;"manual",$M63&lt;&gt;$A$15)),
        IF(Import.TipoArredondamento&lt;&gt;"TransfereGOV",
              ROUND(OFFSET($P63,0,BA$13),15-13*ORÇAMENTO!$AF$7)/$H63*OFFSET(ORÇAMENTO!$X$15,ROW(BA63)-ROW(BA$15),0),
              ROUND(ROUND(OFFSET($P63,0,BA$13),15-13*ORÇAMENTO!$AF$7)*OFFSET(ORÇAMENTO!$W$15,ROW(BA63)-ROW(BA$15),0),15-13*ORÇAMENTO!$AF$11)),
         0)</f>
        <v>0</v>
      </c>
      <c r="BC63" s="171">
        <f ca="1">IF(OR($D63&lt;&gt;"Serviço",AND(AUTOEVENTO="Manual",$M63=$A$15)),0,
         IF(OFFSET(CRONOPLE!$F$15,$M63-$A$15,BC$13)=0,10^12,OFFSET(CRONOPLE!$F$15,$M63-$A$15,BC$13)))</f>
        <v>1000000000000</v>
      </c>
      <c r="BD63" s="171">
        <f ca="1">IF(OR($D63&lt;&gt;"Serviço",AND(AUTOEVENTO="Manual",$M63=$A$15)),0,
         IF(OFFSET(CRONOPLE!$F$15,$M63-$A$15,BD$13)=0,10^12,OFFSET(CRONOPLE!$F$15,$M63-$A$15,BD$13)))</f>
        <v>1000000000000</v>
      </c>
      <c r="BE63" s="171">
        <f ca="1">IF(OR($D63&lt;&gt;"Serviço",AND(AUTOEVENTO="Manual",$M63=$A$15)),0,
         IF(OFFSET(CRONOPLE!$F$15,$M63-$A$15,BE$13)=0,10^12,OFFSET(CRONOPLE!$F$15,$M63-$A$15,BE$13)))</f>
        <v>1000000000000</v>
      </c>
      <c r="BF63" s="171">
        <f ca="1">IF(OR($D63&lt;&gt;"Serviço",AND(AUTOEVENTO="Manual",$M63=$A$15)),0,
         IF(OFFSET(CRONOPLE!$F$15,$M63-$A$15,BF$13)=0,10^12,OFFSET(CRONOPLE!$F$15,$M63-$A$15,BF$13)))</f>
        <v>4</v>
      </c>
      <c r="BG63" s="171">
        <f ca="1">IF(OR($D63&lt;&gt;"Serviço",AND(AUTOEVENTO="Manual",$M63=$A$15)),0,
         IF(OFFSET(CRONOPLE!$F$15,$M63-$A$15,BG$13)=0,10^12,OFFSET(CRONOPLE!$F$15,$M63-$A$15,BG$13)))</f>
        <v>1000000000000</v>
      </c>
      <c r="BH63" s="171">
        <f ca="1">IF(OR($D63&lt;&gt;"Serviço",AND(AUTOEVENTO="Manual",$M63=$A$15)),0,
         IF(OFFSET(CRONOPLE!$F$15,$M63-$A$15,BH$13)=0,10^12,OFFSET(CRONOPLE!$F$15,$M63-$A$15,BH$13)))</f>
        <v>10</v>
      </c>
      <c r="BI63" s="171">
        <f ca="1">IF(OR($D63&lt;&gt;"Serviço",AND(AUTOEVENTO="Manual",$M63=$A$15)),0,
         IF(OFFSET(CRONOPLE!$F$15,$M63-$A$15,BI$13)=0,10^12,OFFSET(CRONOPLE!$F$15,$M63-$A$15,BI$13)))</f>
        <v>1000000000000</v>
      </c>
      <c r="BJ63" s="171">
        <f ca="1">IF(OR($D63&lt;&gt;"Serviço",AND(AUTOEVENTO="Manual",$M63=$A$15)),0,
         IF(OFFSET(CRONOPLE!$F$15,$M63-$A$15,BJ$13)=0,10^12,OFFSET(CRONOPLE!$F$15,$M63-$A$15,BJ$13)))</f>
        <v>1000000000000</v>
      </c>
      <c r="BK63" s="171">
        <f ca="1">IF(OR($D63&lt;&gt;"Serviço",AND(AUTOEVENTO="Manual",$M63=$A$15)),0,
         IF(OFFSET(CRONOPLE!$F$15,$M63-$A$15,BK$13)=0,10^12,OFFSET(CRONOPLE!$F$15,$M63-$A$15,BK$13)))</f>
        <v>1000000000000</v>
      </c>
      <c r="BL63" s="171">
        <f ca="1">IF(OR($D63&lt;&gt;"Serviço",AND(AUTOEVENTO="Manual",$M63=$A$15)),0,
         IF(OFFSET(CRONOPLE!$F$15,$M63-$A$15,BL$13)=0,10^12,OFFSET(CRONOPLE!$F$15,$M63-$A$15,BL$13)))</f>
        <v>1000000000000</v>
      </c>
      <c r="BM63" s="171">
        <f ca="1">IF(OR($D63&lt;&gt;"Serviço",AND(AUTOEVENTO="Manual",$M63=$A$15)),0,
         IF(OFFSET(CRONOPLE!$F$15,$M63-$A$15,BM$13)=0,10^12,OFFSET(CRONOPLE!$F$15,$M63-$A$15,BM$13)))</f>
        <v>1000000000000</v>
      </c>
      <c r="BN63" s="171">
        <f ca="1">IF(OR($D63&lt;&gt;"Serviço",AND(AUTOEVENTO="Manual",$M63=$A$15)),0,
         IF(OFFSET(CRONOPLE!$F$15,$M63-$A$15,BN$13)=0,10^12,OFFSET(CRONOPLE!$F$15,$M63-$A$15,BN$13)))</f>
        <v>1000000000000</v>
      </c>
      <c r="BO63" s="171">
        <f ca="1">IF(OR($D63&lt;&gt;"Serviço",AND(AUTOEVENTO="Manual",$M63=$A$15)),0,
         IF(OFFSET(CRONOPLE!$F$15,$M63-$A$15,BO$13)=0,10^12,OFFSET(CRONOPLE!$F$15,$M63-$A$15,BO$13)))</f>
        <v>1000000000000</v>
      </c>
      <c r="BP63" s="171">
        <f ca="1">IF(OR($D63&lt;&gt;"Serviço",AND(AUTOEVENTO="Manual",$M63=$A$15)),0,
         IF(OFFSET(CRONOPLE!$F$15,$M63-$A$15,BP$13)=0,10^12,OFFSET(CRONOPLE!$F$15,$M63-$A$15,BP$13)))</f>
        <v>1000000000000</v>
      </c>
      <c r="BQ63" s="171">
        <f ca="1">IF(OR($D63&lt;&gt;"Serviço",AND(AUTOEVENTO="Manual",$M63=$A$15)),0,
         IF(OFFSET(CRONOPLE!$F$15,$M63-$A$15,BQ$13)=0,10^12,OFFSET(CRONOPLE!$F$15,$M63-$A$15,BQ$13)))</f>
        <v>1000000000000</v>
      </c>
      <c r="BR63" s="171">
        <f ca="1">IF(OR($D63&lt;&gt;"Serviço",AND(AUTOEVENTO="Manual",$M63=$A$15)),0,
         IF(OFFSET(CRONOPLE!$F$15,$M63-$A$15,BR$13)=0,10^12,OFFSET(CRONOPLE!$F$15,$M63-$A$15,BR$13)))</f>
        <v>1000000000000</v>
      </c>
      <c r="BS63" s="171">
        <f ca="1">IF(OR($D63&lt;&gt;"Serviço",AND(AUTOEVENTO="Manual",$M63=$A$15)),0,
         IF(OFFSET(CRONOPLE!$F$15,$M63-$A$15,BS$13)=0,10^12,OFFSET(CRONOPLE!$F$15,$M63-$A$15,BS$13)))</f>
        <v>1000000000000</v>
      </c>
      <c r="BT63" s="171">
        <f ca="1">IF(OR($D63&lt;&gt;"Serviço",AND(AUTOEVENTO="Manual",$M63=$A$15)),0,
         IF(OFFSET(CRONOPLE!$F$15,$M63-$A$15,BT$13)=0,10^12,OFFSET(CRONOPLE!$F$15,$M63-$A$15,BT$13)))</f>
        <v>1000000000000</v>
      </c>
      <c r="BV63" s="172" cm="1">
        <f t="array" aca="1" ref="BV63" ca="1">IF(OR($D63&lt;&gt;"Serviço",AND(AUTOEVENTO="Manual",$M63=$A$15),$M63&gt;(ROW(PLE.lastrow)-ROW(PLE.firstrow))),0,
           IF(OFFSET(PLE!$G$15,$M63-$A$15,BV$13)="",10^12,OFFSET(PLE!$G$15,$M63-$A$15,BV$13)))</f>
        <v>1000000000000</v>
      </c>
      <c r="BW63" s="172" cm="1">
        <f t="array" aca="1" ref="BW63" ca="1">IF(OR($D63&lt;&gt;"Serviço",AND(AUTOEVENTO="Manual",$M63=$A$15),$M63&gt;(ROW(PLE.lastrow)-ROW(PLE.firstrow))),0,
           IF(OFFSET(PLE!$G$15,$M63-$A$15,BW$13)="",10^12,OFFSET(PLE!$G$15,$M63-$A$15,BW$13)))</f>
        <v>1000000000000</v>
      </c>
      <c r="BX63" s="172" cm="1">
        <f t="array" aca="1" ref="BX63" ca="1">IF(OR($D63&lt;&gt;"Serviço",AND(AUTOEVENTO="Manual",$M63=$A$15),$M63&gt;(ROW(PLE.lastrow)-ROW(PLE.firstrow))),0,
           IF(OFFSET(PLE!$G$15,$M63-$A$15,BX$13)="",10^12,OFFSET(PLE!$G$15,$M63-$A$15,BX$13)))</f>
        <v>1000000000000</v>
      </c>
      <c r="BY63" s="172" cm="1">
        <f t="array" aca="1" ref="BY63" ca="1">IF(OR($D63&lt;&gt;"Serviço",AND(AUTOEVENTO="Manual",$M63=$A$15),$M63&gt;(ROW(PLE.lastrow)-ROW(PLE.firstrow))),0,
           IF(OFFSET(PLE!$G$15,$M63-$A$15,BY$13)="",10^12,OFFSET(PLE!$G$15,$M63-$A$15,BY$13)))</f>
        <v>1000000000000</v>
      </c>
      <c r="BZ63" s="172" cm="1">
        <f t="array" aca="1" ref="BZ63" ca="1">IF(OR($D63&lt;&gt;"Serviço",AND(AUTOEVENTO="Manual",$M63=$A$15),$M63&gt;(ROW(PLE.lastrow)-ROW(PLE.firstrow))),0,
           IF(OFFSET(PLE!$G$15,$M63-$A$15,BZ$13)="",10^12,OFFSET(PLE!$G$15,$M63-$A$15,BZ$13)))</f>
        <v>1000000000000</v>
      </c>
      <c r="CA63" s="172" cm="1">
        <f t="array" aca="1" ref="CA63" ca="1">IF(OR($D63&lt;&gt;"Serviço",AND(AUTOEVENTO="Manual",$M63=$A$15),$M63&gt;(ROW(PLE.lastrow)-ROW(PLE.firstrow))),0,
           IF(OFFSET(PLE!$G$15,$M63-$A$15,CA$13)="",10^12,OFFSET(PLE!$G$15,$M63-$A$15,CA$13)))</f>
        <v>1000000000000</v>
      </c>
      <c r="CB63" s="172" cm="1">
        <f t="array" aca="1" ref="CB63" ca="1">IF(OR($D63&lt;&gt;"Serviço",AND(AUTOEVENTO="Manual",$M63=$A$15),$M63&gt;(ROW(PLE.lastrow)-ROW(PLE.firstrow))),0,
           IF(OFFSET(PLE!$G$15,$M63-$A$15,CB$13)="",10^12,OFFSET(PLE!$G$15,$M63-$A$15,CB$13)))</f>
        <v>1000000000000</v>
      </c>
      <c r="CC63" s="172" cm="1">
        <f t="array" aca="1" ref="CC63" ca="1">IF(OR($D63&lt;&gt;"Serviço",AND(AUTOEVENTO="Manual",$M63=$A$15),$M63&gt;(ROW(PLE.lastrow)-ROW(PLE.firstrow))),0,
           IF(OFFSET(PLE!$G$15,$M63-$A$15,CC$13)="",10^12,OFFSET(PLE!$G$15,$M63-$A$15,CC$13)))</f>
        <v>1000000000000</v>
      </c>
      <c r="CD63" s="172" cm="1">
        <f t="array" aca="1" ref="CD63" ca="1">IF(OR($D63&lt;&gt;"Serviço",AND(AUTOEVENTO="Manual",$M63=$A$15),$M63&gt;(ROW(PLE.lastrow)-ROW(PLE.firstrow))),0,
           IF(OFFSET(PLE!$G$15,$M63-$A$15,CD$13)="",10^12,OFFSET(PLE!$G$15,$M63-$A$15,CD$13)))</f>
        <v>1000000000000</v>
      </c>
      <c r="CE63" s="172" cm="1">
        <f t="array" aca="1" ref="CE63" ca="1">IF(OR($D63&lt;&gt;"Serviço",AND(AUTOEVENTO="Manual",$M63=$A$15),$M63&gt;(ROW(PLE.lastrow)-ROW(PLE.firstrow))),0,
           IF(OFFSET(PLE!$G$15,$M63-$A$15,CE$13)="",10^12,OFFSET(PLE!$G$15,$M63-$A$15,CE$13)))</f>
        <v>1000000000000</v>
      </c>
      <c r="CF63" s="172" cm="1">
        <f t="array" aca="1" ref="CF63" ca="1">IF(OR($D63&lt;&gt;"Serviço",AND(AUTOEVENTO="Manual",$M63=$A$15),$M63&gt;(ROW(PLE.lastrow)-ROW(PLE.firstrow))),0,
           IF(OFFSET(PLE!$G$15,$M63-$A$15,CF$13)="",10^12,OFFSET(PLE!$G$15,$M63-$A$15,CF$13)))</f>
        <v>1000000000000</v>
      </c>
      <c r="CG63" s="172" cm="1">
        <f t="array" aca="1" ref="CG63" ca="1">IF(OR($D63&lt;&gt;"Serviço",AND(AUTOEVENTO="Manual",$M63=$A$15),$M63&gt;(ROW(PLE.lastrow)-ROW(PLE.firstrow))),0,
           IF(OFFSET(PLE!$G$15,$M63-$A$15,CG$13)="",10^12,OFFSET(PLE!$G$15,$M63-$A$15,CG$13)))</f>
        <v>1000000000000</v>
      </c>
      <c r="CH63" s="172" cm="1">
        <f t="array" aca="1" ref="CH63" ca="1">IF(OR($D63&lt;&gt;"Serviço",AND(AUTOEVENTO="Manual",$M63=$A$15),$M63&gt;(ROW(PLE.lastrow)-ROW(PLE.firstrow))),0,
           IF(OFFSET(PLE!$G$15,$M63-$A$15,CH$13)="",10^12,OFFSET(PLE!$G$15,$M63-$A$15,CH$13)))</f>
        <v>1000000000000</v>
      </c>
      <c r="CI63" s="172" cm="1">
        <f t="array" aca="1" ref="CI63" ca="1">IF(OR($D63&lt;&gt;"Serviço",AND(AUTOEVENTO="Manual",$M63=$A$15),$M63&gt;(ROW(PLE.lastrow)-ROW(PLE.firstrow))),0,
           IF(OFFSET(PLE!$G$15,$M63-$A$15,CI$13)="",10^12,OFFSET(PLE!$G$15,$M63-$A$15,CI$13)))</f>
        <v>1000000000000</v>
      </c>
      <c r="CJ63" s="172" cm="1">
        <f t="array" aca="1" ref="CJ63" ca="1">IF(OR($D63&lt;&gt;"Serviço",AND(AUTOEVENTO="Manual",$M63=$A$15),$M63&gt;(ROW(PLE.lastrow)-ROW(PLE.firstrow))),0,
           IF(OFFSET(PLE!$G$15,$M63-$A$15,CJ$13)="",10^12,OFFSET(PLE!$G$15,$M63-$A$15,CJ$13)))</f>
        <v>1000000000000</v>
      </c>
      <c r="CK63" s="172" cm="1">
        <f t="array" aca="1" ref="CK63" ca="1">IF(OR($D63&lt;&gt;"Serviço",AND(AUTOEVENTO="Manual",$M63=$A$15),$M63&gt;(ROW(PLE.lastrow)-ROW(PLE.firstrow))),0,
           IF(OFFSET(PLE!$G$15,$M63-$A$15,CK$13)="",10^12,OFFSET(PLE!$G$15,$M63-$A$15,CK$13)))</f>
        <v>1000000000000</v>
      </c>
      <c r="CL63" s="172" cm="1">
        <f t="array" aca="1" ref="CL63" ca="1">IF(OR($D63&lt;&gt;"Serviço",AND(AUTOEVENTO="Manual",$M63=$A$15),$M63&gt;(ROW(PLE.lastrow)-ROW(PLE.firstrow))),0,
           IF(OFFSET(PLE!$G$15,$M63-$A$15,CL$13)="",10^12,OFFSET(PLE!$G$15,$M63-$A$15,CL$13)))</f>
        <v>1000000000000</v>
      </c>
      <c r="CM63" s="172" cm="1">
        <f t="array" aca="1" ref="CM63" ca="1">IF(OR($D63&lt;&gt;"Serviço",AND(AUTOEVENTO="Manual",$M63=$A$15),$M63&gt;(ROW(PLE.lastrow)-ROW(PLE.firstrow))),0,
           IF(OFFSET(PLE!$G$15,$M63-$A$15,CM$13)="",10^12,OFFSET(PLE!$G$15,$M63-$A$15,CM$13)))</f>
        <v>1000000000000</v>
      </c>
    </row>
    <row r="64" spans="1:91" s="670" customFormat="1" ht="12.75" x14ac:dyDescent="0.2">
      <c r="A64" s="668">
        <f t="shared" ca="1" si="10"/>
        <v>0</v>
      </c>
      <c r="B64" s="668">
        <f ca="1">OFFSET(ORÇAMENTO!C$15,$L64,0)</f>
        <v>2</v>
      </c>
      <c r="C64" s="668" t="str">
        <f ca="1">OFFSET(ORÇAMENTO!L$15,$L64,0)</f>
        <v>F</v>
      </c>
      <c r="D64" s="116" t="str">
        <f ca="1">OFFSET(ORÇAMENTO!N$15,$L64,0)</f>
        <v>Nível 2</v>
      </c>
      <c r="E64" s="117" t="str">
        <f ca="1">OFFSET(ORÇAMENTO!O$15,$L64,0)</f>
        <v>1.9.</v>
      </c>
      <c r="F64" s="163" t="str">
        <f ca="1">OFFSET(ORÇAMENTO!R$15,$L64,0)</f>
        <v>MATERIAIS E EQUIPAMENTOS HIDRAULICOS - Adutora de Água Tratada</v>
      </c>
      <c r="G64" s="164" t="str">
        <f ca="1">IF($D64&lt;&gt;"Serviço","",OFFSET(ORÇAMENTO!S$15,$L64,0))</f>
        <v/>
      </c>
      <c r="H64" s="122" cm="1">
        <f t="array" aca="1" ref="H64" ca="1">IF($D64&lt;&gt;"Serviço",0,IF(ACOMPANHAMENTO="BM",ROUND(OFFSET(ORÇAMENTO!AJ$15,$L64,0),15-13*ORÇAMENTO!$AF$7),IF(IFERROR(CÁLCULO.FrentesPreenchidas,0)=0,0,SUM(ROUND(OFFSET($P64,0,1,1,CÁLCULO.FrentesPreenchidas),15-13*ORÇAMENTO!$AF$7)))))</f>
        <v>0</v>
      </c>
      <c r="I64" s="468"/>
      <c r="J64" s="651" t="str" cm="1">
        <f t="array" aca="1" ref="J64" ca="1">IF(OR(B64&lt;&gt;"S",CÁLCULO.FrentesPreenchidas=0),"",IF(AND(ACOMPANHAMENTO="PLE",AUTOEVENTO="Manual",OR(H64&gt;0,ORÇAMENTO!AC64="QUANT."),OR(K64="",M64=0,N64="")),"►E",IF(AND(ACOMPANHAMENTO="PLE",ORÇAMENTO!AC64="QUANT."),"►Q",IF(AND(ACOMPANHAMENTO="PLE",H64&lt;&gt;SUMPRODUCT(($Q$1:$AI$1=1)*ROUND(Q64:AI64,15))),"►S",IF(AND(COUNTIF($P$11:$AI$11,"▼")=0,H64&gt;0,I64=""),"◄M","")))))</f>
        <v/>
      </c>
      <c r="K64" s="652"/>
      <c r="L64" s="165">
        <f t="shared" ca="1" si="11"/>
        <v>49</v>
      </c>
      <c r="M64" s="166" t="str">
        <f ca="1">IF($D64&lt;&gt;"Serviço","",
          IF(AUTOEVENTO="manual",$A64,
                IF(ISERROR(MATCH($A64,$A$15:OFFSET($A64,-1,0),0)),MAX($M$15:OFFSET(M64,-1,0))+1,
                      INDEX($M$15:OFFSET(M64,-1,0),MATCH($A64,$A$15:OFFSET($A64,-1,0),0)))))</f>
        <v/>
      </c>
      <c r="N64" s="167" t="str">
        <f ca="1">IF($D64&lt;&gt;"Serviço","",
         IF(AUTOEVENTO="Manual",
                IF($A64=0,"&lt;-- defina o número do agrupador",
                       OFFSET(EVENTOS!$D$15,$A64-$A$15,0)),
                OFFSET($F$15,$A64,0)))</f>
        <v/>
      </c>
      <c r="O64" s="168"/>
      <c r="Q64" s="168" t="s">
        <v>250</v>
      </c>
      <c r="R64" s="169"/>
      <c r="S64" s="169"/>
      <c r="T64" s="169"/>
      <c r="U64" s="169"/>
      <c r="V64" s="169"/>
      <c r="W64" s="169"/>
      <c r="X64" s="169"/>
      <c r="Y64" s="169"/>
      <c r="Z64" s="170"/>
      <c r="AA64" s="705"/>
      <c r="AB64" s="705"/>
      <c r="AC64" s="705"/>
      <c r="AD64" s="705"/>
      <c r="AE64" s="705"/>
      <c r="AF64" s="705"/>
      <c r="AG64" s="705"/>
      <c r="AH64" s="706"/>
      <c r="AJ64" s="453">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3">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L64" s="453">
        <f ca="1">IF(AND($D64="Serviço",AL$12&lt;&gt;0,$H64&gt;0,OR(AUTOEVENTO&lt;&gt;"manual",$M64&lt;&gt;$A$15)),
        IF(Import.TipoArredondamento&lt;&gt;"TransfereGOV",
              ROUND(OFFSET($P64,0,AL$13),15-13*ORÇAMENTO!$AF$7)/$H64*OFFSET(ORÇAMENTO!$X$15,ROW(AL64)-ROW(AL$15),0),
              ROUND(ROUND(OFFSET($P64,0,AL$13),15-13*ORÇAMENTO!$AF$7)*OFFSET(ORÇAMENTO!$W$15,ROW(AL64)-ROW(AL$15),0),15-13*ORÇAMENTO!$AF$11)),
         0)</f>
        <v>0</v>
      </c>
      <c r="AM64" s="453">
        <f ca="1">IF(AND($D64="Serviço",AM$12&lt;&gt;0,$H64&gt;0,OR(AUTOEVENTO&lt;&gt;"manual",$M64&lt;&gt;$A$15)),
        IF(Import.TipoArredondamento&lt;&gt;"TransfereGOV",
              ROUND(OFFSET($P64,0,AM$13),15-13*ORÇAMENTO!$AF$7)/$H64*OFFSET(ORÇAMENTO!$X$15,ROW(AM64)-ROW(AM$15),0),
              ROUND(ROUND(OFFSET($P64,0,AM$13),15-13*ORÇAMENTO!$AF$7)*OFFSET(ORÇAMENTO!$W$15,ROW(AM64)-ROW(AM$15),0),15-13*ORÇAMENTO!$AF$11)),
         0)</f>
        <v>0</v>
      </c>
      <c r="AN64" s="453">
        <f ca="1">IF(AND($D64="Serviço",AN$12&lt;&gt;0,$H64&gt;0,OR(AUTOEVENTO&lt;&gt;"manual",$M64&lt;&gt;$A$15)),
        IF(Import.TipoArredondamento&lt;&gt;"TransfereGOV",
              ROUND(OFFSET($P64,0,AN$13),15-13*ORÇAMENTO!$AF$7)/$H64*OFFSET(ORÇAMENTO!$X$15,ROW(AN64)-ROW(AN$15),0),
              ROUND(ROUND(OFFSET($P64,0,AN$13),15-13*ORÇAMENTO!$AF$7)*OFFSET(ORÇAMENTO!$W$15,ROW(AN64)-ROW(AN$15),0),15-13*ORÇAMENTO!$AF$11)),
         0)</f>
        <v>0</v>
      </c>
      <c r="AO64" s="453">
        <f ca="1">IF(AND($D64="Serviço",AO$12&lt;&gt;0,$H64&gt;0,OR(AUTOEVENTO&lt;&gt;"manual",$M64&lt;&gt;$A$15)),
        IF(Import.TipoArredondamento&lt;&gt;"TransfereGOV",
              ROUND(OFFSET($P64,0,AO$13),15-13*ORÇAMENTO!$AF$7)/$H64*OFFSET(ORÇAMENTO!$X$15,ROW(AO64)-ROW(AO$15),0),
              ROUND(ROUND(OFFSET($P64,0,AO$13),15-13*ORÇAMENTO!$AF$7)*OFFSET(ORÇAMENTO!$W$15,ROW(AO64)-ROW(AO$15),0),15-13*ORÇAMENTO!$AF$11)),
         0)</f>
        <v>0</v>
      </c>
      <c r="AP64" s="453">
        <f ca="1">IF(AND($D64="Serviço",AP$12&lt;&gt;0,$H64&gt;0,OR(AUTOEVENTO&lt;&gt;"manual",$M64&lt;&gt;$A$15)),
        IF(Import.TipoArredondamento&lt;&gt;"TransfereGOV",
              ROUND(OFFSET($P64,0,AP$13),15-13*ORÇAMENTO!$AF$7)/$H64*OFFSET(ORÇAMENTO!$X$15,ROW(AP64)-ROW(AP$15),0),
              ROUND(ROUND(OFFSET($P64,0,AP$13),15-13*ORÇAMENTO!$AF$7)*OFFSET(ORÇAMENTO!$W$15,ROW(AP64)-ROW(AP$15),0),15-13*ORÇAMENTO!$AF$11)),
         0)</f>
        <v>0</v>
      </c>
      <c r="AQ64" s="453">
        <f ca="1">IF(AND($D64="Serviço",AQ$12&lt;&gt;0,$H64&gt;0,OR(AUTOEVENTO&lt;&gt;"manual",$M64&lt;&gt;$A$15)),
        IF(Import.TipoArredondamento&lt;&gt;"TransfereGOV",
              ROUND(OFFSET($P64,0,AQ$13),15-13*ORÇAMENTO!$AF$7)/$H64*OFFSET(ORÇAMENTO!$X$15,ROW(AQ64)-ROW(AQ$15),0),
              ROUND(ROUND(OFFSET($P64,0,AQ$13),15-13*ORÇAMENTO!$AF$7)*OFFSET(ORÇAMENTO!$W$15,ROW(AQ64)-ROW(AQ$15),0),15-13*ORÇAMENTO!$AF$11)),
         0)</f>
        <v>0</v>
      </c>
      <c r="AR64" s="453">
        <f ca="1">IF(AND($D64="Serviço",AR$12&lt;&gt;0,$H64&gt;0,OR(AUTOEVENTO&lt;&gt;"manual",$M64&lt;&gt;$A$15)),
        IF(Import.TipoArredondamento&lt;&gt;"TransfereGOV",
              ROUND(OFFSET($P64,0,AR$13),15-13*ORÇAMENTO!$AF$7)/$H64*OFFSET(ORÇAMENTO!$X$15,ROW(AR64)-ROW(AR$15),0),
              ROUND(ROUND(OFFSET($P64,0,AR$13),15-13*ORÇAMENTO!$AF$7)*OFFSET(ORÇAMENTO!$W$15,ROW(AR64)-ROW(AR$15),0),15-13*ORÇAMENTO!$AF$11)),
         0)</f>
        <v>0</v>
      </c>
      <c r="AS64" s="453">
        <f ca="1">IF(AND($D64="Serviço",AS$12&lt;&gt;0,$H64&gt;0,OR(AUTOEVENTO&lt;&gt;"manual",$M64&lt;&gt;$A$15)),
        IF(Import.TipoArredondamento&lt;&gt;"TransfereGOV",
              ROUND(OFFSET($P64,0,AS$13),15-13*ORÇAMENTO!$AF$7)/$H64*OFFSET(ORÇAMENTO!$X$15,ROW(AS64)-ROW(AS$15),0),
              ROUND(ROUND(OFFSET($P64,0,AS$13),15-13*ORÇAMENTO!$AF$7)*OFFSET(ORÇAMENTO!$W$15,ROW(AS64)-ROW(AS$15),0),15-13*ORÇAMENTO!$AF$11)),
         0)</f>
        <v>0</v>
      </c>
      <c r="AT64" s="453">
        <f ca="1">IF(AND($D64="Serviço",AT$12&lt;&gt;0,$H64&gt;0,OR(AUTOEVENTO&lt;&gt;"manual",$M64&lt;&gt;$A$15)),
        IF(Import.TipoArredondamento&lt;&gt;"TransfereGOV",
              ROUND(OFFSET($P64,0,AT$13),15-13*ORÇAMENTO!$AF$7)/$H64*OFFSET(ORÇAMENTO!$X$15,ROW(AT64)-ROW(AT$15),0),
              ROUND(ROUND(OFFSET($P64,0,AT$13),15-13*ORÇAMENTO!$AF$7)*OFFSET(ORÇAMENTO!$W$15,ROW(AT64)-ROW(AT$15),0),15-13*ORÇAMENTO!$AF$11)),
         0)</f>
        <v>0</v>
      </c>
      <c r="AU64" s="453">
        <f ca="1">IF(AND($D64="Serviço",AU$12&lt;&gt;0,$H64&gt;0,OR(AUTOEVENTO&lt;&gt;"manual",$M64&lt;&gt;$A$15)),
        IF(Import.TipoArredondamento&lt;&gt;"TransfereGOV",
              ROUND(OFFSET($P64,0,AU$13),15-13*ORÇAMENTO!$AF$7)/$H64*OFFSET(ORÇAMENTO!$X$15,ROW(AU64)-ROW(AU$15),0),
              ROUND(ROUND(OFFSET($P64,0,AU$13),15-13*ORÇAMENTO!$AF$7)*OFFSET(ORÇAMENTO!$W$15,ROW(AU64)-ROW(AU$15),0),15-13*ORÇAMENTO!$AF$11)),
         0)</f>
        <v>0</v>
      </c>
      <c r="AV64" s="453">
        <f ca="1">IF(AND($D64="Serviço",AV$12&lt;&gt;0,$H64&gt;0,OR(AUTOEVENTO&lt;&gt;"manual",$M64&lt;&gt;$A$15)),
        IF(Import.TipoArredondamento&lt;&gt;"TransfereGOV",
              ROUND(OFFSET($P64,0,AV$13),15-13*ORÇAMENTO!$AF$7)/$H64*OFFSET(ORÇAMENTO!$X$15,ROW(AV64)-ROW(AV$15),0),
              ROUND(ROUND(OFFSET($P64,0,AV$13),15-13*ORÇAMENTO!$AF$7)*OFFSET(ORÇAMENTO!$W$15,ROW(AV64)-ROW(AV$15),0),15-13*ORÇAMENTO!$AF$11)),
         0)</f>
        <v>0</v>
      </c>
      <c r="AW64" s="453">
        <f ca="1">IF(AND($D64="Serviço",AW$12&lt;&gt;0,$H64&gt;0,OR(AUTOEVENTO&lt;&gt;"manual",$M64&lt;&gt;$A$15)),
        IF(Import.TipoArredondamento&lt;&gt;"TransfereGOV",
              ROUND(OFFSET($P64,0,AW$13),15-13*ORÇAMENTO!$AF$7)/$H64*OFFSET(ORÇAMENTO!$X$15,ROW(AW64)-ROW(AW$15),0),
              ROUND(ROUND(OFFSET($P64,0,AW$13),15-13*ORÇAMENTO!$AF$7)*OFFSET(ORÇAMENTO!$W$15,ROW(AW64)-ROW(AW$15),0),15-13*ORÇAMENTO!$AF$11)),
         0)</f>
        <v>0</v>
      </c>
      <c r="AX64" s="453">
        <f ca="1">IF(AND($D64="Serviço",AX$12&lt;&gt;0,$H64&gt;0,OR(AUTOEVENTO&lt;&gt;"manual",$M64&lt;&gt;$A$15)),
        IF(Import.TipoArredondamento&lt;&gt;"TransfereGOV",
              ROUND(OFFSET($P64,0,AX$13),15-13*ORÇAMENTO!$AF$7)/$H64*OFFSET(ORÇAMENTO!$X$15,ROW(AX64)-ROW(AX$15),0),
              ROUND(ROUND(OFFSET($P64,0,AX$13),15-13*ORÇAMENTO!$AF$7)*OFFSET(ORÇAMENTO!$W$15,ROW(AX64)-ROW(AX$15),0),15-13*ORÇAMENTO!$AF$11)),
         0)</f>
        <v>0</v>
      </c>
      <c r="AY64" s="453">
        <f ca="1">IF(AND($D64="Serviço",AY$12&lt;&gt;0,$H64&gt;0,OR(AUTOEVENTO&lt;&gt;"manual",$M64&lt;&gt;$A$15)),
        IF(Import.TipoArredondamento&lt;&gt;"TransfereGOV",
              ROUND(OFFSET($P64,0,AY$13),15-13*ORÇAMENTO!$AF$7)/$H64*OFFSET(ORÇAMENTO!$X$15,ROW(AY64)-ROW(AY$15),0),
              ROUND(ROUND(OFFSET($P64,0,AY$13),15-13*ORÇAMENTO!$AF$7)*OFFSET(ORÇAMENTO!$W$15,ROW(AY64)-ROW(AY$15),0),15-13*ORÇAMENTO!$AF$11)),
         0)</f>
        <v>0</v>
      </c>
      <c r="AZ64" s="453">
        <f ca="1">IF(AND($D64="Serviço",AZ$12&lt;&gt;0,$H64&gt;0,OR(AUTOEVENTO&lt;&gt;"manual",$M64&lt;&gt;$A$15)),
        IF(Import.TipoArredondamento&lt;&gt;"TransfereGOV",
              ROUND(OFFSET($P64,0,AZ$13),15-13*ORÇAMENTO!$AF$7)/$H64*OFFSET(ORÇAMENTO!$X$15,ROW(AZ64)-ROW(AZ$15),0),
              ROUND(ROUND(OFFSET($P64,0,AZ$13),15-13*ORÇAMENTO!$AF$7)*OFFSET(ORÇAMENTO!$W$15,ROW(AZ64)-ROW(AZ$15),0),15-13*ORÇAMENTO!$AF$11)),
         0)</f>
        <v>0</v>
      </c>
      <c r="BA64" s="453">
        <f ca="1">IF(AND($D64="Serviço",BA$12&lt;&gt;0,$H64&gt;0,OR(AUTOEVENTO&lt;&gt;"manual",$M64&lt;&gt;$A$15)),
        IF(Import.TipoArredondamento&lt;&gt;"TransfereGOV",
              ROUND(OFFSET($P64,0,BA$13),15-13*ORÇAMENTO!$AF$7)/$H64*OFFSET(ORÇAMENTO!$X$15,ROW(BA64)-ROW(BA$15),0),
              ROUND(ROUND(OFFSET($P64,0,BA$13),15-13*ORÇAMENTO!$AF$7)*OFFSET(ORÇAMENTO!$W$15,ROW(BA64)-ROW(BA$15),0),15-13*ORÇAMENTO!$AF$11)),
         0)</f>
        <v>0</v>
      </c>
      <c r="BC64" s="171">
        <f ca="1">IF(OR($D64&lt;&gt;"Serviço",AND(AUTOEVENTO="Manual",$M64=$A$15)),0,
         IF(OFFSET(CRONOPLE!$F$15,$M64-$A$15,BC$13)=0,10^12,OFFSET(CRONOPLE!$F$15,$M64-$A$15,BC$13)))</f>
        <v>0</v>
      </c>
      <c r="BD64" s="171">
        <f ca="1">IF(OR($D64&lt;&gt;"Serviço",AND(AUTOEVENTO="Manual",$M64=$A$15)),0,
         IF(OFFSET(CRONOPLE!$F$15,$M64-$A$15,BD$13)=0,10^12,OFFSET(CRONOPLE!$F$15,$M64-$A$15,BD$13)))</f>
        <v>0</v>
      </c>
      <c r="BE64" s="171">
        <f ca="1">IF(OR($D64&lt;&gt;"Serviço",AND(AUTOEVENTO="Manual",$M64=$A$15)),0,
         IF(OFFSET(CRONOPLE!$F$15,$M64-$A$15,BE$13)=0,10^12,OFFSET(CRONOPLE!$F$15,$M64-$A$15,BE$13)))</f>
        <v>0</v>
      </c>
      <c r="BF64" s="171">
        <f ca="1">IF(OR($D64&lt;&gt;"Serviço",AND(AUTOEVENTO="Manual",$M64=$A$15)),0,
         IF(OFFSET(CRONOPLE!$F$15,$M64-$A$15,BF$13)=0,10^12,OFFSET(CRONOPLE!$F$15,$M64-$A$15,BF$13)))</f>
        <v>0</v>
      </c>
      <c r="BG64" s="171">
        <f ca="1">IF(OR($D64&lt;&gt;"Serviço",AND(AUTOEVENTO="Manual",$M64=$A$15)),0,
         IF(OFFSET(CRONOPLE!$F$15,$M64-$A$15,BG$13)=0,10^12,OFFSET(CRONOPLE!$F$15,$M64-$A$15,BG$13)))</f>
        <v>0</v>
      </c>
      <c r="BH64" s="171">
        <f ca="1">IF(OR($D64&lt;&gt;"Serviço",AND(AUTOEVENTO="Manual",$M64=$A$15)),0,
         IF(OFFSET(CRONOPLE!$F$15,$M64-$A$15,BH$13)=0,10^12,OFFSET(CRONOPLE!$F$15,$M64-$A$15,BH$13)))</f>
        <v>0</v>
      </c>
      <c r="BI64" s="171">
        <f ca="1">IF(OR($D64&lt;&gt;"Serviço",AND(AUTOEVENTO="Manual",$M64=$A$15)),0,
         IF(OFFSET(CRONOPLE!$F$15,$M64-$A$15,BI$13)=0,10^12,OFFSET(CRONOPLE!$F$15,$M64-$A$15,BI$13)))</f>
        <v>0</v>
      </c>
      <c r="BJ64" s="171">
        <f ca="1">IF(OR($D64&lt;&gt;"Serviço",AND(AUTOEVENTO="Manual",$M64=$A$15)),0,
         IF(OFFSET(CRONOPLE!$F$15,$M64-$A$15,BJ$13)=0,10^12,OFFSET(CRONOPLE!$F$15,$M64-$A$15,BJ$13)))</f>
        <v>0</v>
      </c>
      <c r="BK64" s="171">
        <f ca="1">IF(OR($D64&lt;&gt;"Serviço",AND(AUTOEVENTO="Manual",$M64=$A$15)),0,
         IF(OFFSET(CRONOPLE!$F$15,$M64-$A$15,BK$13)=0,10^12,OFFSET(CRONOPLE!$F$15,$M64-$A$15,BK$13)))</f>
        <v>0</v>
      </c>
      <c r="BL64" s="171">
        <f ca="1">IF(OR($D64&lt;&gt;"Serviço",AND(AUTOEVENTO="Manual",$M64=$A$15)),0,
         IF(OFFSET(CRONOPLE!$F$15,$M64-$A$15,BL$13)=0,10^12,OFFSET(CRONOPLE!$F$15,$M64-$A$15,BL$13)))</f>
        <v>0</v>
      </c>
      <c r="BM64" s="171">
        <f ca="1">IF(OR($D64&lt;&gt;"Serviço",AND(AUTOEVENTO="Manual",$M64=$A$15)),0,
         IF(OFFSET(CRONOPLE!$F$15,$M64-$A$15,BM$13)=0,10^12,OFFSET(CRONOPLE!$F$15,$M64-$A$15,BM$13)))</f>
        <v>0</v>
      </c>
      <c r="BN64" s="171">
        <f ca="1">IF(OR($D64&lt;&gt;"Serviço",AND(AUTOEVENTO="Manual",$M64=$A$15)),0,
         IF(OFFSET(CRONOPLE!$F$15,$M64-$A$15,BN$13)=0,10^12,OFFSET(CRONOPLE!$F$15,$M64-$A$15,BN$13)))</f>
        <v>0</v>
      </c>
      <c r="BO64" s="171">
        <f ca="1">IF(OR($D64&lt;&gt;"Serviço",AND(AUTOEVENTO="Manual",$M64=$A$15)),0,
         IF(OFFSET(CRONOPLE!$F$15,$M64-$A$15,BO$13)=0,10^12,OFFSET(CRONOPLE!$F$15,$M64-$A$15,BO$13)))</f>
        <v>0</v>
      </c>
      <c r="BP64" s="171">
        <f ca="1">IF(OR($D64&lt;&gt;"Serviço",AND(AUTOEVENTO="Manual",$M64=$A$15)),0,
         IF(OFFSET(CRONOPLE!$F$15,$M64-$A$15,BP$13)=0,10^12,OFFSET(CRONOPLE!$F$15,$M64-$A$15,BP$13)))</f>
        <v>0</v>
      </c>
      <c r="BQ64" s="171">
        <f ca="1">IF(OR($D64&lt;&gt;"Serviço",AND(AUTOEVENTO="Manual",$M64=$A$15)),0,
         IF(OFFSET(CRONOPLE!$F$15,$M64-$A$15,BQ$13)=0,10^12,OFFSET(CRONOPLE!$F$15,$M64-$A$15,BQ$13)))</f>
        <v>0</v>
      </c>
      <c r="BR64" s="171">
        <f ca="1">IF(OR($D64&lt;&gt;"Serviço",AND(AUTOEVENTO="Manual",$M64=$A$15)),0,
         IF(OFFSET(CRONOPLE!$F$15,$M64-$A$15,BR$13)=0,10^12,OFFSET(CRONOPLE!$F$15,$M64-$A$15,BR$13)))</f>
        <v>0</v>
      </c>
      <c r="BS64" s="171">
        <f ca="1">IF(OR($D64&lt;&gt;"Serviço",AND(AUTOEVENTO="Manual",$M64=$A$15)),0,
         IF(OFFSET(CRONOPLE!$F$15,$M64-$A$15,BS$13)=0,10^12,OFFSET(CRONOPLE!$F$15,$M64-$A$15,BS$13)))</f>
        <v>0</v>
      </c>
      <c r="BT64" s="171">
        <f ca="1">IF(OR($D64&lt;&gt;"Serviço",AND(AUTOEVENTO="Manual",$M64=$A$15)),0,
         IF(OFFSET(CRONOPLE!$F$15,$M64-$A$15,BT$13)=0,10^12,OFFSET(CRONOPLE!$F$15,$M64-$A$15,BT$13)))</f>
        <v>0</v>
      </c>
      <c r="BV64" s="172" cm="1">
        <f t="array" aca="1" ref="BV64" ca="1">IF(OR($D64&lt;&gt;"Serviço",AND(AUTOEVENTO="Manual",$M64=$A$15),$M64&gt;(ROW(PLE.lastrow)-ROW(PLE.firstrow))),0,
           IF(OFFSET(PLE!$G$15,$M64-$A$15,BV$13)="",10^12,OFFSET(PLE!$G$15,$M64-$A$15,BV$13)))</f>
        <v>0</v>
      </c>
      <c r="BW64" s="172" cm="1">
        <f t="array" aca="1" ref="BW64" ca="1">IF(OR($D64&lt;&gt;"Serviço",AND(AUTOEVENTO="Manual",$M64=$A$15),$M64&gt;(ROW(PLE.lastrow)-ROW(PLE.firstrow))),0,
           IF(OFFSET(PLE!$G$15,$M64-$A$15,BW$13)="",10^12,OFFSET(PLE!$G$15,$M64-$A$15,BW$13)))</f>
        <v>0</v>
      </c>
      <c r="BX64" s="172" cm="1">
        <f t="array" aca="1" ref="BX64" ca="1">IF(OR($D64&lt;&gt;"Serviço",AND(AUTOEVENTO="Manual",$M64=$A$15),$M64&gt;(ROW(PLE.lastrow)-ROW(PLE.firstrow))),0,
           IF(OFFSET(PLE!$G$15,$M64-$A$15,BX$13)="",10^12,OFFSET(PLE!$G$15,$M64-$A$15,BX$13)))</f>
        <v>0</v>
      </c>
      <c r="BY64" s="172" cm="1">
        <f t="array" aca="1" ref="BY64" ca="1">IF(OR($D64&lt;&gt;"Serviço",AND(AUTOEVENTO="Manual",$M64=$A$15),$M64&gt;(ROW(PLE.lastrow)-ROW(PLE.firstrow))),0,
           IF(OFFSET(PLE!$G$15,$M64-$A$15,BY$13)="",10^12,OFFSET(PLE!$G$15,$M64-$A$15,BY$13)))</f>
        <v>0</v>
      </c>
      <c r="BZ64" s="172" cm="1">
        <f t="array" aca="1" ref="BZ64" ca="1">IF(OR($D64&lt;&gt;"Serviço",AND(AUTOEVENTO="Manual",$M64=$A$15),$M64&gt;(ROW(PLE.lastrow)-ROW(PLE.firstrow))),0,
           IF(OFFSET(PLE!$G$15,$M64-$A$15,BZ$13)="",10^12,OFFSET(PLE!$G$15,$M64-$A$15,BZ$13)))</f>
        <v>0</v>
      </c>
      <c r="CA64" s="172" cm="1">
        <f t="array" aca="1" ref="CA64" ca="1">IF(OR($D64&lt;&gt;"Serviço",AND(AUTOEVENTO="Manual",$M64=$A$15),$M64&gt;(ROW(PLE.lastrow)-ROW(PLE.firstrow))),0,
           IF(OFFSET(PLE!$G$15,$M64-$A$15,CA$13)="",10^12,OFFSET(PLE!$G$15,$M64-$A$15,CA$13)))</f>
        <v>0</v>
      </c>
      <c r="CB64" s="172" cm="1">
        <f t="array" aca="1" ref="CB64" ca="1">IF(OR($D64&lt;&gt;"Serviço",AND(AUTOEVENTO="Manual",$M64=$A$15),$M64&gt;(ROW(PLE.lastrow)-ROW(PLE.firstrow))),0,
           IF(OFFSET(PLE!$G$15,$M64-$A$15,CB$13)="",10^12,OFFSET(PLE!$G$15,$M64-$A$15,CB$13)))</f>
        <v>0</v>
      </c>
      <c r="CC64" s="172" cm="1">
        <f t="array" aca="1" ref="CC64" ca="1">IF(OR($D64&lt;&gt;"Serviço",AND(AUTOEVENTO="Manual",$M64=$A$15),$M64&gt;(ROW(PLE.lastrow)-ROW(PLE.firstrow))),0,
           IF(OFFSET(PLE!$G$15,$M64-$A$15,CC$13)="",10^12,OFFSET(PLE!$G$15,$M64-$A$15,CC$13)))</f>
        <v>0</v>
      </c>
      <c r="CD64" s="172" cm="1">
        <f t="array" aca="1" ref="CD64" ca="1">IF(OR($D64&lt;&gt;"Serviço",AND(AUTOEVENTO="Manual",$M64=$A$15),$M64&gt;(ROW(PLE.lastrow)-ROW(PLE.firstrow))),0,
           IF(OFFSET(PLE!$G$15,$M64-$A$15,CD$13)="",10^12,OFFSET(PLE!$G$15,$M64-$A$15,CD$13)))</f>
        <v>0</v>
      </c>
      <c r="CE64" s="172" cm="1">
        <f t="array" aca="1" ref="CE64" ca="1">IF(OR($D64&lt;&gt;"Serviço",AND(AUTOEVENTO="Manual",$M64=$A$15),$M64&gt;(ROW(PLE.lastrow)-ROW(PLE.firstrow))),0,
           IF(OFFSET(PLE!$G$15,$M64-$A$15,CE$13)="",10^12,OFFSET(PLE!$G$15,$M64-$A$15,CE$13)))</f>
        <v>0</v>
      </c>
      <c r="CF64" s="172" cm="1">
        <f t="array" aca="1" ref="CF64" ca="1">IF(OR($D64&lt;&gt;"Serviço",AND(AUTOEVENTO="Manual",$M64=$A$15),$M64&gt;(ROW(PLE.lastrow)-ROW(PLE.firstrow))),0,
           IF(OFFSET(PLE!$G$15,$M64-$A$15,CF$13)="",10^12,OFFSET(PLE!$G$15,$M64-$A$15,CF$13)))</f>
        <v>0</v>
      </c>
      <c r="CG64" s="172" cm="1">
        <f t="array" aca="1" ref="CG64" ca="1">IF(OR($D64&lt;&gt;"Serviço",AND(AUTOEVENTO="Manual",$M64=$A$15),$M64&gt;(ROW(PLE.lastrow)-ROW(PLE.firstrow))),0,
           IF(OFFSET(PLE!$G$15,$M64-$A$15,CG$13)="",10^12,OFFSET(PLE!$G$15,$M64-$A$15,CG$13)))</f>
        <v>0</v>
      </c>
      <c r="CH64" s="172" cm="1">
        <f t="array" aca="1" ref="CH64" ca="1">IF(OR($D64&lt;&gt;"Serviço",AND(AUTOEVENTO="Manual",$M64=$A$15),$M64&gt;(ROW(PLE.lastrow)-ROW(PLE.firstrow))),0,
           IF(OFFSET(PLE!$G$15,$M64-$A$15,CH$13)="",10^12,OFFSET(PLE!$G$15,$M64-$A$15,CH$13)))</f>
        <v>0</v>
      </c>
      <c r="CI64" s="172" cm="1">
        <f t="array" aca="1" ref="CI64" ca="1">IF(OR($D64&lt;&gt;"Serviço",AND(AUTOEVENTO="Manual",$M64=$A$15),$M64&gt;(ROW(PLE.lastrow)-ROW(PLE.firstrow))),0,
           IF(OFFSET(PLE!$G$15,$M64-$A$15,CI$13)="",10^12,OFFSET(PLE!$G$15,$M64-$A$15,CI$13)))</f>
        <v>0</v>
      </c>
      <c r="CJ64" s="172" cm="1">
        <f t="array" aca="1" ref="CJ64" ca="1">IF(OR($D64&lt;&gt;"Serviço",AND(AUTOEVENTO="Manual",$M64=$A$15),$M64&gt;(ROW(PLE.lastrow)-ROW(PLE.firstrow))),0,
           IF(OFFSET(PLE!$G$15,$M64-$A$15,CJ$13)="",10^12,OFFSET(PLE!$G$15,$M64-$A$15,CJ$13)))</f>
        <v>0</v>
      </c>
      <c r="CK64" s="172" cm="1">
        <f t="array" aca="1" ref="CK64" ca="1">IF(OR($D64&lt;&gt;"Serviço",AND(AUTOEVENTO="Manual",$M64=$A$15),$M64&gt;(ROW(PLE.lastrow)-ROW(PLE.firstrow))),0,
           IF(OFFSET(PLE!$G$15,$M64-$A$15,CK$13)="",10^12,OFFSET(PLE!$G$15,$M64-$A$15,CK$13)))</f>
        <v>0</v>
      </c>
      <c r="CL64" s="172" cm="1">
        <f t="array" aca="1" ref="CL64" ca="1">IF(OR($D64&lt;&gt;"Serviço",AND(AUTOEVENTO="Manual",$M64=$A$15),$M64&gt;(ROW(PLE.lastrow)-ROW(PLE.firstrow))),0,
           IF(OFFSET(PLE!$G$15,$M64-$A$15,CL$13)="",10^12,OFFSET(PLE!$G$15,$M64-$A$15,CL$13)))</f>
        <v>0</v>
      </c>
      <c r="CM64" s="172" cm="1">
        <f t="array" aca="1" ref="CM64" ca="1">IF(OR($D64&lt;&gt;"Serviço",AND(AUTOEVENTO="Manual",$M64=$A$15),$M64&gt;(ROW(PLE.lastrow)-ROW(PLE.firstrow))),0,
           IF(OFFSET(PLE!$G$15,$M64-$A$15,CM$13)="",10^12,OFFSET(PLE!$G$15,$M64-$A$15,CM$13)))</f>
        <v>0</v>
      </c>
    </row>
    <row r="65" spans="1:91" s="670" customFormat="1" ht="25.5" x14ac:dyDescent="0.2">
      <c r="A65" s="668">
        <f t="shared" ca="1" si="10"/>
        <v>19</v>
      </c>
      <c r="B65" s="668" t="str">
        <f ca="1">OFFSET(ORÇAMENTO!C$15,$L65,0)</f>
        <v>S</v>
      </c>
      <c r="C65" s="668" t="str">
        <f ca="1">OFFSET(ORÇAMENTO!L$15,$L65,0)</f>
        <v>F</v>
      </c>
      <c r="D65" s="116" t="str">
        <f ca="1">OFFSET(ORÇAMENTO!N$15,$L65,0)</f>
        <v>Serviço</v>
      </c>
      <c r="E65" s="117" t="str">
        <f ca="1">OFFSET(ORÇAMENTO!O$15,$L65,0)</f>
        <v>1.9.1.</v>
      </c>
      <c r="F65" s="163" t="str">
        <f ca="1">OFFSET(ORÇAMENTO!R$15,$L65,0)</f>
        <v>TUBO PVC DEFOFO, JEI, 1 MPA, DN 200 MM, PARA REDE DE AGUA (NBR 7665)</v>
      </c>
      <c r="G65" s="164" t="str">
        <f ca="1">IF($D65&lt;&gt;"Serviço","",OFFSET(ORÇAMENTO!S$15,$L65,0))</f>
        <v>M</v>
      </c>
      <c r="H65" s="122" cm="1">
        <f t="array" aca="1" ref="H65" ca="1">IF($D65&lt;&gt;"Serviço",0,IF(ACOMPANHAMENTO="BM",ROUND(OFFSET(ORÇAMENTO!AJ$15,$L65,0),15-13*ORÇAMENTO!$AF$7),IF(IFERROR(CÁLCULO.FrentesPreenchidas,0)=0,0,SUM(ROUND(OFFSET($P65,0,1,1,CÁLCULO.FrentesPreenchidas),15-13*ORÇAMENTO!$AF$7)))))</f>
        <v>3390</v>
      </c>
      <c r="I65" s="468" t="s">
        <v>1127</v>
      </c>
      <c r="J65" s="651" t="str" cm="1">
        <f t="array" aca="1" ref="J65" ca="1">IF(OR(B65&lt;&gt;"S",CÁLCULO.FrentesPreenchidas=0),"",IF(AND(ACOMPANHAMENTO="PLE",AUTOEVENTO="Manual",OR(H65&gt;0,ORÇAMENTO!AC65="QUANT."),OR(K65="",M65=0,N65="")),"►E",IF(AND(ACOMPANHAMENTO="PLE",ORÇAMENTO!AC65="QUANT."),"►Q",IF(AND(ACOMPANHAMENTO="PLE",H65&lt;&gt;SUMPRODUCT(($Q$1:$AI$1=1)*ROUND(Q65:AI65,15))),"►S",IF(AND(COUNTIF($P$11:$AI$11,"▼")=0,H65&gt;0,I65=""),"◄M","")))))</f>
        <v/>
      </c>
      <c r="K65" s="652" t="s">
        <v>1350</v>
      </c>
      <c r="L65" s="165">
        <f t="shared" ca="1" si="11"/>
        <v>50</v>
      </c>
      <c r="M65" s="166">
        <f ca="1">IF($D65&lt;&gt;"Serviço","",
          IF(AUTOEVENTO="manual",$A65,
                IF(ISERROR(MATCH($A65,$A$15:OFFSET($A65,-1,0),0)),MAX($M$15:OFFSET(M65,-1,0))+1,
                      INDEX($M$15:OFFSET(M65,-1,0),MATCH($A65,$A$15:OFFSET($A65,-1,0),0)))))</f>
        <v>19</v>
      </c>
      <c r="N65" s="167" t="str">
        <f ca="1">IF($D65&lt;&gt;"Serviço","",
         IF(AUTOEVENTO="Manual",
                IF($A65=0,"&lt;-- defina o número do agrupador",
                       OFFSET(EVENTOS!$D$15,$A65-$A$15,0)),
                OFFSET($F$15,$A65,0)))</f>
        <v>Rede de água - assentamento de tubos</v>
      </c>
      <c r="O65" s="168"/>
      <c r="Q65" s="168"/>
      <c r="R65" s="169"/>
      <c r="S65" s="169"/>
      <c r="T65" s="169"/>
      <c r="U65" s="169">
        <v>3390</v>
      </c>
      <c r="V65" s="169"/>
      <c r="W65" s="169"/>
      <c r="X65" s="169"/>
      <c r="Y65" s="169"/>
      <c r="Z65" s="170"/>
      <c r="AA65" s="705"/>
      <c r="AB65" s="705"/>
      <c r="AC65" s="705"/>
      <c r="AD65" s="705"/>
      <c r="AE65" s="705"/>
      <c r="AF65" s="705"/>
      <c r="AG65" s="705"/>
      <c r="AH65" s="706"/>
      <c r="AJ65" s="453">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3">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L65" s="453">
        <f ca="1">IF(AND($D65="Serviço",AL$12&lt;&gt;0,$H65&gt;0,OR(AUTOEVENTO&lt;&gt;"manual",$M65&lt;&gt;$A$15)),
        IF(Import.TipoArredondamento&lt;&gt;"TransfereGOV",
              ROUND(OFFSET($P65,0,AL$13),15-13*ORÇAMENTO!$AF$7)/$H65*OFFSET(ORÇAMENTO!$X$15,ROW(AL65)-ROW(AL$15),0),
              ROUND(ROUND(OFFSET($P65,0,AL$13),15-13*ORÇAMENTO!$AF$7)*OFFSET(ORÇAMENTO!$W$15,ROW(AL65)-ROW(AL$15),0),15-13*ORÇAMENTO!$AF$11)),
         0)</f>
        <v>0</v>
      </c>
      <c r="AM65" s="453">
        <f ca="1">IF(AND($D65="Serviço",AM$12&lt;&gt;0,$H65&gt;0,OR(AUTOEVENTO&lt;&gt;"manual",$M65&lt;&gt;$A$15)),
        IF(Import.TipoArredondamento&lt;&gt;"TransfereGOV",
              ROUND(OFFSET($P65,0,AM$13),15-13*ORÇAMENTO!$AF$7)/$H65*OFFSET(ORÇAMENTO!$X$15,ROW(AM65)-ROW(AM$15),0),
              ROUND(ROUND(OFFSET($P65,0,AM$13),15-13*ORÇAMENTO!$AF$7)*OFFSET(ORÇAMENTO!$W$15,ROW(AM65)-ROW(AM$15),0),15-13*ORÇAMENTO!$AF$11)),
         0)</f>
        <v>0</v>
      </c>
      <c r="AN65" s="453">
        <f ca="1">IF(AND($D65="Serviço",AN$12&lt;&gt;0,$H65&gt;0,OR(AUTOEVENTO&lt;&gt;"manual",$M65&lt;&gt;$A$15)),
        IF(Import.TipoArredondamento&lt;&gt;"TransfereGOV",
              ROUND(OFFSET($P65,0,AN$13),15-13*ORÇAMENTO!$AF$7)/$H65*OFFSET(ORÇAMENTO!$X$15,ROW(AN65)-ROW(AN$15),0),
              ROUND(ROUND(OFFSET($P65,0,AN$13),15-13*ORÇAMENTO!$AF$7)*OFFSET(ORÇAMENTO!$W$15,ROW(AN65)-ROW(AN$15),0),15-13*ORÇAMENTO!$AF$11)),
         0)</f>
        <v>1007033.4</v>
      </c>
      <c r="AO65" s="453">
        <f ca="1">IF(AND($D65="Serviço",AO$12&lt;&gt;0,$H65&gt;0,OR(AUTOEVENTO&lt;&gt;"manual",$M65&lt;&gt;$A$15)),
        IF(Import.TipoArredondamento&lt;&gt;"TransfereGOV",
              ROUND(OFFSET($P65,0,AO$13),15-13*ORÇAMENTO!$AF$7)/$H65*OFFSET(ORÇAMENTO!$X$15,ROW(AO65)-ROW(AO$15),0),
              ROUND(ROUND(OFFSET($P65,0,AO$13),15-13*ORÇAMENTO!$AF$7)*OFFSET(ORÇAMENTO!$W$15,ROW(AO65)-ROW(AO$15),0),15-13*ORÇAMENTO!$AF$11)),
         0)</f>
        <v>0</v>
      </c>
      <c r="AP65" s="453">
        <f ca="1">IF(AND($D65="Serviço",AP$12&lt;&gt;0,$H65&gt;0,OR(AUTOEVENTO&lt;&gt;"manual",$M65&lt;&gt;$A$15)),
        IF(Import.TipoArredondamento&lt;&gt;"TransfereGOV",
              ROUND(OFFSET($P65,0,AP$13),15-13*ORÇAMENTO!$AF$7)/$H65*OFFSET(ORÇAMENTO!$X$15,ROW(AP65)-ROW(AP$15),0),
              ROUND(ROUND(OFFSET($P65,0,AP$13),15-13*ORÇAMENTO!$AF$7)*OFFSET(ORÇAMENTO!$W$15,ROW(AP65)-ROW(AP$15),0),15-13*ORÇAMENTO!$AF$11)),
         0)</f>
        <v>0</v>
      </c>
      <c r="AQ65" s="453">
        <f ca="1">IF(AND($D65="Serviço",AQ$12&lt;&gt;0,$H65&gt;0,OR(AUTOEVENTO&lt;&gt;"manual",$M65&lt;&gt;$A$15)),
        IF(Import.TipoArredondamento&lt;&gt;"TransfereGOV",
              ROUND(OFFSET($P65,0,AQ$13),15-13*ORÇAMENTO!$AF$7)/$H65*OFFSET(ORÇAMENTO!$X$15,ROW(AQ65)-ROW(AQ$15),0),
              ROUND(ROUND(OFFSET($P65,0,AQ$13),15-13*ORÇAMENTO!$AF$7)*OFFSET(ORÇAMENTO!$W$15,ROW(AQ65)-ROW(AQ$15),0),15-13*ORÇAMENTO!$AF$11)),
         0)</f>
        <v>0</v>
      </c>
      <c r="AR65" s="453">
        <f ca="1">IF(AND($D65="Serviço",AR$12&lt;&gt;0,$H65&gt;0,OR(AUTOEVENTO&lt;&gt;"manual",$M65&lt;&gt;$A$15)),
        IF(Import.TipoArredondamento&lt;&gt;"TransfereGOV",
              ROUND(OFFSET($P65,0,AR$13),15-13*ORÇAMENTO!$AF$7)/$H65*OFFSET(ORÇAMENTO!$X$15,ROW(AR65)-ROW(AR$15),0),
              ROUND(ROUND(OFFSET($P65,0,AR$13),15-13*ORÇAMENTO!$AF$7)*OFFSET(ORÇAMENTO!$W$15,ROW(AR65)-ROW(AR$15),0),15-13*ORÇAMENTO!$AF$11)),
         0)</f>
        <v>0</v>
      </c>
      <c r="AS65" s="453">
        <f ca="1">IF(AND($D65="Serviço",AS$12&lt;&gt;0,$H65&gt;0,OR(AUTOEVENTO&lt;&gt;"manual",$M65&lt;&gt;$A$15)),
        IF(Import.TipoArredondamento&lt;&gt;"TransfereGOV",
              ROUND(OFFSET($P65,0,AS$13),15-13*ORÇAMENTO!$AF$7)/$H65*OFFSET(ORÇAMENTO!$X$15,ROW(AS65)-ROW(AS$15),0),
              ROUND(ROUND(OFFSET($P65,0,AS$13),15-13*ORÇAMENTO!$AF$7)*OFFSET(ORÇAMENTO!$W$15,ROW(AS65)-ROW(AS$15),0),15-13*ORÇAMENTO!$AF$11)),
         0)</f>
        <v>0</v>
      </c>
      <c r="AT65" s="453">
        <f ca="1">IF(AND($D65="Serviço",AT$12&lt;&gt;0,$H65&gt;0,OR(AUTOEVENTO&lt;&gt;"manual",$M65&lt;&gt;$A$15)),
        IF(Import.TipoArredondamento&lt;&gt;"TransfereGOV",
              ROUND(OFFSET($P65,0,AT$13),15-13*ORÇAMENTO!$AF$7)/$H65*OFFSET(ORÇAMENTO!$X$15,ROW(AT65)-ROW(AT$15),0),
              ROUND(ROUND(OFFSET($P65,0,AT$13),15-13*ORÇAMENTO!$AF$7)*OFFSET(ORÇAMENTO!$W$15,ROW(AT65)-ROW(AT$15),0),15-13*ORÇAMENTO!$AF$11)),
         0)</f>
        <v>0</v>
      </c>
      <c r="AU65" s="453">
        <f ca="1">IF(AND($D65="Serviço",AU$12&lt;&gt;0,$H65&gt;0,OR(AUTOEVENTO&lt;&gt;"manual",$M65&lt;&gt;$A$15)),
        IF(Import.TipoArredondamento&lt;&gt;"TransfereGOV",
              ROUND(OFFSET($P65,0,AU$13),15-13*ORÇAMENTO!$AF$7)/$H65*OFFSET(ORÇAMENTO!$X$15,ROW(AU65)-ROW(AU$15),0),
              ROUND(ROUND(OFFSET($P65,0,AU$13),15-13*ORÇAMENTO!$AF$7)*OFFSET(ORÇAMENTO!$W$15,ROW(AU65)-ROW(AU$15),0),15-13*ORÇAMENTO!$AF$11)),
         0)</f>
        <v>0</v>
      </c>
      <c r="AV65" s="453">
        <f ca="1">IF(AND($D65="Serviço",AV$12&lt;&gt;0,$H65&gt;0,OR(AUTOEVENTO&lt;&gt;"manual",$M65&lt;&gt;$A$15)),
        IF(Import.TipoArredondamento&lt;&gt;"TransfereGOV",
              ROUND(OFFSET($P65,0,AV$13),15-13*ORÇAMENTO!$AF$7)/$H65*OFFSET(ORÇAMENTO!$X$15,ROW(AV65)-ROW(AV$15),0),
              ROUND(ROUND(OFFSET($P65,0,AV$13),15-13*ORÇAMENTO!$AF$7)*OFFSET(ORÇAMENTO!$W$15,ROW(AV65)-ROW(AV$15),0),15-13*ORÇAMENTO!$AF$11)),
         0)</f>
        <v>0</v>
      </c>
      <c r="AW65" s="453">
        <f ca="1">IF(AND($D65="Serviço",AW$12&lt;&gt;0,$H65&gt;0,OR(AUTOEVENTO&lt;&gt;"manual",$M65&lt;&gt;$A$15)),
        IF(Import.TipoArredondamento&lt;&gt;"TransfereGOV",
              ROUND(OFFSET($P65,0,AW$13),15-13*ORÇAMENTO!$AF$7)/$H65*OFFSET(ORÇAMENTO!$X$15,ROW(AW65)-ROW(AW$15),0),
              ROUND(ROUND(OFFSET($P65,0,AW$13),15-13*ORÇAMENTO!$AF$7)*OFFSET(ORÇAMENTO!$W$15,ROW(AW65)-ROW(AW$15),0),15-13*ORÇAMENTO!$AF$11)),
         0)</f>
        <v>0</v>
      </c>
      <c r="AX65" s="453">
        <f ca="1">IF(AND($D65="Serviço",AX$12&lt;&gt;0,$H65&gt;0,OR(AUTOEVENTO&lt;&gt;"manual",$M65&lt;&gt;$A$15)),
        IF(Import.TipoArredondamento&lt;&gt;"TransfereGOV",
              ROUND(OFFSET($P65,0,AX$13),15-13*ORÇAMENTO!$AF$7)/$H65*OFFSET(ORÇAMENTO!$X$15,ROW(AX65)-ROW(AX$15),0),
              ROUND(ROUND(OFFSET($P65,0,AX$13),15-13*ORÇAMENTO!$AF$7)*OFFSET(ORÇAMENTO!$W$15,ROW(AX65)-ROW(AX$15),0),15-13*ORÇAMENTO!$AF$11)),
         0)</f>
        <v>0</v>
      </c>
      <c r="AY65" s="453">
        <f ca="1">IF(AND($D65="Serviço",AY$12&lt;&gt;0,$H65&gt;0,OR(AUTOEVENTO&lt;&gt;"manual",$M65&lt;&gt;$A$15)),
        IF(Import.TipoArredondamento&lt;&gt;"TransfereGOV",
              ROUND(OFFSET($P65,0,AY$13),15-13*ORÇAMENTO!$AF$7)/$H65*OFFSET(ORÇAMENTO!$X$15,ROW(AY65)-ROW(AY$15),0),
              ROUND(ROUND(OFFSET($P65,0,AY$13),15-13*ORÇAMENTO!$AF$7)*OFFSET(ORÇAMENTO!$W$15,ROW(AY65)-ROW(AY$15),0),15-13*ORÇAMENTO!$AF$11)),
         0)</f>
        <v>0</v>
      </c>
      <c r="AZ65" s="453">
        <f ca="1">IF(AND($D65="Serviço",AZ$12&lt;&gt;0,$H65&gt;0,OR(AUTOEVENTO&lt;&gt;"manual",$M65&lt;&gt;$A$15)),
        IF(Import.TipoArredondamento&lt;&gt;"TransfereGOV",
              ROUND(OFFSET($P65,0,AZ$13),15-13*ORÇAMENTO!$AF$7)/$H65*OFFSET(ORÇAMENTO!$X$15,ROW(AZ65)-ROW(AZ$15),0),
              ROUND(ROUND(OFFSET($P65,0,AZ$13),15-13*ORÇAMENTO!$AF$7)*OFFSET(ORÇAMENTO!$W$15,ROW(AZ65)-ROW(AZ$15),0),15-13*ORÇAMENTO!$AF$11)),
         0)</f>
        <v>0</v>
      </c>
      <c r="BA65" s="453">
        <f ca="1">IF(AND($D65="Serviço",BA$12&lt;&gt;0,$H65&gt;0,OR(AUTOEVENTO&lt;&gt;"manual",$M65&lt;&gt;$A$15)),
        IF(Import.TipoArredondamento&lt;&gt;"TransfereGOV",
              ROUND(OFFSET($P65,0,BA$13),15-13*ORÇAMENTO!$AF$7)/$H65*OFFSET(ORÇAMENTO!$X$15,ROW(BA65)-ROW(BA$15),0),
              ROUND(ROUND(OFFSET($P65,0,BA$13),15-13*ORÇAMENTO!$AF$7)*OFFSET(ORÇAMENTO!$W$15,ROW(BA65)-ROW(BA$15),0),15-13*ORÇAMENTO!$AF$11)),
         0)</f>
        <v>0</v>
      </c>
      <c r="BC65" s="171">
        <f ca="1">IF(OR($D65&lt;&gt;"Serviço",AND(AUTOEVENTO="Manual",$M65=$A$15)),0,
         IF(OFFSET(CRONOPLE!$F$15,$M65-$A$15,BC$13)=0,10^12,OFFSET(CRONOPLE!$F$15,$M65-$A$15,BC$13)))</f>
        <v>1000000000000</v>
      </c>
      <c r="BD65" s="171">
        <f ca="1">IF(OR($D65&lt;&gt;"Serviço",AND(AUTOEVENTO="Manual",$M65=$A$15)),0,
         IF(OFFSET(CRONOPLE!$F$15,$M65-$A$15,BD$13)=0,10^12,OFFSET(CRONOPLE!$F$15,$M65-$A$15,BD$13)))</f>
        <v>1000000000000</v>
      </c>
      <c r="BE65" s="171">
        <f ca="1">IF(OR($D65&lt;&gt;"Serviço",AND(AUTOEVENTO="Manual",$M65=$A$15)),0,
         IF(OFFSET(CRONOPLE!$F$15,$M65-$A$15,BE$13)=0,10^12,OFFSET(CRONOPLE!$F$15,$M65-$A$15,BE$13)))</f>
        <v>1000000000000</v>
      </c>
      <c r="BF65" s="171">
        <f ca="1">IF(OR($D65&lt;&gt;"Serviço",AND(AUTOEVENTO="Manual",$M65=$A$15)),0,
         IF(OFFSET(CRONOPLE!$F$15,$M65-$A$15,BF$13)=0,10^12,OFFSET(CRONOPLE!$F$15,$M65-$A$15,BF$13)))</f>
        <v>1000000000000</v>
      </c>
      <c r="BG65" s="171">
        <f ca="1">IF(OR($D65&lt;&gt;"Serviço",AND(AUTOEVENTO="Manual",$M65=$A$15)),0,
         IF(OFFSET(CRONOPLE!$F$15,$M65-$A$15,BG$13)=0,10^12,OFFSET(CRONOPLE!$F$15,$M65-$A$15,BG$13)))</f>
        <v>7</v>
      </c>
      <c r="BH65" s="171">
        <f ca="1">IF(OR($D65&lt;&gt;"Serviço",AND(AUTOEVENTO="Manual",$M65=$A$15)),0,
         IF(OFFSET(CRONOPLE!$F$15,$M65-$A$15,BH$13)=0,10^12,OFFSET(CRONOPLE!$F$15,$M65-$A$15,BH$13)))</f>
        <v>1000000000000</v>
      </c>
      <c r="BI65" s="171">
        <f ca="1">IF(OR($D65&lt;&gt;"Serviço",AND(AUTOEVENTO="Manual",$M65=$A$15)),0,
         IF(OFFSET(CRONOPLE!$F$15,$M65-$A$15,BI$13)=0,10^12,OFFSET(CRONOPLE!$F$15,$M65-$A$15,BI$13)))</f>
        <v>1000000000000</v>
      </c>
      <c r="BJ65" s="171">
        <f ca="1">IF(OR($D65&lt;&gt;"Serviço",AND(AUTOEVENTO="Manual",$M65=$A$15)),0,
         IF(OFFSET(CRONOPLE!$F$15,$M65-$A$15,BJ$13)=0,10^12,OFFSET(CRONOPLE!$F$15,$M65-$A$15,BJ$13)))</f>
        <v>1000000000000</v>
      </c>
      <c r="BK65" s="171">
        <f ca="1">IF(OR($D65&lt;&gt;"Serviço",AND(AUTOEVENTO="Manual",$M65=$A$15)),0,
         IF(OFFSET(CRONOPLE!$F$15,$M65-$A$15,BK$13)=0,10^12,OFFSET(CRONOPLE!$F$15,$M65-$A$15,BK$13)))</f>
        <v>1000000000000</v>
      </c>
      <c r="BL65" s="171">
        <f ca="1">IF(OR($D65&lt;&gt;"Serviço",AND(AUTOEVENTO="Manual",$M65=$A$15)),0,
         IF(OFFSET(CRONOPLE!$F$15,$M65-$A$15,BL$13)=0,10^12,OFFSET(CRONOPLE!$F$15,$M65-$A$15,BL$13)))</f>
        <v>1000000000000</v>
      </c>
      <c r="BM65" s="171">
        <f ca="1">IF(OR($D65&lt;&gt;"Serviço",AND(AUTOEVENTO="Manual",$M65=$A$15)),0,
         IF(OFFSET(CRONOPLE!$F$15,$M65-$A$15,BM$13)=0,10^12,OFFSET(CRONOPLE!$F$15,$M65-$A$15,BM$13)))</f>
        <v>1000000000000</v>
      </c>
      <c r="BN65" s="171">
        <f ca="1">IF(OR($D65&lt;&gt;"Serviço",AND(AUTOEVENTO="Manual",$M65=$A$15)),0,
         IF(OFFSET(CRONOPLE!$F$15,$M65-$A$15,BN$13)=0,10^12,OFFSET(CRONOPLE!$F$15,$M65-$A$15,BN$13)))</f>
        <v>1000000000000</v>
      </c>
      <c r="BO65" s="171">
        <f ca="1">IF(OR($D65&lt;&gt;"Serviço",AND(AUTOEVENTO="Manual",$M65=$A$15)),0,
         IF(OFFSET(CRONOPLE!$F$15,$M65-$A$15,BO$13)=0,10^12,OFFSET(CRONOPLE!$F$15,$M65-$A$15,BO$13)))</f>
        <v>1000000000000</v>
      </c>
      <c r="BP65" s="171">
        <f ca="1">IF(OR($D65&lt;&gt;"Serviço",AND(AUTOEVENTO="Manual",$M65=$A$15)),0,
         IF(OFFSET(CRONOPLE!$F$15,$M65-$A$15,BP$13)=0,10^12,OFFSET(CRONOPLE!$F$15,$M65-$A$15,BP$13)))</f>
        <v>1000000000000</v>
      </c>
      <c r="BQ65" s="171">
        <f ca="1">IF(OR($D65&lt;&gt;"Serviço",AND(AUTOEVENTO="Manual",$M65=$A$15)),0,
         IF(OFFSET(CRONOPLE!$F$15,$M65-$A$15,BQ$13)=0,10^12,OFFSET(CRONOPLE!$F$15,$M65-$A$15,BQ$13)))</f>
        <v>1000000000000</v>
      </c>
      <c r="BR65" s="171">
        <f ca="1">IF(OR($D65&lt;&gt;"Serviço",AND(AUTOEVENTO="Manual",$M65=$A$15)),0,
         IF(OFFSET(CRONOPLE!$F$15,$M65-$A$15,BR$13)=0,10^12,OFFSET(CRONOPLE!$F$15,$M65-$A$15,BR$13)))</f>
        <v>1000000000000</v>
      </c>
      <c r="BS65" s="171">
        <f ca="1">IF(OR($D65&lt;&gt;"Serviço",AND(AUTOEVENTO="Manual",$M65=$A$15)),0,
         IF(OFFSET(CRONOPLE!$F$15,$M65-$A$15,BS$13)=0,10^12,OFFSET(CRONOPLE!$F$15,$M65-$A$15,BS$13)))</f>
        <v>1000000000000</v>
      </c>
      <c r="BT65" s="171">
        <f ca="1">IF(OR($D65&lt;&gt;"Serviço",AND(AUTOEVENTO="Manual",$M65=$A$15)),0,
         IF(OFFSET(CRONOPLE!$F$15,$M65-$A$15,BT$13)=0,10^12,OFFSET(CRONOPLE!$F$15,$M65-$A$15,BT$13)))</f>
        <v>1000000000000</v>
      </c>
      <c r="BV65" s="172" cm="1">
        <f t="array" aca="1" ref="BV65" ca="1">IF(OR($D65&lt;&gt;"Serviço",AND(AUTOEVENTO="Manual",$M65=$A$15),$M65&gt;(ROW(PLE.lastrow)-ROW(PLE.firstrow))),0,
           IF(OFFSET(PLE!$G$15,$M65-$A$15,BV$13)="",10^12,OFFSET(PLE!$G$15,$M65-$A$15,BV$13)))</f>
        <v>1000000000000</v>
      </c>
      <c r="BW65" s="172" cm="1">
        <f t="array" aca="1" ref="BW65" ca="1">IF(OR($D65&lt;&gt;"Serviço",AND(AUTOEVENTO="Manual",$M65=$A$15),$M65&gt;(ROW(PLE.lastrow)-ROW(PLE.firstrow))),0,
           IF(OFFSET(PLE!$G$15,$M65-$A$15,BW$13)="",10^12,OFFSET(PLE!$G$15,$M65-$A$15,BW$13)))</f>
        <v>1000000000000</v>
      </c>
      <c r="BX65" s="172" cm="1">
        <f t="array" aca="1" ref="BX65" ca="1">IF(OR($D65&lt;&gt;"Serviço",AND(AUTOEVENTO="Manual",$M65=$A$15),$M65&gt;(ROW(PLE.lastrow)-ROW(PLE.firstrow))),0,
           IF(OFFSET(PLE!$G$15,$M65-$A$15,BX$13)="",10^12,OFFSET(PLE!$G$15,$M65-$A$15,BX$13)))</f>
        <v>1000000000000</v>
      </c>
      <c r="BY65" s="172" cm="1">
        <f t="array" aca="1" ref="BY65" ca="1">IF(OR($D65&lt;&gt;"Serviço",AND(AUTOEVENTO="Manual",$M65=$A$15),$M65&gt;(ROW(PLE.lastrow)-ROW(PLE.firstrow))),0,
           IF(OFFSET(PLE!$G$15,$M65-$A$15,BY$13)="",10^12,OFFSET(PLE!$G$15,$M65-$A$15,BY$13)))</f>
        <v>1000000000000</v>
      </c>
      <c r="BZ65" s="172" cm="1">
        <f t="array" aca="1" ref="BZ65" ca="1">IF(OR($D65&lt;&gt;"Serviço",AND(AUTOEVENTO="Manual",$M65=$A$15),$M65&gt;(ROW(PLE.lastrow)-ROW(PLE.firstrow))),0,
           IF(OFFSET(PLE!$G$15,$M65-$A$15,BZ$13)="",10^12,OFFSET(PLE!$G$15,$M65-$A$15,BZ$13)))</f>
        <v>1000000000000</v>
      </c>
      <c r="CA65" s="172" cm="1">
        <f t="array" aca="1" ref="CA65" ca="1">IF(OR($D65&lt;&gt;"Serviço",AND(AUTOEVENTO="Manual",$M65=$A$15),$M65&gt;(ROW(PLE.lastrow)-ROW(PLE.firstrow))),0,
           IF(OFFSET(PLE!$G$15,$M65-$A$15,CA$13)="",10^12,OFFSET(PLE!$G$15,$M65-$A$15,CA$13)))</f>
        <v>1000000000000</v>
      </c>
      <c r="CB65" s="172" cm="1">
        <f t="array" aca="1" ref="CB65" ca="1">IF(OR($D65&lt;&gt;"Serviço",AND(AUTOEVENTO="Manual",$M65=$A$15),$M65&gt;(ROW(PLE.lastrow)-ROW(PLE.firstrow))),0,
           IF(OFFSET(PLE!$G$15,$M65-$A$15,CB$13)="",10^12,OFFSET(PLE!$G$15,$M65-$A$15,CB$13)))</f>
        <v>1000000000000</v>
      </c>
      <c r="CC65" s="172" cm="1">
        <f t="array" aca="1" ref="CC65" ca="1">IF(OR($D65&lt;&gt;"Serviço",AND(AUTOEVENTO="Manual",$M65=$A$15),$M65&gt;(ROW(PLE.lastrow)-ROW(PLE.firstrow))),0,
           IF(OFFSET(PLE!$G$15,$M65-$A$15,CC$13)="",10^12,OFFSET(PLE!$G$15,$M65-$A$15,CC$13)))</f>
        <v>1000000000000</v>
      </c>
      <c r="CD65" s="172" cm="1">
        <f t="array" aca="1" ref="CD65" ca="1">IF(OR($D65&lt;&gt;"Serviço",AND(AUTOEVENTO="Manual",$M65=$A$15),$M65&gt;(ROW(PLE.lastrow)-ROW(PLE.firstrow))),0,
           IF(OFFSET(PLE!$G$15,$M65-$A$15,CD$13)="",10^12,OFFSET(PLE!$G$15,$M65-$A$15,CD$13)))</f>
        <v>1000000000000</v>
      </c>
      <c r="CE65" s="172" cm="1">
        <f t="array" aca="1" ref="CE65" ca="1">IF(OR($D65&lt;&gt;"Serviço",AND(AUTOEVENTO="Manual",$M65=$A$15),$M65&gt;(ROW(PLE.lastrow)-ROW(PLE.firstrow))),0,
           IF(OFFSET(PLE!$G$15,$M65-$A$15,CE$13)="",10^12,OFFSET(PLE!$G$15,$M65-$A$15,CE$13)))</f>
        <v>1000000000000</v>
      </c>
      <c r="CF65" s="172" cm="1">
        <f t="array" aca="1" ref="CF65" ca="1">IF(OR($D65&lt;&gt;"Serviço",AND(AUTOEVENTO="Manual",$M65=$A$15),$M65&gt;(ROW(PLE.lastrow)-ROW(PLE.firstrow))),0,
           IF(OFFSET(PLE!$G$15,$M65-$A$15,CF$13)="",10^12,OFFSET(PLE!$G$15,$M65-$A$15,CF$13)))</f>
        <v>1000000000000</v>
      </c>
      <c r="CG65" s="172" cm="1">
        <f t="array" aca="1" ref="CG65" ca="1">IF(OR($D65&lt;&gt;"Serviço",AND(AUTOEVENTO="Manual",$M65=$A$15),$M65&gt;(ROW(PLE.lastrow)-ROW(PLE.firstrow))),0,
           IF(OFFSET(PLE!$G$15,$M65-$A$15,CG$13)="",10^12,OFFSET(PLE!$G$15,$M65-$A$15,CG$13)))</f>
        <v>1000000000000</v>
      </c>
      <c r="CH65" s="172" cm="1">
        <f t="array" aca="1" ref="CH65" ca="1">IF(OR($D65&lt;&gt;"Serviço",AND(AUTOEVENTO="Manual",$M65=$A$15),$M65&gt;(ROW(PLE.lastrow)-ROW(PLE.firstrow))),0,
           IF(OFFSET(PLE!$G$15,$M65-$A$15,CH$13)="",10^12,OFFSET(PLE!$G$15,$M65-$A$15,CH$13)))</f>
        <v>1000000000000</v>
      </c>
      <c r="CI65" s="172" cm="1">
        <f t="array" aca="1" ref="CI65" ca="1">IF(OR($D65&lt;&gt;"Serviço",AND(AUTOEVENTO="Manual",$M65=$A$15),$M65&gt;(ROW(PLE.lastrow)-ROW(PLE.firstrow))),0,
           IF(OFFSET(PLE!$G$15,$M65-$A$15,CI$13)="",10^12,OFFSET(PLE!$G$15,$M65-$A$15,CI$13)))</f>
        <v>1000000000000</v>
      </c>
      <c r="CJ65" s="172" cm="1">
        <f t="array" aca="1" ref="CJ65" ca="1">IF(OR($D65&lt;&gt;"Serviço",AND(AUTOEVENTO="Manual",$M65=$A$15),$M65&gt;(ROW(PLE.lastrow)-ROW(PLE.firstrow))),0,
           IF(OFFSET(PLE!$G$15,$M65-$A$15,CJ$13)="",10^12,OFFSET(PLE!$G$15,$M65-$A$15,CJ$13)))</f>
        <v>1000000000000</v>
      </c>
      <c r="CK65" s="172" cm="1">
        <f t="array" aca="1" ref="CK65" ca="1">IF(OR($D65&lt;&gt;"Serviço",AND(AUTOEVENTO="Manual",$M65=$A$15),$M65&gt;(ROW(PLE.lastrow)-ROW(PLE.firstrow))),0,
           IF(OFFSET(PLE!$G$15,$M65-$A$15,CK$13)="",10^12,OFFSET(PLE!$G$15,$M65-$A$15,CK$13)))</f>
        <v>1000000000000</v>
      </c>
      <c r="CL65" s="172" cm="1">
        <f t="array" aca="1" ref="CL65" ca="1">IF(OR($D65&lt;&gt;"Serviço",AND(AUTOEVENTO="Manual",$M65=$A$15),$M65&gt;(ROW(PLE.lastrow)-ROW(PLE.firstrow))),0,
           IF(OFFSET(PLE!$G$15,$M65-$A$15,CL$13)="",10^12,OFFSET(PLE!$G$15,$M65-$A$15,CL$13)))</f>
        <v>1000000000000</v>
      </c>
      <c r="CM65" s="172" cm="1">
        <f t="array" aca="1" ref="CM65" ca="1">IF(OR($D65&lt;&gt;"Serviço",AND(AUTOEVENTO="Manual",$M65=$A$15),$M65&gt;(ROW(PLE.lastrow)-ROW(PLE.firstrow))),0,
           IF(OFFSET(PLE!$G$15,$M65-$A$15,CM$13)="",10^12,OFFSET(PLE!$G$15,$M65-$A$15,CM$13)))</f>
        <v>1000000000000</v>
      </c>
    </row>
    <row r="66" spans="1:91" s="680" customFormat="1" ht="51" x14ac:dyDescent="0.2">
      <c r="A66" s="681">
        <f ca="1">IFERROR(IF(AUTOEVENTO="Manual",IF(K66&lt;&gt;"",MIN(VALUE(LEFT(K66,FIND(".",K66)-1)),COUNTA(EVENTOS.Lista)),0),IF(OR($B66&gt;AUTOEVENTO,$B66="S",$B66=0),SUBSTITUTE(OFFSET($A66,-1,0),IF($D66="Serviço",".",""),""),$L66&amp;".")),0)</f>
        <v>19</v>
      </c>
      <c r="B66" s="681" t="str">
        <f ca="1">OFFSET(ORÇAMENTO!C$15,$L66,0)</f>
        <v>S</v>
      </c>
      <c r="C66" s="681" t="str">
        <f ca="1">OFFSET(ORÇAMENTO!L$15,$L66,0)</f>
        <v>F</v>
      </c>
      <c r="D66" s="686" t="str">
        <f ca="1">OFFSET(ORÇAMENTO!N$15,$L66,0)</f>
        <v>Serviço</v>
      </c>
      <c r="E66" s="687" t="str">
        <f ca="1">OFFSET(ORÇAMENTO!O$15,$L66,0)</f>
        <v>1.9.2.</v>
      </c>
      <c r="F66" s="699" t="str">
        <f ca="1">OFFSET(ORÇAMENTO!R$15,$L66,0)</f>
        <v>ASSENTAMENTO DE TUBO DE FERRO FUNDIDO PARA REDE DE ÁGUA, DN 200 MM, JUNTA ELÁSTICA, INSTALADO EM LOCAL COM NÍVEL ALTO DE INTERFERÊNCIAS (NÃO INCLUI FORNECIMENTO). AF_05/2024</v>
      </c>
      <c r="G66" s="700" t="str">
        <f ca="1">IF($D66&lt;&gt;"Serviço","",OFFSET(ORÇAMENTO!S$15,$L66,0))</f>
        <v>M</v>
      </c>
      <c r="H66" s="692" cm="1">
        <f t="array" aca="1" ref="H66" ca="1">IF($D66&lt;&gt;"Serviço",0,IF(ACOMPANHAMENTO="BM",ROUND(OFFSET(ORÇAMENTO!AJ$15,$L66,0),15-13*ORÇAMENTO!$AF$7),IF(IFERROR(CÁLCULO.FrentesPreenchidas,0)=0,0,SUM(ROUND(OFFSET($P66,0,1,1,CÁLCULO.FrentesPreenchidas),15-13*ORÇAMENTO!$AF$7)))))</f>
        <v>3390</v>
      </c>
      <c r="I66" s="720"/>
      <c r="J66" s="724" t="str" cm="1">
        <f t="array" aca="1" ref="J66" ca="1">IF(OR(B66&lt;&gt;"S",CÁLCULO.FrentesPreenchidas=0),"",IF(AND(ACOMPANHAMENTO="PLE",AUTOEVENTO="Manual",OR(H66&gt;0,ORÇAMENTO!AC66="QUANT."),OR(K66="",M66=0,N66="")),"►E",IF(AND(ACOMPANHAMENTO="PLE",ORÇAMENTO!AC66="QUANT."),"►Q",IF(AND(ACOMPANHAMENTO="PLE",H66&lt;&gt;SUMPRODUCT(($Q$1:$AI$1=1)*ROUND(Q66:AI66,15))),"►S",IF(AND(COUNTIF($P$11:$AI$11,"▼")=0,H66&gt;0,I66=""),"◄M","")))))</f>
        <v>◄M</v>
      </c>
      <c r="K66" s="652" t="s">
        <v>1350</v>
      </c>
      <c r="L66" s="701">
        <f ca="1">OFFSET(L66,-1,0)+1</f>
        <v>51</v>
      </c>
      <c r="M66" s="702">
        <f ca="1">IF($D66&lt;&gt;"Serviço","",
          IF(AUTOEVENTO="manual",$A66,
                IF(ISERROR(MATCH($A66,$A$15:OFFSET($A66,-1,0),0)),MAX($M$15:OFFSET(M66,-1,0))+1,
                      INDEX($M$15:OFFSET(M66,-1,0),MATCH($A66,$A$15:OFFSET($A66,-1,0),0)))))</f>
        <v>19</v>
      </c>
      <c r="N66" s="703" t="str">
        <f ca="1">IF($D66&lt;&gt;"Serviço","",
         IF(AUTOEVENTO="Manual",
                IF($A66=0,"&lt;-- defina o número do agrupador",
                       OFFSET(EVENTOS!$D$15,$A66-$A$15,0)),
                OFFSET($F$15,$A66,0)))</f>
        <v>Rede de água - assentamento de tubos</v>
      </c>
      <c r="O66" s="704"/>
      <c r="Q66" s="704"/>
      <c r="R66" s="705"/>
      <c r="S66" s="705"/>
      <c r="T66" s="705"/>
      <c r="U66" s="705">
        <v>3390</v>
      </c>
      <c r="V66" s="705"/>
      <c r="W66" s="705"/>
      <c r="X66" s="705"/>
      <c r="Y66" s="705"/>
      <c r="Z66" s="706"/>
      <c r="AA66" s="705"/>
      <c r="AB66" s="705"/>
      <c r="AC66" s="705"/>
      <c r="AD66" s="705"/>
      <c r="AE66" s="705"/>
      <c r="AF66" s="705"/>
      <c r="AG66" s="705"/>
      <c r="AH66" s="706"/>
      <c r="AJ66" s="453">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3">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L66" s="453">
        <f ca="1">IF(AND($D66="Serviço",AL$12&lt;&gt;0,$H66&gt;0,OR(AUTOEVENTO&lt;&gt;"manual",$M66&lt;&gt;$A$15)),
        IF(Import.TipoArredondamento&lt;&gt;"TransfereGOV",
              ROUND(OFFSET($P66,0,AL$13),15-13*ORÇAMENTO!$AF$7)/$H66*OFFSET(ORÇAMENTO!$X$15,ROW(AL66)-ROW(AL$15),0),
              ROUND(ROUND(OFFSET($P66,0,AL$13),15-13*ORÇAMENTO!$AF$7)*OFFSET(ORÇAMENTO!$W$15,ROW(AL66)-ROW(AL$15),0),15-13*ORÇAMENTO!$AF$11)),
         0)</f>
        <v>0</v>
      </c>
      <c r="AM66" s="453">
        <f ca="1">IF(AND($D66="Serviço",AM$12&lt;&gt;0,$H66&gt;0,OR(AUTOEVENTO&lt;&gt;"manual",$M66&lt;&gt;$A$15)),
        IF(Import.TipoArredondamento&lt;&gt;"TransfereGOV",
              ROUND(OFFSET($P66,0,AM$13),15-13*ORÇAMENTO!$AF$7)/$H66*OFFSET(ORÇAMENTO!$X$15,ROW(AM66)-ROW(AM$15),0),
              ROUND(ROUND(OFFSET($P66,0,AM$13),15-13*ORÇAMENTO!$AF$7)*OFFSET(ORÇAMENTO!$W$15,ROW(AM66)-ROW(AM$15),0),15-13*ORÇAMENTO!$AF$11)),
         0)</f>
        <v>0</v>
      </c>
      <c r="AN66" s="453">
        <f ca="1">IF(AND($D66="Serviço",AN$12&lt;&gt;0,$H66&gt;0,OR(AUTOEVENTO&lt;&gt;"manual",$M66&lt;&gt;$A$15)),
        IF(Import.TipoArredondamento&lt;&gt;"TransfereGOV",
              ROUND(OFFSET($P66,0,AN$13),15-13*ORÇAMENTO!$AF$7)/$H66*OFFSET(ORÇAMENTO!$X$15,ROW(AN66)-ROW(AN$15),0),
              ROUND(ROUND(OFFSET($P66,0,AN$13),15-13*ORÇAMENTO!$AF$7)*OFFSET(ORÇAMENTO!$W$15,ROW(AN66)-ROW(AN$15),0),15-13*ORÇAMENTO!$AF$11)),
         0)</f>
        <v>44612.4</v>
      </c>
      <c r="AO66" s="453">
        <f ca="1">IF(AND($D66="Serviço",AO$12&lt;&gt;0,$H66&gt;0,OR(AUTOEVENTO&lt;&gt;"manual",$M66&lt;&gt;$A$15)),
        IF(Import.TipoArredondamento&lt;&gt;"TransfereGOV",
              ROUND(OFFSET($P66,0,AO$13),15-13*ORÇAMENTO!$AF$7)/$H66*OFFSET(ORÇAMENTO!$X$15,ROW(AO66)-ROW(AO$15),0),
              ROUND(ROUND(OFFSET($P66,0,AO$13),15-13*ORÇAMENTO!$AF$7)*OFFSET(ORÇAMENTO!$W$15,ROW(AO66)-ROW(AO$15),0),15-13*ORÇAMENTO!$AF$11)),
         0)</f>
        <v>0</v>
      </c>
      <c r="AP66" s="453">
        <f ca="1">IF(AND($D66="Serviço",AP$12&lt;&gt;0,$H66&gt;0,OR(AUTOEVENTO&lt;&gt;"manual",$M66&lt;&gt;$A$15)),
        IF(Import.TipoArredondamento&lt;&gt;"TransfereGOV",
              ROUND(OFFSET($P66,0,AP$13),15-13*ORÇAMENTO!$AF$7)/$H66*OFFSET(ORÇAMENTO!$X$15,ROW(AP66)-ROW(AP$15),0),
              ROUND(ROUND(OFFSET($P66,0,AP$13),15-13*ORÇAMENTO!$AF$7)*OFFSET(ORÇAMENTO!$W$15,ROW(AP66)-ROW(AP$15),0),15-13*ORÇAMENTO!$AF$11)),
         0)</f>
        <v>0</v>
      </c>
      <c r="AQ66" s="453">
        <f ca="1">IF(AND($D66="Serviço",AQ$12&lt;&gt;0,$H66&gt;0,OR(AUTOEVENTO&lt;&gt;"manual",$M66&lt;&gt;$A$15)),
        IF(Import.TipoArredondamento&lt;&gt;"TransfereGOV",
              ROUND(OFFSET($P66,0,AQ$13),15-13*ORÇAMENTO!$AF$7)/$H66*OFFSET(ORÇAMENTO!$X$15,ROW(AQ66)-ROW(AQ$15),0),
              ROUND(ROUND(OFFSET($P66,0,AQ$13),15-13*ORÇAMENTO!$AF$7)*OFFSET(ORÇAMENTO!$W$15,ROW(AQ66)-ROW(AQ$15),0),15-13*ORÇAMENTO!$AF$11)),
         0)</f>
        <v>0</v>
      </c>
      <c r="AR66" s="453">
        <f ca="1">IF(AND($D66="Serviço",AR$12&lt;&gt;0,$H66&gt;0,OR(AUTOEVENTO&lt;&gt;"manual",$M66&lt;&gt;$A$15)),
        IF(Import.TipoArredondamento&lt;&gt;"TransfereGOV",
              ROUND(OFFSET($P66,0,AR$13),15-13*ORÇAMENTO!$AF$7)/$H66*OFFSET(ORÇAMENTO!$X$15,ROW(AR66)-ROW(AR$15),0),
              ROUND(ROUND(OFFSET($P66,0,AR$13),15-13*ORÇAMENTO!$AF$7)*OFFSET(ORÇAMENTO!$W$15,ROW(AR66)-ROW(AR$15),0),15-13*ORÇAMENTO!$AF$11)),
         0)</f>
        <v>0</v>
      </c>
      <c r="AS66" s="453">
        <f ca="1">IF(AND($D66="Serviço",AS$12&lt;&gt;0,$H66&gt;0,OR(AUTOEVENTO&lt;&gt;"manual",$M66&lt;&gt;$A$15)),
        IF(Import.TipoArredondamento&lt;&gt;"TransfereGOV",
              ROUND(OFFSET($P66,0,AS$13),15-13*ORÇAMENTO!$AF$7)/$H66*OFFSET(ORÇAMENTO!$X$15,ROW(AS66)-ROW(AS$15),0),
              ROUND(ROUND(OFFSET($P66,0,AS$13),15-13*ORÇAMENTO!$AF$7)*OFFSET(ORÇAMENTO!$W$15,ROW(AS66)-ROW(AS$15),0),15-13*ORÇAMENTO!$AF$11)),
         0)</f>
        <v>0</v>
      </c>
      <c r="AT66" s="453">
        <f ca="1">IF(AND($D66="Serviço",AT$12&lt;&gt;0,$H66&gt;0,OR(AUTOEVENTO&lt;&gt;"manual",$M66&lt;&gt;$A$15)),
        IF(Import.TipoArredondamento&lt;&gt;"TransfereGOV",
              ROUND(OFFSET($P66,0,AT$13),15-13*ORÇAMENTO!$AF$7)/$H66*OFFSET(ORÇAMENTO!$X$15,ROW(AT66)-ROW(AT$15),0),
              ROUND(ROUND(OFFSET($P66,0,AT$13),15-13*ORÇAMENTO!$AF$7)*OFFSET(ORÇAMENTO!$W$15,ROW(AT66)-ROW(AT$15),0),15-13*ORÇAMENTO!$AF$11)),
         0)</f>
        <v>0</v>
      </c>
      <c r="AU66" s="453">
        <f ca="1">IF(AND($D66="Serviço",AU$12&lt;&gt;0,$H66&gt;0,OR(AUTOEVENTO&lt;&gt;"manual",$M66&lt;&gt;$A$15)),
        IF(Import.TipoArredondamento&lt;&gt;"TransfereGOV",
              ROUND(OFFSET($P66,0,AU$13),15-13*ORÇAMENTO!$AF$7)/$H66*OFFSET(ORÇAMENTO!$X$15,ROW(AU66)-ROW(AU$15),0),
              ROUND(ROUND(OFFSET($P66,0,AU$13),15-13*ORÇAMENTO!$AF$7)*OFFSET(ORÇAMENTO!$W$15,ROW(AU66)-ROW(AU$15),0),15-13*ORÇAMENTO!$AF$11)),
         0)</f>
        <v>0</v>
      </c>
      <c r="AV66" s="453">
        <f ca="1">IF(AND($D66="Serviço",AV$12&lt;&gt;0,$H66&gt;0,OR(AUTOEVENTO&lt;&gt;"manual",$M66&lt;&gt;$A$15)),
        IF(Import.TipoArredondamento&lt;&gt;"TransfereGOV",
              ROUND(OFFSET($P66,0,AV$13),15-13*ORÇAMENTO!$AF$7)/$H66*OFFSET(ORÇAMENTO!$X$15,ROW(AV66)-ROW(AV$15),0),
              ROUND(ROUND(OFFSET($P66,0,AV$13),15-13*ORÇAMENTO!$AF$7)*OFFSET(ORÇAMENTO!$W$15,ROW(AV66)-ROW(AV$15),0),15-13*ORÇAMENTO!$AF$11)),
         0)</f>
        <v>0</v>
      </c>
      <c r="AW66" s="453">
        <f ca="1">IF(AND($D66="Serviço",AW$12&lt;&gt;0,$H66&gt;0,OR(AUTOEVENTO&lt;&gt;"manual",$M66&lt;&gt;$A$15)),
        IF(Import.TipoArredondamento&lt;&gt;"TransfereGOV",
              ROUND(OFFSET($P66,0,AW$13),15-13*ORÇAMENTO!$AF$7)/$H66*OFFSET(ORÇAMENTO!$X$15,ROW(AW66)-ROW(AW$15),0),
              ROUND(ROUND(OFFSET($P66,0,AW$13),15-13*ORÇAMENTO!$AF$7)*OFFSET(ORÇAMENTO!$W$15,ROW(AW66)-ROW(AW$15),0),15-13*ORÇAMENTO!$AF$11)),
         0)</f>
        <v>0</v>
      </c>
      <c r="AX66" s="453">
        <f ca="1">IF(AND($D66="Serviço",AX$12&lt;&gt;0,$H66&gt;0,OR(AUTOEVENTO&lt;&gt;"manual",$M66&lt;&gt;$A$15)),
        IF(Import.TipoArredondamento&lt;&gt;"TransfereGOV",
              ROUND(OFFSET($P66,0,AX$13),15-13*ORÇAMENTO!$AF$7)/$H66*OFFSET(ORÇAMENTO!$X$15,ROW(AX66)-ROW(AX$15),0),
              ROUND(ROUND(OFFSET($P66,0,AX$13),15-13*ORÇAMENTO!$AF$7)*OFFSET(ORÇAMENTO!$W$15,ROW(AX66)-ROW(AX$15),0),15-13*ORÇAMENTO!$AF$11)),
         0)</f>
        <v>0</v>
      </c>
      <c r="AY66" s="453">
        <f ca="1">IF(AND($D66="Serviço",AY$12&lt;&gt;0,$H66&gt;0,OR(AUTOEVENTO&lt;&gt;"manual",$M66&lt;&gt;$A$15)),
        IF(Import.TipoArredondamento&lt;&gt;"TransfereGOV",
              ROUND(OFFSET($P66,0,AY$13),15-13*ORÇAMENTO!$AF$7)/$H66*OFFSET(ORÇAMENTO!$X$15,ROW(AY66)-ROW(AY$15),0),
              ROUND(ROUND(OFFSET($P66,0,AY$13),15-13*ORÇAMENTO!$AF$7)*OFFSET(ORÇAMENTO!$W$15,ROW(AY66)-ROW(AY$15),0),15-13*ORÇAMENTO!$AF$11)),
         0)</f>
        <v>0</v>
      </c>
      <c r="AZ66" s="453">
        <f ca="1">IF(AND($D66="Serviço",AZ$12&lt;&gt;0,$H66&gt;0,OR(AUTOEVENTO&lt;&gt;"manual",$M66&lt;&gt;$A$15)),
        IF(Import.TipoArredondamento&lt;&gt;"TransfereGOV",
              ROUND(OFFSET($P66,0,AZ$13),15-13*ORÇAMENTO!$AF$7)/$H66*OFFSET(ORÇAMENTO!$X$15,ROW(AZ66)-ROW(AZ$15),0),
              ROUND(ROUND(OFFSET($P66,0,AZ$13),15-13*ORÇAMENTO!$AF$7)*OFFSET(ORÇAMENTO!$W$15,ROW(AZ66)-ROW(AZ$15),0),15-13*ORÇAMENTO!$AF$11)),
         0)</f>
        <v>0</v>
      </c>
      <c r="BA66" s="453">
        <f ca="1">IF(AND($D66="Serviço",BA$12&lt;&gt;0,$H66&gt;0,OR(AUTOEVENTO&lt;&gt;"manual",$M66&lt;&gt;$A$15)),
        IF(Import.TipoArredondamento&lt;&gt;"TransfereGOV",
              ROUND(OFFSET($P66,0,BA$13),15-13*ORÇAMENTO!$AF$7)/$H66*OFFSET(ORÇAMENTO!$X$15,ROW(BA66)-ROW(BA$15),0),
              ROUND(ROUND(OFFSET($P66,0,BA$13),15-13*ORÇAMENTO!$AF$7)*OFFSET(ORÇAMENTO!$W$15,ROW(BA66)-ROW(BA$15),0),15-13*ORÇAMENTO!$AF$11)),
         0)</f>
        <v>0</v>
      </c>
      <c r="BC66" s="171">
        <f ca="1">IF(OR($D66&lt;&gt;"Serviço",AND(AUTOEVENTO="Manual",$M66=$A$15)),0,
         IF(OFFSET(CRONOPLE!$F$15,$M66-$A$15,BC$13)=0,10^12,OFFSET(CRONOPLE!$F$15,$M66-$A$15,BC$13)))</f>
        <v>1000000000000</v>
      </c>
      <c r="BD66" s="171">
        <f ca="1">IF(OR($D66&lt;&gt;"Serviço",AND(AUTOEVENTO="Manual",$M66=$A$15)),0,
         IF(OFFSET(CRONOPLE!$F$15,$M66-$A$15,BD$13)=0,10^12,OFFSET(CRONOPLE!$F$15,$M66-$A$15,BD$13)))</f>
        <v>1000000000000</v>
      </c>
      <c r="BE66" s="171">
        <f ca="1">IF(OR($D66&lt;&gt;"Serviço",AND(AUTOEVENTO="Manual",$M66=$A$15)),0,
         IF(OFFSET(CRONOPLE!$F$15,$M66-$A$15,BE$13)=0,10^12,OFFSET(CRONOPLE!$F$15,$M66-$A$15,BE$13)))</f>
        <v>1000000000000</v>
      </c>
      <c r="BF66" s="171">
        <f ca="1">IF(OR($D66&lt;&gt;"Serviço",AND(AUTOEVENTO="Manual",$M66=$A$15)),0,
         IF(OFFSET(CRONOPLE!$F$15,$M66-$A$15,BF$13)=0,10^12,OFFSET(CRONOPLE!$F$15,$M66-$A$15,BF$13)))</f>
        <v>1000000000000</v>
      </c>
      <c r="BG66" s="171">
        <f ca="1">IF(OR($D66&lt;&gt;"Serviço",AND(AUTOEVENTO="Manual",$M66=$A$15)),0,
         IF(OFFSET(CRONOPLE!$F$15,$M66-$A$15,BG$13)=0,10^12,OFFSET(CRONOPLE!$F$15,$M66-$A$15,BG$13)))</f>
        <v>7</v>
      </c>
      <c r="BH66" s="171">
        <f ca="1">IF(OR($D66&lt;&gt;"Serviço",AND(AUTOEVENTO="Manual",$M66=$A$15)),0,
         IF(OFFSET(CRONOPLE!$F$15,$M66-$A$15,BH$13)=0,10^12,OFFSET(CRONOPLE!$F$15,$M66-$A$15,BH$13)))</f>
        <v>1000000000000</v>
      </c>
      <c r="BI66" s="171">
        <f ca="1">IF(OR($D66&lt;&gt;"Serviço",AND(AUTOEVENTO="Manual",$M66=$A$15)),0,
         IF(OFFSET(CRONOPLE!$F$15,$M66-$A$15,BI$13)=0,10^12,OFFSET(CRONOPLE!$F$15,$M66-$A$15,BI$13)))</f>
        <v>1000000000000</v>
      </c>
      <c r="BJ66" s="171">
        <f ca="1">IF(OR($D66&lt;&gt;"Serviço",AND(AUTOEVENTO="Manual",$M66=$A$15)),0,
         IF(OFFSET(CRONOPLE!$F$15,$M66-$A$15,BJ$13)=0,10^12,OFFSET(CRONOPLE!$F$15,$M66-$A$15,BJ$13)))</f>
        <v>1000000000000</v>
      </c>
      <c r="BK66" s="171">
        <f ca="1">IF(OR($D66&lt;&gt;"Serviço",AND(AUTOEVENTO="Manual",$M66=$A$15)),0,
         IF(OFFSET(CRONOPLE!$F$15,$M66-$A$15,BK$13)=0,10^12,OFFSET(CRONOPLE!$F$15,$M66-$A$15,BK$13)))</f>
        <v>1000000000000</v>
      </c>
      <c r="BL66" s="171">
        <f ca="1">IF(OR($D66&lt;&gt;"Serviço",AND(AUTOEVENTO="Manual",$M66=$A$15)),0,
         IF(OFFSET(CRONOPLE!$F$15,$M66-$A$15,BL$13)=0,10^12,OFFSET(CRONOPLE!$F$15,$M66-$A$15,BL$13)))</f>
        <v>1000000000000</v>
      </c>
      <c r="BM66" s="171">
        <f ca="1">IF(OR($D66&lt;&gt;"Serviço",AND(AUTOEVENTO="Manual",$M66=$A$15)),0,
         IF(OFFSET(CRONOPLE!$F$15,$M66-$A$15,BM$13)=0,10^12,OFFSET(CRONOPLE!$F$15,$M66-$A$15,BM$13)))</f>
        <v>1000000000000</v>
      </c>
      <c r="BN66" s="171">
        <f ca="1">IF(OR($D66&lt;&gt;"Serviço",AND(AUTOEVENTO="Manual",$M66=$A$15)),0,
         IF(OFFSET(CRONOPLE!$F$15,$M66-$A$15,BN$13)=0,10^12,OFFSET(CRONOPLE!$F$15,$M66-$A$15,BN$13)))</f>
        <v>1000000000000</v>
      </c>
      <c r="BO66" s="171">
        <f ca="1">IF(OR($D66&lt;&gt;"Serviço",AND(AUTOEVENTO="Manual",$M66=$A$15)),0,
         IF(OFFSET(CRONOPLE!$F$15,$M66-$A$15,BO$13)=0,10^12,OFFSET(CRONOPLE!$F$15,$M66-$A$15,BO$13)))</f>
        <v>1000000000000</v>
      </c>
      <c r="BP66" s="171">
        <f ca="1">IF(OR($D66&lt;&gt;"Serviço",AND(AUTOEVENTO="Manual",$M66=$A$15)),0,
         IF(OFFSET(CRONOPLE!$F$15,$M66-$A$15,BP$13)=0,10^12,OFFSET(CRONOPLE!$F$15,$M66-$A$15,BP$13)))</f>
        <v>1000000000000</v>
      </c>
      <c r="BQ66" s="171">
        <f ca="1">IF(OR($D66&lt;&gt;"Serviço",AND(AUTOEVENTO="Manual",$M66=$A$15)),0,
         IF(OFFSET(CRONOPLE!$F$15,$M66-$A$15,BQ$13)=0,10^12,OFFSET(CRONOPLE!$F$15,$M66-$A$15,BQ$13)))</f>
        <v>1000000000000</v>
      </c>
      <c r="BR66" s="171">
        <f ca="1">IF(OR($D66&lt;&gt;"Serviço",AND(AUTOEVENTO="Manual",$M66=$A$15)),0,
         IF(OFFSET(CRONOPLE!$F$15,$M66-$A$15,BR$13)=0,10^12,OFFSET(CRONOPLE!$F$15,$M66-$A$15,BR$13)))</f>
        <v>1000000000000</v>
      </c>
      <c r="BS66" s="171">
        <f ca="1">IF(OR($D66&lt;&gt;"Serviço",AND(AUTOEVENTO="Manual",$M66=$A$15)),0,
         IF(OFFSET(CRONOPLE!$F$15,$M66-$A$15,BS$13)=0,10^12,OFFSET(CRONOPLE!$F$15,$M66-$A$15,BS$13)))</f>
        <v>1000000000000</v>
      </c>
      <c r="BT66" s="171">
        <f ca="1">IF(OR($D66&lt;&gt;"Serviço",AND(AUTOEVENTO="Manual",$M66=$A$15)),0,
         IF(OFFSET(CRONOPLE!$F$15,$M66-$A$15,BT$13)=0,10^12,OFFSET(CRONOPLE!$F$15,$M66-$A$15,BT$13)))</f>
        <v>1000000000000</v>
      </c>
      <c r="BV66" s="172" cm="1">
        <f t="array" aca="1" ref="BV66" ca="1">IF(OR($D66&lt;&gt;"Serviço",AND(AUTOEVENTO="Manual",$M66=$A$15),$M66&gt;(ROW(PLE.lastrow)-ROW(PLE.firstrow))),0,
           IF(OFFSET(PLE!$G$15,$M66-$A$15,BV$13)="",10^12,OFFSET(PLE!$G$15,$M66-$A$15,BV$13)))</f>
        <v>1000000000000</v>
      </c>
      <c r="BW66" s="172" cm="1">
        <f t="array" aca="1" ref="BW66" ca="1">IF(OR($D66&lt;&gt;"Serviço",AND(AUTOEVENTO="Manual",$M66=$A$15),$M66&gt;(ROW(PLE.lastrow)-ROW(PLE.firstrow))),0,
           IF(OFFSET(PLE!$G$15,$M66-$A$15,BW$13)="",10^12,OFFSET(PLE!$G$15,$M66-$A$15,BW$13)))</f>
        <v>1000000000000</v>
      </c>
      <c r="BX66" s="172" cm="1">
        <f t="array" aca="1" ref="BX66" ca="1">IF(OR($D66&lt;&gt;"Serviço",AND(AUTOEVENTO="Manual",$M66=$A$15),$M66&gt;(ROW(PLE.lastrow)-ROW(PLE.firstrow))),0,
           IF(OFFSET(PLE!$G$15,$M66-$A$15,BX$13)="",10^12,OFFSET(PLE!$G$15,$M66-$A$15,BX$13)))</f>
        <v>1000000000000</v>
      </c>
      <c r="BY66" s="172" cm="1">
        <f t="array" aca="1" ref="BY66" ca="1">IF(OR($D66&lt;&gt;"Serviço",AND(AUTOEVENTO="Manual",$M66=$A$15),$M66&gt;(ROW(PLE.lastrow)-ROW(PLE.firstrow))),0,
           IF(OFFSET(PLE!$G$15,$M66-$A$15,BY$13)="",10^12,OFFSET(PLE!$G$15,$M66-$A$15,BY$13)))</f>
        <v>1000000000000</v>
      </c>
      <c r="BZ66" s="172" cm="1">
        <f t="array" aca="1" ref="BZ66" ca="1">IF(OR($D66&lt;&gt;"Serviço",AND(AUTOEVENTO="Manual",$M66=$A$15),$M66&gt;(ROW(PLE.lastrow)-ROW(PLE.firstrow))),0,
           IF(OFFSET(PLE!$G$15,$M66-$A$15,BZ$13)="",10^12,OFFSET(PLE!$G$15,$M66-$A$15,BZ$13)))</f>
        <v>1000000000000</v>
      </c>
      <c r="CA66" s="172" cm="1">
        <f t="array" aca="1" ref="CA66" ca="1">IF(OR($D66&lt;&gt;"Serviço",AND(AUTOEVENTO="Manual",$M66=$A$15),$M66&gt;(ROW(PLE.lastrow)-ROW(PLE.firstrow))),0,
           IF(OFFSET(PLE!$G$15,$M66-$A$15,CA$13)="",10^12,OFFSET(PLE!$G$15,$M66-$A$15,CA$13)))</f>
        <v>1000000000000</v>
      </c>
      <c r="CB66" s="172" cm="1">
        <f t="array" aca="1" ref="CB66" ca="1">IF(OR($D66&lt;&gt;"Serviço",AND(AUTOEVENTO="Manual",$M66=$A$15),$M66&gt;(ROW(PLE.lastrow)-ROW(PLE.firstrow))),0,
           IF(OFFSET(PLE!$G$15,$M66-$A$15,CB$13)="",10^12,OFFSET(PLE!$G$15,$M66-$A$15,CB$13)))</f>
        <v>1000000000000</v>
      </c>
      <c r="CC66" s="172" cm="1">
        <f t="array" aca="1" ref="CC66" ca="1">IF(OR($D66&lt;&gt;"Serviço",AND(AUTOEVENTO="Manual",$M66=$A$15),$M66&gt;(ROW(PLE.lastrow)-ROW(PLE.firstrow))),0,
           IF(OFFSET(PLE!$G$15,$M66-$A$15,CC$13)="",10^12,OFFSET(PLE!$G$15,$M66-$A$15,CC$13)))</f>
        <v>1000000000000</v>
      </c>
      <c r="CD66" s="172" cm="1">
        <f t="array" aca="1" ref="CD66" ca="1">IF(OR($D66&lt;&gt;"Serviço",AND(AUTOEVENTO="Manual",$M66=$A$15),$M66&gt;(ROW(PLE.lastrow)-ROW(PLE.firstrow))),0,
           IF(OFFSET(PLE!$G$15,$M66-$A$15,CD$13)="",10^12,OFFSET(PLE!$G$15,$M66-$A$15,CD$13)))</f>
        <v>1000000000000</v>
      </c>
      <c r="CE66" s="172" cm="1">
        <f t="array" aca="1" ref="CE66" ca="1">IF(OR($D66&lt;&gt;"Serviço",AND(AUTOEVENTO="Manual",$M66=$A$15),$M66&gt;(ROW(PLE.lastrow)-ROW(PLE.firstrow))),0,
           IF(OFFSET(PLE!$G$15,$M66-$A$15,CE$13)="",10^12,OFFSET(PLE!$G$15,$M66-$A$15,CE$13)))</f>
        <v>1000000000000</v>
      </c>
      <c r="CF66" s="172" cm="1">
        <f t="array" aca="1" ref="CF66" ca="1">IF(OR($D66&lt;&gt;"Serviço",AND(AUTOEVENTO="Manual",$M66=$A$15),$M66&gt;(ROW(PLE.lastrow)-ROW(PLE.firstrow))),0,
           IF(OFFSET(PLE!$G$15,$M66-$A$15,CF$13)="",10^12,OFFSET(PLE!$G$15,$M66-$A$15,CF$13)))</f>
        <v>1000000000000</v>
      </c>
      <c r="CG66" s="172" cm="1">
        <f t="array" aca="1" ref="CG66" ca="1">IF(OR($D66&lt;&gt;"Serviço",AND(AUTOEVENTO="Manual",$M66=$A$15),$M66&gt;(ROW(PLE.lastrow)-ROW(PLE.firstrow))),0,
           IF(OFFSET(PLE!$G$15,$M66-$A$15,CG$13)="",10^12,OFFSET(PLE!$G$15,$M66-$A$15,CG$13)))</f>
        <v>1000000000000</v>
      </c>
      <c r="CH66" s="172" cm="1">
        <f t="array" aca="1" ref="CH66" ca="1">IF(OR($D66&lt;&gt;"Serviço",AND(AUTOEVENTO="Manual",$M66=$A$15),$M66&gt;(ROW(PLE.lastrow)-ROW(PLE.firstrow))),0,
           IF(OFFSET(PLE!$G$15,$M66-$A$15,CH$13)="",10^12,OFFSET(PLE!$G$15,$M66-$A$15,CH$13)))</f>
        <v>1000000000000</v>
      </c>
      <c r="CI66" s="172" cm="1">
        <f t="array" aca="1" ref="CI66" ca="1">IF(OR($D66&lt;&gt;"Serviço",AND(AUTOEVENTO="Manual",$M66=$A$15),$M66&gt;(ROW(PLE.lastrow)-ROW(PLE.firstrow))),0,
           IF(OFFSET(PLE!$G$15,$M66-$A$15,CI$13)="",10^12,OFFSET(PLE!$G$15,$M66-$A$15,CI$13)))</f>
        <v>1000000000000</v>
      </c>
      <c r="CJ66" s="172" cm="1">
        <f t="array" aca="1" ref="CJ66" ca="1">IF(OR($D66&lt;&gt;"Serviço",AND(AUTOEVENTO="Manual",$M66=$A$15),$M66&gt;(ROW(PLE.lastrow)-ROW(PLE.firstrow))),0,
           IF(OFFSET(PLE!$G$15,$M66-$A$15,CJ$13)="",10^12,OFFSET(PLE!$G$15,$M66-$A$15,CJ$13)))</f>
        <v>1000000000000</v>
      </c>
      <c r="CK66" s="172" cm="1">
        <f t="array" aca="1" ref="CK66" ca="1">IF(OR($D66&lt;&gt;"Serviço",AND(AUTOEVENTO="Manual",$M66=$A$15),$M66&gt;(ROW(PLE.lastrow)-ROW(PLE.firstrow))),0,
           IF(OFFSET(PLE!$G$15,$M66-$A$15,CK$13)="",10^12,OFFSET(PLE!$G$15,$M66-$A$15,CK$13)))</f>
        <v>1000000000000</v>
      </c>
      <c r="CL66" s="172" cm="1">
        <f t="array" aca="1" ref="CL66" ca="1">IF(OR($D66&lt;&gt;"Serviço",AND(AUTOEVENTO="Manual",$M66=$A$15),$M66&gt;(ROW(PLE.lastrow)-ROW(PLE.firstrow))),0,
           IF(OFFSET(PLE!$G$15,$M66-$A$15,CL$13)="",10^12,OFFSET(PLE!$G$15,$M66-$A$15,CL$13)))</f>
        <v>1000000000000</v>
      </c>
      <c r="CM66" s="172" cm="1">
        <f t="array" aca="1" ref="CM66" ca="1">IF(OR($D66&lt;&gt;"Serviço",AND(AUTOEVENTO="Manual",$M66=$A$15),$M66&gt;(ROW(PLE.lastrow)-ROW(PLE.firstrow))),0,
           IF(OFFSET(PLE!$G$15,$M66-$A$15,CM$13)="",10^12,OFFSET(PLE!$G$15,$M66-$A$15,CM$13)))</f>
        <v>1000000000000</v>
      </c>
    </row>
    <row r="67" spans="1:91" s="670" customFormat="1" ht="25.5" x14ac:dyDescent="0.2">
      <c r="A67" s="668">
        <f t="shared" ca="1" si="10"/>
        <v>19</v>
      </c>
      <c r="B67" s="668" t="str">
        <f ca="1">OFFSET(ORÇAMENTO!C$15,$L67,0)</f>
        <v>S</v>
      </c>
      <c r="C67" s="668" t="str">
        <f ca="1">OFFSET(ORÇAMENTO!L$15,$L67,0)</f>
        <v>F</v>
      </c>
      <c r="D67" s="116" t="str">
        <f ca="1">OFFSET(ORÇAMENTO!N$15,$L67,0)</f>
        <v>Serviço</v>
      </c>
      <c r="E67" s="117" t="str">
        <f ca="1">OFFSET(ORÇAMENTO!O$15,$L67,0)</f>
        <v>1.9.3.</v>
      </c>
      <c r="F67" s="163" t="str">
        <f ca="1">OFFSET(ORÇAMENTO!R$15,$L67,0)</f>
        <v>Curva 90º, em ferro fundido, com flanges pn 10, diam. =  200mm</v>
      </c>
      <c r="G67" s="164" t="str">
        <f ca="1">IF($D67&lt;&gt;"Serviço","",OFFSET(ORÇAMENTO!S$15,$L67,0))</f>
        <v>UNIDADE</v>
      </c>
      <c r="H67" s="122" cm="1">
        <f t="array" aca="1" ref="H67" ca="1">IF($D67&lt;&gt;"Serviço",0,IF(ACOMPANHAMENTO="BM",ROUND(OFFSET(ORÇAMENTO!AJ$15,$L67,0),15-13*ORÇAMENTO!$AF$7),IF(IFERROR(CÁLCULO.FrentesPreenchidas,0)=0,0,SUM(ROUND(OFFSET($P67,0,1,1,CÁLCULO.FrentesPreenchidas),15-13*ORÇAMENTO!$AF$7)))))</f>
        <v>6</v>
      </c>
      <c r="I67" s="679" t="s">
        <v>1154</v>
      </c>
      <c r="J67" s="651" t="str" cm="1">
        <f t="array" aca="1" ref="J67" ca="1">IF(OR(B67&lt;&gt;"S",CÁLCULO.FrentesPreenchidas=0),"",IF(AND(ACOMPANHAMENTO="PLE",AUTOEVENTO="Manual",OR(H67&gt;0,ORÇAMENTO!AC67="QUANT."),OR(K67="",M67=0,N67="")),"►E",IF(AND(ACOMPANHAMENTO="PLE",ORÇAMENTO!AC67="QUANT."),"►Q",IF(AND(ACOMPANHAMENTO="PLE",H67&lt;&gt;SUMPRODUCT(($Q$1:$AI$1=1)*ROUND(Q67:AI67,15))),"►S",IF(AND(COUNTIF($P$11:$AI$11,"▼")=0,H67&gt;0,I67=""),"◄M","")))))</f>
        <v/>
      </c>
      <c r="K67" s="652" t="s">
        <v>1350</v>
      </c>
      <c r="L67" s="165">
        <f t="shared" ca="1" si="11"/>
        <v>52</v>
      </c>
      <c r="M67" s="166">
        <f ca="1">IF($D67&lt;&gt;"Serviço","",
          IF(AUTOEVENTO="manual",$A67,
                IF(ISERROR(MATCH($A67,$A$15:OFFSET($A67,-1,0),0)),MAX($M$15:OFFSET(M67,-1,0))+1,
                      INDEX($M$15:OFFSET(M67,-1,0),MATCH($A67,$A$15:OFFSET($A67,-1,0),0)))))</f>
        <v>19</v>
      </c>
      <c r="N67" s="167" t="str">
        <f ca="1">IF($D67&lt;&gt;"Serviço","",
         IF(AUTOEVENTO="Manual",
                IF($A67=0,"&lt;-- defina o número do agrupador",
                       OFFSET(EVENTOS!$D$15,$A67-$A$15,0)),
                OFFSET($F$15,$A67,0)))</f>
        <v>Rede de água - assentamento de tubos</v>
      </c>
      <c r="O67" s="168"/>
      <c r="Q67" s="168"/>
      <c r="R67" s="169"/>
      <c r="S67" s="169"/>
      <c r="T67" s="169"/>
      <c r="U67" s="169">
        <v>6</v>
      </c>
      <c r="V67" s="169"/>
      <c r="W67" s="169"/>
      <c r="X67" s="169"/>
      <c r="Y67" s="169"/>
      <c r="Z67" s="170"/>
      <c r="AA67" s="705"/>
      <c r="AB67" s="705"/>
      <c r="AC67" s="705"/>
      <c r="AD67" s="705"/>
      <c r="AE67" s="705"/>
      <c r="AF67" s="705"/>
      <c r="AG67" s="705"/>
      <c r="AH67" s="706"/>
      <c r="AJ67" s="453">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3">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L67" s="453">
        <f ca="1">IF(AND($D67="Serviço",AL$12&lt;&gt;0,$H67&gt;0,OR(AUTOEVENTO&lt;&gt;"manual",$M67&lt;&gt;$A$15)),
        IF(Import.TipoArredondamento&lt;&gt;"TransfereGOV",
              ROUND(OFFSET($P67,0,AL$13),15-13*ORÇAMENTO!$AF$7)/$H67*OFFSET(ORÇAMENTO!$X$15,ROW(AL67)-ROW(AL$15),0),
              ROUND(ROUND(OFFSET($P67,0,AL$13),15-13*ORÇAMENTO!$AF$7)*OFFSET(ORÇAMENTO!$W$15,ROW(AL67)-ROW(AL$15),0),15-13*ORÇAMENTO!$AF$11)),
         0)</f>
        <v>0</v>
      </c>
      <c r="AM67" s="453">
        <f ca="1">IF(AND($D67="Serviço",AM$12&lt;&gt;0,$H67&gt;0,OR(AUTOEVENTO&lt;&gt;"manual",$M67&lt;&gt;$A$15)),
        IF(Import.TipoArredondamento&lt;&gt;"TransfereGOV",
              ROUND(OFFSET($P67,0,AM$13),15-13*ORÇAMENTO!$AF$7)/$H67*OFFSET(ORÇAMENTO!$X$15,ROW(AM67)-ROW(AM$15),0),
              ROUND(ROUND(OFFSET($P67,0,AM$13),15-13*ORÇAMENTO!$AF$7)*OFFSET(ORÇAMENTO!$W$15,ROW(AM67)-ROW(AM$15),0),15-13*ORÇAMENTO!$AF$11)),
         0)</f>
        <v>0</v>
      </c>
      <c r="AN67" s="453">
        <f ca="1">IF(AND($D67="Serviço",AN$12&lt;&gt;0,$H67&gt;0,OR(AUTOEVENTO&lt;&gt;"manual",$M67&lt;&gt;$A$15)),
        IF(Import.TipoArredondamento&lt;&gt;"TransfereGOV",
              ROUND(OFFSET($P67,0,AN$13),15-13*ORÇAMENTO!$AF$7)/$H67*OFFSET(ORÇAMENTO!$X$15,ROW(AN67)-ROW(AN$15),0),
              ROUND(ROUND(OFFSET($P67,0,AN$13),15-13*ORÇAMENTO!$AF$7)*OFFSET(ORÇAMENTO!$W$15,ROW(AN67)-ROW(AN$15),0),15-13*ORÇAMENTO!$AF$11)),
         0)</f>
        <v>7950.06</v>
      </c>
      <c r="AO67" s="453">
        <f ca="1">IF(AND($D67="Serviço",AO$12&lt;&gt;0,$H67&gt;0,OR(AUTOEVENTO&lt;&gt;"manual",$M67&lt;&gt;$A$15)),
        IF(Import.TipoArredondamento&lt;&gt;"TransfereGOV",
              ROUND(OFFSET($P67,0,AO$13),15-13*ORÇAMENTO!$AF$7)/$H67*OFFSET(ORÇAMENTO!$X$15,ROW(AO67)-ROW(AO$15),0),
              ROUND(ROUND(OFFSET($P67,0,AO$13),15-13*ORÇAMENTO!$AF$7)*OFFSET(ORÇAMENTO!$W$15,ROW(AO67)-ROW(AO$15),0),15-13*ORÇAMENTO!$AF$11)),
         0)</f>
        <v>0</v>
      </c>
      <c r="AP67" s="453">
        <f ca="1">IF(AND($D67="Serviço",AP$12&lt;&gt;0,$H67&gt;0,OR(AUTOEVENTO&lt;&gt;"manual",$M67&lt;&gt;$A$15)),
        IF(Import.TipoArredondamento&lt;&gt;"TransfereGOV",
              ROUND(OFFSET($P67,0,AP$13),15-13*ORÇAMENTO!$AF$7)/$H67*OFFSET(ORÇAMENTO!$X$15,ROW(AP67)-ROW(AP$15),0),
              ROUND(ROUND(OFFSET($P67,0,AP$13),15-13*ORÇAMENTO!$AF$7)*OFFSET(ORÇAMENTO!$W$15,ROW(AP67)-ROW(AP$15),0),15-13*ORÇAMENTO!$AF$11)),
         0)</f>
        <v>0</v>
      </c>
      <c r="AQ67" s="453">
        <f ca="1">IF(AND($D67="Serviço",AQ$12&lt;&gt;0,$H67&gt;0,OR(AUTOEVENTO&lt;&gt;"manual",$M67&lt;&gt;$A$15)),
        IF(Import.TipoArredondamento&lt;&gt;"TransfereGOV",
              ROUND(OFFSET($P67,0,AQ$13),15-13*ORÇAMENTO!$AF$7)/$H67*OFFSET(ORÇAMENTO!$X$15,ROW(AQ67)-ROW(AQ$15),0),
              ROUND(ROUND(OFFSET($P67,0,AQ$13),15-13*ORÇAMENTO!$AF$7)*OFFSET(ORÇAMENTO!$W$15,ROW(AQ67)-ROW(AQ$15),0),15-13*ORÇAMENTO!$AF$11)),
         0)</f>
        <v>0</v>
      </c>
      <c r="AR67" s="453">
        <f ca="1">IF(AND($D67="Serviço",AR$12&lt;&gt;0,$H67&gt;0,OR(AUTOEVENTO&lt;&gt;"manual",$M67&lt;&gt;$A$15)),
        IF(Import.TipoArredondamento&lt;&gt;"TransfereGOV",
              ROUND(OFFSET($P67,0,AR$13),15-13*ORÇAMENTO!$AF$7)/$H67*OFFSET(ORÇAMENTO!$X$15,ROW(AR67)-ROW(AR$15),0),
              ROUND(ROUND(OFFSET($P67,0,AR$13),15-13*ORÇAMENTO!$AF$7)*OFFSET(ORÇAMENTO!$W$15,ROW(AR67)-ROW(AR$15),0),15-13*ORÇAMENTO!$AF$11)),
         0)</f>
        <v>0</v>
      </c>
      <c r="AS67" s="453">
        <f ca="1">IF(AND($D67="Serviço",AS$12&lt;&gt;0,$H67&gt;0,OR(AUTOEVENTO&lt;&gt;"manual",$M67&lt;&gt;$A$15)),
        IF(Import.TipoArredondamento&lt;&gt;"TransfereGOV",
              ROUND(OFFSET($P67,0,AS$13),15-13*ORÇAMENTO!$AF$7)/$H67*OFFSET(ORÇAMENTO!$X$15,ROW(AS67)-ROW(AS$15),0),
              ROUND(ROUND(OFFSET($P67,0,AS$13),15-13*ORÇAMENTO!$AF$7)*OFFSET(ORÇAMENTO!$W$15,ROW(AS67)-ROW(AS$15),0),15-13*ORÇAMENTO!$AF$11)),
         0)</f>
        <v>0</v>
      </c>
      <c r="AT67" s="453">
        <f ca="1">IF(AND($D67="Serviço",AT$12&lt;&gt;0,$H67&gt;0,OR(AUTOEVENTO&lt;&gt;"manual",$M67&lt;&gt;$A$15)),
        IF(Import.TipoArredondamento&lt;&gt;"TransfereGOV",
              ROUND(OFFSET($P67,0,AT$13),15-13*ORÇAMENTO!$AF$7)/$H67*OFFSET(ORÇAMENTO!$X$15,ROW(AT67)-ROW(AT$15),0),
              ROUND(ROUND(OFFSET($P67,0,AT$13),15-13*ORÇAMENTO!$AF$7)*OFFSET(ORÇAMENTO!$W$15,ROW(AT67)-ROW(AT$15),0),15-13*ORÇAMENTO!$AF$11)),
         0)</f>
        <v>0</v>
      </c>
      <c r="AU67" s="453">
        <f ca="1">IF(AND($D67="Serviço",AU$12&lt;&gt;0,$H67&gt;0,OR(AUTOEVENTO&lt;&gt;"manual",$M67&lt;&gt;$A$15)),
        IF(Import.TipoArredondamento&lt;&gt;"TransfereGOV",
              ROUND(OFFSET($P67,0,AU$13),15-13*ORÇAMENTO!$AF$7)/$H67*OFFSET(ORÇAMENTO!$X$15,ROW(AU67)-ROW(AU$15),0),
              ROUND(ROUND(OFFSET($P67,0,AU$13),15-13*ORÇAMENTO!$AF$7)*OFFSET(ORÇAMENTO!$W$15,ROW(AU67)-ROW(AU$15),0),15-13*ORÇAMENTO!$AF$11)),
         0)</f>
        <v>0</v>
      </c>
      <c r="AV67" s="453">
        <f ca="1">IF(AND($D67="Serviço",AV$12&lt;&gt;0,$H67&gt;0,OR(AUTOEVENTO&lt;&gt;"manual",$M67&lt;&gt;$A$15)),
        IF(Import.TipoArredondamento&lt;&gt;"TransfereGOV",
              ROUND(OFFSET($P67,0,AV$13),15-13*ORÇAMENTO!$AF$7)/$H67*OFFSET(ORÇAMENTO!$X$15,ROW(AV67)-ROW(AV$15),0),
              ROUND(ROUND(OFFSET($P67,0,AV$13),15-13*ORÇAMENTO!$AF$7)*OFFSET(ORÇAMENTO!$W$15,ROW(AV67)-ROW(AV$15),0),15-13*ORÇAMENTO!$AF$11)),
         0)</f>
        <v>0</v>
      </c>
      <c r="AW67" s="453">
        <f ca="1">IF(AND($D67="Serviço",AW$12&lt;&gt;0,$H67&gt;0,OR(AUTOEVENTO&lt;&gt;"manual",$M67&lt;&gt;$A$15)),
        IF(Import.TipoArredondamento&lt;&gt;"TransfereGOV",
              ROUND(OFFSET($P67,0,AW$13),15-13*ORÇAMENTO!$AF$7)/$H67*OFFSET(ORÇAMENTO!$X$15,ROW(AW67)-ROW(AW$15),0),
              ROUND(ROUND(OFFSET($P67,0,AW$13),15-13*ORÇAMENTO!$AF$7)*OFFSET(ORÇAMENTO!$W$15,ROW(AW67)-ROW(AW$15),0),15-13*ORÇAMENTO!$AF$11)),
         0)</f>
        <v>0</v>
      </c>
      <c r="AX67" s="453">
        <f ca="1">IF(AND($D67="Serviço",AX$12&lt;&gt;0,$H67&gt;0,OR(AUTOEVENTO&lt;&gt;"manual",$M67&lt;&gt;$A$15)),
        IF(Import.TipoArredondamento&lt;&gt;"TransfereGOV",
              ROUND(OFFSET($P67,0,AX$13),15-13*ORÇAMENTO!$AF$7)/$H67*OFFSET(ORÇAMENTO!$X$15,ROW(AX67)-ROW(AX$15),0),
              ROUND(ROUND(OFFSET($P67,0,AX$13),15-13*ORÇAMENTO!$AF$7)*OFFSET(ORÇAMENTO!$W$15,ROW(AX67)-ROW(AX$15),0),15-13*ORÇAMENTO!$AF$11)),
         0)</f>
        <v>0</v>
      </c>
      <c r="AY67" s="453">
        <f ca="1">IF(AND($D67="Serviço",AY$12&lt;&gt;0,$H67&gt;0,OR(AUTOEVENTO&lt;&gt;"manual",$M67&lt;&gt;$A$15)),
        IF(Import.TipoArredondamento&lt;&gt;"TransfereGOV",
              ROUND(OFFSET($P67,0,AY$13),15-13*ORÇAMENTO!$AF$7)/$H67*OFFSET(ORÇAMENTO!$X$15,ROW(AY67)-ROW(AY$15),0),
              ROUND(ROUND(OFFSET($P67,0,AY$13),15-13*ORÇAMENTO!$AF$7)*OFFSET(ORÇAMENTO!$W$15,ROW(AY67)-ROW(AY$15),0),15-13*ORÇAMENTO!$AF$11)),
         0)</f>
        <v>0</v>
      </c>
      <c r="AZ67" s="453">
        <f ca="1">IF(AND($D67="Serviço",AZ$12&lt;&gt;0,$H67&gt;0,OR(AUTOEVENTO&lt;&gt;"manual",$M67&lt;&gt;$A$15)),
        IF(Import.TipoArredondamento&lt;&gt;"TransfereGOV",
              ROUND(OFFSET($P67,0,AZ$13),15-13*ORÇAMENTO!$AF$7)/$H67*OFFSET(ORÇAMENTO!$X$15,ROW(AZ67)-ROW(AZ$15),0),
              ROUND(ROUND(OFFSET($P67,0,AZ$13),15-13*ORÇAMENTO!$AF$7)*OFFSET(ORÇAMENTO!$W$15,ROW(AZ67)-ROW(AZ$15),0),15-13*ORÇAMENTO!$AF$11)),
         0)</f>
        <v>0</v>
      </c>
      <c r="BA67" s="453">
        <f ca="1">IF(AND($D67="Serviço",BA$12&lt;&gt;0,$H67&gt;0,OR(AUTOEVENTO&lt;&gt;"manual",$M67&lt;&gt;$A$15)),
        IF(Import.TipoArredondamento&lt;&gt;"TransfereGOV",
              ROUND(OFFSET($P67,0,BA$13),15-13*ORÇAMENTO!$AF$7)/$H67*OFFSET(ORÇAMENTO!$X$15,ROW(BA67)-ROW(BA$15),0),
              ROUND(ROUND(OFFSET($P67,0,BA$13),15-13*ORÇAMENTO!$AF$7)*OFFSET(ORÇAMENTO!$W$15,ROW(BA67)-ROW(BA$15),0),15-13*ORÇAMENTO!$AF$11)),
         0)</f>
        <v>0</v>
      </c>
      <c r="BC67" s="171">
        <f ca="1">IF(OR($D67&lt;&gt;"Serviço",AND(AUTOEVENTO="Manual",$M67=$A$15)),0,
         IF(OFFSET(CRONOPLE!$F$15,$M67-$A$15,BC$13)=0,10^12,OFFSET(CRONOPLE!$F$15,$M67-$A$15,BC$13)))</f>
        <v>1000000000000</v>
      </c>
      <c r="BD67" s="171">
        <f ca="1">IF(OR($D67&lt;&gt;"Serviço",AND(AUTOEVENTO="Manual",$M67=$A$15)),0,
         IF(OFFSET(CRONOPLE!$F$15,$M67-$A$15,BD$13)=0,10^12,OFFSET(CRONOPLE!$F$15,$M67-$A$15,BD$13)))</f>
        <v>1000000000000</v>
      </c>
      <c r="BE67" s="171">
        <f ca="1">IF(OR($D67&lt;&gt;"Serviço",AND(AUTOEVENTO="Manual",$M67=$A$15)),0,
         IF(OFFSET(CRONOPLE!$F$15,$M67-$A$15,BE$13)=0,10^12,OFFSET(CRONOPLE!$F$15,$M67-$A$15,BE$13)))</f>
        <v>1000000000000</v>
      </c>
      <c r="BF67" s="171">
        <f ca="1">IF(OR($D67&lt;&gt;"Serviço",AND(AUTOEVENTO="Manual",$M67=$A$15)),0,
         IF(OFFSET(CRONOPLE!$F$15,$M67-$A$15,BF$13)=0,10^12,OFFSET(CRONOPLE!$F$15,$M67-$A$15,BF$13)))</f>
        <v>1000000000000</v>
      </c>
      <c r="BG67" s="171">
        <f ca="1">IF(OR($D67&lt;&gt;"Serviço",AND(AUTOEVENTO="Manual",$M67=$A$15)),0,
         IF(OFFSET(CRONOPLE!$F$15,$M67-$A$15,BG$13)=0,10^12,OFFSET(CRONOPLE!$F$15,$M67-$A$15,BG$13)))</f>
        <v>7</v>
      </c>
      <c r="BH67" s="171">
        <f ca="1">IF(OR($D67&lt;&gt;"Serviço",AND(AUTOEVENTO="Manual",$M67=$A$15)),0,
         IF(OFFSET(CRONOPLE!$F$15,$M67-$A$15,BH$13)=0,10^12,OFFSET(CRONOPLE!$F$15,$M67-$A$15,BH$13)))</f>
        <v>1000000000000</v>
      </c>
      <c r="BI67" s="171">
        <f ca="1">IF(OR($D67&lt;&gt;"Serviço",AND(AUTOEVENTO="Manual",$M67=$A$15)),0,
         IF(OFFSET(CRONOPLE!$F$15,$M67-$A$15,BI$13)=0,10^12,OFFSET(CRONOPLE!$F$15,$M67-$A$15,BI$13)))</f>
        <v>1000000000000</v>
      </c>
      <c r="BJ67" s="171">
        <f ca="1">IF(OR($D67&lt;&gt;"Serviço",AND(AUTOEVENTO="Manual",$M67=$A$15)),0,
         IF(OFFSET(CRONOPLE!$F$15,$M67-$A$15,BJ$13)=0,10^12,OFFSET(CRONOPLE!$F$15,$M67-$A$15,BJ$13)))</f>
        <v>1000000000000</v>
      </c>
      <c r="BK67" s="171">
        <f ca="1">IF(OR($D67&lt;&gt;"Serviço",AND(AUTOEVENTO="Manual",$M67=$A$15)),0,
         IF(OFFSET(CRONOPLE!$F$15,$M67-$A$15,BK$13)=0,10^12,OFFSET(CRONOPLE!$F$15,$M67-$A$15,BK$13)))</f>
        <v>1000000000000</v>
      </c>
      <c r="BL67" s="171">
        <f ca="1">IF(OR($D67&lt;&gt;"Serviço",AND(AUTOEVENTO="Manual",$M67=$A$15)),0,
         IF(OFFSET(CRONOPLE!$F$15,$M67-$A$15,BL$13)=0,10^12,OFFSET(CRONOPLE!$F$15,$M67-$A$15,BL$13)))</f>
        <v>1000000000000</v>
      </c>
      <c r="BM67" s="171">
        <f ca="1">IF(OR($D67&lt;&gt;"Serviço",AND(AUTOEVENTO="Manual",$M67=$A$15)),0,
         IF(OFFSET(CRONOPLE!$F$15,$M67-$A$15,BM$13)=0,10^12,OFFSET(CRONOPLE!$F$15,$M67-$A$15,BM$13)))</f>
        <v>1000000000000</v>
      </c>
      <c r="BN67" s="171">
        <f ca="1">IF(OR($D67&lt;&gt;"Serviço",AND(AUTOEVENTO="Manual",$M67=$A$15)),0,
         IF(OFFSET(CRONOPLE!$F$15,$M67-$A$15,BN$13)=0,10^12,OFFSET(CRONOPLE!$F$15,$M67-$A$15,BN$13)))</f>
        <v>1000000000000</v>
      </c>
      <c r="BO67" s="171">
        <f ca="1">IF(OR($D67&lt;&gt;"Serviço",AND(AUTOEVENTO="Manual",$M67=$A$15)),0,
         IF(OFFSET(CRONOPLE!$F$15,$M67-$A$15,BO$13)=0,10^12,OFFSET(CRONOPLE!$F$15,$M67-$A$15,BO$13)))</f>
        <v>1000000000000</v>
      </c>
      <c r="BP67" s="171">
        <f ca="1">IF(OR($D67&lt;&gt;"Serviço",AND(AUTOEVENTO="Manual",$M67=$A$15)),0,
         IF(OFFSET(CRONOPLE!$F$15,$M67-$A$15,BP$13)=0,10^12,OFFSET(CRONOPLE!$F$15,$M67-$A$15,BP$13)))</f>
        <v>1000000000000</v>
      </c>
      <c r="BQ67" s="171">
        <f ca="1">IF(OR($D67&lt;&gt;"Serviço",AND(AUTOEVENTO="Manual",$M67=$A$15)),0,
         IF(OFFSET(CRONOPLE!$F$15,$M67-$A$15,BQ$13)=0,10^12,OFFSET(CRONOPLE!$F$15,$M67-$A$15,BQ$13)))</f>
        <v>1000000000000</v>
      </c>
      <c r="BR67" s="171">
        <f ca="1">IF(OR($D67&lt;&gt;"Serviço",AND(AUTOEVENTO="Manual",$M67=$A$15)),0,
         IF(OFFSET(CRONOPLE!$F$15,$M67-$A$15,BR$13)=0,10^12,OFFSET(CRONOPLE!$F$15,$M67-$A$15,BR$13)))</f>
        <v>1000000000000</v>
      </c>
      <c r="BS67" s="171">
        <f ca="1">IF(OR($D67&lt;&gt;"Serviço",AND(AUTOEVENTO="Manual",$M67=$A$15)),0,
         IF(OFFSET(CRONOPLE!$F$15,$M67-$A$15,BS$13)=0,10^12,OFFSET(CRONOPLE!$F$15,$M67-$A$15,BS$13)))</f>
        <v>1000000000000</v>
      </c>
      <c r="BT67" s="171">
        <f ca="1">IF(OR($D67&lt;&gt;"Serviço",AND(AUTOEVENTO="Manual",$M67=$A$15)),0,
         IF(OFFSET(CRONOPLE!$F$15,$M67-$A$15,BT$13)=0,10^12,OFFSET(CRONOPLE!$F$15,$M67-$A$15,BT$13)))</f>
        <v>1000000000000</v>
      </c>
      <c r="BV67" s="172" cm="1">
        <f t="array" aca="1" ref="BV67" ca="1">IF(OR($D67&lt;&gt;"Serviço",AND(AUTOEVENTO="Manual",$M67=$A$15),$M67&gt;(ROW(PLE.lastrow)-ROW(PLE.firstrow))),0,
           IF(OFFSET(PLE!$G$15,$M67-$A$15,BV$13)="",10^12,OFFSET(PLE!$G$15,$M67-$A$15,BV$13)))</f>
        <v>1000000000000</v>
      </c>
      <c r="BW67" s="172" cm="1">
        <f t="array" aca="1" ref="BW67" ca="1">IF(OR($D67&lt;&gt;"Serviço",AND(AUTOEVENTO="Manual",$M67=$A$15),$M67&gt;(ROW(PLE.lastrow)-ROW(PLE.firstrow))),0,
           IF(OFFSET(PLE!$G$15,$M67-$A$15,BW$13)="",10^12,OFFSET(PLE!$G$15,$M67-$A$15,BW$13)))</f>
        <v>1000000000000</v>
      </c>
      <c r="BX67" s="172" cm="1">
        <f t="array" aca="1" ref="BX67" ca="1">IF(OR($D67&lt;&gt;"Serviço",AND(AUTOEVENTO="Manual",$M67=$A$15),$M67&gt;(ROW(PLE.lastrow)-ROW(PLE.firstrow))),0,
           IF(OFFSET(PLE!$G$15,$M67-$A$15,BX$13)="",10^12,OFFSET(PLE!$G$15,$M67-$A$15,BX$13)))</f>
        <v>1000000000000</v>
      </c>
      <c r="BY67" s="172" cm="1">
        <f t="array" aca="1" ref="BY67" ca="1">IF(OR($D67&lt;&gt;"Serviço",AND(AUTOEVENTO="Manual",$M67=$A$15),$M67&gt;(ROW(PLE.lastrow)-ROW(PLE.firstrow))),0,
           IF(OFFSET(PLE!$G$15,$M67-$A$15,BY$13)="",10^12,OFFSET(PLE!$G$15,$M67-$A$15,BY$13)))</f>
        <v>1000000000000</v>
      </c>
      <c r="BZ67" s="172" cm="1">
        <f t="array" aca="1" ref="BZ67" ca="1">IF(OR($D67&lt;&gt;"Serviço",AND(AUTOEVENTO="Manual",$M67=$A$15),$M67&gt;(ROW(PLE.lastrow)-ROW(PLE.firstrow))),0,
           IF(OFFSET(PLE!$G$15,$M67-$A$15,BZ$13)="",10^12,OFFSET(PLE!$G$15,$M67-$A$15,BZ$13)))</f>
        <v>1000000000000</v>
      </c>
      <c r="CA67" s="172" cm="1">
        <f t="array" aca="1" ref="CA67" ca="1">IF(OR($D67&lt;&gt;"Serviço",AND(AUTOEVENTO="Manual",$M67=$A$15),$M67&gt;(ROW(PLE.lastrow)-ROW(PLE.firstrow))),0,
           IF(OFFSET(PLE!$G$15,$M67-$A$15,CA$13)="",10^12,OFFSET(PLE!$G$15,$M67-$A$15,CA$13)))</f>
        <v>1000000000000</v>
      </c>
      <c r="CB67" s="172" cm="1">
        <f t="array" aca="1" ref="CB67" ca="1">IF(OR($D67&lt;&gt;"Serviço",AND(AUTOEVENTO="Manual",$M67=$A$15),$M67&gt;(ROW(PLE.lastrow)-ROW(PLE.firstrow))),0,
           IF(OFFSET(PLE!$G$15,$M67-$A$15,CB$13)="",10^12,OFFSET(PLE!$G$15,$M67-$A$15,CB$13)))</f>
        <v>1000000000000</v>
      </c>
      <c r="CC67" s="172" cm="1">
        <f t="array" aca="1" ref="CC67" ca="1">IF(OR($D67&lt;&gt;"Serviço",AND(AUTOEVENTO="Manual",$M67=$A$15),$M67&gt;(ROW(PLE.lastrow)-ROW(PLE.firstrow))),0,
           IF(OFFSET(PLE!$G$15,$M67-$A$15,CC$13)="",10^12,OFFSET(PLE!$G$15,$M67-$A$15,CC$13)))</f>
        <v>1000000000000</v>
      </c>
      <c r="CD67" s="172" cm="1">
        <f t="array" aca="1" ref="CD67" ca="1">IF(OR($D67&lt;&gt;"Serviço",AND(AUTOEVENTO="Manual",$M67=$A$15),$M67&gt;(ROW(PLE.lastrow)-ROW(PLE.firstrow))),0,
           IF(OFFSET(PLE!$G$15,$M67-$A$15,CD$13)="",10^12,OFFSET(PLE!$G$15,$M67-$A$15,CD$13)))</f>
        <v>1000000000000</v>
      </c>
      <c r="CE67" s="172" cm="1">
        <f t="array" aca="1" ref="CE67" ca="1">IF(OR($D67&lt;&gt;"Serviço",AND(AUTOEVENTO="Manual",$M67=$A$15),$M67&gt;(ROW(PLE.lastrow)-ROW(PLE.firstrow))),0,
           IF(OFFSET(PLE!$G$15,$M67-$A$15,CE$13)="",10^12,OFFSET(PLE!$G$15,$M67-$A$15,CE$13)))</f>
        <v>1000000000000</v>
      </c>
      <c r="CF67" s="172" cm="1">
        <f t="array" aca="1" ref="CF67" ca="1">IF(OR($D67&lt;&gt;"Serviço",AND(AUTOEVENTO="Manual",$M67=$A$15),$M67&gt;(ROW(PLE.lastrow)-ROW(PLE.firstrow))),0,
           IF(OFFSET(PLE!$G$15,$M67-$A$15,CF$13)="",10^12,OFFSET(PLE!$G$15,$M67-$A$15,CF$13)))</f>
        <v>1000000000000</v>
      </c>
      <c r="CG67" s="172" cm="1">
        <f t="array" aca="1" ref="CG67" ca="1">IF(OR($D67&lt;&gt;"Serviço",AND(AUTOEVENTO="Manual",$M67=$A$15),$M67&gt;(ROW(PLE.lastrow)-ROW(PLE.firstrow))),0,
           IF(OFFSET(PLE!$G$15,$M67-$A$15,CG$13)="",10^12,OFFSET(PLE!$G$15,$M67-$A$15,CG$13)))</f>
        <v>1000000000000</v>
      </c>
      <c r="CH67" s="172" cm="1">
        <f t="array" aca="1" ref="CH67" ca="1">IF(OR($D67&lt;&gt;"Serviço",AND(AUTOEVENTO="Manual",$M67=$A$15),$M67&gt;(ROW(PLE.lastrow)-ROW(PLE.firstrow))),0,
           IF(OFFSET(PLE!$G$15,$M67-$A$15,CH$13)="",10^12,OFFSET(PLE!$G$15,$M67-$A$15,CH$13)))</f>
        <v>1000000000000</v>
      </c>
      <c r="CI67" s="172" cm="1">
        <f t="array" aca="1" ref="CI67" ca="1">IF(OR($D67&lt;&gt;"Serviço",AND(AUTOEVENTO="Manual",$M67=$A$15),$M67&gt;(ROW(PLE.lastrow)-ROW(PLE.firstrow))),0,
           IF(OFFSET(PLE!$G$15,$M67-$A$15,CI$13)="",10^12,OFFSET(PLE!$G$15,$M67-$A$15,CI$13)))</f>
        <v>1000000000000</v>
      </c>
      <c r="CJ67" s="172" cm="1">
        <f t="array" aca="1" ref="CJ67" ca="1">IF(OR($D67&lt;&gt;"Serviço",AND(AUTOEVENTO="Manual",$M67=$A$15),$M67&gt;(ROW(PLE.lastrow)-ROW(PLE.firstrow))),0,
           IF(OFFSET(PLE!$G$15,$M67-$A$15,CJ$13)="",10^12,OFFSET(PLE!$G$15,$M67-$A$15,CJ$13)))</f>
        <v>1000000000000</v>
      </c>
      <c r="CK67" s="172" cm="1">
        <f t="array" aca="1" ref="CK67" ca="1">IF(OR($D67&lt;&gt;"Serviço",AND(AUTOEVENTO="Manual",$M67=$A$15),$M67&gt;(ROW(PLE.lastrow)-ROW(PLE.firstrow))),0,
           IF(OFFSET(PLE!$G$15,$M67-$A$15,CK$13)="",10^12,OFFSET(PLE!$G$15,$M67-$A$15,CK$13)))</f>
        <v>1000000000000</v>
      </c>
      <c r="CL67" s="172" cm="1">
        <f t="array" aca="1" ref="CL67" ca="1">IF(OR($D67&lt;&gt;"Serviço",AND(AUTOEVENTO="Manual",$M67=$A$15),$M67&gt;(ROW(PLE.lastrow)-ROW(PLE.firstrow))),0,
           IF(OFFSET(PLE!$G$15,$M67-$A$15,CL$13)="",10^12,OFFSET(PLE!$G$15,$M67-$A$15,CL$13)))</f>
        <v>1000000000000</v>
      </c>
      <c r="CM67" s="172" cm="1">
        <f t="array" aca="1" ref="CM67" ca="1">IF(OR($D67&lt;&gt;"Serviço",AND(AUTOEVENTO="Manual",$M67=$A$15),$M67&gt;(ROW(PLE.lastrow)-ROW(PLE.firstrow))),0,
           IF(OFFSET(PLE!$G$15,$M67-$A$15,CM$13)="",10^12,OFFSET(PLE!$G$15,$M67-$A$15,CM$13)))</f>
        <v>1000000000000</v>
      </c>
    </row>
    <row r="68" spans="1:91" s="670" customFormat="1" ht="25.5" x14ac:dyDescent="0.2">
      <c r="A68" s="668">
        <f t="shared" ca="1" si="10"/>
        <v>19</v>
      </c>
      <c r="B68" s="668" t="str">
        <f ca="1">OFFSET(ORÇAMENTO!C$15,$L68,0)</f>
        <v>S</v>
      </c>
      <c r="C68" s="668" t="str">
        <f ca="1">OFFSET(ORÇAMENTO!L$15,$L68,0)</f>
        <v>F</v>
      </c>
      <c r="D68" s="116" t="str">
        <f ca="1">OFFSET(ORÇAMENTO!N$15,$L68,0)</f>
        <v>Serviço</v>
      </c>
      <c r="E68" s="117" t="str">
        <f ca="1">OFFSET(ORÇAMENTO!O$15,$L68,0)</f>
        <v>1.9.4.</v>
      </c>
      <c r="F68" s="163" t="str">
        <f ca="1">OFFSET(ORÇAMENTO!R$15,$L68,0)</f>
        <v>CURVA 45°, EM FERRO FUNDIDO, COM FLANGES PN 10, DIAMETRO: 200MM</v>
      </c>
      <c r="G68" s="164" t="str">
        <f ca="1">IF($D68&lt;&gt;"Serviço","",OFFSET(ORÇAMENTO!S$15,$L68,0))</f>
        <v>UNIDADE</v>
      </c>
      <c r="H68" s="122" cm="1">
        <f t="array" aca="1" ref="H68" ca="1">IF($D68&lt;&gt;"Serviço",0,IF(ACOMPANHAMENTO="BM",ROUND(OFFSET(ORÇAMENTO!AJ$15,$L68,0),15-13*ORÇAMENTO!$AF$7),IF(IFERROR(CÁLCULO.FrentesPreenchidas,0)=0,0,SUM(ROUND(OFFSET($P68,0,1,1,CÁLCULO.FrentesPreenchidas),15-13*ORÇAMENTO!$AF$7)))))</f>
        <v>3</v>
      </c>
      <c r="I68" s="679" t="s">
        <v>1155</v>
      </c>
      <c r="J68" s="651" t="str" cm="1">
        <f t="array" aca="1" ref="J68" ca="1">IF(OR(B68&lt;&gt;"S",CÁLCULO.FrentesPreenchidas=0),"",IF(AND(ACOMPANHAMENTO="PLE",AUTOEVENTO="Manual",OR(H68&gt;0,ORÇAMENTO!AC68="QUANT."),OR(K68="",M68=0,N68="")),"►E",IF(AND(ACOMPANHAMENTO="PLE",ORÇAMENTO!AC68="QUANT."),"►Q",IF(AND(ACOMPANHAMENTO="PLE",H68&lt;&gt;SUMPRODUCT(($Q$1:$AI$1=1)*ROUND(Q68:AI68,15))),"►S",IF(AND(COUNTIF($P$11:$AI$11,"▼")=0,H68&gt;0,I68=""),"◄M","")))))</f>
        <v/>
      </c>
      <c r="K68" s="652" t="s">
        <v>1350</v>
      </c>
      <c r="L68" s="165">
        <f t="shared" ca="1" si="11"/>
        <v>53</v>
      </c>
      <c r="M68" s="166">
        <f ca="1">IF($D68&lt;&gt;"Serviço","",
          IF(AUTOEVENTO="manual",$A68,
                IF(ISERROR(MATCH($A68,$A$15:OFFSET($A68,-1,0),0)),MAX($M$15:OFFSET(M68,-1,0))+1,
                      INDEX($M$15:OFFSET(M68,-1,0),MATCH($A68,$A$15:OFFSET($A68,-1,0),0)))))</f>
        <v>19</v>
      </c>
      <c r="N68" s="167" t="str">
        <f ca="1">IF($D68&lt;&gt;"Serviço","",
         IF(AUTOEVENTO="Manual",
                IF($A68=0,"&lt;-- defina o número do agrupador",
                       OFFSET(EVENTOS!$D$15,$A68-$A$15,0)),
                OFFSET($F$15,$A68,0)))</f>
        <v>Rede de água - assentamento de tubos</v>
      </c>
      <c r="O68" s="168"/>
      <c r="Q68" s="168"/>
      <c r="R68" s="169"/>
      <c r="S68" s="169"/>
      <c r="T68" s="169"/>
      <c r="U68" s="169">
        <v>3</v>
      </c>
      <c r="V68" s="169"/>
      <c r="W68" s="169"/>
      <c r="X68" s="169"/>
      <c r="Y68" s="169"/>
      <c r="Z68" s="170"/>
      <c r="AA68" s="705"/>
      <c r="AB68" s="705"/>
      <c r="AC68" s="705"/>
      <c r="AD68" s="705"/>
      <c r="AE68" s="705"/>
      <c r="AF68" s="705"/>
      <c r="AG68" s="705"/>
      <c r="AH68" s="706"/>
      <c r="AJ68" s="453">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3">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L68" s="453">
        <f ca="1">IF(AND($D68="Serviço",AL$12&lt;&gt;0,$H68&gt;0,OR(AUTOEVENTO&lt;&gt;"manual",$M68&lt;&gt;$A$15)),
        IF(Import.TipoArredondamento&lt;&gt;"TransfereGOV",
              ROUND(OFFSET($P68,0,AL$13),15-13*ORÇAMENTO!$AF$7)/$H68*OFFSET(ORÇAMENTO!$X$15,ROW(AL68)-ROW(AL$15),0),
              ROUND(ROUND(OFFSET($P68,0,AL$13),15-13*ORÇAMENTO!$AF$7)*OFFSET(ORÇAMENTO!$W$15,ROW(AL68)-ROW(AL$15),0),15-13*ORÇAMENTO!$AF$11)),
         0)</f>
        <v>0</v>
      </c>
      <c r="AM68" s="453">
        <f ca="1">IF(AND($D68="Serviço",AM$12&lt;&gt;0,$H68&gt;0,OR(AUTOEVENTO&lt;&gt;"manual",$M68&lt;&gt;$A$15)),
        IF(Import.TipoArredondamento&lt;&gt;"TransfereGOV",
              ROUND(OFFSET($P68,0,AM$13),15-13*ORÇAMENTO!$AF$7)/$H68*OFFSET(ORÇAMENTO!$X$15,ROW(AM68)-ROW(AM$15),0),
              ROUND(ROUND(OFFSET($P68,0,AM$13),15-13*ORÇAMENTO!$AF$7)*OFFSET(ORÇAMENTO!$W$15,ROW(AM68)-ROW(AM$15),0),15-13*ORÇAMENTO!$AF$11)),
         0)</f>
        <v>0</v>
      </c>
      <c r="AN68" s="453">
        <f ca="1">IF(AND($D68="Serviço",AN$12&lt;&gt;0,$H68&gt;0,OR(AUTOEVENTO&lt;&gt;"manual",$M68&lt;&gt;$A$15)),
        IF(Import.TipoArredondamento&lt;&gt;"TransfereGOV",
              ROUND(OFFSET($P68,0,AN$13),15-13*ORÇAMENTO!$AF$7)/$H68*OFFSET(ORÇAMENTO!$X$15,ROW(AN68)-ROW(AN$15),0),
              ROUND(ROUND(OFFSET($P68,0,AN$13),15-13*ORÇAMENTO!$AF$7)*OFFSET(ORÇAMENTO!$W$15,ROW(AN68)-ROW(AN$15),0),15-13*ORÇAMENTO!$AF$11)),
         0)</f>
        <v>3681.63</v>
      </c>
      <c r="AO68" s="453">
        <f ca="1">IF(AND($D68="Serviço",AO$12&lt;&gt;0,$H68&gt;0,OR(AUTOEVENTO&lt;&gt;"manual",$M68&lt;&gt;$A$15)),
        IF(Import.TipoArredondamento&lt;&gt;"TransfereGOV",
              ROUND(OFFSET($P68,0,AO$13),15-13*ORÇAMENTO!$AF$7)/$H68*OFFSET(ORÇAMENTO!$X$15,ROW(AO68)-ROW(AO$15),0),
              ROUND(ROUND(OFFSET($P68,0,AO$13),15-13*ORÇAMENTO!$AF$7)*OFFSET(ORÇAMENTO!$W$15,ROW(AO68)-ROW(AO$15),0),15-13*ORÇAMENTO!$AF$11)),
         0)</f>
        <v>0</v>
      </c>
      <c r="AP68" s="453">
        <f ca="1">IF(AND($D68="Serviço",AP$12&lt;&gt;0,$H68&gt;0,OR(AUTOEVENTO&lt;&gt;"manual",$M68&lt;&gt;$A$15)),
        IF(Import.TipoArredondamento&lt;&gt;"TransfereGOV",
              ROUND(OFFSET($P68,0,AP$13),15-13*ORÇAMENTO!$AF$7)/$H68*OFFSET(ORÇAMENTO!$X$15,ROW(AP68)-ROW(AP$15),0),
              ROUND(ROUND(OFFSET($P68,0,AP$13),15-13*ORÇAMENTO!$AF$7)*OFFSET(ORÇAMENTO!$W$15,ROW(AP68)-ROW(AP$15),0),15-13*ORÇAMENTO!$AF$11)),
         0)</f>
        <v>0</v>
      </c>
      <c r="AQ68" s="453">
        <f ca="1">IF(AND($D68="Serviço",AQ$12&lt;&gt;0,$H68&gt;0,OR(AUTOEVENTO&lt;&gt;"manual",$M68&lt;&gt;$A$15)),
        IF(Import.TipoArredondamento&lt;&gt;"TransfereGOV",
              ROUND(OFFSET($P68,0,AQ$13),15-13*ORÇAMENTO!$AF$7)/$H68*OFFSET(ORÇAMENTO!$X$15,ROW(AQ68)-ROW(AQ$15),0),
              ROUND(ROUND(OFFSET($P68,0,AQ$13),15-13*ORÇAMENTO!$AF$7)*OFFSET(ORÇAMENTO!$W$15,ROW(AQ68)-ROW(AQ$15),0),15-13*ORÇAMENTO!$AF$11)),
         0)</f>
        <v>0</v>
      </c>
      <c r="AR68" s="453">
        <f ca="1">IF(AND($D68="Serviço",AR$12&lt;&gt;0,$H68&gt;0,OR(AUTOEVENTO&lt;&gt;"manual",$M68&lt;&gt;$A$15)),
        IF(Import.TipoArredondamento&lt;&gt;"TransfereGOV",
              ROUND(OFFSET($P68,0,AR$13),15-13*ORÇAMENTO!$AF$7)/$H68*OFFSET(ORÇAMENTO!$X$15,ROW(AR68)-ROW(AR$15),0),
              ROUND(ROUND(OFFSET($P68,0,AR$13),15-13*ORÇAMENTO!$AF$7)*OFFSET(ORÇAMENTO!$W$15,ROW(AR68)-ROW(AR$15),0),15-13*ORÇAMENTO!$AF$11)),
         0)</f>
        <v>0</v>
      </c>
      <c r="AS68" s="453">
        <f ca="1">IF(AND($D68="Serviço",AS$12&lt;&gt;0,$H68&gt;0,OR(AUTOEVENTO&lt;&gt;"manual",$M68&lt;&gt;$A$15)),
        IF(Import.TipoArredondamento&lt;&gt;"TransfereGOV",
              ROUND(OFFSET($P68,0,AS$13),15-13*ORÇAMENTO!$AF$7)/$H68*OFFSET(ORÇAMENTO!$X$15,ROW(AS68)-ROW(AS$15),0),
              ROUND(ROUND(OFFSET($P68,0,AS$13),15-13*ORÇAMENTO!$AF$7)*OFFSET(ORÇAMENTO!$W$15,ROW(AS68)-ROW(AS$15),0),15-13*ORÇAMENTO!$AF$11)),
         0)</f>
        <v>0</v>
      </c>
      <c r="AT68" s="453">
        <f ca="1">IF(AND($D68="Serviço",AT$12&lt;&gt;0,$H68&gt;0,OR(AUTOEVENTO&lt;&gt;"manual",$M68&lt;&gt;$A$15)),
        IF(Import.TipoArredondamento&lt;&gt;"TransfereGOV",
              ROUND(OFFSET($P68,0,AT$13),15-13*ORÇAMENTO!$AF$7)/$H68*OFFSET(ORÇAMENTO!$X$15,ROW(AT68)-ROW(AT$15),0),
              ROUND(ROUND(OFFSET($P68,0,AT$13),15-13*ORÇAMENTO!$AF$7)*OFFSET(ORÇAMENTO!$W$15,ROW(AT68)-ROW(AT$15),0),15-13*ORÇAMENTO!$AF$11)),
         0)</f>
        <v>0</v>
      </c>
      <c r="AU68" s="453">
        <f ca="1">IF(AND($D68="Serviço",AU$12&lt;&gt;0,$H68&gt;0,OR(AUTOEVENTO&lt;&gt;"manual",$M68&lt;&gt;$A$15)),
        IF(Import.TipoArredondamento&lt;&gt;"TransfereGOV",
              ROUND(OFFSET($P68,0,AU$13),15-13*ORÇAMENTO!$AF$7)/$H68*OFFSET(ORÇAMENTO!$X$15,ROW(AU68)-ROW(AU$15),0),
              ROUND(ROUND(OFFSET($P68,0,AU$13),15-13*ORÇAMENTO!$AF$7)*OFFSET(ORÇAMENTO!$W$15,ROW(AU68)-ROW(AU$15),0),15-13*ORÇAMENTO!$AF$11)),
         0)</f>
        <v>0</v>
      </c>
      <c r="AV68" s="453">
        <f ca="1">IF(AND($D68="Serviço",AV$12&lt;&gt;0,$H68&gt;0,OR(AUTOEVENTO&lt;&gt;"manual",$M68&lt;&gt;$A$15)),
        IF(Import.TipoArredondamento&lt;&gt;"TransfereGOV",
              ROUND(OFFSET($P68,0,AV$13),15-13*ORÇAMENTO!$AF$7)/$H68*OFFSET(ORÇAMENTO!$X$15,ROW(AV68)-ROW(AV$15),0),
              ROUND(ROUND(OFFSET($P68,0,AV$13),15-13*ORÇAMENTO!$AF$7)*OFFSET(ORÇAMENTO!$W$15,ROW(AV68)-ROW(AV$15),0),15-13*ORÇAMENTO!$AF$11)),
         0)</f>
        <v>0</v>
      </c>
      <c r="AW68" s="453">
        <f ca="1">IF(AND($D68="Serviço",AW$12&lt;&gt;0,$H68&gt;0,OR(AUTOEVENTO&lt;&gt;"manual",$M68&lt;&gt;$A$15)),
        IF(Import.TipoArredondamento&lt;&gt;"TransfereGOV",
              ROUND(OFFSET($P68,0,AW$13),15-13*ORÇAMENTO!$AF$7)/$H68*OFFSET(ORÇAMENTO!$X$15,ROW(AW68)-ROW(AW$15),0),
              ROUND(ROUND(OFFSET($P68,0,AW$13),15-13*ORÇAMENTO!$AF$7)*OFFSET(ORÇAMENTO!$W$15,ROW(AW68)-ROW(AW$15),0),15-13*ORÇAMENTO!$AF$11)),
         0)</f>
        <v>0</v>
      </c>
      <c r="AX68" s="453">
        <f ca="1">IF(AND($D68="Serviço",AX$12&lt;&gt;0,$H68&gt;0,OR(AUTOEVENTO&lt;&gt;"manual",$M68&lt;&gt;$A$15)),
        IF(Import.TipoArredondamento&lt;&gt;"TransfereGOV",
              ROUND(OFFSET($P68,0,AX$13),15-13*ORÇAMENTO!$AF$7)/$H68*OFFSET(ORÇAMENTO!$X$15,ROW(AX68)-ROW(AX$15),0),
              ROUND(ROUND(OFFSET($P68,0,AX$13),15-13*ORÇAMENTO!$AF$7)*OFFSET(ORÇAMENTO!$W$15,ROW(AX68)-ROW(AX$15),0),15-13*ORÇAMENTO!$AF$11)),
         0)</f>
        <v>0</v>
      </c>
      <c r="AY68" s="453">
        <f ca="1">IF(AND($D68="Serviço",AY$12&lt;&gt;0,$H68&gt;0,OR(AUTOEVENTO&lt;&gt;"manual",$M68&lt;&gt;$A$15)),
        IF(Import.TipoArredondamento&lt;&gt;"TransfereGOV",
              ROUND(OFFSET($P68,0,AY$13),15-13*ORÇAMENTO!$AF$7)/$H68*OFFSET(ORÇAMENTO!$X$15,ROW(AY68)-ROW(AY$15),0),
              ROUND(ROUND(OFFSET($P68,0,AY$13),15-13*ORÇAMENTO!$AF$7)*OFFSET(ORÇAMENTO!$W$15,ROW(AY68)-ROW(AY$15),0),15-13*ORÇAMENTO!$AF$11)),
         0)</f>
        <v>0</v>
      </c>
      <c r="AZ68" s="453">
        <f ca="1">IF(AND($D68="Serviço",AZ$12&lt;&gt;0,$H68&gt;0,OR(AUTOEVENTO&lt;&gt;"manual",$M68&lt;&gt;$A$15)),
        IF(Import.TipoArredondamento&lt;&gt;"TransfereGOV",
              ROUND(OFFSET($P68,0,AZ$13),15-13*ORÇAMENTO!$AF$7)/$H68*OFFSET(ORÇAMENTO!$X$15,ROW(AZ68)-ROW(AZ$15),0),
              ROUND(ROUND(OFFSET($P68,0,AZ$13),15-13*ORÇAMENTO!$AF$7)*OFFSET(ORÇAMENTO!$W$15,ROW(AZ68)-ROW(AZ$15),0),15-13*ORÇAMENTO!$AF$11)),
         0)</f>
        <v>0</v>
      </c>
      <c r="BA68" s="453">
        <f ca="1">IF(AND($D68="Serviço",BA$12&lt;&gt;0,$H68&gt;0,OR(AUTOEVENTO&lt;&gt;"manual",$M68&lt;&gt;$A$15)),
        IF(Import.TipoArredondamento&lt;&gt;"TransfereGOV",
              ROUND(OFFSET($P68,0,BA$13),15-13*ORÇAMENTO!$AF$7)/$H68*OFFSET(ORÇAMENTO!$X$15,ROW(BA68)-ROW(BA$15),0),
              ROUND(ROUND(OFFSET($P68,0,BA$13),15-13*ORÇAMENTO!$AF$7)*OFFSET(ORÇAMENTO!$W$15,ROW(BA68)-ROW(BA$15),0),15-13*ORÇAMENTO!$AF$11)),
         0)</f>
        <v>0</v>
      </c>
      <c r="BC68" s="171">
        <f ca="1">IF(OR($D68&lt;&gt;"Serviço",AND(AUTOEVENTO="Manual",$M68=$A$15)),0,
         IF(OFFSET(CRONOPLE!$F$15,$M68-$A$15,BC$13)=0,10^12,OFFSET(CRONOPLE!$F$15,$M68-$A$15,BC$13)))</f>
        <v>1000000000000</v>
      </c>
      <c r="BD68" s="171">
        <f ca="1">IF(OR($D68&lt;&gt;"Serviço",AND(AUTOEVENTO="Manual",$M68=$A$15)),0,
         IF(OFFSET(CRONOPLE!$F$15,$M68-$A$15,BD$13)=0,10^12,OFFSET(CRONOPLE!$F$15,$M68-$A$15,BD$13)))</f>
        <v>1000000000000</v>
      </c>
      <c r="BE68" s="171">
        <f ca="1">IF(OR($D68&lt;&gt;"Serviço",AND(AUTOEVENTO="Manual",$M68=$A$15)),0,
         IF(OFFSET(CRONOPLE!$F$15,$M68-$A$15,BE$13)=0,10^12,OFFSET(CRONOPLE!$F$15,$M68-$A$15,BE$13)))</f>
        <v>1000000000000</v>
      </c>
      <c r="BF68" s="171">
        <f ca="1">IF(OR($D68&lt;&gt;"Serviço",AND(AUTOEVENTO="Manual",$M68=$A$15)),0,
         IF(OFFSET(CRONOPLE!$F$15,$M68-$A$15,BF$13)=0,10^12,OFFSET(CRONOPLE!$F$15,$M68-$A$15,BF$13)))</f>
        <v>1000000000000</v>
      </c>
      <c r="BG68" s="171">
        <f ca="1">IF(OR($D68&lt;&gt;"Serviço",AND(AUTOEVENTO="Manual",$M68=$A$15)),0,
         IF(OFFSET(CRONOPLE!$F$15,$M68-$A$15,BG$13)=0,10^12,OFFSET(CRONOPLE!$F$15,$M68-$A$15,BG$13)))</f>
        <v>7</v>
      </c>
      <c r="BH68" s="171">
        <f ca="1">IF(OR($D68&lt;&gt;"Serviço",AND(AUTOEVENTO="Manual",$M68=$A$15)),0,
         IF(OFFSET(CRONOPLE!$F$15,$M68-$A$15,BH$13)=0,10^12,OFFSET(CRONOPLE!$F$15,$M68-$A$15,BH$13)))</f>
        <v>1000000000000</v>
      </c>
      <c r="BI68" s="171">
        <f ca="1">IF(OR($D68&lt;&gt;"Serviço",AND(AUTOEVENTO="Manual",$M68=$A$15)),0,
         IF(OFFSET(CRONOPLE!$F$15,$M68-$A$15,BI$13)=0,10^12,OFFSET(CRONOPLE!$F$15,$M68-$A$15,BI$13)))</f>
        <v>1000000000000</v>
      </c>
      <c r="BJ68" s="171">
        <f ca="1">IF(OR($D68&lt;&gt;"Serviço",AND(AUTOEVENTO="Manual",$M68=$A$15)),0,
         IF(OFFSET(CRONOPLE!$F$15,$M68-$A$15,BJ$13)=0,10^12,OFFSET(CRONOPLE!$F$15,$M68-$A$15,BJ$13)))</f>
        <v>1000000000000</v>
      </c>
      <c r="BK68" s="171">
        <f ca="1">IF(OR($D68&lt;&gt;"Serviço",AND(AUTOEVENTO="Manual",$M68=$A$15)),0,
         IF(OFFSET(CRONOPLE!$F$15,$M68-$A$15,BK$13)=0,10^12,OFFSET(CRONOPLE!$F$15,$M68-$A$15,BK$13)))</f>
        <v>1000000000000</v>
      </c>
      <c r="BL68" s="171">
        <f ca="1">IF(OR($D68&lt;&gt;"Serviço",AND(AUTOEVENTO="Manual",$M68=$A$15)),0,
         IF(OFFSET(CRONOPLE!$F$15,$M68-$A$15,BL$13)=0,10^12,OFFSET(CRONOPLE!$F$15,$M68-$A$15,BL$13)))</f>
        <v>1000000000000</v>
      </c>
      <c r="BM68" s="171">
        <f ca="1">IF(OR($D68&lt;&gt;"Serviço",AND(AUTOEVENTO="Manual",$M68=$A$15)),0,
         IF(OFFSET(CRONOPLE!$F$15,$M68-$A$15,BM$13)=0,10^12,OFFSET(CRONOPLE!$F$15,$M68-$A$15,BM$13)))</f>
        <v>1000000000000</v>
      </c>
      <c r="BN68" s="171">
        <f ca="1">IF(OR($D68&lt;&gt;"Serviço",AND(AUTOEVENTO="Manual",$M68=$A$15)),0,
         IF(OFFSET(CRONOPLE!$F$15,$M68-$A$15,BN$13)=0,10^12,OFFSET(CRONOPLE!$F$15,$M68-$A$15,BN$13)))</f>
        <v>1000000000000</v>
      </c>
      <c r="BO68" s="171">
        <f ca="1">IF(OR($D68&lt;&gt;"Serviço",AND(AUTOEVENTO="Manual",$M68=$A$15)),0,
         IF(OFFSET(CRONOPLE!$F$15,$M68-$A$15,BO$13)=0,10^12,OFFSET(CRONOPLE!$F$15,$M68-$A$15,BO$13)))</f>
        <v>1000000000000</v>
      </c>
      <c r="BP68" s="171">
        <f ca="1">IF(OR($D68&lt;&gt;"Serviço",AND(AUTOEVENTO="Manual",$M68=$A$15)),0,
         IF(OFFSET(CRONOPLE!$F$15,$M68-$A$15,BP$13)=0,10^12,OFFSET(CRONOPLE!$F$15,$M68-$A$15,BP$13)))</f>
        <v>1000000000000</v>
      </c>
      <c r="BQ68" s="171">
        <f ca="1">IF(OR($D68&lt;&gt;"Serviço",AND(AUTOEVENTO="Manual",$M68=$A$15)),0,
         IF(OFFSET(CRONOPLE!$F$15,$M68-$A$15,BQ$13)=0,10^12,OFFSET(CRONOPLE!$F$15,$M68-$A$15,BQ$13)))</f>
        <v>1000000000000</v>
      </c>
      <c r="BR68" s="171">
        <f ca="1">IF(OR($D68&lt;&gt;"Serviço",AND(AUTOEVENTO="Manual",$M68=$A$15)),0,
         IF(OFFSET(CRONOPLE!$F$15,$M68-$A$15,BR$13)=0,10^12,OFFSET(CRONOPLE!$F$15,$M68-$A$15,BR$13)))</f>
        <v>1000000000000</v>
      </c>
      <c r="BS68" s="171">
        <f ca="1">IF(OR($D68&lt;&gt;"Serviço",AND(AUTOEVENTO="Manual",$M68=$A$15)),0,
         IF(OFFSET(CRONOPLE!$F$15,$M68-$A$15,BS$13)=0,10^12,OFFSET(CRONOPLE!$F$15,$M68-$A$15,BS$13)))</f>
        <v>1000000000000</v>
      </c>
      <c r="BT68" s="171">
        <f ca="1">IF(OR($D68&lt;&gt;"Serviço",AND(AUTOEVENTO="Manual",$M68=$A$15)),0,
         IF(OFFSET(CRONOPLE!$F$15,$M68-$A$15,BT$13)=0,10^12,OFFSET(CRONOPLE!$F$15,$M68-$A$15,BT$13)))</f>
        <v>1000000000000</v>
      </c>
      <c r="BV68" s="172" cm="1">
        <f t="array" aca="1" ref="BV68" ca="1">IF(OR($D68&lt;&gt;"Serviço",AND(AUTOEVENTO="Manual",$M68=$A$15),$M68&gt;(ROW(PLE.lastrow)-ROW(PLE.firstrow))),0,
           IF(OFFSET(PLE!$G$15,$M68-$A$15,BV$13)="",10^12,OFFSET(PLE!$G$15,$M68-$A$15,BV$13)))</f>
        <v>1000000000000</v>
      </c>
      <c r="BW68" s="172" cm="1">
        <f t="array" aca="1" ref="BW68" ca="1">IF(OR($D68&lt;&gt;"Serviço",AND(AUTOEVENTO="Manual",$M68=$A$15),$M68&gt;(ROW(PLE.lastrow)-ROW(PLE.firstrow))),0,
           IF(OFFSET(PLE!$G$15,$M68-$A$15,BW$13)="",10^12,OFFSET(PLE!$G$15,$M68-$A$15,BW$13)))</f>
        <v>1000000000000</v>
      </c>
      <c r="BX68" s="172" cm="1">
        <f t="array" aca="1" ref="BX68" ca="1">IF(OR($D68&lt;&gt;"Serviço",AND(AUTOEVENTO="Manual",$M68=$A$15),$M68&gt;(ROW(PLE.lastrow)-ROW(PLE.firstrow))),0,
           IF(OFFSET(PLE!$G$15,$M68-$A$15,BX$13)="",10^12,OFFSET(PLE!$G$15,$M68-$A$15,BX$13)))</f>
        <v>1000000000000</v>
      </c>
      <c r="BY68" s="172" cm="1">
        <f t="array" aca="1" ref="BY68" ca="1">IF(OR($D68&lt;&gt;"Serviço",AND(AUTOEVENTO="Manual",$M68=$A$15),$M68&gt;(ROW(PLE.lastrow)-ROW(PLE.firstrow))),0,
           IF(OFFSET(PLE!$G$15,$M68-$A$15,BY$13)="",10^12,OFFSET(PLE!$G$15,$M68-$A$15,BY$13)))</f>
        <v>1000000000000</v>
      </c>
      <c r="BZ68" s="172" cm="1">
        <f t="array" aca="1" ref="BZ68" ca="1">IF(OR($D68&lt;&gt;"Serviço",AND(AUTOEVENTO="Manual",$M68=$A$15),$M68&gt;(ROW(PLE.lastrow)-ROW(PLE.firstrow))),0,
           IF(OFFSET(PLE!$G$15,$M68-$A$15,BZ$13)="",10^12,OFFSET(PLE!$G$15,$M68-$A$15,BZ$13)))</f>
        <v>1000000000000</v>
      </c>
      <c r="CA68" s="172" cm="1">
        <f t="array" aca="1" ref="CA68" ca="1">IF(OR($D68&lt;&gt;"Serviço",AND(AUTOEVENTO="Manual",$M68=$A$15),$M68&gt;(ROW(PLE.lastrow)-ROW(PLE.firstrow))),0,
           IF(OFFSET(PLE!$G$15,$M68-$A$15,CA$13)="",10^12,OFFSET(PLE!$G$15,$M68-$A$15,CA$13)))</f>
        <v>1000000000000</v>
      </c>
      <c r="CB68" s="172" cm="1">
        <f t="array" aca="1" ref="CB68" ca="1">IF(OR($D68&lt;&gt;"Serviço",AND(AUTOEVENTO="Manual",$M68=$A$15),$M68&gt;(ROW(PLE.lastrow)-ROW(PLE.firstrow))),0,
           IF(OFFSET(PLE!$G$15,$M68-$A$15,CB$13)="",10^12,OFFSET(PLE!$G$15,$M68-$A$15,CB$13)))</f>
        <v>1000000000000</v>
      </c>
      <c r="CC68" s="172" cm="1">
        <f t="array" aca="1" ref="CC68" ca="1">IF(OR($D68&lt;&gt;"Serviço",AND(AUTOEVENTO="Manual",$M68=$A$15),$M68&gt;(ROW(PLE.lastrow)-ROW(PLE.firstrow))),0,
           IF(OFFSET(PLE!$G$15,$M68-$A$15,CC$13)="",10^12,OFFSET(PLE!$G$15,$M68-$A$15,CC$13)))</f>
        <v>1000000000000</v>
      </c>
      <c r="CD68" s="172" cm="1">
        <f t="array" aca="1" ref="CD68" ca="1">IF(OR($D68&lt;&gt;"Serviço",AND(AUTOEVENTO="Manual",$M68=$A$15),$M68&gt;(ROW(PLE.lastrow)-ROW(PLE.firstrow))),0,
           IF(OFFSET(PLE!$G$15,$M68-$A$15,CD$13)="",10^12,OFFSET(PLE!$G$15,$M68-$A$15,CD$13)))</f>
        <v>1000000000000</v>
      </c>
      <c r="CE68" s="172" cm="1">
        <f t="array" aca="1" ref="CE68" ca="1">IF(OR($D68&lt;&gt;"Serviço",AND(AUTOEVENTO="Manual",$M68=$A$15),$M68&gt;(ROW(PLE.lastrow)-ROW(PLE.firstrow))),0,
           IF(OFFSET(PLE!$G$15,$M68-$A$15,CE$13)="",10^12,OFFSET(PLE!$G$15,$M68-$A$15,CE$13)))</f>
        <v>1000000000000</v>
      </c>
      <c r="CF68" s="172" cm="1">
        <f t="array" aca="1" ref="CF68" ca="1">IF(OR($D68&lt;&gt;"Serviço",AND(AUTOEVENTO="Manual",$M68=$A$15),$M68&gt;(ROW(PLE.lastrow)-ROW(PLE.firstrow))),0,
           IF(OFFSET(PLE!$G$15,$M68-$A$15,CF$13)="",10^12,OFFSET(PLE!$G$15,$M68-$A$15,CF$13)))</f>
        <v>1000000000000</v>
      </c>
      <c r="CG68" s="172" cm="1">
        <f t="array" aca="1" ref="CG68" ca="1">IF(OR($D68&lt;&gt;"Serviço",AND(AUTOEVENTO="Manual",$M68=$A$15),$M68&gt;(ROW(PLE.lastrow)-ROW(PLE.firstrow))),0,
           IF(OFFSET(PLE!$G$15,$M68-$A$15,CG$13)="",10^12,OFFSET(PLE!$G$15,$M68-$A$15,CG$13)))</f>
        <v>1000000000000</v>
      </c>
      <c r="CH68" s="172" cm="1">
        <f t="array" aca="1" ref="CH68" ca="1">IF(OR($D68&lt;&gt;"Serviço",AND(AUTOEVENTO="Manual",$M68=$A$15),$M68&gt;(ROW(PLE.lastrow)-ROW(PLE.firstrow))),0,
           IF(OFFSET(PLE!$G$15,$M68-$A$15,CH$13)="",10^12,OFFSET(PLE!$G$15,$M68-$A$15,CH$13)))</f>
        <v>1000000000000</v>
      </c>
      <c r="CI68" s="172" cm="1">
        <f t="array" aca="1" ref="CI68" ca="1">IF(OR($D68&lt;&gt;"Serviço",AND(AUTOEVENTO="Manual",$M68=$A$15),$M68&gt;(ROW(PLE.lastrow)-ROW(PLE.firstrow))),0,
           IF(OFFSET(PLE!$G$15,$M68-$A$15,CI$13)="",10^12,OFFSET(PLE!$G$15,$M68-$A$15,CI$13)))</f>
        <v>1000000000000</v>
      </c>
      <c r="CJ68" s="172" cm="1">
        <f t="array" aca="1" ref="CJ68" ca="1">IF(OR($D68&lt;&gt;"Serviço",AND(AUTOEVENTO="Manual",$M68=$A$15),$M68&gt;(ROW(PLE.lastrow)-ROW(PLE.firstrow))),0,
           IF(OFFSET(PLE!$G$15,$M68-$A$15,CJ$13)="",10^12,OFFSET(PLE!$G$15,$M68-$A$15,CJ$13)))</f>
        <v>1000000000000</v>
      </c>
      <c r="CK68" s="172" cm="1">
        <f t="array" aca="1" ref="CK68" ca="1">IF(OR($D68&lt;&gt;"Serviço",AND(AUTOEVENTO="Manual",$M68=$A$15),$M68&gt;(ROW(PLE.lastrow)-ROW(PLE.firstrow))),0,
           IF(OFFSET(PLE!$G$15,$M68-$A$15,CK$13)="",10^12,OFFSET(PLE!$G$15,$M68-$A$15,CK$13)))</f>
        <v>1000000000000</v>
      </c>
      <c r="CL68" s="172" cm="1">
        <f t="array" aca="1" ref="CL68" ca="1">IF(OR($D68&lt;&gt;"Serviço",AND(AUTOEVENTO="Manual",$M68=$A$15),$M68&gt;(ROW(PLE.lastrow)-ROW(PLE.firstrow))),0,
           IF(OFFSET(PLE!$G$15,$M68-$A$15,CL$13)="",10^12,OFFSET(PLE!$G$15,$M68-$A$15,CL$13)))</f>
        <v>1000000000000</v>
      </c>
      <c r="CM68" s="172" cm="1">
        <f t="array" aca="1" ref="CM68" ca="1">IF(OR($D68&lt;&gt;"Serviço",AND(AUTOEVENTO="Manual",$M68=$A$15),$M68&gt;(ROW(PLE.lastrow)-ROW(PLE.firstrow))),0,
           IF(OFFSET(PLE!$G$15,$M68-$A$15,CM$13)="",10^12,OFFSET(PLE!$G$15,$M68-$A$15,CM$13)))</f>
        <v>1000000000000</v>
      </c>
    </row>
    <row r="69" spans="1:91" s="670" customFormat="1" ht="38.25" x14ac:dyDescent="0.2">
      <c r="A69" s="668">
        <f t="shared" ca="1" si="10"/>
        <v>19</v>
      </c>
      <c r="B69" s="668" t="str">
        <f ca="1">OFFSET(ORÇAMENTO!C$15,$L69,0)</f>
        <v>S</v>
      </c>
      <c r="C69" s="668" t="str">
        <f ca="1">OFFSET(ORÇAMENTO!L$15,$L69,0)</f>
        <v>F</v>
      </c>
      <c r="D69" s="116" t="str">
        <f ca="1">OFFSET(ORÇAMENTO!N$15,$L69,0)</f>
        <v>Serviço</v>
      </c>
      <c r="E69" s="117" t="str">
        <f ca="1">OFFSET(ORÇAMENTO!O$15,$L69,0)</f>
        <v>1.9.5.</v>
      </c>
      <c r="F69" s="163" t="str">
        <f ca="1">OFFSET(ORÇAMENTO!R$15,$L69,0)</f>
        <v xml:space="preserve">Curva de 22o30' de ferro fundido ductil, pintada interna e externamente com tinta betuminosa, com 2 flanges, inclusive fornecimento de material para junta (arruela de borracha, parafusos com porca), com diametro de 200mm. </v>
      </c>
      <c r="G69" s="164" t="str">
        <f ca="1">IF($D69&lt;&gt;"Serviço","",OFFSET(ORÇAMENTO!S$15,$L69,0))</f>
        <v>UNIDADE</v>
      </c>
      <c r="H69" s="122" cm="1">
        <f t="array" aca="1" ref="H69" ca="1">IF($D69&lt;&gt;"Serviço",0,IF(ACOMPANHAMENTO="BM",ROUND(OFFSET(ORÇAMENTO!AJ$15,$L69,0),15-13*ORÇAMENTO!$AF$7),IF(IFERROR(CÁLCULO.FrentesPreenchidas,0)=0,0,SUM(ROUND(OFFSET($P69,0,1,1,CÁLCULO.FrentesPreenchidas),15-13*ORÇAMENTO!$AF$7)))))</f>
        <v>1</v>
      </c>
      <c r="I69" s="468" t="s">
        <v>1156</v>
      </c>
      <c r="J69" s="651" t="str" cm="1">
        <f t="array" aca="1" ref="J69" ca="1">IF(OR(B69&lt;&gt;"S",CÁLCULO.FrentesPreenchidas=0),"",IF(AND(ACOMPANHAMENTO="PLE",AUTOEVENTO="Manual",OR(H69&gt;0,ORÇAMENTO!AC69="QUANT."),OR(K69="",M69=0,N69="")),"►E",IF(AND(ACOMPANHAMENTO="PLE",ORÇAMENTO!AC69="QUANT."),"►Q",IF(AND(ACOMPANHAMENTO="PLE",H69&lt;&gt;SUMPRODUCT(($Q$1:$AI$1=1)*ROUND(Q69:AI69,15))),"►S",IF(AND(COUNTIF($P$11:$AI$11,"▼")=0,H69&gt;0,I69=""),"◄M","")))))</f>
        <v/>
      </c>
      <c r="K69" s="652" t="s">
        <v>1350</v>
      </c>
      <c r="L69" s="165">
        <f t="shared" ca="1" si="11"/>
        <v>54</v>
      </c>
      <c r="M69" s="166">
        <f ca="1">IF($D69&lt;&gt;"Serviço","",
          IF(AUTOEVENTO="manual",$A69,
                IF(ISERROR(MATCH($A69,$A$15:OFFSET($A69,-1,0),0)),MAX($M$15:OFFSET(M69,-1,0))+1,
                      INDEX($M$15:OFFSET(M69,-1,0),MATCH($A69,$A$15:OFFSET($A69,-1,0),0)))))</f>
        <v>19</v>
      </c>
      <c r="N69" s="167" t="str">
        <f ca="1">IF($D69&lt;&gt;"Serviço","",
         IF(AUTOEVENTO="Manual",
                IF($A69=0,"&lt;-- defina o número do agrupador",
                       OFFSET(EVENTOS!$D$15,$A69-$A$15,0)),
                OFFSET($F$15,$A69,0)))</f>
        <v>Rede de água - assentamento de tubos</v>
      </c>
      <c r="O69" s="168"/>
      <c r="Q69" s="168"/>
      <c r="R69" s="169"/>
      <c r="S69" s="169"/>
      <c r="T69" s="169"/>
      <c r="U69" s="169">
        <v>1</v>
      </c>
      <c r="V69" s="169"/>
      <c r="W69" s="169"/>
      <c r="X69" s="169"/>
      <c r="Y69" s="169"/>
      <c r="Z69" s="170"/>
      <c r="AA69" s="705"/>
      <c r="AB69" s="705"/>
      <c r="AC69" s="705"/>
      <c r="AD69" s="705"/>
      <c r="AE69" s="705"/>
      <c r="AF69" s="705"/>
      <c r="AG69" s="705"/>
      <c r="AH69" s="706"/>
      <c r="AJ69" s="453">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3">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L69" s="453">
        <f ca="1">IF(AND($D69="Serviço",AL$12&lt;&gt;0,$H69&gt;0,OR(AUTOEVENTO&lt;&gt;"manual",$M69&lt;&gt;$A$15)),
        IF(Import.TipoArredondamento&lt;&gt;"TransfereGOV",
              ROUND(OFFSET($P69,0,AL$13),15-13*ORÇAMENTO!$AF$7)/$H69*OFFSET(ORÇAMENTO!$X$15,ROW(AL69)-ROW(AL$15),0),
              ROUND(ROUND(OFFSET($P69,0,AL$13),15-13*ORÇAMENTO!$AF$7)*OFFSET(ORÇAMENTO!$W$15,ROW(AL69)-ROW(AL$15),0),15-13*ORÇAMENTO!$AF$11)),
         0)</f>
        <v>0</v>
      </c>
      <c r="AM69" s="453">
        <f ca="1">IF(AND($D69="Serviço",AM$12&lt;&gt;0,$H69&gt;0,OR(AUTOEVENTO&lt;&gt;"manual",$M69&lt;&gt;$A$15)),
        IF(Import.TipoArredondamento&lt;&gt;"TransfereGOV",
              ROUND(OFFSET($P69,0,AM$13),15-13*ORÇAMENTO!$AF$7)/$H69*OFFSET(ORÇAMENTO!$X$15,ROW(AM69)-ROW(AM$15),0),
              ROUND(ROUND(OFFSET($P69,0,AM$13),15-13*ORÇAMENTO!$AF$7)*OFFSET(ORÇAMENTO!$W$15,ROW(AM69)-ROW(AM$15),0),15-13*ORÇAMENTO!$AF$11)),
         0)</f>
        <v>0</v>
      </c>
      <c r="AN69" s="453">
        <f ca="1">IF(AND($D69="Serviço",AN$12&lt;&gt;0,$H69&gt;0,OR(AUTOEVENTO&lt;&gt;"manual",$M69&lt;&gt;$A$15)),
        IF(Import.TipoArredondamento&lt;&gt;"TransfereGOV",
              ROUND(OFFSET($P69,0,AN$13),15-13*ORÇAMENTO!$AF$7)/$H69*OFFSET(ORÇAMENTO!$X$15,ROW(AN69)-ROW(AN$15),0),
              ROUND(ROUND(OFFSET($P69,0,AN$13),15-13*ORÇAMENTO!$AF$7)*OFFSET(ORÇAMENTO!$W$15,ROW(AN69)-ROW(AN$15),0),15-13*ORÇAMENTO!$AF$11)),
         0)</f>
        <v>1923.87</v>
      </c>
      <c r="AO69" s="453">
        <f ca="1">IF(AND($D69="Serviço",AO$12&lt;&gt;0,$H69&gt;0,OR(AUTOEVENTO&lt;&gt;"manual",$M69&lt;&gt;$A$15)),
        IF(Import.TipoArredondamento&lt;&gt;"TransfereGOV",
              ROUND(OFFSET($P69,0,AO$13),15-13*ORÇAMENTO!$AF$7)/$H69*OFFSET(ORÇAMENTO!$X$15,ROW(AO69)-ROW(AO$15),0),
              ROUND(ROUND(OFFSET($P69,0,AO$13),15-13*ORÇAMENTO!$AF$7)*OFFSET(ORÇAMENTO!$W$15,ROW(AO69)-ROW(AO$15),0),15-13*ORÇAMENTO!$AF$11)),
         0)</f>
        <v>0</v>
      </c>
      <c r="AP69" s="453">
        <f ca="1">IF(AND($D69="Serviço",AP$12&lt;&gt;0,$H69&gt;0,OR(AUTOEVENTO&lt;&gt;"manual",$M69&lt;&gt;$A$15)),
        IF(Import.TipoArredondamento&lt;&gt;"TransfereGOV",
              ROUND(OFFSET($P69,0,AP$13),15-13*ORÇAMENTO!$AF$7)/$H69*OFFSET(ORÇAMENTO!$X$15,ROW(AP69)-ROW(AP$15),0),
              ROUND(ROUND(OFFSET($P69,0,AP$13),15-13*ORÇAMENTO!$AF$7)*OFFSET(ORÇAMENTO!$W$15,ROW(AP69)-ROW(AP$15),0),15-13*ORÇAMENTO!$AF$11)),
         0)</f>
        <v>0</v>
      </c>
      <c r="AQ69" s="453">
        <f ca="1">IF(AND($D69="Serviço",AQ$12&lt;&gt;0,$H69&gt;0,OR(AUTOEVENTO&lt;&gt;"manual",$M69&lt;&gt;$A$15)),
        IF(Import.TipoArredondamento&lt;&gt;"TransfereGOV",
              ROUND(OFFSET($P69,0,AQ$13),15-13*ORÇAMENTO!$AF$7)/$H69*OFFSET(ORÇAMENTO!$X$15,ROW(AQ69)-ROW(AQ$15),0),
              ROUND(ROUND(OFFSET($P69,0,AQ$13),15-13*ORÇAMENTO!$AF$7)*OFFSET(ORÇAMENTO!$W$15,ROW(AQ69)-ROW(AQ$15),0),15-13*ORÇAMENTO!$AF$11)),
         0)</f>
        <v>0</v>
      </c>
      <c r="AR69" s="453">
        <f ca="1">IF(AND($D69="Serviço",AR$12&lt;&gt;0,$H69&gt;0,OR(AUTOEVENTO&lt;&gt;"manual",$M69&lt;&gt;$A$15)),
        IF(Import.TipoArredondamento&lt;&gt;"TransfereGOV",
              ROUND(OFFSET($P69,0,AR$13),15-13*ORÇAMENTO!$AF$7)/$H69*OFFSET(ORÇAMENTO!$X$15,ROW(AR69)-ROW(AR$15),0),
              ROUND(ROUND(OFFSET($P69,0,AR$13),15-13*ORÇAMENTO!$AF$7)*OFFSET(ORÇAMENTO!$W$15,ROW(AR69)-ROW(AR$15),0),15-13*ORÇAMENTO!$AF$11)),
         0)</f>
        <v>0</v>
      </c>
      <c r="AS69" s="453">
        <f ca="1">IF(AND($D69="Serviço",AS$12&lt;&gt;0,$H69&gt;0,OR(AUTOEVENTO&lt;&gt;"manual",$M69&lt;&gt;$A$15)),
        IF(Import.TipoArredondamento&lt;&gt;"TransfereGOV",
              ROUND(OFFSET($P69,0,AS$13),15-13*ORÇAMENTO!$AF$7)/$H69*OFFSET(ORÇAMENTO!$X$15,ROW(AS69)-ROW(AS$15),0),
              ROUND(ROUND(OFFSET($P69,0,AS$13),15-13*ORÇAMENTO!$AF$7)*OFFSET(ORÇAMENTO!$W$15,ROW(AS69)-ROW(AS$15),0),15-13*ORÇAMENTO!$AF$11)),
         0)</f>
        <v>0</v>
      </c>
      <c r="AT69" s="453">
        <f ca="1">IF(AND($D69="Serviço",AT$12&lt;&gt;0,$H69&gt;0,OR(AUTOEVENTO&lt;&gt;"manual",$M69&lt;&gt;$A$15)),
        IF(Import.TipoArredondamento&lt;&gt;"TransfereGOV",
              ROUND(OFFSET($P69,0,AT$13),15-13*ORÇAMENTO!$AF$7)/$H69*OFFSET(ORÇAMENTO!$X$15,ROW(AT69)-ROW(AT$15),0),
              ROUND(ROUND(OFFSET($P69,0,AT$13),15-13*ORÇAMENTO!$AF$7)*OFFSET(ORÇAMENTO!$W$15,ROW(AT69)-ROW(AT$15),0),15-13*ORÇAMENTO!$AF$11)),
         0)</f>
        <v>0</v>
      </c>
      <c r="AU69" s="453">
        <f ca="1">IF(AND($D69="Serviço",AU$12&lt;&gt;0,$H69&gt;0,OR(AUTOEVENTO&lt;&gt;"manual",$M69&lt;&gt;$A$15)),
        IF(Import.TipoArredondamento&lt;&gt;"TransfereGOV",
              ROUND(OFFSET($P69,0,AU$13),15-13*ORÇAMENTO!$AF$7)/$H69*OFFSET(ORÇAMENTO!$X$15,ROW(AU69)-ROW(AU$15),0),
              ROUND(ROUND(OFFSET($P69,0,AU$13),15-13*ORÇAMENTO!$AF$7)*OFFSET(ORÇAMENTO!$W$15,ROW(AU69)-ROW(AU$15),0),15-13*ORÇAMENTO!$AF$11)),
         0)</f>
        <v>0</v>
      </c>
      <c r="AV69" s="453">
        <f ca="1">IF(AND($D69="Serviço",AV$12&lt;&gt;0,$H69&gt;0,OR(AUTOEVENTO&lt;&gt;"manual",$M69&lt;&gt;$A$15)),
        IF(Import.TipoArredondamento&lt;&gt;"TransfereGOV",
              ROUND(OFFSET($P69,0,AV$13),15-13*ORÇAMENTO!$AF$7)/$H69*OFFSET(ORÇAMENTO!$X$15,ROW(AV69)-ROW(AV$15),0),
              ROUND(ROUND(OFFSET($P69,0,AV$13),15-13*ORÇAMENTO!$AF$7)*OFFSET(ORÇAMENTO!$W$15,ROW(AV69)-ROW(AV$15),0),15-13*ORÇAMENTO!$AF$11)),
         0)</f>
        <v>0</v>
      </c>
      <c r="AW69" s="453">
        <f ca="1">IF(AND($D69="Serviço",AW$12&lt;&gt;0,$H69&gt;0,OR(AUTOEVENTO&lt;&gt;"manual",$M69&lt;&gt;$A$15)),
        IF(Import.TipoArredondamento&lt;&gt;"TransfereGOV",
              ROUND(OFFSET($P69,0,AW$13),15-13*ORÇAMENTO!$AF$7)/$H69*OFFSET(ORÇAMENTO!$X$15,ROW(AW69)-ROW(AW$15),0),
              ROUND(ROUND(OFFSET($P69,0,AW$13),15-13*ORÇAMENTO!$AF$7)*OFFSET(ORÇAMENTO!$W$15,ROW(AW69)-ROW(AW$15),0),15-13*ORÇAMENTO!$AF$11)),
         0)</f>
        <v>0</v>
      </c>
      <c r="AX69" s="453">
        <f ca="1">IF(AND($D69="Serviço",AX$12&lt;&gt;0,$H69&gt;0,OR(AUTOEVENTO&lt;&gt;"manual",$M69&lt;&gt;$A$15)),
        IF(Import.TipoArredondamento&lt;&gt;"TransfereGOV",
              ROUND(OFFSET($P69,0,AX$13),15-13*ORÇAMENTO!$AF$7)/$H69*OFFSET(ORÇAMENTO!$X$15,ROW(AX69)-ROW(AX$15),0),
              ROUND(ROUND(OFFSET($P69,0,AX$13),15-13*ORÇAMENTO!$AF$7)*OFFSET(ORÇAMENTO!$W$15,ROW(AX69)-ROW(AX$15),0),15-13*ORÇAMENTO!$AF$11)),
         0)</f>
        <v>0</v>
      </c>
      <c r="AY69" s="453">
        <f ca="1">IF(AND($D69="Serviço",AY$12&lt;&gt;0,$H69&gt;0,OR(AUTOEVENTO&lt;&gt;"manual",$M69&lt;&gt;$A$15)),
        IF(Import.TipoArredondamento&lt;&gt;"TransfereGOV",
              ROUND(OFFSET($P69,0,AY$13),15-13*ORÇAMENTO!$AF$7)/$H69*OFFSET(ORÇAMENTO!$X$15,ROW(AY69)-ROW(AY$15),0),
              ROUND(ROUND(OFFSET($P69,0,AY$13),15-13*ORÇAMENTO!$AF$7)*OFFSET(ORÇAMENTO!$W$15,ROW(AY69)-ROW(AY$15),0),15-13*ORÇAMENTO!$AF$11)),
         0)</f>
        <v>0</v>
      </c>
      <c r="AZ69" s="453">
        <f ca="1">IF(AND($D69="Serviço",AZ$12&lt;&gt;0,$H69&gt;0,OR(AUTOEVENTO&lt;&gt;"manual",$M69&lt;&gt;$A$15)),
        IF(Import.TipoArredondamento&lt;&gt;"TransfereGOV",
              ROUND(OFFSET($P69,0,AZ$13),15-13*ORÇAMENTO!$AF$7)/$H69*OFFSET(ORÇAMENTO!$X$15,ROW(AZ69)-ROW(AZ$15),0),
              ROUND(ROUND(OFFSET($P69,0,AZ$13),15-13*ORÇAMENTO!$AF$7)*OFFSET(ORÇAMENTO!$W$15,ROW(AZ69)-ROW(AZ$15),0),15-13*ORÇAMENTO!$AF$11)),
         0)</f>
        <v>0</v>
      </c>
      <c r="BA69" s="453">
        <f ca="1">IF(AND($D69="Serviço",BA$12&lt;&gt;0,$H69&gt;0,OR(AUTOEVENTO&lt;&gt;"manual",$M69&lt;&gt;$A$15)),
        IF(Import.TipoArredondamento&lt;&gt;"TransfereGOV",
              ROUND(OFFSET($P69,0,BA$13),15-13*ORÇAMENTO!$AF$7)/$H69*OFFSET(ORÇAMENTO!$X$15,ROW(BA69)-ROW(BA$15),0),
              ROUND(ROUND(OFFSET($P69,0,BA$13),15-13*ORÇAMENTO!$AF$7)*OFFSET(ORÇAMENTO!$W$15,ROW(BA69)-ROW(BA$15),0),15-13*ORÇAMENTO!$AF$11)),
         0)</f>
        <v>0</v>
      </c>
      <c r="BC69" s="171">
        <f ca="1">IF(OR($D69&lt;&gt;"Serviço",AND(AUTOEVENTO="Manual",$M69=$A$15)),0,
         IF(OFFSET(CRONOPLE!$F$15,$M69-$A$15,BC$13)=0,10^12,OFFSET(CRONOPLE!$F$15,$M69-$A$15,BC$13)))</f>
        <v>1000000000000</v>
      </c>
      <c r="BD69" s="171">
        <f ca="1">IF(OR($D69&lt;&gt;"Serviço",AND(AUTOEVENTO="Manual",$M69=$A$15)),0,
         IF(OFFSET(CRONOPLE!$F$15,$M69-$A$15,BD$13)=0,10^12,OFFSET(CRONOPLE!$F$15,$M69-$A$15,BD$13)))</f>
        <v>1000000000000</v>
      </c>
      <c r="BE69" s="171">
        <f ca="1">IF(OR($D69&lt;&gt;"Serviço",AND(AUTOEVENTO="Manual",$M69=$A$15)),0,
         IF(OFFSET(CRONOPLE!$F$15,$M69-$A$15,BE$13)=0,10^12,OFFSET(CRONOPLE!$F$15,$M69-$A$15,BE$13)))</f>
        <v>1000000000000</v>
      </c>
      <c r="BF69" s="171">
        <f ca="1">IF(OR($D69&lt;&gt;"Serviço",AND(AUTOEVENTO="Manual",$M69=$A$15)),0,
         IF(OFFSET(CRONOPLE!$F$15,$M69-$A$15,BF$13)=0,10^12,OFFSET(CRONOPLE!$F$15,$M69-$A$15,BF$13)))</f>
        <v>1000000000000</v>
      </c>
      <c r="BG69" s="171">
        <f ca="1">IF(OR($D69&lt;&gt;"Serviço",AND(AUTOEVENTO="Manual",$M69=$A$15)),0,
         IF(OFFSET(CRONOPLE!$F$15,$M69-$A$15,BG$13)=0,10^12,OFFSET(CRONOPLE!$F$15,$M69-$A$15,BG$13)))</f>
        <v>7</v>
      </c>
      <c r="BH69" s="171">
        <f ca="1">IF(OR($D69&lt;&gt;"Serviço",AND(AUTOEVENTO="Manual",$M69=$A$15)),0,
         IF(OFFSET(CRONOPLE!$F$15,$M69-$A$15,BH$13)=0,10^12,OFFSET(CRONOPLE!$F$15,$M69-$A$15,BH$13)))</f>
        <v>1000000000000</v>
      </c>
      <c r="BI69" s="171">
        <f ca="1">IF(OR($D69&lt;&gt;"Serviço",AND(AUTOEVENTO="Manual",$M69=$A$15)),0,
         IF(OFFSET(CRONOPLE!$F$15,$M69-$A$15,BI$13)=0,10^12,OFFSET(CRONOPLE!$F$15,$M69-$A$15,BI$13)))</f>
        <v>1000000000000</v>
      </c>
      <c r="BJ69" s="171">
        <f ca="1">IF(OR($D69&lt;&gt;"Serviço",AND(AUTOEVENTO="Manual",$M69=$A$15)),0,
         IF(OFFSET(CRONOPLE!$F$15,$M69-$A$15,BJ$13)=0,10^12,OFFSET(CRONOPLE!$F$15,$M69-$A$15,BJ$13)))</f>
        <v>1000000000000</v>
      </c>
      <c r="BK69" s="171">
        <f ca="1">IF(OR($D69&lt;&gt;"Serviço",AND(AUTOEVENTO="Manual",$M69=$A$15)),0,
         IF(OFFSET(CRONOPLE!$F$15,$M69-$A$15,BK$13)=0,10^12,OFFSET(CRONOPLE!$F$15,$M69-$A$15,BK$13)))</f>
        <v>1000000000000</v>
      </c>
      <c r="BL69" s="171">
        <f ca="1">IF(OR($D69&lt;&gt;"Serviço",AND(AUTOEVENTO="Manual",$M69=$A$15)),0,
         IF(OFFSET(CRONOPLE!$F$15,$M69-$A$15,BL$13)=0,10^12,OFFSET(CRONOPLE!$F$15,$M69-$A$15,BL$13)))</f>
        <v>1000000000000</v>
      </c>
      <c r="BM69" s="171">
        <f ca="1">IF(OR($D69&lt;&gt;"Serviço",AND(AUTOEVENTO="Manual",$M69=$A$15)),0,
         IF(OFFSET(CRONOPLE!$F$15,$M69-$A$15,BM$13)=0,10^12,OFFSET(CRONOPLE!$F$15,$M69-$A$15,BM$13)))</f>
        <v>1000000000000</v>
      </c>
      <c r="BN69" s="171">
        <f ca="1">IF(OR($D69&lt;&gt;"Serviço",AND(AUTOEVENTO="Manual",$M69=$A$15)),0,
         IF(OFFSET(CRONOPLE!$F$15,$M69-$A$15,BN$13)=0,10^12,OFFSET(CRONOPLE!$F$15,$M69-$A$15,BN$13)))</f>
        <v>1000000000000</v>
      </c>
      <c r="BO69" s="171">
        <f ca="1">IF(OR($D69&lt;&gt;"Serviço",AND(AUTOEVENTO="Manual",$M69=$A$15)),0,
         IF(OFFSET(CRONOPLE!$F$15,$M69-$A$15,BO$13)=0,10^12,OFFSET(CRONOPLE!$F$15,$M69-$A$15,BO$13)))</f>
        <v>1000000000000</v>
      </c>
      <c r="BP69" s="171">
        <f ca="1">IF(OR($D69&lt;&gt;"Serviço",AND(AUTOEVENTO="Manual",$M69=$A$15)),0,
         IF(OFFSET(CRONOPLE!$F$15,$M69-$A$15,BP$13)=0,10^12,OFFSET(CRONOPLE!$F$15,$M69-$A$15,BP$13)))</f>
        <v>1000000000000</v>
      </c>
      <c r="BQ69" s="171">
        <f ca="1">IF(OR($D69&lt;&gt;"Serviço",AND(AUTOEVENTO="Manual",$M69=$A$15)),0,
         IF(OFFSET(CRONOPLE!$F$15,$M69-$A$15,BQ$13)=0,10^12,OFFSET(CRONOPLE!$F$15,$M69-$A$15,BQ$13)))</f>
        <v>1000000000000</v>
      </c>
      <c r="BR69" s="171">
        <f ca="1">IF(OR($D69&lt;&gt;"Serviço",AND(AUTOEVENTO="Manual",$M69=$A$15)),0,
         IF(OFFSET(CRONOPLE!$F$15,$M69-$A$15,BR$13)=0,10^12,OFFSET(CRONOPLE!$F$15,$M69-$A$15,BR$13)))</f>
        <v>1000000000000</v>
      </c>
      <c r="BS69" s="171">
        <f ca="1">IF(OR($D69&lt;&gt;"Serviço",AND(AUTOEVENTO="Manual",$M69=$A$15)),0,
         IF(OFFSET(CRONOPLE!$F$15,$M69-$A$15,BS$13)=0,10^12,OFFSET(CRONOPLE!$F$15,$M69-$A$15,BS$13)))</f>
        <v>1000000000000</v>
      </c>
      <c r="BT69" s="171">
        <f ca="1">IF(OR($D69&lt;&gt;"Serviço",AND(AUTOEVENTO="Manual",$M69=$A$15)),0,
         IF(OFFSET(CRONOPLE!$F$15,$M69-$A$15,BT$13)=0,10^12,OFFSET(CRONOPLE!$F$15,$M69-$A$15,BT$13)))</f>
        <v>1000000000000</v>
      </c>
      <c r="BV69" s="172" cm="1">
        <f t="array" aca="1" ref="BV69" ca="1">IF(OR($D69&lt;&gt;"Serviço",AND(AUTOEVENTO="Manual",$M69=$A$15),$M69&gt;(ROW(PLE.lastrow)-ROW(PLE.firstrow))),0,
           IF(OFFSET(PLE!$G$15,$M69-$A$15,BV$13)="",10^12,OFFSET(PLE!$G$15,$M69-$A$15,BV$13)))</f>
        <v>1000000000000</v>
      </c>
      <c r="BW69" s="172" cm="1">
        <f t="array" aca="1" ref="BW69" ca="1">IF(OR($D69&lt;&gt;"Serviço",AND(AUTOEVENTO="Manual",$M69=$A$15),$M69&gt;(ROW(PLE.lastrow)-ROW(PLE.firstrow))),0,
           IF(OFFSET(PLE!$G$15,$M69-$A$15,BW$13)="",10^12,OFFSET(PLE!$G$15,$M69-$A$15,BW$13)))</f>
        <v>1000000000000</v>
      </c>
      <c r="BX69" s="172" cm="1">
        <f t="array" aca="1" ref="BX69" ca="1">IF(OR($D69&lt;&gt;"Serviço",AND(AUTOEVENTO="Manual",$M69=$A$15),$M69&gt;(ROW(PLE.lastrow)-ROW(PLE.firstrow))),0,
           IF(OFFSET(PLE!$G$15,$M69-$A$15,BX$13)="",10^12,OFFSET(PLE!$G$15,$M69-$A$15,BX$13)))</f>
        <v>1000000000000</v>
      </c>
      <c r="BY69" s="172" cm="1">
        <f t="array" aca="1" ref="BY69" ca="1">IF(OR($D69&lt;&gt;"Serviço",AND(AUTOEVENTO="Manual",$M69=$A$15),$M69&gt;(ROW(PLE.lastrow)-ROW(PLE.firstrow))),0,
           IF(OFFSET(PLE!$G$15,$M69-$A$15,BY$13)="",10^12,OFFSET(PLE!$G$15,$M69-$A$15,BY$13)))</f>
        <v>1000000000000</v>
      </c>
      <c r="BZ69" s="172" cm="1">
        <f t="array" aca="1" ref="BZ69" ca="1">IF(OR($D69&lt;&gt;"Serviço",AND(AUTOEVENTO="Manual",$M69=$A$15),$M69&gt;(ROW(PLE.lastrow)-ROW(PLE.firstrow))),0,
           IF(OFFSET(PLE!$G$15,$M69-$A$15,BZ$13)="",10^12,OFFSET(PLE!$G$15,$M69-$A$15,BZ$13)))</f>
        <v>1000000000000</v>
      </c>
      <c r="CA69" s="172" cm="1">
        <f t="array" aca="1" ref="CA69" ca="1">IF(OR($D69&lt;&gt;"Serviço",AND(AUTOEVENTO="Manual",$M69=$A$15),$M69&gt;(ROW(PLE.lastrow)-ROW(PLE.firstrow))),0,
           IF(OFFSET(PLE!$G$15,$M69-$A$15,CA$13)="",10^12,OFFSET(PLE!$G$15,$M69-$A$15,CA$13)))</f>
        <v>1000000000000</v>
      </c>
      <c r="CB69" s="172" cm="1">
        <f t="array" aca="1" ref="CB69" ca="1">IF(OR($D69&lt;&gt;"Serviço",AND(AUTOEVENTO="Manual",$M69=$A$15),$M69&gt;(ROW(PLE.lastrow)-ROW(PLE.firstrow))),0,
           IF(OFFSET(PLE!$G$15,$M69-$A$15,CB$13)="",10^12,OFFSET(PLE!$G$15,$M69-$A$15,CB$13)))</f>
        <v>1000000000000</v>
      </c>
      <c r="CC69" s="172" cm="1">
        <f t="array" aca="1" ref="CC69" ca="1">IF(OR($D69&lt;&gt;"Serviço",AND(AUTOEVENTO="Manual",$M69=$A$15),$M69&gt;(ROW(PLE.lastrow)-ROW(PLE.firstrow))),0,
           IF(OFFSET(PLE!$G$15,$M69-$A$15,CC$13)="",10^12,OFFSET(PLE!$G$15,$M69-$A$15,CC$13)))</f>
        <v>1000000000000</v>
      </c>
      <c r="CD69" s="172" cm="1">
        <f t="array" aca="1" ref="CD69" ca="1">IF(OR($D69&lt;&gt;"Serviço",AND(AUTOEVENTO="Manual",$M69=$A$15),$M69&gt;(ROW(PLE.lastrow)-ROW(PLE.firstrow))),0,
           IF(OFFSET(PLE!$G$15,$M69-$A$15,CD$13)="",10^12,OFFSET(PLE!$G$15,$M69-$A$15,CD$13)))</f>
        <v>1000000000000</v>
      </c>
      <c r="CE69" s="172" cm="1">
        <f t="array" aca="1" ref="CE69" ca="1">IF(OR($D69&lt;&gt;"Serviço",AND(AUTOEVENTO="Manual",$M69=$A$15),$M69&gt;(ROW(PLE.lastrow)-ROW(PLE.firstrow))),0,
           IF(OFFSET(PLE!$G$15,$M69-$A$15,CE$13)="",10^12,OFFSET(PLE!$G$15,$M69-$A$15,CE$13)))</f>
        <v>1000000000000</v>
      </c>
      <c r="CF69" s="172" cm="1">
        <f t="array" aca="1" ref="CF69" ca="1">IF(OR($D69&lt;&gt;"Serviço",AND(AUTOEVENTO="Manual",$M69=$A$15),$M69&gt;(ROW(PLE.lastrow)-ROW(PLE.firstrow))),0,
           IF(OFFSET(PLE!$G$15,$M69-$A$15,CF$13)="",10^12,OFFSET(PLE!$G$15,$M69-$A$15,CF$13)))</f>
        <v>1000000000000</v>
      </c>
      <c r="CG69" s="172" cm="1">
        <f t="array" aca="1" ref="CG69" ca="1">IF(OR($D69&lt;&gt;"Serviço",AND(AUTOEVENTO="Manual",$M69=$A$15),$M69&gt;(ROW(PLE.lastrow)-ROW(PLE.firstrow))),0,
           IF(OFFSET(PLE!$G$15,$M69-$A$15,CG$13)="",10^12,OFFSET(PLE!$G$15,$M69-$A$15,CG$13)))</f>
        <v>1000000000000</v>
      </c>
      <c r="CH69" s="172" cm="1">
        <f t="array" aca="1" ref="CH69" ca="1">IF(OR($D69&lt;&gt;"Serviço",AND(AUTOEVENTO="Manual",$M69=$A$15),$M69&gt;(ROW(PLE.lastrow)-ROW(PLE.firstrow))),0,
           IF(OFFSET(PLE!$G$15,$M69-$A$15,CH$13)="",10^12,OFFSET(PLE!$G$15,$M69-$A$15,CH$13)))</f>
        <v>1000000000000</v>
      </c>
      <c r="CI69" s="172" cm="1">
        <f t="array" aca="1" ref="CI69" ca="1">IF(OR($D69&lt;&gt;"Serviço",AND(AUTOEVENTO="Manual",$M69=$A$15),$M69&gt;(ROW(PLE.lastrow)-ROW(PLE.firstrow))),0,
           IF(OFFSET(PLE!$G$15,$M69-$A$15,CI$13)="",10^12,OFFSET(PLE!$G$15,$M69-$A$15,CI$13)))</f>
        <v>1000000000000</v>
      </c>
      <c r="CJ69" s="172" cm="1">
        <f t="array" aca="1" ref="CJ69" ca="1">IF(OR($D69&lt;&gt;"Serviço",AND(AUTOEVENTO="Manual",$M69=$A$15),$M69&gt;(ROW(PLE.lastrow)-ROW(PLE.firstrow))),0,
           IF(OFFSET(PLE!$G$15,$M69-$A$15,CJ$13)="",10^12,OFFSET(PLE!$G$15,$M69-$A$15,CJ$13)))</f>
        <v>1000000000000</v>
      </c>
      <c r="CK69" s="172" cm="1">
        <f t="array" aca="1" ref="CK69" ca="1">IF(OR($D69&lt;&gt;"Serviço",AND(AUTOEVENTO="Manual",$M69=$A$15),$M69&gt;(ROW(PLE.lastrow)-ROW(PLE.firstrow))),0,
           IF(OFFSET(PLE!$G$15,$M69-$A$15,CK$13)="",10^12,OFFSET(PLE!$G$15,$M69-$A$15,CK$13)))</f>
        <v>1000000000000</v>
      </c>
      <c r="CL69" s="172" cm="1">
        <f t="array" aca="1" ref="CL69" ca="1">IF(OR($D69&lt;&gt;"Serviço",AND(AUTOEVENTO="Manual",$M69=$A$15),$M69&gt;(ROW(PLE.lastrow)-ROW(PLE.firstrow))),0,
           IF(OFFSET(PLE!$G$15,$M69-$A$15,CL$13)="",10^12,OFFSET(PLE!$G$15,$M69-$A$15,CL$13)))</f>
        <v>1000000000000</v>
      </c>
      <c r="CM69" s="172" cm="1">
        <f t="array" aca="1" ref="CM69" ca="1">IF(OR($D69&lt;&gt;"Serviço",AND(AUTOEVENTO="Manual",$M69=$A$15),$M69&gt;(ROW(PLE.lastrow)-ROW(PLE.firstrow))),0,
           IF(OFFSET(PLE!$G$15,$M69-$A$15,CM$13)="",10^12,OFFSET(PLE!$G$15,$M69-$A$15,CM$13)))</f>
        <v>1000000000000</v>
      </c>
    </row>
    <row r="70" spans="1:91" s="670" customFormat="1" ht="25.5" x14ac:dyDescent="0.2">
      <c r="A70" s="668">
        <f t="shared" ca="1" si="10"/>
        <v>19</v>
      </c>
      <c r="B70" s="668" t="str">
        <f ca="1">OFFSET(ORÇAMENTO!C$15,$L70,0)</f>
        <v>S</v>
      </c>
      <c r="C70" s="668" t="str">
        <f ca="1">OFFSET(ORÇAMENTO!L$15,$L70,0)</f>
        <v>F</v>
      </c>
      <c r="D70" s="116" t="str">
        <f ca="1">OFFSET(ORÇAMENTO!N$15,$L70,0)</f>
        <v>Serviço</v>
      </c>
      <c r="E70" s="117" t="str">
        <f ca="1">OFFSET(ORÇAMENTO!O$15,$L70,0)</f>
        <v>1.9.6.</v>
      </c>
      <c r="F70" s="163" t="str">
        <f ca="1">OFFSET(ORÇAMENTO!R$15,$L70,0)</f>
        <v>FLANGE AVULSO EM FERRO FUNDIDO, CLASSE PN-10, DN= 200MM- fornecimento e assentamento</v>
      </c>
      <c r="G70" s="164" t="str">
        <f ca="1">IF($D70&lt;&gt;"Serviço","",OFFSET(ORÇAMENTO!S$15,$L70,0))</f>
        <v>UNIDADE</v>
      </c>
      <c r="H70" s="122" cm="1">
        <f t="array" aca="1" ref="H70" ca="1">IF($D70&lt;&gt;"Serviço",0,IF(ACOMPANHAMENTO="BM",ROUND(OFFSET(ORÇAMENTO!AJ$15,$L70,0),15-13*ORÇAMENTO!$AF$7),IF(IFERROR(CÁLCULO.FrentesPreenchidas,0)=0,0,SUM(ROUND(OFFSET($P70,0,1,1,CÁLCULO.FrentesPreenchidas),15-13*ORÇAMENTO!$AF$7)))))</f>
        <v>50</v>
      </c>
      <c r="I70" s="468" t="s">
        <v>1157</v>
      </c>
      <c r="J70" s="651" t="str" cm="1">
        <f t="array" aca="1" ref="J70" ca="1">IF(OR(B70&lt;&gt;"S",CÁLCULO.FrentesPreenchidas=0),"",IF(AND(ACOMPANHAMENTO="PLE",AUTOEVENTO="Manual",OR(H70&gt;0,ORÇAMENTO!AC70="QUANT."),OR(K70="",M70=0,N70="")),"►E",IF(AND(ACOMPANHAMENTO="PLE",ORÇAMENTO!AC70="QUANT."),"►Q",IF(AND(ACOMPANHAMENTO="PLE",H70&lt;&gt;SUMPRODUCT(($Q$1:$AI$1=1)*ROUND(Q70:AI70,15))),"►S",IF(AND(COUNTIF($P$11:$AI$11,"▼")=0,H70&gt;0,I70=""),"◄M","")))))</f>
        <v/>
      </c>
      <c r="K70" s="652" t="s">
        <v>1350</v>
      </c>
      <c r="L70" s="165">
        <f t="shared" ca="1" si="11"/>
        <v>55</v>
      </c>
      <c r="M70" s="166">
        <f ca="1">IF($D70&lt;&gt;"Serviço","",
          IF(AUTOEVENTO="manual",$A70,
                IF(ISERROR(MATCH($A70,$A$15:OFFSET($A70,-1,0),0)),MAX($M$15:OFFSET(M70,-1,0))+1,
                      INDEX($M$15:OFFSET(M70,-1,0),MATCH($A70,$A$15:OFFSET($A70,-1,0),0)))))</f>
        <v>19</v>
      </c>
      <c r="N70" s="167" t="str">
        <f ca="1">IF($D70&lt;&gt;"Serviço","",
         IF(AUTOEVENTO="Manual",
                IF($A70=0,"&lt;-- defina o número do agrupador",
                       OFFSET(EVENTOS!$D$15,$A70-$A$15,0)),
                OFFSET($F$15,$A70,0)))</f>
        <v>Rede de água - assentamento de tubos</v>
      </c>
      <c r="O70" s="168"/>
      <c r="Q70" s="168"/>
      <c r="R70" s="169"/>
      <c r="S70" s="169"/>
      <c r="T70" s="169"/>
      <c r="U70" s="169">
        <v>50</v>
      </c>
      <c r="V70" s="169"/>
      <c r="W70" s="169"/>
      <c r="X70" s="169"/>
      <c r="Y70" s="169"/>
      <c r="Z70" s="170"/>
      <c r="AA70" s="705"/>
      <c r="AB70" s="705"/>
      <c r="AC70" s="705"/>
      <c r="AD70" s="705"/>
      <c r="AE70" s="705"/>
      <c r="AF70" s="705"/>
      <c r="AG70" s="705"/>
      <c r="AH70" s="706"/>
      <c r="AJ70" s="453">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3">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L70" s="453">
        <f ca="1">IF(AND($D70="Serviço",AL$12&lt;&gt;0,$H70&gt;0,OR(AUTOEVENTO&lt;&gt;"manual",$M70&lt;&gt;$A$15)),
        IF(Import.TipoArredondamento&lt;&gt;"TransfereGOV",
              ROUND(OFFSET($P70,0,AL$13),15-13*ORÇAMENTO!$AF$7)/$H70*OFFSET(ORÇAMENTO!$X$15,ROW(AL70)-ROW(AL$15),0),
              ROUND(ROUND(OFFSET($P70,0,AL$13),15-13*ORÇAMENTO!$AF$7)*OFFSET(ORÇAMENTO!$W$15,ROW(AL70)-ROW(AL$15),0),15-13*ORÇAMENTO!$AF$11)),
         0)</f>
        <v>0</v>
      </c>
      <c r="AM70" s="453">
        <f ca="1">IF(AND($D70="Serviço",AM$12&lt;&gt;0,$H70&gt;0,OR(AUTOEVENTO&lt;&gt;"manual",$M70&lt;&gt;$A$15)),
        IF(Import.TipoArredondamento&lt;&gt;"TransfereGOV",
              ROUND(OFFSET($P70,0,AM$13),15-13*ORÇAMENTO!$AF$7)/$H70*OFFSET(ORÇAMENTO!$X$15,ROW(AM70)-ROW(AM$15),0),
              ROUND(ROUND(OFFSET($P70,0,AM$13),15-13*ORÇAMENTO!$AF$7)*OFFSET(ORÇAMENTO!$W$15,ROW(AM70)-ROW(AM$15),0),15-13*ORÇAMENTO!$AF$11)),
         0)</f>
        <v>0</v>
      </c>
      <c r="AN70" s="453">
        <f ca="1">IF(AND($D70="Serviço",AN$12&lt;&gt;0,$H70&gt;0,OR(AUTOEVENTO&lt;&gt;"manual",$M70&lt;&gt;$A$15)),
        IF(Import.TipoArredondamento&lt;&gt;"TransfereGOV",
              ROUND(OFFSET($P70,0,AN$13),15-13*ORÇAMENTO!$AF$7)/$H70*OFFSET(ORÇAMENTO!$X$15,ROW(AN70)-ROW(AN$15),0),
              ROUND(ROUND(OFFSET($P70,0,AN$13),15-13*ORÇAMENTO!$AF$7)*OFFSET(ORÇAMENTO!$W$15,ROW(AN70)-ROW(AN$15),0),15-13*ORÇAMENTO!$AF$11)),
         0)</f>
        <v>25629</v>
      </c>
      <c r="AO70" s="453">
        <f ca="1">IF(AND($D70="Serviço",AO$12&lt;&gt;0,$H70&gt;0,OR(AUTOEVENTO&lt;&gt;"manual",$M70&lt;&gt;$A$15)),
        IF(Import.TipoArredondamento&lt;&gt;"TransfereGOV",
              ROUND(OFFSET($P70,0,AO$13),15-13*ORÇAMENTO!$AF$7)/$H70*OFFSET(ORÇAMENTO!$X$15,ROW(AO70)-ROW(AO$15),0),
              ROUND(ROUND(OFFSET($P70,0,AO$13),15-13*ORÇAMENTO!$AF$7)*OFFSET(ORÇAMENTO!$W$15,ROW(AO70)-ROW(AO$15),0),15-13*ORÇAMENTO!$AF$11)),
         0)</f>
        <v>0</v>
      </c>
      <c r="AP70" s="453">
        <f ca="1">IF(AND($D70="Serviço",AP$12&lt;&gt;0,$H70&gt;0,OR(AUTOEVENTO&lt;&gt;"manual",$M70&lt;&gt;$A$15)),
        IF(Import.TipoArredondamento&lt;&gt;"TransfereGOV",
              ROUND(OFFSET($P70,0,AP$13),15-13*ORÇAMENTO!$AF$7)/$H70*OFFSET(ORÇAMENTO!$X$15,ROW(AP70)-ROW(AP$15),0),
              ROUND(ROUND(OFFSET($P70,0,AP$13),15-13*ORÇAMENTO!$AF$7)*OFFSET(ORÇAMENTO!$W$15,ROW(AP70)-ROW(AP$15),0),15-13*ORÇAMENTO!$AF$11)),
         0)</f>
        <v>0</v>
      </c>
      <c r="AQ70" s="453">
        <f ca="1">IF(AND($D70="Serviço",AQ$12&lt;&gt;0,$H70&gt;0,OR(AUTOEVENTO&lt;&gt;"manual",$M70&lt;&gt;$A$15)),
        IF(Import.TipoArredondamento&lt;&gt;"TransfereGOV",
              ROUND(OFFSET($P70,0,AQ$13),15-13*ORÇAMENTO!$AF$7)/$H70*OFFSET(ORÇAMENTO!$X$15,ROW(AQ70)-ROW(AQ$15),0),
              ROUND(ROUND(OFFSET($P70,0,AQ$13),15-13*ORÇAMENTO!$AF$7)*OFFSET(ORÇAMENTO!$W$15,ROW(AQ70)-ROW(AQ$15),0),15-13*ORÇAMENTO!$AF$11)),
         0)</f>
        <v>0</v>
      </c>
      <c r="AR70" s="453">
        <f ca="1">IF(AND($D70="Serviço",AR$12&lt;&gt;0,$H70&gt;0,OR(AUTOEVENTO&lt;&gt;"manual",$M70&lt;&gt;$A$15)),
        IF(Import.TipoArredondamento&lt;&gt;"TransfereGOV",
              ROUND(OFFSET($P70,0,AR$13),15-13*ORÇAMENTO!$AF$7)/$H70*OFFSET(ORÇAMENTO!$X$15,ROW(AR70)-ROW(AR$15),0),
              ROUND(ROUND(OFFSET($P70,0,AR$13),15-13*ORÇAMENTO!$AF$7)*OFFSET(ORÇAMENTO!$W$15,ROW(AR70)-ROW(AR$15),0),15-13*ORÇAMENTO!$AF$11)),
         0)</f>
        <v>0</v>
      </c>
      <c r="AS70" s="453">
        <f ca="1">IF(AND($D70="Serviço",AS$12&lt;&gt;0,$H70&gt;0,OR(AUTOEVENTO&lt;&gt;"manual",$M70&lt;&gt;$A$15)),
        IF(Import.TipoArredondamento&lt;&gt;"TransfereGOV",
              ROUND(OFFSET($P70,0,AS$13),15-13*ORÇAMENTO!$AF$7)/$H70*OFFSET(ORÇAMENTO!$X$15,ROW(AS70)-ROW(AS$15),0),
              ROUND(ROUND(OFFSET($P70,0,AS$13),15-13*ORÇAMENTO!$AF$7)*OFFSET(ORÇAMENTO!$W$15,ROW(AS70)-ROW(AS$15),0),15-13*ORÇAMENTO!$AF$11)),
         0)</f>
        <v>0</v>
      </c>
      <c r="AT70" s="453">
        <f ca="1">IF(AND($D70="Serviço",AT$12&lt;&gt;0,$H70&gt;0,OR(AUTOEVENTO&lt;&gt;"manual",$M70&lt;&gt;$A$15)),
        IF(Import.TipoArredondamento&lt;&gt;"TransfereGOV",
              ROUND(OFFSET($P70,0,AT$13),15-13*ORÇAMENTO!$AF$7)/$H70*OFFSET(ORÇAMENTO!$X$15,ROW(AT70)-ROW(AT$15),0),
              ROUND(ROUND(OFFSET($P70,0,AT$13),15-13*ORÇAMENTO!$AF$7)*OFFSET(ORÇAMENTO!$W$15,ROW(AT70)-ROW(AT$15),0),15-13*ORÇAMENTO!$AF$11)),
         0)</f>
        <v>0</v>
      </c>
      <c r="AU70" s="453">
        <f ca="1">IF(AND($D70="Serviço",AU$12&lt;&gt;0,$H70&gt;0,OR(AUTOEVENTO&lt;&gt;"manual",$M70&lt;&gt;$A$15)),
        IF(Import.TipoArredondamento&lt;&gt;"TransfereGOV",
              ROUND(OFFSET($P70,0,AU$13),15-13*ORÇAMENTO!$AF$7)/$H70*OFFSET(ORÇAMENTO!$X$15,ROW(AU70)-ROW(AU$15),0),
              ROUND(ROUND(OFFSET($P70,0,AU$13),15-13*ORÇAMENTO!$AF$7)*OFFSET(ORÇAMENTO!$W$15,ROW(AU70)-ROW(AU$15),0),15-13*ORÇAMENTO!$AF$11)),
         0)</f>
        <v>0</v>
      </c>
      <c r="AV70" s="453">
        <f ca="1">IF(AND($D70="Serviço",AV$12&lt;&gt;0,$H70&gt;0,OR(AUTOEVENTO&lt;&gt;"manual",$M70&lt;&gt;$A$15)),
        IF(Import.TipoArredondamento&lt;&gt;"TransfereGOV",
              ROUND(OFFSET($P70,0,AV$13),15-13*ORÇAMENTO!$AF$7)/$H70*OFFSET(ORÇAMENTO!$X$15,ROW(AV70)-ROW(AV$15),0),
              ROUND(ROUND(OFFSET($P70,0,AV$13),15-13*ORÇAMENTO!$AF$7)*OFFSET(ORÇAMENTO!$W$15,ROW(AV70)-ROW(AV$15),0),15-13*ORÇAMENTO!$AF$11)),
         0)</f>
        <v>0</v>
      </c>
      <c r="AW70" s="453">
        <f ca="1">IF(AND($D70="Serviço",AW$12&lt;&gt;0,$H70&gt;0,OR(AUTOEVENTO&lt;&gt;"manual",$M70&lt;&gt;$A$15)),
        IF(Import.TipoArredondamento&lt;&gt;"TransfereGOV",
              ROUND(OFFSET($P70,0,AW$13),15-13*ORÇAMENTO!$AF$7)/$H70*OFFSET(ORÇAMENTO!$X$15,ROW(AW70)-ROW(AW$15),0),
              ROUND(ROUND(OFFSET($P70,0,AW$13),15-13*ORÇAMENTO!$AF$7)*OFFSET(ORÇAMENTO!$W$15,ROW(AW70)-ROW(AW$15),0),15-13*ORÇAMENTO!$AF$11)),
         0)</f>
        <v>0</v>
      </c>
      <c r="AX70" s="453">
        <f ca="1">IF(AND($D70="Serviço",AX$12&lt;&gt;0,$H70&gt;0,OR(AUTOEVENTO&lt;&gt;"manual",$M70&lt;&gt;$A$15)),
        IF(Import.TipoArredondamento&lt;&gt;"TransfereGOV",
              ROUND(OFFSET($P70,0,AX$13),15-13*ORÇAMENTO!$AF$7)/$H70*OFFSET(ORÇAMENTO!$X$15,ROW(AX70)-ROW(AX$15),0),
              ROUND(ROUND(OFFSET($P70,0,AX$13),15-13*ORÇAMENTO!$AF$7)*OFFSET(ORÇAMENTO!$W$15,ROW(AX70)-ROW(AX$15),0),15-13*ORÇAMENTO!$AF$11)),
         0)</f>
        <v>0</v>
      </c>
      <c r="AY70" s="453">
        <f ca="1">IF(AND($D70="Serviço",AY$12&lt;&gt;0,$H70&gt;0,OR(AUTOEVENTO&lt;&gt;"manual",$M70&lt;&gt;$A$15)),
        IF(Import.TipoArredondamento&lt;&gt;"TransfereGOV",
              ROUND(OFFSET($P70,0,AY$13),15-13*ORÇAMENTO!$AF$7)/$H70*OFFSET(ORÇAMENTO!$X$15,ROW(AY70)-ROW(AY$15),0),
              ROUND(ROUND(OFFSET($P70,0,AY$13),15-13*ORÇAMENTO!$AF$7)*OFFSET(ORÇAMENTO!$W$15,ROW(AY70)-ROW(AY$15),0),15-13*ORÇAMENTO!$AF$11)),
         0)</f>
        <v>0</v>
      </c>
      <c r="AZ70" s="453">
        <f ca="1">IF(AND($D70="Serviço",AZ$12&lt;&gt;0,$H70&gt;0,OR(AUTOEVENTO&lt;&gt;"manual",$M70&lt;&gt;$A$15)),
        IF(Import.TipoArredondamento&lt;&gt;"TransfereGOV",
              ROUND(OFFSET($P70,0,AZ$13),15-13*ORÇAMENTO!$AF$7)/$H70*OFFSET(ORÇAMENTO!$X$15,ROW(AZ70)-ROW(AZ$15),0),
              ROUND(ROUND(OFFSET($P70,0,AZ$13),15-13*ORÇAMENTO!$AF$7)*OFFSET(ORÇAMENTO!$W$15,ROW(AZ70)-ROW(AZ$15),0),15-13*ORÇAMENTO!$AF$11)),
         0)</f>
        <v>0</v>
      </c>
      <c r="BA70" s="453">
        <f ca="1">IF(AND($D70="Serviço",BA$12&lt;&gt;0,$H70&gt;0,OR(AUTOEVENTO&lt;&gt;"manual",$M70&lt;&gt;$A$15)),
        IF(Import.TipoArredondamento&lt;&gt;"TransfereGOV",
              ROUND(OFFSET($P70,0,BA$13),15-13*ORÇAMENTO!$AF$7)/$H70*OFFSET(ORÇAMENTO!$X$15,ROW(BA70)-ROW(BA$15),0),
              ROUND(ROUND(OFFSET($P70,0,BA$13),15-13*ORÇAMENTO!$AF$7)*OFFSET(ORÇAMENTO!$W$15,ROW(BA70)-ROW(BA$15),0),15-13*ORÇAMENTO!$AF$11)),
         0)</f>
        <v>0</v>
      </c>
      <c r="BC70" s="171">
        <f ca="1">IF(OR($D70&lt;&gt;"Serviço",AND(AUTOEVENTO="Manual",$M70=$A$15)),0,
         IF(OFFSET(CRONOPLE!$F$15,$M70-$A$15,BC$13)=0,10^12,OFFSET(CRONOPLE!$F$15,$M70-$A$15,BC$13)))</f>
        <v>1000000000000</v>
      </c>
      <c r="BD70" s="171">
        <f ca="1">IF(OR($D70&lt;&gt;"Serviço",AND(AUTOEVENTO="Manual",$M70=$A$15)),0,
         IF(OFFSET(CRONOPLE!$F$15,$M70-$A$15,BD$13)=0,10^12,OFFSET(CRONOPLE!$F$15,$M70-$A$15,BD$13)))</f>
        <v>1000000000000</v>
      </c>
      <c r="BE70" s="171">
        <f ca="1">IF(OR($D70&lt;&gt;"Serviço",AND(AUTOEVENTO="Manual",$M70=$A$15)),0,
         IF(OFFSET(CRONOPLE!$F$15,$M70-$A$15,BE$13)=0,10^12,OFFSET(CRONOPLE!$F$15,$M70-$A$15,BE$13)))</f>
        <v>1000000000000</v>
      </c>
      <c r="BF70" s="171">
        <f ca="1">IF(OR($D70&lt;&gt;"Serviço",AND(AUTOEVENTO="Manual",$M70=$A$15)),0,
         IF(OFFSET(CRONOPLE!$F$15,$M70-$A$15,BF$13)=0,10^12,OFFSET(CRONOPLE!$F$15,$M70-$A$15,BF$13)))</f>
        <v>1000000000000</v>
      </c>
      <c r="BG70" s="171">
        <f ca="1">IF(OR($D70&lt;&gt;"Serviço",AND(AUTOEVENTO="Manual",$M70=$A$15)),0,
         IF(OFFSET(CRONOPLE!$F$15,$M70-$A$15,BG$13)=0,10^12,OFFSET(CRONOPLE!$F$15,$M70-$A$15,BG$13)))</f>
        <v>7</v>
      </c>
      <c r="BH70" s="171">
        <f ca="1">IF(OR($D70&lt;&gt;"Serviço",AND(AUTOEVENTO="Manual",$M70=$A$15)),0,
         IF(OFFSET(CRONOPLE!$F$15,$M70-$A$15,BH$13)=0,10^12,OFFSET(CRONOPLE!$F$15,$M70-$A$15,BH$13)))</f>
        <v>1000000000000</v>
      </c>
      <c r="BI70" s="171">
        <f ca="1">IF(OR($D70&lt;&gt;"Serviço",AND(AUTOEVENTO="Manual",$M70=$A$15)),0,
         IF(OFFSET(CRONOPLE!$F$15,$M70-$A$15,BI$13)=0,10^12,OFFSET(CRONOPLE!$F$15,$M70-$A$15,BI$13)))</f>
        <v>1000000000000</v>
      </c>
      <c r="BJ70" s="171">
        <f ca="1">IF(OR($D70&lt;&gt;"Serviço",AND(AUTOEVENTO="Manual",$M70=$A$15)),0,
         IF(OFFSET(CRONOPLE!$F$15,$M70-$A$15,BJ$13)=0,10^12,OFFSET(CRONOPLE!$F$15,$M70-$A$15,BJ$13)))</f>
        <v>1000000000000</v>
      </c>
      <c r="BK70" s="171">
        <f ca="1">IF(OR($D70&lt;&gt;"Serviço",AND(AUTOEVENTO="Manual",$M70=$A$15)),0,
         IF(OFFSET(CRONOPLE!$F$15,$M70-$A$15,BK$13)=0,10^12,OFFSET(CRONOPLE!$F$15,$M70-$A$15,BK$13)))</f>
        <v>1000000000000</v>
      </c>
      <c r="BL70" s="171">
        <f ca="1">IF(OR($D70&lt;&gt;"Serviço",AND(AUTOEVENTO="Manual",$M70=$A$15)),0,
         IF(OFFSET(CRONOPLE!$F$15,$M70-$A$15,BL$13)=0,10^12,OFFSET(CRONOPLE!$F$15,$M70-$A$15,BL$13)))</f>
        <v>1000000000000</v>
      </c>
      <c r="BM70" s="171">
        <f ca="1">IF(OR($D70&lt;&gt;"Serviço",AND(AUTOEVENTO="Manual",$M70=$A$15)),0,
         IF(OFFSET(CRONOPLE!$F$15,$M70-$A$15,BM$13)=0,10^12,OFFSET(CRONOPLE!$F$15,$M70-$A$15,BM$13)))</f>
        <v>1000000000000</v>
      </c>
      <c r="BN70" s="171">
        <f ca="1">IF(OR($D70&lt;&gt;"Serviço",AND(AUTOEVENTO="Manual",$M70=$A$15)),0,
         IF(OFFSET(CRONOPLE!$F$15,$M70-$A$15,BN$13)=0,10^12,OFFSET(CRONOPLE!$F$15,$M70-$A$15,BN$13)))</f>
        <v>1000000000000</v>
      </c>
      <c r="BO70" s="171">
        <f ca="1">IF(OR($D70&lt;&gt;"Serviço",AND(AUTOEVENTO="Manual",$M70=$A$15)),0,
         IF(OFFSET(CRONOPLE!$F$15,$M70-$A$15,BO$13)=0,10^12,OFFSET(CRONOPLE!$F$15,$M70-$A$15,BO$13)))</f>
        <v>1000000000000</v>
      </c>
      <c r="BP70" s="171">
        <f ca="1">IF(OR($D70&lt;&gt;"Serviço",AND(AUTOEVENTO="Manual",$M70=$A$15)),0,
         IF(OFFSET(CRONOPLE!$F$15,$M70-$A$15,BP$13)=0,10^12,OFFSET(CRONOPLE!$F$15,$M70-$A$15,BP$13)))</f>
        <v>1000000000000</v>
      </c>
      <c r="BQ70" s="171">
        <f ca="1">IF(OR($D70&lt;&gt;"Serviço",AND(AUTOEVENTO="Manual",$M70=$A$15)),0,
         IF(OFFSET(CRONOPLE!$F$15,$M70-$A$15,BQ$13)=0,10^12,OFFSET(CRONOPLE!$F$15,$M70-$A$15,BQ$13)))</f>
        <v>1000000000000</v>
      </c>
      <c r="BR70" s="171">
        <f ca="1">IF(OR($D70&lt;&gt;"Serviço",AND(AUTOEVENTO="Manual",$M70=$A$15)),0,
         IF(OFFSET(CRONOPLE!$F$15,$M70-$A$15,BR$13)=0,10^12,OFFSET(CRONOPLE!$F$15,$M70-$A$15,BR$13)))</f>
        <v>1000000000000</v>
      </c>
      <c r="BS70" s="171">
        <f ca="1">IF(OR($D70&lt;&gt;"Serviço",AND(AUTOEVENTO="Manual",$M70=$A$15)),0,
         IF(OFFSET(CRONOPLE!$F$15,$M70-$A$15,BS$13)=0,10^12,OFFSET(CRONOPLE!$F$15,$M70-$A$15,BS$13)))</f>
        <v>1000000000000</v>
      </c>
      <c r="BT70" s="171">
        <f ca="1">IF(OR($D70&lt;&gt;"Serviço",AND(AUTOEVENTO="Manual",$M70=$A$15)),0,
         IF(OFFSET(CRONOPLE!$F$15,$M70-$A$15,BT$13)=0,10^12,OFFSET(CRONOPLE!$F$15,$M70-$A$15,BT$13)))</f>
        <v>1000000000000</v>
      </c>
      <c r="BV70" s="172" cm="1">
        <f t="array" aca="1" ref="BV70" ca="1">IF(OR($D70&lt;&gt;"Serviço",AND(AUTOEVENTO="Manual",$M70=$A$15),$M70&gt;(ROW(PLE.lastrow)-ROW(PLE.firstrow))),0,
           IF(OFFSET(PLE!$G$15,$M70-$A$15,BV$13)="",10^12,OFFSET(PLE!$G$15,$M70-$A$15,BV$13)))</f>
        <v>1000000000000</v>
      </c>
      <c r="BW70" s="172" cm="1">
        <f t="array" aca="1" ref="BW70" ca="1">IF(OR($D70&lt;&gt;"Serviço",AND(AUTOEVENTO="Manual",$M70=$A$15),$M70&gt;(ROW(PLE.lastrow)-ROW(PLE.firstrow))),0,
           IF(OFFSET(PLE!$G$15,$M70-$A$15,BW$13)="",10^12,OFFSET(PLE!$G$15,$M70-$A$15,BW$13)))</f>
        <v>1000000000000</v>
      </c>
      <c r="BX70" s="172" cm="1">
        <f t="array" aca="1" ref="BX70" ca="1">IF(OR($D70&lt;&gt;"Serviço",AND(AUTOEVENTO="Manual",$M70=$A$15),$M70&gt;(ROW(PLE.lastrow)-ROW(PLE.firstrow))),0,
           IF(OFFSET(PLE!$G$15,$M70-$A$15,BX$13)="",10^12,OFFSET(PLE!$G$15,$M70-$A$15,BX$13)))</f>
        <v>1000000000000</v>
      </c>
      <c r="BY70" s="172" cm="1">
        <f t="array" aca="1" ref="BY70" ca="1">IF(OR($D70&lt;&gt;"Serviço",AND(AUTOEVENTO="Manual",$M70=$A$15),$M70&gt;(ROW(PLE.lastrow)-ROW(PLE.firstrow))),0,
           IF(OFFSET(PLE!$G$15,$M70-$A$15,BY$13)="",10^12,OFFSET(PLE!$G$15,$M70-$A$15,BY$13)))</f>
        <v>1000000000000</v>
      </c>
      <c r="BZ70" s="172" cm="1">
        <f t="array" aca="1" ref="BZ70" ca="1">IF(OR($D70&lt;&gt;"Serviço",AND(AUTOEVENTO="Manual",$M70=$A$15),$M70&gt;(ROW(PLE.lastrow)-ROW(PLE.firstrow))),0,
           IF(OFFSET(PLE!$G$15,$M70-$A$15,BZ$13)="",10^12,OFFSET(PLE!$G$15,$M70-$A$15,BZ$13)))</f>
        <v>1000000000000</v>
      </c>
      <c r="CA70" s="172" cm="1">
        <f t="array" aca="1" ref="CA70" ca="1">IF(OR($D70&lt;&gt;"Serviço",AND(AUTOEVENTO="Manual",$M70=$A$15),$M70&gt;(ROW(PLE.lastrow)-ROW(PLE.firstrow))),0,
           IF(OFFSET(PLE!$G$15,$M70-$A$15,CA$13)="",10^12,OFFSET(PLE!$G$15,$M70-$A$15,CA$13)))</f>
        <v>1000000000000</v>
      </c>
      <c r="CB70" s="172" cm="1">
        <f t="array" aca="1" ref="CB70" ca="1">IF(OR($D70&lt;&gt;"Serviço",AND(AUTOEVENTO="Manual",$M70=$A$15),$M70&gt;(ROW(PLE.lastrow)-ROW(PLE.firstrow))),0,
           IF(OFFSET(PLE!$G$15,$M70-$A$15,CB$13)="",10^12,OFFSET(PLE!$G$15,$M70-$A$15,CB$13)))</f>
        <v>1000000000000</v>
      </c>
      <c r="CC70" s="172" cm="1">
        <f t="array" aca="1" ref="CC70" ca="1">IF(OR($D70&lt;&gt;"Serviço",AND(AUTOEVENTO="Manual",$M70=$A$15),$M70&gt;(ROW(PLE.lastrow)-ROW(PLE.firstrow))),0,
           IF(OFFSET(PLE!$G$15,$M70-$A$15,CC$13)="",10^12,OFFSET(PLE!$G$15,$M70-$A$15,CC$13)))</f>
        <v>1000000000000</v>
      </c>
      <c r="CD70" s="172" cm="1">
        <f t="array" aca="1" ref="CD70" ca="1">IF(OR($D70&lt;&gt;"Serviço",AND(AUTOEVENTO="Manual",$M70=$A$15),$M70&gt;(ROW(PLE.lastrow)-ROW(PLE.firstrow))),0,
           IF(OFFSET(PLE!$G$15,$M70-$A$15,CD$13)="",10^12,OFFSET(PLE!$G$15,$M70-$A$15,CD$13)))</f>
        <v>1000000000000</v>
      </c>
      <c r="CE70" s="172" cm="1">
        <f t="array" aca="1" ref="CE70" ca="1">IF(OR($D70&lt;&gt;"Serviço",AND(AUTOEVENTO="Manual",$M70=$A$15),$M70&gt;(ROW(PLE.lastrow)-ROW(PLE.firstrow))),0,
           IF(OFFSET(PLE!$G$15,$M70-$A$15,CE$13)="",10^12,OFFSET(PLE!$G$15,$M70-$A$15,CE$13)))</f>
        <v>1000000000000</v>
      </c>
      <c r="CF70" s="172" cm="1">
        <f t="array" aca="1" ref="CF70" ca="1">IF(OR($D70&lt;&gt;"Serviço",AND(AUTOEVENTO="Manual",$M70=$A$15),$M70&gt;(ROW(PLE.lastrow)-ROW(PLE.firstrow))),0,
           IF(OFFSET(PLE!$G$15,$M70-$A$15,CF$13)="",10^12,OFFSET(PLE!$G$15,$M70-$A$15,CF$13)))</f>
        <v>1000000000000</v>
      </c>
      <c r="CG70" s="172" cm="1">
        <f t="array" aca="1" ref="CG70" ca="1">IF(OR($D70&lt;&gt;"Serviço",AND(AUTOEVENTO="Manual",$M70=$A$15),$M70&gt;(ROW(PLE.lastrow)-ROW(PLE.firstrow))),0,
           IF(OFFSET(PLE!$G$15,$M70-$A$15,CG$13)="",10^12,OFFSET(PLE!$G$15,$M70-$A$15,CG$13)))</f>
        <v>1000000000000</v>
      </c>
      <c r="CH70" s="172" cm="1">
        <f t="array" aca="1" ref="CH70" ca="1">IF(OR($D70&lt;&gt;"Serviço",AND(AUTOEVENTO="Manual",$M70=$A$15),$M70&gt;(ROW(PLE.lastrow)-ROW(PLE.firstrow))),0,
           IF(OFFSET(PLE!$G$15,$M70-$A$15,CH$13)="",10^12,OFFSET(PLE!$G$15,$M70-$A$15,CH$13)))</f>
        <v>1000000000000</v>
      </c>
      <c r="CI70" s="172" cm="1">
        <f t="array" aca="1" ref="CI70" ca="1">IF(OR($D70&lt;&gt;"Serviço",AND(AUTOEVENTO="Manual",$M70=$A$15),$M70&gt;(ROW(PLE.lastrow)-ROW(PLE.firstrow))),0,
           IF(OFFSET(PLE!$G$15,$M70-$A$15,CI$13)="",10^12,OFFSET(PLE!$G$15,$M70-$A$15,CI$13)))</f>
        <v>1000000000000</v>
      </c>
      <c r="CJ70" s="172" cm="1">
        <f t="array" aca="1" ref="CJ70" ca="1">IF(OR($D70&lt;&gt;"Serviço",AND(AUTOEVENTO="Manual",$M70=$A$15),$M70&gt;(ROW(PLE.lastrow)-ROW(PLE.firstrow))),0,
           IF(OFFSET(PLE!$G$15,$M70-$A$15,CJ$13)="",10^12,OFFSET(PLE!$G$15,$M70-$A$15,CJ$13)))</f>
        <v>1000000000000</v>
      </c>
      <c r="CK70" s="172" cm="1">
        <f t="array" aca="1" ref="CK70" ca="1">IF(OR($D70&lt;&gt;"Serviço",AND(AUTOEVENTO="Manual",$M70=$A$15),$M70&gt;(ROW(PLE.lastrow)-ROW(PLE.firstrow))),0,
           IF(OFFSET(PLE!$G$15,$M70-$A$15,CK$13)="",10^12,OFFSET(PLE!$G$15,$M70-$A$15,CK$13)))</f>
        <v>1000000000000</v>
      </c>
      <c r="CL70" s="172" cm="1">
        <f t="array" aca="1" ref="CL70" ca="1">IF(OR($D70&lt;&gt;"Serviço",AND(AUTOEVENTO="Manual",$M70=$A$15),$M70&gt;(ROW(PLE.lastrow)-ROW(PLE.firstrow))),0,
           IF(OFFSET(PLE!$G$15,$M70-$A$15,CL$13)="",10^12,OFFSET(PLE!$G$15,$M70-$A$15,CL$13)))</f>
        <v>1000000000000</v>
      </c>
      <c r="CM70" s="172" cm="1">
        <f t="array" aca="1" ref="CM70" ca="1">IF(OR($D70&lt;&gt;"Serviço",AND(AUTOEVENTO="Manual",$M70=$A$15),$M70&gt;(ROW(PLE.lastrow)-ROW(PLE.firstrow))),0,
           IF(OFFSET(PLE!$G$15,$M70-$A$15,CM$13)="",10^12,OFFSET(PLE!$G$15,$M70-$A$15,CM$13)))</f>
        <v>1000000000000</v>
      </c>
    </row>
    <row r="71" spans="1:91" s="670" customFormat="1" ht="25.5" x14ac:dyDescent="0.2">
      <c r="A71" s="668">
        <f t="shared" ca="1" si="10"/>
        <v>19</v>
      </c>
      <c r="B71" s="668" t="str">
        <f ca="1">OFFSET(ORÇAMENTO!C$15,$L71,0)</f>
        <v>S</v>
      </c>
      <c r="C71" s="668" t="str">
        <f ca="1">OFFSET(ORÇAMENTO!L$15,$L71,0)</f>
        <v>F</v>
      </c>
      <c r="D71" s="116" t="str">
        <f ca="1">OFFSET(ORÇAMENTO!N$15,$L71,0)</f>
        <v>Serviço</v>
      </c>
      <c r="E71" s="117" t="str">
        <f ca="1">OFFSET(ORÇAMENTO!O$15,$L71,0)</f>
        <v>1.9.7.</v>
      </c>
      <c r="F71" s="163" t="str">
        <f ca="1">OFFSET(ORÇAMENTO!R$15,$L71,0)</f>
        <v>REGISTRO DE GAVETA FF: 200MM - fornecimento e assentamento</v>
      </c>
      <c r="G71" s="164" t="str">
        <f ca="1">IF($D71&lt;&gt;"Serviço","",OFFSET(ORÇAMENTO!S$15,$L71,0))</f>
        <v>UNIDADE</v>
      </c>
      <c r="H71" s="122" cm="1">
        <f t="array" aca="1" ref="H71" ca="1">IF($D71&lt;&gt;"Serviço",0,IF(ACOMPANHAMENTO="BM",ROUND(OFFSET(ORÇAMENTO!AJ$15,$L71,0),15-13*ORÇAMENTO!$AF$7),IF(IFERROR(CÁLCULO.FrentesPreenchidas,0)=0,0,SUM(ROUND(OFFSET($P71,0,1,1,CÁLCULO.FrentesPreenchidas),15-13*ORÇAMENTO!$AF$7)))))</f>
        <v>7</v>
      </c>
      <c r="I71" s="679" t="s">
        <v>1158</v>
      </c>
      <c r="J71" s="651" t="str" cm="1">
        <f t="array" aca="1" ref="J71" ca="1">IF(OR(B71&lt;&gt;"S",CÁLCULO.FrentesPreenchidas=0),"",IF(AND(ACOMPANHAMENTO="PLE",AUTOEVENTO="Manual",OR(H71&gt;0,ORÇAMENTO!AC71="QUANT."),OR(K71="",M71=0,N71="")),"►E",IF(AND(ACOMPANHAMENTO="PLE",ORÇAMENTO!AC71="QUANT."),"►Q",IF(AND(ACOMPANHAMENTO="PLE",H71&lt;&gt;SUMPRODUCT(($Q$1:$AI$1=1)*ROUND(Q71:AI71,15))),"►S",IF(AND(COUNTIF($P$11:$AI$11,"▼")=0,H71&gt;0,I71=""),"◄M","")))))</f>
        <v/>
      </c>
      <c r="K71" s="652" t="s">
        <v>1350</v>
      </c>
      <c r="L71" s="165">
        <f t="shared" ca="1" si="11"/>
        <v>56</v>
      </c>
      <c r="M71" s="166">
        <f ca="1">IF($D71&lt;&gt;"Serviço","",
          IF(AUTOEVENTO="manual",$A71,
                IF(ISERROR(MATCH($A71,$A$15:OFFSET($A71,-1,0),0)),MAX($M$15:OFFSET(M71,-1,0))+1,
                      INDEX($M$15:OFFSET(M71,-1,0),MATCH($A71,$A$15:OFFSET($A71,-1,0),0)))))</f>
        <v>19</v>
      </c>
      <c r="N71" s="167" t="str">
        <f ca="1">IF($D71&lt;&gt;"Serviço","",
         IF(AUTOEVENTO="Manual",
                IF($A71=0,"&lt;-- defina o número do agrupador",
                       OFFSET(EVENTOS!$D$15,$A71-$A$15,0)),
                OFFSET($F$15,$A71,0)))</f>
        <v>Rede de água - assentamento de tubos</v>
      </c>
      <c r="O71" s="168"/>
      <c r="Q71" s="168"/>
      <c r="R71" s="169"/>
      <c r="S71" s="169"/>
      <c r="T71" s="169"/>
      <c r="U71" s="169">
        <v>7</v>
      </c>
      <c r="V71" s="169"/>
      <c r="W71" s="169"/>
      <c r="X71" s="169"/>
      <c r="Y71" s="169"/>
      <c r="Z71" s="170"/>
      <c r="AA71" s="705"/>
      <c r="AB71" s="705"/>
      <c r="AC71" s="705"/>
      <c r="AD71" s="705"/>
      <c r="AE71" s="705"/>
      <c r="AF71" s="705"/>
      <c r="AG71" s="705"/>
      <c r="AH71" s="706"/>
      <c r="AJ71" s="453">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3">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L71" s="453">
        <f ca="1">IF(AND($D71="Serviço",AL$12&lt;&gt;0,$H71&gt;0,OR(AUTOEVENTO&lt;&gt;"manual",$M71&lt;&gt;$A$15)),
        IF(Import.TipoArredondamento&lt;&gt;"TransfereGOV",
              ROUND(OFFSET($P71,0,AL$13),15-13*ORÇAMENTO!$AF$7)/$H71*OFFSET(ORÇAMENTO!$X$15,ROW(AL71)-ROW(AL$15),0),
              ROUND(ROUND(OFFSET($P71,0,AL$13),15-13*ORÇAMENTO!$AF$7)*OFFSET(ORÇAMENTO!$W$15,ROW(AL71)-ROW(AL$15),0),15-13*ORÇAMENTO!$AF$11)),
         0)</f>
        <v>0</v>
      </c>
      <c r="AM71" s="453">
        <f ca="1">IF(AND($D71="Serviço",AM$12&lt;&gt;0,$H71&gt;0,OR(AUTOEVENTO&lt;&gt;"manual",$M71&lt;&gt;$A$15)),
        IF(Import.TipoArredondamento&lt;&gt;"TransfereGOV",
              ROUND(OFFSET($P71,0,AM$13),15-13*ORÇAMENTO!$AF$7)/$H71*OFFSET(ORÇAMENTO!$X$15,ROW(AM71)-ROW(AM$15),0),
              ROUND(ROUND(OFFSET($P71,0,AM$13),15-13*ORÇAMENTO!$AF$7)*OFFSET(ORÇAMENTO!$W$15,ROW(AM71)-ROW(AM$15),0),15-13*ORÇAMENTO!$AF$11)),
         0)</f>
        <v>0</v>
      </c>
      <c r="AN71" s="453">
        <f ca="1">IF(AND($D71="Serviço",AN$12&lt;&gt;0,$H71&gt;0,OR(AUTOEVENTO&lt;&gt;"manual",$M71&lt;&gt;$A$15)),
        IF(Import.TipoArredondamento&lt;&gt;"TransfereGOV",
              ROUND(OFFSET($P71,0,AN$13),15-13*ORÇAMENTO!$AF$7)/$H71*OFFSET(ORÇAMENTO!$X$15,ROW(AN71)-ROW(AN$15),0),
              ROUND(ROUND(OFFSET($P71,0,AN$13),15-13*ORÇAMENTO!$AF$7)*OFFSET(ORÇAMENTO!$W$15,ROW(AN71)-ROW(AN$15),0),15-13*ORÇAMENTO!$AF$11)),
         0)</f>
        <v>30307.759999999998</v>
      </c>
      <c r="AO71" s="453">
        <f ca="1">IF(AND($D71="Serviço",AO$12&lt;&gt;0,$H71&gt;0,OR(AUTOEVENTO&lt;&gt;"manual",$M71&lt;&gt;$A$15)),
        IF(Import.TipoArredondamento&lt;&gt;"TransfereGOV",
              ROUND(OFFSET($P71,0,AO$13),15-13*ORÇAMENTO!$AF$7)/$H71*OFFSET(ORÇAMENTO!$X$15,ROW(AO71)-ROW(AO$15),0),
              ROUND(ROUND(OFFSET($P71,0,AO$13),15-13*ORÇAMENTO!$AF$7)*OFFSET(ORÇAMENTO!$W$15,ROW(AO71)-ROW(AO$15),0),15-13*ORÇAMENTO!$AF$11)),
         0)</f>
        <v>0</v>
      </c>
      <c r="AP71" s="453">
        <f ca="1">IF(AND($D71="Serviço",AP$12&lt;&gt;0,$H71&gt;0,OR(AUTOEVENTO&lt;&gt;"manual",$M71&lt;&gt;$A$15)),
        IF(Import.TipoArredondamento&lt;&gt;"TransfereGOV",
              ROUND(OFFSET($P71,0,AP$13),15-13*ORÇAMENTO!$AF$7)/$H71*OFFSET(ORÇAMENTO!$X$15,ROW(AP71)-ROW(AP$15),0),
              ROUND(ROUND(OFFSET($P71,0,AP$13),15-13*ORÇAMENTO!$AF$7)*OFFSET(ORÇAMENTO!$W$15,ROW(AP71)-ROW(AP$15),0),15-13*ORÇAMENTO!$AF$11)),
         0)</f>
        <v>0</v>
      </c>
      <c r="AQ71" s="453">
        <f ca="1">IF(AND($D71="Serviço",AQ$12&lt;&gt;0,$H71&gt;0,OR(AUTOEVENTO&lt;&gt;"manual",$M71&lt;&gt;$A$15)),
        IF(Import.TipoArredondamento&lt;&gt;"TransfereGOV",
              ROUND(OFFSET($P71,0,AQ$13),15-13*ORÇAMENTO!$AF$7)/$H71*OFFSET(ORÇAMENTO!$X$15,ROW(AQ71)-ROW(AQ$15),0),
              ROUND(ROUND(OFFSET($P71,0,AQ$13),15-13*ORÇAMENTO!$AF$7)*OFFSET(ORÇAMENTO!$W$15,ROW(AQ71)-ROW(AQ$15),0),15-13*ORÇAMENTO!$AF$11)),
         0)</f>
        <v>0</v>
      </c>
      <c r="AR71" s="453">
        <f ca="1">IF(AND($D71="Serviço",AR$12&lt;&gt;0,$H71&gt;0,OR(AUTOEVENTO&lt;&gt;"manual",$M71&lt;&gt;$A$15)),
        IF(Import.TipoArredondamento&lt;&gt;"TransfereGOV",
              ROUND(OFFSET($P71,0,AR$13),15-13*ORÇAMENTO!$AF$7)/$H71*OFFSET(ORÇAMENTO!$X$15,ROW(AR71)-ROW(AR$15),0),
              ROUND(ROUND(OFFSET($P71,0,AR$13),15-13*ORÇAMENTO!$AF$7)*OFFSET(ORÇAMENTO!$W$15,ROW(AR71)-ROW(AR$15),0),15-13*ORÇAMENTO!$AF$11)),
         0)</f>
        <v>0</v>
      </c>
      <c r="AS71" s="453">
        <f ca="1">IF(AND($D71="Serviço",AS$12&lt;&gt;0,$H71&gt;0,OR(AUTOEVENTO&lt;&gt;"manual",$M71&lt;&gt;$A$15)),
        IF(Import.TipoArredondamento&lt;&gt;"TransfereGOV",
              ROUND(OFFSET($P71,0,AS$13),15-13*ORÇAMENTO!$AF$7)/$H71*OFFSET(ORÇAMENTO!$X$15,ROW(AS71)-ROW(AS$15),0),
              ROUND(ROUND(OFFSET($P71,0,AS$13),15-13*ORÇAMENTO!$AF$7)*OFFSET(ORÇAMENTO!$W$15,ROW(AS71)-ROW(AS$15),0),15-13*ORÇAMENTO!$AF$11)),
         0)</f>
        <v>0</v>
      </c>
      <c r="AT71" s="453">
        <f ca="1">IF(AND($D71="Serviço",AT$12&lt;&gt;0,$H71&gt;0,OR(AUTOEVENTO&lt;&gt;"manual",$M71&lt;&gt;$A$15)),
        IF(Import.TipoArredondamento&lt;&gt;"TransfereGOV",
              ROUND(OFFSET($P71,0,AT$13),15-13*ORÇAMENTO!$AF$7)/$H71*OFFSET(ORÇAMENTO!$X$15,ROW(AT71)-ROW(AT$15),0),
              ROUND(ROUND(OFFSET($P71,0,AT$13),15-13*ORÇAMENTO!$AF$7)*OFFSET(ORÇAMENTO!$W$15,ROW(AT71)-ROW(AT$15),0),15-13*ORÇAMENTO!$AF$11)),
         0)</f>
        <v>0</v>
      </c>
      <c r="AU71" s="453">
        <f ca="1">IF(AND($D71="Serviço",AU$12&lt;&gt;0,$H71&gt;0,OR(AUTOEVENTO&lt;&gt;"manual",$M71&lt;&gt;$A$15)),
        IF(Import.TipoArredondamento&lt;&gt;"TransfereGOV",
              ROUND(OFFSET($P71,0,AU$13),15-13*ORÇAMENTO!$AF$7)/$H71*OFFSET(ORÇAMENTO!$X$15,ROW(AU71)-ROW(AU$15),0),
              ROUND(ROUND(OFFSET($P71,0,AU$13),15-13*ORÇAMENTO!$AF$7)*OFFSET(ORÇAMENTO!$W$15,ROW(AU71)-ROW(AU$15),0),15-13*ORÇAMENTO!$AF$11)),
         0)</f>
        <v>0</v>
      </c>
      <c r="AV71" s="453">
        <f ca="1">IF(AND($D71="Serviço",AV$12&lt;&gt;0,$H71&gt;0,OR(AUTOEVENTO&lt;&gt;"manual",$M71&lt;&gt;$A$15)),
        IF(Import.TipoArredondamento&lt;&gt;"TransfereGOV",
              ROUND(OFFSET($P71,0,AV$13),15-13*ORÇAMENTO!$AF$7)/$H71*OFFSET(ORÇAMENTO!$X$15,ROW(AV71)-ROW(AV$15),0),
              ROUND(ROUND(OFFSET($P71,0,AV$13),15-13*ORÇAMENTO!$AF$7)*OFFSET(ORÇAMENTO!$W$15,ROW(AV71)-ROW(AV$15),0),15-13*ORÇAMENTO!$AF$11)),
         0)</f>
        <v>0</v>
      </c>
      <c r="AW71" s="453">
        <f ca="1">IF(AND($D71="Serviço",AW$12&lt;&gt;0,$H71&gt;0,OR(AUTOEVENTO&lt;&gt;"manual",$M71&lt;&gt;$A$15)),
        IF(Import.TipoArredondamento&lt;&gt;"TransfereGOV",
              ROUND(OFFSET($P71,0,AW$13),15-13*ORÇAMENTO!$AF$7)/$H71*OFFSET(ORÇAMENTO!$X$15,ROW(AW71)-ROW(AW$15),0),
              ROUND(ROUND(OFFSET($P71,0,AW$13),15-13*ORÇAMENTO!$AF$7)*OFFSET(ORÇAMENTO!$W$15,ROW(AW71)-ROW(AW$15),0),15-13*ORÇAMENTO!$AF$11)),
         0)</f>
        <v>0</v>
      </c>
      <c r="AX71" s="453">
        <f ca="1">IF(AND($D71="Serviço",AX$12&lt;&gt;0,$H71&gt;0,OR(AUTOEVENTO&lt;&gt;"manual",$M71&lt;&gt;$A$15)),
        IF(Import.TipoArredondamento&lt;&gt;"TransfereGOV",
              ROUND(OFFSET($P71,0,AX$13),15-13*ORÇAMENTO!$AF$7)/$H71*OFFSET(ORÇAMENTO!$X$15,ROW(AX71)-ROW(AX$15),0),
              ROUND(ROUND(OFFSET($P71,0,AX$13),15-13*ORÇAMENTO!$AF$7)*OFFSET(ORÇAMENTO!$W$15,ROW(AX71)-ROW(AX$15),0),15-13*ORÇAMENTO!$AF$11)),
         0)</f>
        <v>0</v>
      </c>
      <c r="AY71" s="453">
        <f ca="1">IF(AND($D71="Serviço",AY$12&lt;&gt;0,$H71&gt;0,OR(AUTOEVENTO&lt;&gt;"manual",$M71&lt;&gt;$A$15)),
        IF(Import.TipoArredondamento&lt;&gt;"TransfereGOV",
              ROUND(OFFSET($P71,0,AY$13),15-13*ORÇAMENTO!$AF$7)/$H71*OFFSET(ORÇAMENTO!$X$15,ROW(AY71)-ROW(AY$15),0),
              ROUND(ROUND(OFFSET($P71,0,AY$13),15-13*ORÇAMENTO!$AF$7)*OFFSET(ORÇAMENTO!$W$15,ROW(AY71)-ROW(AY$15),0),15-13*ORÇAMENTO!$AF$11)),
         0)</f>
        <v>0</v>
      </c>
      <c r="AZ71" s="453">
        <f ca="1">IF(AND($D71="Serviço",AZ$12&lt;&gt;0,$H71&gt;0,OR(AUTOEVENTO&lt;&gt;"manual",$M71&lt;&gt;$A$15)),
        IF(Import.TipoArredondamento&lt;&gt;"TransfereGOV",
              ROUND(OFFSET($P71,0,AZ$13),15-13*ORÇAMENTO!$AF$7)/$H71*OFFSET(ORÇAMENTO!$X$15,ROW(AZ71)-ROW(AZ$15),0),
              ROUND(ROUND(OFFSET($P71,0,AZ$13),15-13*ORÇAMENTO!$AF$7)*OFFSET(ORÇAMENTO!$W$15,ROW(AZ71)-ROW(AZ$15),0),15-13*ORÇAMENTO!$AF$11)),
         0)</f>
        <v>0</v>
      </c>
      <c r="BA71" s="453">
        <f ca="1">IF(AND($D71="Serviço",BA$12&lt;&gt;0,$H71&gt;0,OR(AUTOEVENTO&lt;&gt;"manual",$M71&lt;&gt;$A$15)),
        IF(Import.TipoArredondamento&lt;&gt;"TransfereGOV",
              ROUND(OFFSET($P71,0,BA$13),15-13*ORÇAMENTO!$AF$7)/$H71*OFFSET(ORÇAMENTO!$X$15,ROW(BA71)-ROW(BA$15),0),
              ROUND(ROUND(OFFSET($P71,0,BA$13),15-13*ORÇAMENTO!$AF$7)*OFFSET(ORÇAMENTO!$W$15,ROW(BA71)-ROW(BA$15),0),15-13*ORÇAMENTO!$AF$11)),
         0)</f>
        <v>0</v>
      </c>
      <c r="BC71" s="171">
        <f ca="1">IF(OR($D71&lt;&gt;"Serviço",AND(AUTOEVENTO="Manual",$M71=$A$15)),0,
         IF(OFFSET(CRONOPLE!$F$15,$M71-$A$15,BC$13)=0,10^12,OFFSET(CRONOPLE!$F$15,$M71-$A$15,BC$13)))</f>
        <v>1000000000000</v>
      </c>
      <c r="BD71" s="171">
        <f ca="1">IF(OR($D71&lt;&gt;"Serviço",AND(AUTOEVENTO="Manual",$M71=$A$15)),0,
         IF(OFFSET(CRONOPLE!$F$15,$M71-$A$15,BD$13)=0,10^12,OFFSET(CRONOPLE!$F$15,$M71-$A$15,BD$13)))</f>
        <v>1000000000000</v>
      </c>
      <c r="BE71" s="171">
        <f ca="1">IF(OR($D71&lt;&gt;"Serviço",AND(AUTOEVENTO="Manual",$M71=$A$15)),0,
         IF(OFFSET(CRONOPLE!$F$15,$M71-$A$15,BE$13)=0,10^12,OFFSET(CRONOPLE!$F$15,$M71-$A$15,BE$13)))</f>
        <v>1000000000000</v>
      </c>
      <c r="BF71" s="171">
        <f ca="1">IF(OR($D71&lt;&gt;"Serviço",AND(AUTOEVENTO="Manual",$M71=$A$15)),0,
         IF(OFFSET(CRONOPLE!$F$15,$M71-$A$15,BF$13)=0,10^12,OFFSET(CRONOPLE!$F$15,$M71-$A$15,BF$13)))</f>
        <v>1000000000000</v>
      </c>
      <c r="BG71" s="171">
        <f ca="1">IF(OR($D71&lt;&gt;"Serviço",AND(AUTOEVENTO="Manual",$M71=$A$15)),0,
         IF(OFFSET(CRONOPLE!$F$15,$M71-$A$15,BG$13)=0,10^12,OFFSET(CRONOPLE!$F$15,$M71-$A$15,BG$13)))</f>
        <v>7</v>
      </c>
      <c r="BH71" s="171">
        <f ca="1">IF(OR($D71&lt;&gt;"Serviço",AND(AUTOEVENTO="Manual",$M71=$A$15)),0,
         IF(OFFSET(CRONOPLE!$F$15,$M71-$A$15,BH$13)=0,10^12,OFFSET(CRONOPLE!$F$15,$M71-$A$15,BH$13)))</f>
        <v>1000000000000</v>
      </c>
      <c r="BI71" s="171">
        <f ca="1">IF(OR($D71&lt;&gt;"Serviço",AND(AUTOEVENTO="Manual",$M71=$A$15)),0,
         IF(OFFSET(CRONOPLE!$F$15,$M71-$A$15,BI$13)=0,10^12,OFFSET(CRONOPLE!$F$15,$M71-$A$15,BI$13)))</f>
        <v>1000000000000</v>
      </c>
      <c r="BJ71" s="171">
        <f ca="1">IF(OR($D71&lt;&gt;"Serviço",AND(AUTOEVENTO="Manual",$M71=$A$15)),0,
         IF(OFFSET(CRONOPLE!$F$15,$M71-$A$15,BJ$13)=0,10^12,OFFSET(CRONOPLE!$F$15,$M71-$A$15,BJ$13)))</f>
        <v>1000000000000</v>
      </c>
      <c r="BK71" s="171">
        <f ca="1">IF(OR($D71&lt;&gt;"Serviço",AND(AUTOEVENTO="Manual",$M71=$A$15)),0,
         IF(OFFSET(CRONOPLE!$F$15,$M71-$A$15,BK$13)=0,10^12,OFFSET(CRONOPLE!$F$15,$M71-$A$15,BK$13)))</f>
        <v>1000000000000</v>
      </c>
      <c r="BL71" s="171">
        <f ca="1">IF(OR($D71&lt;&gt;"Serviço",AND(AUTOEVENTO="Manual",$M71=$A$15)),0,
         IF(OFFSET(CRONOPLE!$F$15,$M71-$A$15,BL$13)=0,10^12,OFFSET(CRONOPLE!$F$15,$M71-$A$15,BL$13)))</f>
        <v>1000000000000</v>
      </c>
      <c r="BM71" s="171">
        <f ca="1">IF(OR($D71&lt;&gt;"Serviço",AND(AUTOEVENTO="Manual",$M71=$A$15)),0,
         IF(OFFSET(CRONOPLE!$F$15,$M71-$A$15,BM$13)=0,10^12,OFFSET(CRONOPLE!$F$15,$M71-$A$15,BM$13)))</f>
        <v>1000000000000</v>
      </c>
      <c r="BN71" s="171">
        <f ca="1">IF(OR($D71&lt;&gt;"Serviço",AND(AUTOEVENTO="Manual",$M71=$A$15)),0,
         IF(OFFSET(CRONOPLE!$F$15,$M71-$A$15,BN$13)=0,10^12,OFFSET(CRONOPLE!$F$15,$M71-$A$15,BN$13)))</f>
        <v>1000000000000</v>
      </c>
      <c r="BO71" s="171">
        <f ca="1">IF(OR($D71&lt;&gt;"Serviço",AND(AUTOEVENTO="Manual",$M71=$A$15)),0,
         IF(OFFSET(CRONOPLE!$F$15,$M71-$A$15,BO$13)=0,10^12,OFFSET(CRONOPLE!$F$15,$M71-$A$15,BO$13)))</f>
        <v>1000000000000</v>
      </c>
      <c r="BP71" s="171">
        <f ca="1">IF(OR($D71&lt;&gt;"Serviço",AND(AUTOEVENTO="Manual",$M71=$A$15)),0,
         IF(OFFSET(CRONOPLE!$F$15,$M71-$A$15,BP$13)=0,10^12,OFFSET(CRONOPLE!$F$15,$M71-$A$15,BP$13)))</f>
        <v>1000000000000</v>
      </c>
      <c r="BQ71" s="171">
        <f ca="1">IF(OR($D71&lt;&gt;"Serviço",AND(AUTOEVENTO="Manual",$M71=$A$15)),0,
         IF(OFFSET(CRONOPLE!$F$15,$M71-$A$15,BQ$13)=0,10^12,OFFSET(CRONOPLE!$F$15,$M71-$A$15,BQ$13)))</f>
        <v>1000000000000</v>
      </c>
      <c r="BR71" s="171">
        <f ca="1">IF(OR($D71&lt;&gt;"Serviço",AND(AUTOEVENTO="Manual",$M71=$A$15)),0,
         IF(OFFSET(CRONOPLE!$F$15,$M71-$A$15,BR$13)=0,10^12,OFFSET(CRONOPLE!$F$15,$M71-$A$15,BR$13)))</f>
        <v>1000000000000</v>
      </c>
      <c r="BS71" s="171">
        <f ca="1">IF(OR($D71&lt;&gt;"Serviço",AND(AUTOEVENTO="Manual",$M71=$A$15)),0,
         IF(OFFSET(CRONOPLE!$F$15,$M71-$A$15,BS$13)=0,10^12,OFFSET(CRONOPLE!$F$15,$M71-$A$15,BS$13)))</f>
        <v>1000000000000</v>
      </c>
      <c r="BT71" s="171">
        <f ca="1">IF(OR($D71&lt;&gt;"Serviço",AND(AUTOEVENTO="Manual",$M71=$A$15)),0,
         IF(OFFSET(CRONOPLE!$F$15,$M71-$A$15,BT$13)=0,10^12,OFFSET(CRONOPLE!$F$15,$M71-$A$15,BT$13)))</f>
        <v>1000000000000</v>
      </c>
      <c r="BV71" s="172" cm="1">
        <f t="array" aca="1" ref="BV71" ca="1">IF(OR($D71&lt;&gt;"Serviço",AND(AUTOEVENTO="Manual",$M71=$A$15),$M71&gt;(ROW(PLE.lastrow)-ROW(PLE.firstrow))),0,
           IF(OFFSET(PLE!$G$15,$M71-$A$15,BV$13)="",10^12,OFFSET(PLE!$G$15,$M71-$A$15,BV$13)))</f>
        <v>1000000000000</v>
      </c>
      <c r="BW71" s="172" cm="1">
        <f t="array" aca="1" ref="BW71" ca="1">IF(OR($D71&lt;&gt;"Serviço",AND(AUTOEVENTO="Manual",$M71=$A$15),$M71&gt;(ROW(PLE.lastrow)-ROW(PLE.firstrow))),0,
           IF(OFFSET(PLE!$G$15,$M71-$A$15,BW$13)="",10^12,OFFSET(PLE!$G$15,$M71-$A$15,BW$13)))</f>
        <v>1000000000000</v>
      </c>
      <c r="BX71" s="172" cm="1">
        <f t="array" aca="1" ref="BX71" ca="1">IF(OR($D71&lt;&gt;"Serviço",AND(AUTOEVENTO="Manual",$M71=$A$15),$M71&gt;(ROW(PLE.lastrow)-ROW(PLE.firstrow))),0,
           IF(OFFSET(PLE!$G$15,$M71-$A$15,BX$13)="",10^12,OFFSET(PLE!$G$15,$M71-$A$15,BX$13)))</f>
        <v>1000000000000</v>
      </c>
      <c r="BY71" s="172" cm="1">
        <f t="array" aca="1" ref="BY71" ca="1">IF(OR($D71&lt;&gt;"Serviço",AND(AUTOEVENTO="Manual",$M71=$A$15),$M71&gt;(ROW(PLE.lastrow)-ROW(PLE.firstrow))),0,
           IF(OFFSET(PLE!$G$15,$M71-$A$15,BY$13)="",10^12,OFFSET(PLE!$G$15,$M71-$A$15,BY$13)))</f>
        <v>1000000000000</v>
      </c>
      <c r="BZ71" s="172" cm="1">
        <f t="array" aca="1" ref="BZ71" ca="1">IF(OR($D71&lt;&gt;"Serviço",AND(AUTOEVENTO="Manual",$M71=$A$15),$M71&gt;(ROW(PLE.lastrow)-ROW(PLE.firstrow))),0,
           IF(OFFSET(PLE!$G$15,$M71-$A$15,BZ$13)="",10^12,OFFSET(PLE!$G$15,$M71-$A$15,BZ$13)))</f>
        <v>1000000000000</v>
      </c>
      <c r="CA71" s="172" cm="1">
        <f t="array" aca="1" ref="CA71" ca="1">IF(OR($D71&lt;&gt;"Serviço",AND(AUTOEVENTO="Manual",$M71=$A$15),$M71&gt;(ROW(PLE.lastrow)-ROW(PLE.firstrow))),0,
           IF(OFFSET(PLE!$G$15,$M71-$A$15,CA$13)="",10^12,OFFSET(PLE!$G$15,$M71-$A$15,CA$13)))</f>
        <v>1000000000000</v>
      </c>
      <c r="CB71" s="172" cm="1">
        <f t="array" aca="1" ref="CB71" ca="1">IF(OR($D71&lt;&gt;"Serviço",AND(AUTOEVENTO="Manual",$M71=$A$15),$M71&gt;(ROW(PLE.lastrow)-ROW(PLE.firstrow))),0,
           IF(OFFSET(PLE!$G$15,$M71-$A$15,CB$13)="",10^12,OFFSET(PLE!$G$15,$M71-$A$15,CB$13)))</f>
        <v>1000000000000</v>
      </c>
      <c r="CC71" s="172" cm="1">
        <f t="array" aca="1" ref="CC71" ca="1">IF(OR($D71&lt;&gt;"Serviço",AND(AUTOEVENTO="Manual",$M71=$A$15),$M71&gt;(ROW(PLE.lastrow)-ROW(PLE.firstrow))),0,
           IF(OFFSET(PLE!$G$15,$M71-$A$15,CC$13)="",10^12,OFFSET(PLE!$G$15,$M71-$A$15,CC$13)))</f>
        <v>1000000000000</v>
      </c>
      <c r="CD71" s="172" cm="1">
        <f t="array" aca="1" ref="CD71" ca="1">IF(OR($D71&lt;&gt;"Serviço",AND(AUTOEVENTO="Manual",$M71=$A$15),$M71&gt;(ROW(PLE.lastrow)-ROW(PLE.firstrow))),0,
           IF(OFFSET(PLE!$G$15,$M71-$A$15,CD$13)="",10^12,OFFSET(PLE!$G$15,$M71-$A$15,CD$13)))</f>
        <v>1000000000000</v>
      </c>
      <c r="CE71" s="172" cm="1">
        <f t="array" aca="1" ref="CE71" ca="1">IF(OR($D71&lt;&gt;"Serviço",AND(AUTOEVENTO="Manual",$M71=$A$15),$M71&gt;(ROW(PLE.lastrow)-ROW(PLE.firstrow))),0,
           IF(OFFSET(PLE!$G$15,$M71-$A$15,CE$13)="",10^12,OFFSET(PLE!$G$15,$M71-$A$15,CE$13)))</f>
        <v>1000000000000</v>
      </c>
      <c r="CF71" s="172" cm="1">
        <f t="array" aca="1" ref="CF71" ca="1">IF(OR($D71&lt;&gt;"Serviço",AND(AUTOEVENTO="Manual",$M71=$A$15),$M71&gt;(ROW(PLE.lastrow)-ROW(PLE.firstrow))),0,
           IF(OFFSET(PLE!$G$15,$M71-$A$15,CF$13)="",10^12,OFFSET(PLE!$G$15,$M71-$A$15,CF$13)))</f>
        <v>1000000000000</v>
      </c>
      <c r="CG71" s="172" cm="1">
        <f t="array" aca="1" ref="CG71" ca="1">IF(OR($D71&lt;&gt;"Serviço",AND(AUTOEVENTO="Manual",$M71=$A$15),$M71&gt;(ROW(PLE.lastrow)-ROW(PLE.firstrow))),0,
           IF(OFFSET(PLE!$G$15,$M71-$A$15,CG$13)="",10^12,OFFSET(PLE!$G$15,$M71-$A$15,CG$13)))</f>
        <v>1000000000000</v>
      </c>
      <c r="CH71" s="172" cm="1">
        <f t="array" aca="1" ref="CH71" ca="1">IF(OR($D71&lt;&gt;"Serviço",AND(AUTOEVENTO="Manual",$M71=$A$15),$M71&gt;(ROW(PLE.lastrow)-ROW(PLE.firstrow))),0,
           IF(OFFSET(PLE!$G$15,$M71-$A$15,CH$13)="",10^12,OFFSET(PLE!$G$15,$M71-$A$15,CH$13)))</f>
        <v>1000000000000</v>
      </c>
      <c r="CI71" s="172" cm="1">
        <f t="array" aca="1" ref="CI71" ca="1">IF(OR($D71&lt;&gt;"Serviço",AND(AUTOEVENTO="Manual",$M71=$A$15),$M71&gt;(ROW(PLE.lastrow)-ROW(PLE.firstrow))),0,
           IF(OFFSET(PLE!$G$15,$M71-$A$15,CI$13)="",10^12,OFFSET(PLE!$G$15,$M71-$A$15,CI$13)))</f>
        <v>1000000000000</v>
      </c>
      <c r="CJ71" s="172" cm="1">
        <f t="array" aca="1" ref="CJ71" ca="1">IF(OR($D71&lt;&gt;"Serviço",AND(AUTOEVENTO="Manual",$M71=$A$15),$M71&gt;(ROW(PLE.lastrow)-ROW(PLE.firstrow))),0,
           IF(OFFSET(PLE!$G$15,$M71-$A$15,CJ$13)="",10^12,OFFSET(PLE!$G$15,$M71-$A$15,CJ$13)))</f>
        <v>1000000000000</v>
      </c>
      <c r="CK71" s="172" cm="1">
        <f t="array" aca="1" ref="CK71" ca="1">IF(OR($D71&lt;&gt;"Serviço",AND(AUTOEVENTO="Manual",$M71=$A$15),$M71&gt;(ROW(PLE.lastrow)-ROW(PLE.firstrow))),0,
           IF(OFFSET(PLE!$G$15,$M71-$A$15,CK$13)="",10^12,OFFSET(PLE!$G$15,$M71-$A$15,CK$13)))</f>
        <v>1000000000000</v>
      </c>
      <c r="CL71" s="172" cm="1">
        <f t="array" aca="1" ref="CL71" ca="1">IF(OR($D71&lt;&gt;"Serviço",AND(AUTOEVENTO="Manual",$M71=$A$15),$M71&gt;(ROW(PLE.lastrow)-ROW(PLE.firstrow))),0,
           IF(OFFSET(PLE!$G$15,$M71-$A$15,CL$13)="",10^12,OFFSET(PLE!$G$15,$M71-$A$15,CL$13)))</f>
        <v>1000000000000</v>
      </c>
      <c r="CM71" s="172" cm="1">
        <f t="array" aca="1" ref="CM71" ca="1">IF(OR($D71&lt;&gt;"Serviço",AND(AUTOEVENTO="Manual",$M71=$A$15),$M71&gt;(ROW(PLE.lastrow)-ROW(PLE.firstrow))),0,
           IF(OFFSET(PLE!$G$15,$M71-$A$15,CM$13)="",10^12,OFFSET(PLE!$G$15,$M71-$A$15,CM$13)))</f>
        <v>1000000000000</v>
      </c>
    </row>
    <row r="72" spans="1:91" s="670" customFormat="1" ht="38.25" x14ac:dyDescent="0.2">
      <c r="A72" s="668">
        <f t="shared" ca="1" si="10"/>
        <v>19</v>
      </c>
      <c r="B72" s="668" t="str">
        <f ca="1">OFFSET(ORÇAMENTO!C$15,$L72,0)</f>
        <v>S</v>
      </c>
      <c r="C72" s="668" t="str">
        <f ca="1">OFFSET(ORÇAMENTO!L$15,$L72,0)</f>
        <v>F</v>
      </c>
      <c r="D72" s="116" t="str">
        <f ca="1">OFFSET(ORÇAMENTO!N$15,$L72,0)</f>
        <v>Serviço</v>
      </c>
      <c r="E72" s="117" t="str">
        <f ca="1">OFFSET(ORÇAMENTO!O$15,$L72,0)</f>
        <v>1.9.8.</v>
      </c>
      <c r="F72" s="163" t="str">
        <f ca="1">OFFSET(ORÇAMENTO!R$15,$L72,0)</f>
        <v xml:space="preserve">Luva de Correr com bolsa - 200mm </v>
      </c>
      <c r="G72" s="164" t="str">
        <f ca="1">IF($D72&lt;&gt;"Serviço","",OFFSET(ORÇAMENTO!S$15,$L72,0))</f>
        <v>UNIDADE</v>
      </c>
      <c r="H72" s="122" cm="1">
        <f t="array" aca="1" ref="H72" ca="1">IF($D72&lt;&gt;"Serviço",0,IF(ACOMPANHAMENTO="BM",ROUND(OFFSET(ORÇAMENTO!AJ$15,$L72,0),15-13*ORÇAMENTO!$AF$7),IF(IFERROR(CÁLCULO.FrentesPreenchidas,0)=0,0,SUM(ROUND(OFFSET($P72,0,1,1,CÁLCULO.FrentesPreenchidas),15-13*ORÇAMENTO!$AF$7)))))</f>
        <v>8</v>
      </c>
      <c r="I72" s="679" t="s">
        <v>1159</v>
      </c>
      <c r="J72" s="651" t="str" cm="1">
        <f t="array" aca="1" ref="J72" ca="1">IF(OR(B72&lt;&gt;"S",CÁLCULO.FrentesPreenchidas=0),"",IF(AND(ACOMPANHAMENTO="PLE",AUTOEVENTO="Manual",OR(H72&gt;0,ORÇAMENTO!AC72="QUANT."),OR(K72="",M72=0,N72="")),"►E",IF(AND(ACOMPANHAMENTO="PLE",ORÇAMENTO!AC72="QUANT."),"►Q",IF(AND(ACOMPANHAMENTO="PLE",H72&lt;&gt;SUMPRODUCT(($Q$1:$AI$1=1)*ROUND(Q72:AI72,15))),"►S",IF(AND(COUNTIF($P$11:$AI$11,"▼")=0,H72&gt;0,I72=""),"◄M","")))))</f>
        <v/>
      </c>
      <c r="K72" s="652" t="s">
        <v>1350</v>
      </c>
      <c r="L72" s="165">
        <f t="shared" ca="1" si="11"/>
        <v>57</v>
      </c>
      <c r="M72" s="166">
        <f ca="1">IF($D72&lt;&gt;"Serviço","",
          IF(AUTOEVENTO="manual",$A72,
                IF(ISERROR(MATCH($A72,$A$15:OFFSET($A72,-1,0),0)),MAX($M$15:OFFSET(M72,-1,0))+1,
                      INDEX($M$15:OFFSET(M72,-1,0),MATCH($A72,$A$15:OFFSET($A72,-1,0),0)))))</f>
        <v>19</v>
      </c>
      <c r="N72" s="167" t="str">
        <f ca="1">IF($D72&lt;&gt;"Serviço","",
         IF(AUTOEVENTO="Manual",
                IF($A72=0,"&lt;-- defina o número do agrupador",
                       OFFSET(EVENTOS!$D$15,$A72-$A$15,0)),
                OFFSET($F$15,$A72,0)))</f>
        <v>Rede de água - assentamento de tubos</v>
      </c>
      <c r="O72" s="168"/>
      <c r="Q72" s="168"/>
      <c r="R72" s="169"/>
      <c r="S72" s="169"/>
      <c r="T72" s="169"/>
      <c r="U72" s="169">
        <v>8</v>
      </c>
      <c r="V72" s="169"/>
      <c r="W72" s="169"/>
      <c r="X72" s="169"/>
      <c r="Y72" s="169"/>
      <c r="Z72" s="170"/>
      <c r="AA72" s="705"/>
      <c r="AB72" s="705"/>
      <c r="AC72" s="705"/>
      <c r="AD72" s="705"/>
      <c r="AE72" s="705"/>
      <c r="AF72" s="705"/>
      <c r="AG72" s="705"/>
      <c r="AH72" s="706"/>
      <c r="AJ72" s="453">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3">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L72" s="453">
        <f ca="1">IF(AND($D72="Serviço",AL$12&lt;&gt;0,$H72&gt;0,OR(AUTOEVENTO&lt;&gt;"manual",$M72&lt;&gt;$A$15)),
        IF(Import.TipoArredondamento&lt;&gt;"TransfereGOV",
              ROUND(OFFSET($P72,0,AL$13),15-13*ORÇAMENTO!$AF$7)/$H72*OFFSET(ORÇAMENTO!$X$15,ROW(AL72)-ROW(AL$15),0),
              ROUND(ROUND(OFFSET($P72,0,AL$13),15-13*ORÇAMENTO!$AF$7)*OFFSET(ORÇAMENTO!$W$15,ROW(AL72)-ROW(AL$15),0),15-13*ORÇAMENTO!$AF$11)),
         0)</f>
        <v>0</v>
      </c>
      <c r="AM72" s="453">
        <f ca="1">IF(AND($D72="Serviço",AM$12&lt;&gt;0,$H72&gt;0,OR(AUTOEVENTO&lt;&gt;"manual",$M72&lt;&gt;$A$15)),
        IF(Import.TipoArredondamento&lt;&gt;"TransfereGOV",
              ROUND(OFFSET($P72,0,AM$13),15-13*ORÇAMENTO!$AF$7)/$H72*OFFSET(ORÇAMENTO!$X$15,ROW(AM72)-ROW(AM$15),0),
              ROUND(ROUND(OFFSET($P72,0,AM$13),15-13*ORÇAMENTO!$AF$7)*OFFSET(ORÇAMENTO!$W$15,ROW(AM72)-ROW(AM$15),0),15-13*ORÇAMENTO!$AF$11)),
         0)</f>
        <v>0</v>
      </c>
      <c r="AN72" s="453">
        <f ca="1">IF(AND($D72="Serviço",AN$12&lt;&gt;0,$H72&gt;0,OR(AUTOEVENTO&lt;&gt;"manual",$M72&lt;&gt;$A$15)),
        IF(Import.TipoArredondamento&lt;&gt;"TransfereGOV",
              ROUND(OFFSET($P72,0,AN$13),15-13*ORÇAMENTO!$AF$7)/$H72*OFFSET(ORÇAMENTO!$X$15,ROW(AN72)-ROW(AN$15),0),
              ROUND(ROUND(OFFSET($P72,0,AN$13),15-13*ORÇAMENTO!$AF$7)*OFFSET(ORÇAMENTO!$W$15,ROW(AN72)-ROW(AN$15),0),15-13*ORÇAMENTO!$AF$11)),
         0)</f>
        <v>1582.24</v>
      </c>
      <c r="AO72" s="453">
        <f ca="1">IF(AND($D72="Serviço",AO$12&lt;&gt;0,$H72&gt;0,OR(AUTOEVENTO&lt;&gt;"manual",$M72&lt;&gt;$A$15)),
        IF(Import.TipoArredondamento&lt;&gt;"TransfereGOV",
              ROUND(OFFSET($P72,0,AO$13),15-13*ORÇAMENTO!$AF$7)/$H72*OFFSET(ORÇAMENTO!$X$15,ROW(AO72)-ROW(AO$15),0),
              ROUND(ROUND(OFFSET($P72,0,AO$13),15-13*ORÇAMENTO!$AF$7)*OFFSET(ORÇAMENTO!$W$15,ROW(AO72)-ROW(AO$15),0),15-13*ORÇAMENTO!$AF$11)),
         0)</f>
        <v>0</v>
      </c>
      <c r="AP72" s="453">
        <f ca="1">IF(AND($D72="Serviço",AP$12&lt;&gt;0,$H72&gt;0,OR(AUTOEVENTO&lt;&gt;"manual",$M72&lt;&gt;$A$15)),
        IF(Import.TipoArredondamento&lt;&gt;"TransfereGOV",
              ROUND(OFFSET($P72,0,AP$13),15-13*ORÇAMENTO!$AF$7)/$H72*OFFSET(ORÇAMENTO!$X$15,ROW(AP72)-ROW(AP$15),0),
              ROUND(ROUND(OFFSET($P72,0,AP$13),15-13*ORÇAMENTO!$AF$7)*OFFSET(ORÇAMENTO!$W$15,ROW(AP72)-ROW(AP$15),0),15-13*ORÇAMENTO!$AF$11)),
         0)</f>
        <v>0</v>
      </c>
      <c r="AQ72" s="453">
        <f ca="1">IF(AND($D72="Serviço",AQ$12&lt;&gt;0,$H72&gt;0,OR(AUTOEVENTO&lt;&gt;"manual",$M72&lt;&gt;$A$15)),
        IF(Import.TipoArredondamento&lt;&gt;"TransfereGOV",
              ROUND(OFFSET($P72,0,AQ$13),15-13*ORÇAMENTO!$AF$7)/$H72*OFFSET(ORÇAMENTO!$X$15,ROW(AQ72)-ROW(AQ$15),0),
              ROUND(ROUND(OFFSET($P72,0,AQ$13),15-13*ORÇAMENTO!$AF$7)*OFFSET(ORÇAMENTO!$W$15,ROW(AQ72)-ROW(AQ$15),0),15-13*ORÇAMENTO!$AF$11)),
         0)</f>
        <v>0</v>
      </c>
      <c r="AR72" s="453">
        <f ca="1">IF(AND($D72="Serviço",AR$12&lt;&gt;0,$H72&gt;0,OR(AUTOEVENTO&lt;&gt;"manual",$M72&lt;&gt;$A$15)),
        IF(Import.TipoArredondamento&lt;&gt;"TransfereGOV",
              ROUND(OFFSET($P72,0,AR$13),15-13*ORÇAMENTO!$AF$7)/$H72*OFFSET(ORÇAMENTO!$X$15,ROW(AR72)-ROW(AR$15),0),
              ROUND(ROUND(OFFSET($P72,0,AR$13),15-13*ORÇAMENTO!$AF$7)*OFFSET(ORÇAMENTO!$W$15,ROW(AR72)-ROW(AR$15),0),15-13*ORÇAMENTO!$AF$11)),
         0)</f>
        <v>0</v>
      </c>
      <c r="AS72" s="453">
        <f ca="1">IF(AND($D72="Serviço",AS$12&lt;&gt;0,$H72&gt;0,OR(AUTOEVENTO&lt;&gt;"manual",$M72&lt;&gt;$A$15)),
        IF(Import.TipoArredondamento&lt;&gt;"TransfereGOV",
              ROUND(OFFSET($P72,0,AS$13),15-13*ORÇAMENTO!$AF$7)/$H72*OFFSET(ORÇAMENTO!$X$15,ROW(AS72)-ROW(AS$15),0),
              ROUND(ROUND(OFFSET($P72,0,AS$13),15-13*ORÇAMENTO!$AF$7)*OFFSET(ORÇAMENTO!$W$15,ROW(AS72)-ROW(AS$15),0),15-13*ORÇAMENTO!$AF$11)),
         0)</f>
        <v>0</v>
      </c>
      <c r="AT72" s="453">
        <f ca="1">IF(AND($D72="Serviço",AT$12&lt;&gt;0,$H72&gt;0,OR(AUTOEVENTO&lt;&gt;"manual",$M72&lt;&gt;$A$15)),
        IF(Import.TipoArredondamento&lt;&gt;"TransfereGOV",
              ROUND(OFFSET($P72,0,AT$13),15-13*ORÇAMENTO!$AF$7)/$H72*OFFSET(ORÇAMENTO!$X$15,ROW(AT72)-ROW(AT$15),0),
              ROUND(ROUND(OFFSET($P72,0,AT$13),15-13*ORÇAMENTO!$AF$7)*OFFSET(ORÇAMENTO!$W$15,ROW(AT72)-ROW(AT$15),0),15-13*ORÇAMENTO!$AF$11)),
         0)</f>
        <v>0</v>
      </c>
      <c r="AU72" s="453">
        <f ca="1">IF(AND($D72="Serviço",AU$12&lt;&gt;0,$H72&gt;0,OR(AUTOEVENTO&lt;&gt;"manual",$M72&lt;&gt;$A$15)),
        IF(Import.TipoArredondamento&lt;&gt;"TransfereGOV",
              ROUND(OFFSET($P72,0,AU$13),15-13*ORÇAMENTO!$AF$7)/$H72*OFFSET(ORÇAMENTO!$X$15,ROW(AU72)-ROW(AU$15),0),
              ROUND(ROUND(OFFSET($P72,0,AU$13),15-13*ORÇAMENTO!$AF$7)*OFFSET(ORÇAMENTO!$W$15,ROW(AU72)-ROW(AU$15),0),15-13*ORÇAMENTO!$AF$11)),
         0)</f>
        <v>0</v>
      </c>
      <c r="AV72" s="453">
        <f ca="1">IF(AND($D72="Serviço",AV$12&lt;&gt;0,$H72&gt;0,OR(AUTOEVENTO&lt;&gt;"manual",$M72&lt;&gt;$A$15)),
        IF(Import.TipoArredondamento&lt;&gt;"TransfereGOV",
              ROUND(OFFSET($P72,0,AV$13),15-13*ORÇAMENTO!$AF$7)/$H72*OFFSET(ORÇAMENTO!$X$15,ROW(AV72)-ROW(AV$15),0),
              ROUND(ROUND(OFFSET($P72,0,AV$13),15-13*ORÇAMENTO!$AF$7)*OFFSET(ORÇAMENTO!$W$15,ROW(AV72)-ROW(AV$15),0),15-13*ORÇAMENTO!$AF$11)),
         0)</f>
        <v>0</v>
      </c>
      <c r="AW72" s="453">
        <f ca="1">IF(AND($D72="Serviço",AW$12&lt;&gt;0,$H72&gt;0,OR(AUTOEVENTO&lt;&gt;"manual",$M72&lt;&gt;$A$15)),
        IF(Import.TipoArredondamento&lt;&gt;"TransfereGOV",
              ROUND(OFFSET($P72,0,AW$13),15-13*ORÇAMENTO!$AF$7)/$H72*OFFSET(ORÇAMENTO!$X$15,ROW(AW72)-ROW(AW$15),0),
              ROUND(ROUND(OFFSET($P72,0,AW$13),15-13*ORÇAMENTO!$AF$7)*OFFSET(ORÇAMENTO!$W$15,ROW(AW72)-ROW(AW$15),0),15-13*ORÇAMENTO!$AF$11)),
         0)</f>
        <v>0</v>
      </c>
      <c r="AX72" s="453">
        <f ca="1">IF(AND($D72="Serviço",AX$12&lt;&gt;0,$H72&gt;0,OR(AUTOEVENTO&lt;&gt;"manual",$M72&lt;&gt;$A$15)),
        IF(Import.TipoArredondamento&lt;&gt;"TransfereGOV",
              ROUND(OFFSET($P72,0,AX$13),15-13*ORÇAMENTO!$AF$7)/$H72*OFFSET(ORÇAMENTO!$X$15,ROW(AX72)-ROW(AX$15),0),
              ROUND(ROUND(OFFSET($P72,0,AX$13),15-13*ORÇAMENTO!$AF$7)*OFFSET(ORÇAMENTO!$W$15,ROW(AX72)-ROW(AX$15),0),15-13*ORÇAMENTO!$AF$11)),
         0)</f>
        <v>0</v>
      </c>
      <c r="AY72" s="453">
        <f ca="1">IF(AND($D72="Serviço",AY$12&lt;&gt;0,$H72&gt;0,OR(AUTOEVENTO&lt;&gt;"manual",$M72&lt;&gt;$A$15)),
        IF(Import.TipoArredondamento&lt;&gt;"TransfereGOV",
              ROUND(OFFSET($P72,0,AY$13),15-13*ORÇAMENTO!$AF$7)/$H72*OFFSET(ORÇAMENTO!$X$15,ROW(AY72)-ROW(AY$15),0),
              ROUND(ROUND(OFFSET($P72,0,AY$13),15-13*ORÇAMENTO!$AF$7)*OFFSET(ORÇAMENTO!$W$15,ROW(AY72)-ROW(AY$15),0),15-13*ORÇAMENTO!$AF$11)),
         0)</f>
        <v>0</v>
      </c>
      <c r="AZ72" s="453">
        <f ca="1">IF(AND($D72="Serviço",AZ$12&lt;&gt;0,$H72&gt;0,OR(AUTOEVENTO&lt;&gt;"manual",$M72&lt;&gt;$A$15)),
        IF(Import.TipoArredondamento&lt;&gt;"TransfereGOV",
              ROUND(OFFSET($P72,0,AZ$13),15-13*ORÇAMENTO!$AF$7)/$H72*OFFSET(ORÇAMENTO!$X$15,ROW(AZ72)-ROW(AZ$15),0),
              ROUND(ROUND(OFFSET($P72,0,AZ$13),15-13*ORÇAMENTO!$AF$7)*OFFSET(ORÇAMENTO!$W$15,ROW(AZ72)-ROW(AZ$15),0),15-13*ORÇAMENTO!$AF$11)),
         0)</f>
        <v>0</v>
      </c>
      <c r="BA72" s="453">
        <f ca="1">IF(AND($D72="Serviço",BA$12&lt;&gt;0,$H72&gt;0,OR(AUTOEVENTO&lt;&gt;"manual",$M72&lt;&gt;$A$15)),
        IF(Import.TipoArredondamento&lt;&gt;"TransfereGOV",
              ROUND(OFFSET($P72,0,BA$13),15-13*ORÇAMENTO!$AF$7)/$H72*OFFSET(ORÇAMENTO!$X$15,ROW(BA72)-ROW(BA$15),0),
              ROUND(ROUND(OFFSET($P72,0,BA$13),15-13*ORÇAMENTO!$AF$7)*OFFSET(ORÇAMENTO!$W$15,ROW(BA72)-ROW(BA$15),0),15-13*ORÇAMENTO!$AF$11)),
         0)</f>
        <v>0</v>
      </c>
      <c r="BC72" s="171">
        <f ca="1">IF(OR($D72&lt;&gt;"Serviço",AND(AUTOEVENTO="Manual",$M72=$A$15)),0,
         IF(OFFSET(CRONOPLE!$F$15,$M72-$A$15,BC$13)=0,10^12,OFFSET(CRONOPLE!$F$15,$M72-$A$15,BC$13)))</f>
        <v>1000000000000</v>
      </c>
      <c r="BD72" s="171">
        <f ca="1">IF(OR($D72&lt;&gt;"Serviço",AND(AUTOEVENTO="Manual",$M72=$A$15)),0,
         IF(OFFSET(CRONOPLE!$F$15,$M72-$A$15,BD$13)=0,10^12,OFFSET(CRONOPLE!$F$15,$M72-$A$15,BD$13)))</f>
        <v>1000000000000</v>
      </c>
      <c r="BE72" s="171">
        <f ca="1">IF(OR($D72&lt;&gt;"Serviço",AND(AUTOEVENTO="Manual",$M72=$A$15)),0,
         IF(OFFSET(CRONOPLE!$F$15,$M72-$A$15,BE$13)=0,10^12,OFFSET(CRONOPLE!$F$15,$M72-$A$15,BE$13)))</f>
        <v>1000000000000</v>
      </c>
      <c r="BF72" s="171">
        <f ca="1">IF(OR($D72&lt;&gt;"Serviço",AND(AUTOEVENTO="Manual",$M72=$A$15)),0,
         IF(OFFSET(CRONOPLE!$F$15,$M72-$A$15,BF$13)=0,10^12,OFFSET(CRONOPLE!$F$15,$M72-$A$15,BF$13)))</f>
        <v>1000000000000</v>
      </c>
      <c r="BG72" s="171">
        <f ca="1">IF(OR($D72&lt;&gt;"Serviço",AND(AUTOEVENTO="Manual",$M72=$A$15)),0,
         IF(OFFSET(CRONOPLE!$F$15,$M72-$A$15,BG$13)=0,10^12,OFFSET(CRONOPLE!$F$15,$M72-$A$15,BG$13)))</f>
        <v>7</v>
      </c>
      <c r="BH72" s="171">
        <f ca="1">IF(OR($D72&lt;&gt;"Serviço",AND(AUTOEVENTO="Manual",$M72=$A$15)),0,
         IF(OFFSET(CRONOPLE!$F$15,$M72-$A$15,BH$13)=0,10^12,OFFSET(CRONOPLE!$F$15,$M72-$A$15,BH$13)))</f>
        <v>1000000000000</v>
      </c>
      <c r="BI72" s="171">
        <f ca="1">IF(OR($D72&lt;&gt;"Serviço",AND(AUTOEVENTO="Manual",$M72=$A$15)),0,
         IF(OFFSET(CRONOPLE!$F$15,$M72-$A$15,BI$13)=0,10^12,OFFSET(CRONOPLE!$F$15,$M72-$A$15,BI$13)))</f>
        <v>1000000000000</v>
      </c>
      <c r="BJ72" s="171">
        <f ca="1">IF(OR($D72&lt;&gt;"Serviço",AND(AUTOEVENTO="Manual",$M72=$A$15)),0,
         IF(OFFSET(CRONOPLE!$F$15,$M72-$A$15,BJ$13)=0,10^12,OFFSET(CRONOPLE!$F$15,$M72-$A$15,BJ$13)))</f>
        <v>1000000000000</v>
      </c>
      <c r="BK72" s="171">
        <f ca="1">IF(OR($D72&lt;&gt;"Serviço",AND(AUTOEVENTO="Manual",$M72=$A$15)),0,
         IF(OFFSET(CRONOPLE!$F$15,$M72-$A$15,BK$13)=0,10^12,OFFSET(CRONOPLE!$F$15,$M72-$A$15,BK$13)))</f>
        <v>1000000000000</v>
      </c>
      <c r="BL72" s="171">
        <f ca="1">IF(OR($D72&lt;&gt;"Serviço",AND(AUTOEVENTO="Manual",$M72=$A$15)),0,
         IF(OFFSET(CRONOPLE!$F$15,$M72-$A$15,BL$13)=0,10^12,OFFSET(CRONOPLE!$F$15,$M72-$A$15,BL$13)))</f>
        <v>1000000000000</v>
      </c>
      <c r="BM72" s="171">
        <f ca="1">IF(OR($D72&lt;&gt;"Serviço",AND(AUTOEVENTO="Manual",$M72=$A$15)),0,
         IF(OFFSET(CRONOPLE!$F$15,$M72-$A$15,BM$13)=0,10^12,OFFSET(CRONOPLE!$F$15,$M72-$A$15,BM$13)))</f>
        <v>1000000000000</v>
      </c>
      <c r="BN72" s="171">
        <f ca="1">IF(OR($D72&lt;&gt;"Serviço",AND(AUTOEVENTO="Manual",$M72=$A$15)),0,
         IF(OFFSET(CRONOPLE!$F$15,$M72-$A$15,BN$13)=0,10^12,OFFSET(CRONOPLE!$F$15,$M72-$A$15,BN$13)))</f>
        <v>1000000000000</v>
      </c>
      <c r="BO72" s="171">
        <f ca="1">IF(OR($D72&lt;&gt;"Serviço",AND(AUTOEVENTO="Manual",$M72=$A$15)),0,
         IF(OFFSET(CRONOPLE!$F$15,$M72-$A$15,BO$13)=0,10^12,OFFSET(CRONOPLE!$F$15,$M72-$A$15,BO$13)))</f>
        <v>1000000000000</v>
      </c>
      <c r="BP72" s="171">
        <f ca="1">IF(OR($D72&lt;&gt;"Serviço",AND(AUTOEVENTO="Manual",$M72=$A$15)),0,
         IF(OFFSET(CRONOPLE!$F$15,$M72-$A$15,BP$13)=0,10^12,OFFSET(CRONOPLE!$F$15,$M72-$A$15,BP$13)))</f>
        <v>1000000000000</v>
      </c>
      <c r="BQ72" s="171">
        <f ca="1">IF(OR($D72&lt;&gt;"Serviço",AND(AUTOEVENTO="Manual",$M72=$A$15)),0,
         IF(OFFSET(CRONOPLE!$F$15,$M72-$A$15,BQ$13)=0,10^12,OFFSET(CRONOPLE!$F$15,$M72-$A$15,BQ$13)))</f>
        <v>1000000000000</v>
      </c>
      <c r="BR72" s="171">
        <f ca="1">IF(OR($D72&lt;&gt;"Serviço",AND(AUTOEVENTO="Manual",$M72=$A$15)),0,
         IF(OFFSET(CRONOPLE!$F$15,$M72-$A$15,BR$13)=0,10^12,OFFSET(CRONOPLE!$F$15,$M72-$A$15,BR$13)))</f>
        <v>1000000000000</v>
      </c>
      <c r="BS72" s="171">
        <f ca="1">IF(OR($D72&lt;&gt;"Serviço",AND(AUTOEVENTO="Manual",$M72=$A$15)),0,
         IF(OFFSET(CRONOPLE!$F$15,$M72-$A$15,BS$13)=0,10^12,OFFSET(CRONOPLE!$F$15,$M72-$A$15,BS$13)))</f>
        <v>1000000000000</v>
      </c>
      <c r="BT72" s="171">
        <f ca="1">IF(OR($D72&lt;&gt;"Serviço",AND(AUTOEVENTO="Manual",$M72=$A$15)),0,
         IF(OFFSET(CRONOPLE!$F$15,$M72-$A$15,BT$13)=0,10^12,OFFSET(CRONOPLE!$F$15,$M72-$A$15,BT$13)))</f>
        <v>1000000000000</v>
      </c>
      <c r="BV72" s="172" cm="1">
        <f t="array" aca="1" ref="BV72" ca="1">IF(OR($D72&lt;&gt;"Serviço",AND(AUTOEVENTO="Manual",$M72=$A$15),$M72&gt;(ROW(PLE.lastrow)-ROW(PLE.firstrow))),0,
           IF(OFFSET(PLE!$G$15,$M72-$A$15,BV$13)="",10^12,OFFSET(PLE!$G$15,$M72-$A$15,BV$13)))</f>
        <v>1000000000000</v>
      </c>
      <c r="BW72" s="172" cm="1">
        <f t="array" aca="1" ref="BW72" ca="1">IF(OR($D72&lt;&gt;"Serviço",AND(AUTOEVENTO="Manual",$M72=$A$15),$M72&gt;(ROW(PLE.lastrow)-ROW(PLE.firstrow))),0,
           IF(OFFSET(PLE!$G$15,$M72-$A$15,BW$13)="",10^12,OFFSET(PLE!$G$15,$M72-$A$15,BW$13)))</f>
        <v>1000000000000</v>
      </c>
      <c r="BX72" s="172" cm="1">
        <f t="array" aca="1" ref="BX72" ca="1">IF(OR($D72&lt;&gt;"Serviço",AND(AUTOEVENTO="Manual",$M72=$A$15),$M72&gt;(ROW(PLE.lastrow)-ROW(PLE.firstrow))),0,
           IF(OFFSET(PLE!$G$15,$M72-$A$15,BX$13)="",10^12,OFFSET(PLE!$G$15,$M72-$A$15,BX$13)))</f>
        <v>1000000000000</v>
      </c>
      <c r="BY72" s="172" cm="1">
        <f t="array" aca="1" ref="BY72" ca="1">IF(OR($D72&lt;&gt;"Serviço",AND(AUTOEVENTO="Manual",$M72=$A$15),$M72&gt;(ROW(PLE.lastrow)-ROW(PLE.firstrow))),0,
           IF(OFFSET(PLE!$G$15,$M72-$A$15,BY$13)="",10^12,OFFSET(PLE!$G$15,$M72-$A$15,BY$13)))</f>
        <v>1000000000000</v>
      </c>
      <c r="BZ72" s="172" cm="1">
        <f t="array" aca="1" ref="BZ72" ca="1">IF(OR($D72&lt;&gt;"Serviço",AND(AUTOEVENTO="Manual",$M72=$A$15),$M72&gt;(ROW(PLE.lastrow)-ROW(PLE.firstrow))),0,
           IF(OFFSET(PLE!$G$15,$M72-$A$15,BZ$13)="",10^12,OFFSET(PLE!$G$15,$M72-$A$15,BZ$13)))</f>
        <v>1000000000000</v>
      </c>
      <c r="CA72" s="172" cm="1">
        <f t="array" aca="1" ref="CA72" ca="1">IF(OR($D72&lt;&gt;"Serviço",AND(AUTOEVENTO="Manual",$M72=$A$15),$M72&gt;(ROW(PLE.lastrow)-ROW(PLE.firstrow))),0,
           IF(OFFSET(PLE!$G$15,$M72-$A$15,CA$13)="",10^12,OFFSET(PLE!$G$15,$M72-$A$15,CA$13)))</f>
        <v>1000000000000</v>
      </c>
      <c r="CB72" s="172" cm="1">
        <f t="array" aca="1" ref="CB72" ca="1">IF(OR($D72&lt;&gt;"Serviço",AND(AUTOEVENTO="Manual",$M72=$A$15),$M72&gt;(ROW(PLE.lastrow)-ROW(PLE.firstrow))),0,
           IF(OFFSET(PLE!$G$15,$M72-$A$15,CB$13)="",10^12,OFFSET(PLE!$G$15,$M72-$A$15,CB$13)))</f>
        <v>1000000000000</v>
      </c>
      <c r="CC72" s="172" cm="1">
        <f t="array" aca="1" ref="CC72" ca="1">IF(OR($D72&lt;&gt;"Serviço",AND(AUTOEVENTO="Manual",$M72=$A$15),$M72&gt;(ROW(PLE.lastrow)-ROW(PLE.firstrow))),0,
           IF(OFFSET(PLE!$G$15,$M72-$A$15,CC$13)="",10^12,OFFSET(PLE!$G$15,$M72-$A$15,CC$13)))</f>
        <v>1000000000000</v>
      </c>
      <c r="CD72" s="172" cm="1">
        <f t="array" aca="1" ref="CD72" ca="1">IF(OR($D72&lt;&gt;"Serviço",AND(AUTOEVENTO="Manual",$M72=$A$15),$M72&gt;(ROW(PLE.lastrow)-ROW(PLE.firstrow))),0,
           IF(OFFSET(PLE!$G$15,$M72-$A$15,CD$13)="",10^12,OFFSET(PLE!$G$15,$M72-$A$15,CD$13)))</f>
        <v>1000000000000</v>
      </c>
      <c r="CE72" s="172" cm="1">
        <f t="array" aca="1" ref="CE72" ca="1">IF(OR($D72&lt;&gt;"Serviço",AND(AUTOEVENTO="Manual",$M72=$A$15),$M72&gt;(ROW(PLE.lastrow)-ROW(PLE.firstrow))),0,
           IF(OFFSET(PLE!$G$15,$M72-$A$15,CE$13)="",10^12,OFFSET(PLE!$G$15,$M72-$A$15,CE$13)))</f>
        <v>1000000000000</v>
      </c>
      <c r="CF72" s="172" cm="1">
        <f t="array" aca="1" ref="CF72" ca="1">IF(OR($D72&lt;&gt;"Serviço",AND(AUTOEVENTO="Manual",$M72=$A$15),$M72&gt;(ROW(PLE.lastrow)-ROW(PLE.firstrow))),0,
           IF(OFFSET(PLE!$G$15,$M72-$A$15,CF$13)="",10^12,OFFSET(PLE!$G$15,$M72-$A$15,CF$13)))</f>
        <v>1000000000000</v>
      </c>
      <c r="CG72" s="172" cm="1">
        <f t="array" aca="1" ref="CG72" ca="1">IF(OR($D72&lt;&gt;"Serviço",AND(AUTOEVENTO="Manual",$M72=$A$15),$M72&gt;(ROW(PLE.lastrow)-ROW(PLE.firstrow))),0,
           IF(OFFSET(PLE!$G$15,$M72-$A$15,CG$13)="",10^12,OFFSET(PLE!$G$15,$M72-$A$15,CG$13)))</f>
        <v>1000000000000</v>
      </c>
      <c r="CH72" s="172" cm="1">
        <f t="array" aca="1" ref="CH72" ca="1">IF(OR($D72&lt;&gt;"Serviço",AND(AUTOEVENTO="Manual",$M72=$A$15),$M72&gt;(ROW(PLE.lastrow)-ROW(PLE.firstrow))),0,
           IF(OFFSET(PLE!$G$15,$M72-$A$15,CH$13)="",10^12,OFFSET(PLE!$G$15,$M72-$A$15,CH$13)))</f>
        <v>1000000000000</v>
      </c>
      <c r="CI72" s="172" cm="1">
        <f t="array" aca="1" ref="CI72" ca="1">IF(OR($D72&lt;&gt;"Serviço",AND(AUTOEVENTO="Manual",$M72=$A$15),$M72&gt;(ROW(PLE.lastrow)-ROW(PLE.firstrow))),0,
           IF(OFFSET(PLE!$G$15,$M72-$A$15,CI$13)="",10^12,OFFSET(PLE!$G$15,$M72-$A$15,CI$13)))</f>
        <v>1000000000000</v>
      </c>
      <c r="CJ72" s="172" cm="1">
        <f t="array" aca="1" ref="CJ72" ca="1">IF(OR($D72&lt;&gt;"Serviço",AND(AUTOEVENTO="Manual",$M72=$A$15),$M72&gt;(ROW(PLE.lastrow)-ROW(PLE.firstrow))),0,
           IF(OFFSET(PLE!$G$15,$M72-$A$15,CJ$13)="",10^12,OFFSET(PLE!$G$15,$M72-$A$15,CJ$13)))</f>
        <v>1000000000000</v>
      </c>
      <c r="CK72" s="172" cm="1">
        <f t="array" aca="1" ref="CK72" ca="1">IF(OR($D72&lt;&gt;"Serviço",AND(AUTOEVENTO="Manual",$M72=$A$15),$M72&gt;(ROW(PLE.lastrow)-ROW(PLE.firstrow))),0,
           IF(OFFSET(PLE!$G$15,$M72-$A$15,CK$13)="",10^12,OFFSET(PLE!$G$15,$M72-$A$15,CK$13)))</f>
        <v>1000000000000</v>
      </c>
      <c r="CL72" s="172" cm="1">
        <f t="array" aca="1" ref="CL72" ca="1">IF(OR($D72&lt;&gt;"Serviço",AND(AUTOEVENTO="Manual",$M72=$A$15),$M72&gt;(ROW(PLE.lastrow)-ROW(PLE.firstrow))),0,
           IF(OFFSET(PLE!$G$15,$M72-$A$15,CL$13)="",10^12,OFFSET(PLE!$G$15,$M72-$A$15,CL$13)))</f>
        <v>1000000000000</v>
      </c>
      <c r="CM72" s="172" cm="1">
        <f t="array" aca="1" ref="CM72" ca="1">IF(OR($D72&lt;&gt;"Serviço",AND(AUTOEVENTO="Manual",$M72=$A$15),$M72&gt;(ROW(PLE.lastrow)-ROW(PLE.firstrow))),0,
           IF(OFFSET(PLE!$G$15,$M72-$A$15,CM$13)="",10^12,OFFSET(PLE!$G$15,$M72-$A$15,CM$13)))</f>
        <v>1000000000000</v>
      </c>
    </row>
    <row r="73" spans="1:91" s="670" customFormat="1" ht="38.25" x14ac:dyDescent="0.2">
      <c r="A73" s="668">
        <f t="shared" ref="A73:A140" ca="1" si="12">IFERROR(IF(AUTOEVENTO="Manual",IF(K73&lt;&gt;"",MIN(VALUE(LEFT(K73,FIND(".",K73)-1)),COUNTA(EVENTOS.Lista)),0),IF(OR($B73&gt;AUTOEVENTO,$B73="S",$B73=0),SUBSTITUTE(OFFSET($A73,-1,0),IF($D73="Serviço",".",""),""),$L73&amp;".")),0)</f>
        <v>19</v>
      </c>
      <c r="B73" s="668" t="str">
        <f ca="1">OFFSET(ORÇAMENTO!C$15,$L73,0)</f>
        <v>S</v>
      </c>
      <c r="C73" s="668" t="str">
        <f ca="1">OFFSET(ORÇAMENTO!L$15,$L73,0)</f>
        <v>F</v>
      </c>
      <c r="D73" s="116" t="str">
        <f ca="1">OFFSET(ORÇAMENTO!N$15,$L73,0)</f>
        <v>Serviço</v>
      </c>
      <c r="E73" s="117" t="str">
        <f ca="1">OFFSET(ORÇAMENTO!O$15,$L73,0)</f>
        <v>1.9.9.</v>
      </c>
      <c r="F73" s="163" t="str">
        <f ca="1">OFFSET(ORÇAMENTO!R$15,$L73,0)</f>
        <v>PASTA LUBRIFICANTE PARA TUBOS E CONEXOES COM JUNTA ELASTICA, EMBALAGEM DE *400* GR (USO EM PVC, ACO, POLIETILENO E OUTROS)</v>
      </c>
      <c r="G73" s="164" t="str">
        <f ca="1">IF($D73&lt;&gt;"Serviço","",OFFSET(ORÇAMENTO!S$15,$L73,0))</f>
        <v>UN</v>
      </c>
      <c r="H73" s="122" cm="1">
        <f t="array" aca="1" ref="H73" ca="1">IF($D73&lt;&gt;"Serviço",0,IF(ACOMPANHAMENTO="BM",ROUND(OFFSET(ORÇAMENTO!AJ$15,$L73,0),15-13*ORÇAMENTO!$AF$7),IF(IFERROR(CÁLCULO.FrentesPreenchidas,0)=0,0,SUM(ROUND(OFFSET($P73,0,1,1,CÁLCULO.FrentesPreenchidas),15-13*ORÇAMENTO!$AF$7)))))</f>
        <v>63</v>
      </c>
      <c r="I73" s="468" t="s">
        <v>1160</v>
      </c>
      <c r="J73" s="651" t="str" cm="1">
        <f t="array" aca="1" ref="J73" ca="1">IF(OR(B73&lt;&gt;"S",CÁLCULO.FrentesPreenchidas=0),"",IF(AND(ACOMPANHAMENTO="PLE",AUTOEVENTO="Manual",OR(H73&gt;0,ORÇAMENTO!AC73="QUANT."),OR(K73="",M73=0,N73="")),"►E",IF(AND(ACOMPANHAMENTO="PLE",ORÇAMENTO!AC73="QUANT."),"►Q",IF(AND(ACOMPANHAMENTO="PLE",H73&lt;&gt;SUMPRODUCT(($Q$1:$AI$1=1)*ROUND(Q73:AI73,15))),"►S",IF(AND(COUNTIF($P$11:$AI$11,"▼")=0,H73&gt;0,I73=""),"◄M","")))))</f>
        <v/>
      </c>
      <c r="K73" s="652" t="s">
        <v>1350</v>
      </c>
      <c r="L73" s="165">
        <f t="shared" ref="L73:L140" ca="1" si="13">OFFSET(L73,-1,0)+1</f>
        <v>58</v>
      </c>
      <c r="M73" s="166">
        <f ca="1">IF($D73&lt;&gt;"Serviço","",
          IF(AUTOEVENTO="manual",$A73,
                IF(ISERROR(MATCH($A73,$A$15:OFFSET($A73,-1,0),0)),MAX($M$15:OFFSET(M73,-1,0))+1,
                      INDEX($M$15:OFFSET(M73,-1,0),MATCH($A73,$A$15:OFFSET($A73,-1,0),0)))))</f>
        <v>19</v>
      </c>
      <c r="N73" s="167" t="str">
        <f ca="1">IF($D73&lt;&gt;"Serviço","",
         IF(AUTOEVENTO="Manual",
                IF($A73=0,"&lt;-- defina o número do agrupador",
                       OFFSET(EVENTOS!$D$15,$A73-$A$15,0)),
                OFFSET($F$15,$A73,0)))</f>
        <v>Rede de água - assentamento de tubos</v>
      </c>
      <c r="O73" s="168"/>
      <c r="Q73" s="168"/>
      <c r="R73" s="169"/>
      <c r="S73" s="169"/>
      <c r="T73" s="169"/>
      <c r="U73" s="169">
        <v>63</v>
      </c>
      <c r="V73" s="169"/>
      <c r="W73" s="169"/>
      <c r="X73" s="169"/>
      <c r="Y73" s="169"/>
      <c r="Z73" s="170"/>
      <c r="AA73" s="705"/>
      <c r="AB73" s="705"/>
      <c r="AC73" s="705"/>
      <c r="AD73" s="705"/>
      <c r="AE73" s="705"/>
      <c r="AF73" s="705"/>
      <c r="AG73" s="705"/>
      <c r="AH73" s="706"/>
      <c r="AJ73" s="453">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3">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L73" s="453">
        <f ca="1">IF(AND($D73="Serviço",AL$12&lt;&gt;0,$H73&gt;0,OR(AUTOEVENTO&lt;&gt;"manual",$M73&lt;&gt;$A$15)),
        IF(Import.TipoArredondamento&lt;&gt;"TransfereGOV",
              ROUND(OFFSET($P73,0,AL$13),15-13*ORÇAMENTO!$AF$7)/$H73*OFFSET(ORÇAMENTO!$X$15,ROW(AL73)-ROW(AL$15),0),
              ROUND(ROUND(OFFSET($P73,0,AL$13),15-13*ORÇAMENTO!$AF$7)*OFFSET(ORÇAMENTO!$W$15,ROW(AL73)-ROW(AL$15),0),15-13*ORÇAMENTO!$AF$11)),
         0)</f>
        <v>0</v>
      </c>
      <c r="AM73" s="453">
        <f ca="1">IF(AND($D73="Serviço",AM$12&lt;&gt;0,$H73&gt;0,OR(AUTOEVENTO&lt;&gt;"manual",$M73&lt;&gt;$A$15)),
        IF(Import.TipoArredondamento&lt;&gt;"TransfereGOV",
              ROUND(OFFSET($P73,0,AM$13),15-13*ORÇAMENTO!$AF$7)/$H73*OFFSET(ORÇAMENTO!$X$15,ROW(AM73)-ROW(AM$15),0),
              ROUND(ROUND(OFFSET($P73,0,AM$13),15-13*ORÇAMENTO!$AF$7)*OFFSET(ORÇAMENTO!$W$15,ROW(AM73)-ROW(AM$15),0),15-13*ORÇAMENTO!$AF$11)),
         0)</f>
        <v>0</v>
      </c>
      <c r="AN73" s="453">
        <f ca="1">IF(AND($D73="Serviço",AN$12&lt;&gt;0,$H73&gt;0,OR(AUTOEVENTO&lt;&gt;"manual",$M73&lt;&gt;$A$15)),
        IF(Import.TipoArredondamento&lt;&gt;"TransfereGOV",
              ROUND(OFFSET($P73,0,AN$13),15-13*ORÇAMENTO!$AF$7)/$H73*OFFSET(ORÇAMENTO!$X$15,ROW(AN73)-ROW(AN$15),0),
              ROUND(ROUND(OFFSET($P73,0,AN$13),15-13*ORÇAMENTO!$AF$7)*OFFSET(ORÇAMENTO!$W$15,ROW(AN73)-ROW(AN$15),0),15-13*ORÇAMENTO!$AF$11)),
         0)</f>
        <v>2276.19</v>
      </c>
      <c r="AO73" s="453">
        <f ca="1">IF(AND($D73="Serviço",AO$12&lt;&gt;0,$H73&gt;0,OR(AUTOEVENTO&lt;&gt;"manual",$M73&lt;&gt;$A$15)),
        IF(Import.TipoArredondamento&lt;&gt;"TransfereGOV",
              ROUND(OFFSET($P73,0,AO$13),15-13*ORÇAMENTO!$AF$7)/$H73*OFFSET(ORÇAMENTO!$X$15,ROW(AO73)-ROW(AO$15),0),
              ROUND(ROUND(OFFSET($P73,0,AO$13),15-13*ORÇAMENTO!$AF$7)*OFFSET(ORÇAMENTO!$W$15,ROW(AO73)-ROW(AO$15),0),15-13*ORÇAMENTO!$AF$11)),
         0)</f>
        <v>0</v>
      </c>
      <c r="AP73" s="453">
        <f ca="1">IF(AND($D73="Serviço",AP$12&lt;&gt;0,$H73&gt;0,OR(AUTOEVENTO&lt;&gt;"manual",$M73&lt;&gt;$A$15)),
        IF(Import.TipoArredondamento&lt;&gt;"TransfereGOV",
              ROUND(OFFSET($P73,0,AP$13),15-13*ORÇAMENTO!$AF$7)/$H73*OFFSET(ORÇAMENTO!$X$15,ROW(AP73)-ROW(AP$15),0),
              ROUND(ROUND(OFFSET($P73,0,AP$13),15-13*ORÇAMENTO!$AF$7)*OFFSET(ORÇAMENTO!$W$15,ROW(AP73)-ROW(AP$15),0),15-13*ORÇAMENTO!$AF$11)),
         0)</f>
        <v>0</v>
      </c>
      <c r="AQ73" s="453">
        <f ca="1">IF(AND($D73="Serviço",AQ$12&lt;&gt;0,$H73&gt;0,OR(AUTOEVENTO&lt;&gt;"manual",$M73&lt;&gt;$A$15)),
        IF(Import.TipoArredondamento&lt;&gt;"TransfereGOV",
              ROUND(OFFSET($P73,0,AQ$13),15-13*ORÇAMENTO!$AF$7)/$H73*OFFSET(ORÇAMENTO!$X$15,ROW(AQ73)-ROW(AQ$15),0),
              ROUND(ROUND(OFFSET($P73,0,AQ$13),15-13*ORÇAMENTO!$AF$7)*OFFSET(ORÇAMENTO!$W$15,ROW(AQ73)-ROW(AQ$15),0),15-13*ORÇAMENTO!$AF$11)),
         0)</f>
        <v>0</v>
      </c>
      <c r="AR73" s="453">
        <f ca="1">IF(AND($D73="Serviço",AR$12&lt;&gt;0,$H73&gt;0,OR(AUTOEVENTO&lt;&gt;"manual",$M73&lt;&gt;$A$15)),
        IF(Import.TipoArredondamento&lt;&gt;"TransfereGOV",
              ROUND(OFFSET($P73,0,AR$13),15-13*ORÇAMENTO!$AF$7)/$H73*OFFSET(ORÇAMENTO!$X$15,ROW(AR73)-ROW(AR$15),0),
              ROUND(ROUND(OFFSET($P73,0,AR$13),15-13*ORÇAMENTO!$AF$7)*OFFSET(ORÇAMENTO!$W$15,ROW(AR73)-ROW(AR$15),0),15-13*ORÇAMENTO!$AF$11)),
         0)</f>
        <v>0</v>
      </c>
      <c r="AS73" s="453">
        <f ca="1">IF(AND($D73="Serviço",AS$12&lt;&gt;0,$H73&gt;0,OR(AUTOEVENTO&lt;&gt;"manual",$M73&lt;&gt;$A$15)),
        IF(Import.TipoArredondamento&lt;&gt;"TransfereGOV",
              ROUND(OFFSET($P73,0,AS$13),15-13*ORÇAMENTO!$AF$7)/$H73*OFFSET(ORÇAMENTO!$X$15,ROW(AS73)-ROW(AS$15),0),
              ROUND(ROUND(OFFSET($P73,0,AS$13),15-13*ORÇAMENTO!$AF$7)*OFFSET(ORÇAMENTO!$W$15,ROW(AS73)-ROW(AS$15),0),15-13*ORÇAMENTO!$AF$11)),
         0)</f>
        <v>0</v>
      </c>
      <c r="AT73" s="453">
        <f ca="1">IF(AND($D73="Serviço",AT$12&lt;&gt;0,$H73&gt;0,OR(AUTOEVENTO&lt;&gt;"manual",$M73&lt;&gt;$A$15)),
        IF(Import.TipoArredondamento&lt;&gt;"TransfereGOV",
              ROUND(OFFSET($P73,0,AT$13),15-13*ORÇAMENTO!$AF$7)/$H73*OFFSET(ORÇAMENTO!$X$15,ROW(AT73)-ROW(AT$15),0),
              ROUND(ROUND(OFFSET($P73,0,AT$13),15-13*ORÇAMENTO!$AF$7)*OFFSET(ORÇAMENTO!$W$15,ROW(AT73)-ROW(AT$15),0),15-13*ORÇAMENTO!$AF$11)),
         0)</f>
        <v>0</v>
      </c>
      <c r="AU73" s="453">
        <f ca="1">IF(AND($D73="Serviço",AU$12&lt;&gt;0,$H73&gt;0,OR(AUTOEVENTO&lt;&gt;"manual",$M73&lt;&gt;$A$15)),
        IF(Import.TipoArredondamento&lt;&gt;"TransfereGOV",
              ROUND(OFFSET($P73,0,AU$13),15-13*ORÇAMENTO!$AF$7)/$H73*OFFSET(ORÇAMENTO!$X$15,ROW(AU73)-ROW(AU$15),0),
              ROUND(ROUND(OFFSET($P73,0,AU$13),15-13*ORÇAMENTO!$AF$7)*OFFSET(ORÇAMENTO!$W$15,ROW(AU73)-ROW(AU$15),0),15-13*ORÇAMENTO!$AF$11)),
         0)</f>
        <v>0</v>
      </c>
      <c r="AV73" s="453">
        <f ca="1">IF(AND($D73="Serviço",AV$12&lt;&gt;0,$H73&gt;0,OR(AUTOEVENTO&lt;&gt;"manual",$M73&lt;&gt;$A$15)),
        IF(Import.TipoArredondamento&lt;&gt;"TransfereGOV",
              ROUND(OFFSET($P73,0,AV$13),15-13*ORÇAMENTO!$AF$7)/$H73*OFFSET(ORÇAMENTO!$X$15,ROW(AV73)-ROW(AV$15),0),
              ROUND(ROUND(OFFSET($P73,0,AV$13),15-13*ORÇAMENTO!$AF$7)*OFFSET(ORÇAMENTO!$W$15,ROW(AV73)-ROW(AV$15),0),15-13*ORÇAMENTO!$AF$11)),
         0)</f>
        <v>0</v>
      </c>
      <c r="AW73" s="453">
        <f ca="1">IF(AND($D73="Serviço",AW$12&lt;&gt;0,$H73&gt;0,OR(AUTOEVENTO&lt;&gt;"manual",$M73&lt;&gt;$A$15)),
        IF(Import.TipoArredondamento&lt;&gt;"TransfereGOV",
              ROUND(OFFSET($P73,0,AW$13),15-13*ORÇAMENTO!$AF$7)/$H73*OFFSET(ORÇAMENTO!$X$15,ROW(AW73)-ROW(AW$15),0),
              ROUND(ROUND(OFFSET($P73,0,AW$13),15-13*ORÇAMENTO!$AF$7)*OFFSET(ORÇAMENTO!$W$15,ROW(AW73)-ROW(AW$15),0),15-13*ORÇAMENTO!$AF$11)),
         0)</f>
        <v>0</v>
      </c>
      <c r="AX73" s="453">
        <f ca="1">IF(AND($D73="Serviço",AX$12&lt;&gt;0,$H73&gt;0,OR(AUTOEVENTO&lt;&gt;"manual",$M73&lt;&gt;$A$15)),
        IF(Import.TipoArredondamento&lt;&gt;"TransfereGOV",
              ROUND(OFFSET($P73,0,AX$13),15-13*ORÇAMENTO!$AF$7)/$H73*OFFSET(ORÇAMENTO!$X$15,ROW(AX73)-ROW(AX$15),0),
              ROUND(ROUND(OFFSET($P73,0,AX$13),15-13*ORÇAMENTO!$AF$7)*OFFSET(ORÇAMENTO!$W$15,ROW(AX73)-ROW(AX$15),0),15-13*ORÇAMENTO!$AF$11)),
         0)</f>
        <v>0</v>
      </c>
      <c r="AY73" s="453">
        <f ca="1">IF(AND($D73="Serviço",AY$12&lt;&gt;0,$H73&gt;0,OR(AUTOEVENTO&lt;&gt;"manual",$M73&lt;&gt;$A$15)),
        IF(Import.TipoArredondamento&lt;&gt;"TransfereGOV",
              ROUND(OFFSET($P73,0,AY$13),15-13*ORÇAMENTO!$AF$7)/$H73*OFFSET(ORÇAMENTO!$X$15,ROW(AY73)-ROW(AY$15),0),
              ROUND(ROUND(OFFSET($P73,0,AY$13),15-13*ORÇAMENTO!$AF$7)*OFFSET(ORÇAMENTO!$W$15,ROW(AY73)-ROW(AY$15),0),15-13*ORÇAMENTO!$AF$11)),
         0)</f>
        <v>0</v>
      </c>
      <c r="AZ73" s="453">
        <f ca="1">IF(AND($D73="Serviço",AZ$12&lt;&gt;0,$H73&gt;0,OR(AUTOEVENTO&lt;&gt;"manual",$M73&lt;&gt;$A$15)),
        IF(Import.TipoArredondamento&lt;&gt;"TransfereGOV",
              ROUND(OFFSET($P73,0,AZ$13),15-13*ORÇAMENTO!$AF$7)/$H73*OFFSET(ORÇAMENTO!$X$15,ROW(AZ73)-ROW(AZ$15),0),
              ROUND(ROUND(OFFSET($P73,0,AZ$13),15-13*ORÇAMENTO!$AF$7)*OFFSET(ORÇAMENTO!$W$15,ROW(AZ73)-ROW(AZ$15),0),15-13*ORÇAMENTO!$AF$11)),
         0)</f>
        <v>0</v>
      </c>
      <c r="BA73" s="453">
        <f ca="1">IF(AND($D73="Serviço",BA$12&lt;&gt;0,$H73&gt;0,OR(AUTOEVENTO&lt;&gt;"manual",$M73&lt;&gt;$A$15)),
        IF(Import.TipoArredondamento&lt;&gt;"TransfereGOV",
              ROUND(OFFSET($P73,0,BA$13),15-13*ORÇAMENTO!$AF$7)/$H73*OFFSET(ORÇAMENTO!$X$15,ROW(BA73)-ROW(BA$15),0),
              ROUND(ROUND(OFFSET($P73,0,BA$13),15-13*ORÇAMENTO!$AF$7)*OFFSET(ORÇAMENTO!$W$15,ROW(BA73)-ROW(BA$15),0),15-13*ORÇAMENTO!$AF$11)),
         0)</f>
        <v>0</v>
      </c>
      <c r="BC73" s="171">
        <f ca="1">IF(OR($D73&lt;&gt;"Serviço",AND(AUTOEVENTO="Manual",$M73=$A$15)),0,
         IF(OFFSET(CRONOPLE!$F$15,$M73-$A$15,BC$13)=0,10^12,OFFSET(CRONOPLE!$F$15,$M73-$A$15,BC$13)))</f>
        <v>1000000000000</v>
      </c>
      <c r="BD73" s="171">
        <f ca="1">IF(OR($D73&lt;&gt;"Serviço",AND(AUTOEVENTO="Manual",$M73=$A$15)),0,
         IF(OFFSET(CRONOPLE!$F$15,$M73-$A$15,BD$13)=0,10^12,OFFSET(CRONOPLE!$F$15,$M73-$A$15,BD$13)))</f>
        <v>1000000000000</v>
      </c>
      <c r="BE73" s="171">
        <f ca="1">IF(OR($D73&lt;&gt;"Serviço",AND(AUTOEVENTO="Manual",$M73=$A$15)),0,
         IF(OFFSET(CRONOPLE!$F$15,$M73-$A$15,BE$13)=0,10^12,OFFSET(CRONOPLE!$F$15,$M73-$A$15,BE$13)))</f>
        <v>1000000000000</v>
      </c>
      <c r="BF73" s="171">
        <f ca="1">IF(OR($D73&lt;&gt;"Serviço",AND(AUTOEVENTO="Manual",$M73=$A$15)),0,
         IF(OFFSET(CRONOPLE!$F$15,$M73-$A$15,BF$13)=0,10^12,OFFSET(CRONOPLE!$F$15,$M73-$A$15,BF$13)))</f>
        <v>1000000000000</v>
      </c>
      <c r="BG73" s="171">
        <f ca="1">IF(OR($D73&lt;&gt;"Serviço",AND(AUTOEVENTO="Manual",$M73=$A$15)),0,
         IF(OFFSET(CRONOPLE!$F$15,$M73-$A$15,BG$13)=0,10^12,OFFSET(CRONOPLE!$F$15,$M73-$A$15,BG$13)))</f>
        <v>7</v>
      </c>
      <c r="BH73" s="171">
        <f ca="1">IF(OR($D73&lt;&gt;"Serviço",AND(AUTOEVENTO="Manual",$M73=$A$15)),0,
         IF(OFFSET(CRONOPLE!$F$15,$M73-$A$15,BH$13)=0,10^12,OFFSET(CRONOPLE!$F$15,$M73-$A$15,BH$13)))</f>
        <v>1000000000000</v>
      </c>
      <c r="BI73" s="171">
        <f ca="1">IF(OR($D73&lt;&gt;"Serviço",AND(AUTOEVENTO="Manual",$M73=$A$15)),0,
         IF(OFFSET(CRONOPLE!$F$15,$M73-$A$15,BI$13)=0,10^12,OFFSET(CRONOPLE!$F$15,$M73-$A$15,BI$13)))</f>
        <v>1000000000000</v>
      </c>
      <c r="BJ73" s="171">
        <f ca="1">IF(OR($D73&lt;&gt;"Serviço",AND(AUTOEVENTO="Manual",$M73=$A$15)),0,
         IF(OFFSET(CRONOPLE!$F$15,$M73-$A$15,BJ$13)=0,10^12,OFFSET(CRONOPLE!$F$15,$M73-$A$15,BJ$13)))</f>
        <v>1000000000000</v>
      </c>
      <c r="BK73" s="171">
        <f ca="1">IF(OR($D73&lt;&gt;"Serviço",AND(AUTOEVENTO="Manual",$M73=$A$15)),0,
         IF(OFFSET(CRONOPLE!$F$15,$M73-$A$15,BK$13)=0,10^12,OFFSET(CRONOPLE!$F$15,$M73-$A$15,BK$13)))</f>
        <v>1000000000000</v>
      </c>
      <c r="BL73" s="171">
        <f ca="1">IF(OR($D73&lt;&gt;"Serviço",AND(AUTOEVENTO="Manual",$M73=$A$15)),0,
         IF(OFFSET(CRONOPLE!$F$15,$M73-$A$15,BL$13)=0,10^12,OFFSET(CRONOPLE!$F$15,$M73-$A$15,BL$13)))</f>
        <v>1000000000000</v>
      </c>
      <c r="BM73" s="171">
        <f ca="1">IF(OR($D73&lt;&gt;"Serviço",AND(AUTOEVENTO="Manual",$M73=$A$15)),0,
         IF(OFFSET(CRONOPLE!$F$15,$M73-$A$15,BM$13)=0,10^12,OFFSET(CRONOPLE!$F$15,$M73-$A$15,BM$13)))</f>
        <v>1000000000000</v>
      </c>
      <c r="BN73" s="171">
        <f ca="1">IF(OR($D73&lt;&gt;"Serviço",AND(AUTOEVENTO="Manual",$M73=$A$15)),0,
         IF(OFFSET(CRONOPLE!$F$15,$M73-$A$15,BN$13)=0,10^12,OFFSET(CRONOPLE!$F$15,$M73-$A$15,BN$13)))</f>
        <v>1000000000000</v>
      </c>
      <c r="BO73" s="171">
        <f ca="1">IF(OR($D73&lt;&gt;"Serviço",AND(AUTOEVENTO="Manual",$M73=$A$15)),0,
         IF(OFFSET(CRONOPLE!$F$15,$M73-$A$15,BO$13)=0,10^12,OFFSET(CRONOPLE!$F$15,$M73-$A$15,BO$13)))</f>
        <v>1000000000000</v>
      </c>
      <c r="BP73" s="171">
        <f ca="1">IF(OR($D73&lt;&gt;"Serviço",AND(AUTOEVENTO="Manual",$M73=$A$15)),0,
         IF(OFFSET(CRONOPLE!$F$15,$M73-$A$15,BP$13)=0,10^12,OFFSET(CRONOPLE!$F$15,$M73-$A$15,BP$13)))</f>
        <v>1000000000000</v>
      </c>
      <c r="BQ73" s="171">
        <f ca="1">IF(OR($D73&lt;&gt;"Serviço",AND(AUTOEVENTO="Manual",$M73=$A$15)),0,
         IF(OFFSET(CRONOPLE!$F$15,$M73-$A$15,BQ$13)=0,10^12,OFFSET(CRONOPLE!$F$15,$M73-$A$15,BQ$13)))</f>
        <v>1000000000000</v>
      </c>
      <c r="BR73" s="171">
        <f ca="1">IF(OR($D73&lt;&gt;"Serviço",AND(AUTOEVENTO="Manual",$M73=$A$15)),0,
         IF(OFFSET(CRONOPLE!$F$15,$M73-$A$15,BR$13)=0,10^12,OFFSET(CRONOPLE!$F$15,$M73-$A$15,BR$13)))</f>
        <v>1000000000000</v>
      </c>
      <c r="BS73" s="171">
        <f ca="1">IF(OR($D73&lt;&gt;"Serviço",AND(AUTOEVENTO="Manual",$M73=$A$15)),0,
         IF(OFFSET(CRONOPLE!$F$15,$M73-$A$15,BS$13)=0,10^12,OFFSET(CRONOPLE!$F$15,$M73-$A$15,BS$13)))</f>
        <v>1000000000000</v>
      </c>
      <c r="BT73" s="171">
        <f ca="1">IF(OR($D73&lt;&gt;"Serviço",AND(AUTOEVENTO="Manual",$M73=$A$15)),0,
         IF(OFFSET(CRONOPLE!$F$15,$M73-$A$15,BT$13)=0,10^12,OFFSET(CRONOPLE!$F$15,$M73-$A$15,BT$13)))</f>
        <v>1000000000000</v>
      </c>
      <c r="BV73" s="172" cm="1">
        <f t="array" aca="1" ref="BV73" ca="1">IF(OR($D73&lt;&gt;"Serviço",AND(AUTOEVENTO="Manual",$M73=$A$15),$M73&gt;(ROW(PLE.lastrow)-ROW(PLE.firstrow))),0,
           IF(OFFSET(PLE!$G$15,$M73-$A$15,BV$13)="",10^12,OFFSET(PLE!$G$15,$M73-$A$15,BV$13)))</f>
        <v>1000000000000</v>
      </c>
      <c r="BW73" s="172" cm="1">
        <f t="array" aca="1" ref="BW73" ca="1">IF(OR($D73&lt;&gt;"Serviço",AND(AUTOEVENTO="Manual",$M73=$A$15),$M73&gt;(ROW(PLE.lastrow)-ROW(PLE.firstrow))),0,
           IF(OFFSET(PLE!$G$15,$M73-$A$15,BW$13)="",10^12,OFFSET(PLE!$G$15,$M73-$A$15,BW$13)))</f>
        <v>1000000000000</v>
      </c>
      <c r="BX73" s="172" cm="1">
        <f t="array" aca="1" ref="BX73" ca="1">IF(OR($D73&lt;&gt;"Serviço",AND(AUTOEVENTO="Manual",$M73=$A$15),$M73&gt;(ROW(PLE.lastrow)-ROW(PLE.firstrow))),0,
           IF(OFFSET(PLE!$G$15,$M73-$A$15,BX$13)="",10^12,OFFSET(PLE!$G$15,$M73-$A$15,BX$13)))</f>
        <v>1000000000000</v>
      </c>
      <c r="BY73" s="172" cm="1">
        <f t="array" aca="1" ref="BY73" ca="1">IF(OR($D73&lt;&gt;"Serviço",AND(AUTOEVENTO="Manual",$M73=$A$15),$M73&gt;(ROW(PLE.lastrow)-ROW(PLE.firstrow))),0,
           IF(OFFSET(PLE!$G$15,$M73-$A$15,BY$13)="",10^12,OFFSET(PLE!$G$15,$M73-$A$15,BY$13)))</f>
        <v>1000000000000</v>
      </c>
      <c r="BZ73" s="172" cm="1">
        <f t="array" aca="1" ref="BZ73" ca="1">IF(OR($D73&lt;&gt;"Serviço",AND(AUTOEVENTO="Manual",$M73=$A$15),$M73&gt;(ROW(PLE.lastrow)-ROW(PLE.firstrow))),0,
           IF(OFFSET(PLE!$G$15,$M73-$A$15,BZ$13)="",10^12,OFFSET(PLE!$G$15,$M73-$A$15,BZ$13)))</f>
        <v>1000000000000</v>
      </c>
      <c r="CA73" s="172" cm="1">
        <f t="array" aca="1" ref="CA73" ca="1">IF(OR($D73&lt;&gt;"Serviço",AND(AUTOEVENTO="Manual",$M73=$A$15),$M73&gt;(ROW(PLE.lastrow)-ROW(PLE.firstrow))),0,
           IF(OFFSET(PLE!$G$15,$M73-$A$15,CA$13)="",10^12,OFFSET(PLE!$G$15,$M73-$A$15,CA$13)))</f>
        <v>1000000000000</v>
      </c>
      <c r="CB73" s="172" cm="1">
        <f t="array" aca="1" ref="CB73" ca="1">IF(OR($D73&lt;&gt;"Serviço",AND(AUTOEVENTO="Manual",$M73=$A$15),$M73&gt;(ROW(PLE.lastrow)-ROW(PLE.firstrow))),0,
           IF(OFFSET(PLE!$G$15,$M73-$A$15,CB$13)="",10^12,OFFSET(PLE!$G$15,$M73-$A$15,CB$13)))</f>
        <v>1000000000000</v>
      </c>
      <c r="CC73" s="172" cm="1">
        <f t="array" aca="1" ref="CC73" ca="1">IF(OR($D73&lt;&gt;"Serviço",AND(AUTOEVENTO="Manual",$M73=$A$15),$M73&gt;(ROW(PLE.lastrow)-ROW(PLE.firstrow))),0,
           IF(OFFSET(PLE!$G$15,$M73-$A$15,CC$13)="",10^12,OFFSET(PLE!$G$15,$M73-$A$15,CC$13)))</f>
        <v>1000000000000</v>
      </c>
      <c r="CD73" s="172" cm="1">
        <f t="array" aca="1" ref="CD73" ca="1">IF(OR($D73&lt;&gt;"Serviço",AND(AUTOEVENTO="Manual",$M73=$A$15),$M73&gt;(ROW(PLE.lastrow)-ROW(PLE.firstrow))),0,
           IF(OFFSET(PLE!$G$15,$M73-$A$15,CD$13)="",10^12,OFFSET(PLE!$G$15,$M73-$A$15,CD$13)))</f>
        <v>1000000000000</v>
      </c>
      <c r="CE73" s="172" cm="1">
        <f t="array" aca="1" ref="CE73" ca="1">IF(OR($D73&lt;&gt;"Serviço",AND(AUTOEVENTO="Manual",$M73=$A$15),$M73&gt;(ROW(PLE.lastrow)-ROW(PLE.firstrow))),0,
           IF(OFFSET(PLE!$G$15,$M73-$A$15,CE$13)="",10^12,OFFSET(PLE!$G$15,$M73-$A$15,CE$13)))</f>
        <v>1000000000000</v>
      </c>
      <c r="CF73" s="172" cm="1">
        <f t="array" aca="1" ref="CF73" ca="1">IF(OR($D73&lt;&gt;"Serviço",AND(AUTOEVENTO="Manual",$M73=$A$15),$M73&gt;(ROW(PLE.lastrow)-ROW(PLE.firstrow))),0,
           IF(OFFSET(PLE!$G$15,$M73-$A$15,CF$13)="",10^12,OFFSET(PLE!$G$15,$M73-$A$15,CF$13)))</f>
        <v>1000000000000</v>
      </c>
      <c r="CG73" s="172" cm="1">
        <f t="array" aca="1" ref="CG73" ca="1">IF(OR($D73&lt;&gt;"Serviço",AND(AUTOEVENTO="Manual",$M73=$A$15),$M73&gt;(ROW(PLE.lastrow)-ROW(PLE.firstrow))),0,
           IF(OFFSET(PLE!$G$15,$M73-$A$15,CG$13)="",10^12,OFFSET(PLE!$G$15,$M73-$A$15,CG$13)))</f>
        <v>1000000000000</v>
      </c>
      <c r="CH73" s="172" cm="1">
        <f t="array" aca="1" ref="CH73" ca="1">IF(OR($D73&lt;&gt;"Serviço",AND(AUTOEVENTO="Manual",$M73=$A$15),$M73&gt;(ROW(PLE.lastrow)-ROW(PLE.firstrow))),0,
           IF(OFFSET(PLE!$G$15,$M73-$A$15,CH$13)="",10^12,OFFSET(PLE!$G$15,$M73-$A$15,CH$13)))</f>
        <v>1000000000000</v>
      </c>
      <c r="CI73" s="172" cm="1">
        <f t="array" aca="1" ref="CI73" ca="1">IF(OR($D73&lt;&gt;"Serviço",AND(AUTOEVENTO="Manual",$M73=$A$15),$M73&gt;(ROW(PLE.lastrow)-ROW(PLE.firstrow))),0,
           IF(OFFSET(PLE!$G$15,$M73-$A$15,CI$13)="",10^12,OFFSET(PLE!$G$15,$M73-$A$15,CI$13)))</f>
        <v>1000000000000</v>
      </c>
      <c r="CJ73" s="172" cm="1">
        <f t="array" aca="1" ref="CJ73" ca="1">IF(OR($D73&lt;&gt;"Serviço",AND(AUTOEVENTO="Manual",$M73=$A$15),$M73&gt;(ROW(PLE.lastrow)-ROW(PLE.firstrow))),0,
           IF(OFFSET(PLE!$G$15,$M73-$A$15,CJ$13)="",10^12,OFFSET(PLE!$G$15,$M73-$A$15,CJ$13)))</f>
        <v>1000000000000</v>
      </c>
      <c r="CK73" s="172" cm="1">
        <f t="array" aca="1" ref="CK73" ca="1">IF(OR($D73&lt;&gt;"Serviço",AND(AUTOEVENTO="Manual",$M73=$A$15),$M73&gt;(ROW(PLE.lastrow)-ROW(PLE.firstrow))),0,
           IF(OFFSET(PLE!$G$15,$M73-$A$15,CK$13)="",10^12,OFFSET(PLE!$G$15,$M73-$A$15,CK$13)))</f>
        <v>1000000000000</v>
      </c>
      <c r="CL73" s="172" cm="1">
        <f t="array" aca="1" ref="CL73" ca="1">IF(OR($D73&lt;&gt;"Serviço",AND(AUTOEVENTO="Manual",$M73=$A$15),$M73&gt;(ROW(PLE.lastrow)-ROW(PLE.firstrow))),0,
           IF(OFFSET(PLE!$G$15,$M73-$A$15,CL$13)="",10^12,OFFSET(PLE!$G$15,$M73-$A$15,CL$13)))</f>
        <v>1000000000000</v>
      </c>
      <c r="CM73" s="172" cm="1">
        <f t="array" aca="1" ref="CM73" ca="1">IF(OR($D73&lt;&gt;"Serviço",AND(AUTOEVENTO="Manual",$M73=$A$15),$M73&gt;(ROW(PLE.lastrow)-ROW(PLE.firstrow))),0,
           IF(OFFSET(PLE!$G$15,$M73-$A$15,CM$13)="",10^12,OFFSET(PLE!$G$15,$M73-$A$15,CM$13)))</f>
        <v>1000000000000</v>
      </c>
    </row>
    <row r="74" spans="1:91" s="680" customFormat="1" ht="25.5" x14ac:dyDescent="0.2">
      <c r="A74" s="681">
        <f ca="1">IFERROR(IF(AUTOEVENTO="Manual",IF(K74&lt;&gt;"",MIN(VALUE(LEFT(K74,FIND(".",K74)-1)),COUNTA(EVENTOS.Lista)),0),IF(OR($B74&gt;AUTOEVENTO,$B74="S",$B74=0),SUBSTITUTE(OFFSET($A74,-1,0),IF($D74="Serviço",".",""),""),$L74&amp;".")),0)</f>
        <v>19</v>
      </c>
      <c r="B74" s="681" t="str">
        <f ca="1">OFFSET(ORÇAMENTO!C$15,$L74,0)</f>
        <v>S</v>
      </c>
      <c r="C74" s="681" t="str">
        <f ca="1">OFFSET(ORÇAMENTO!L$15,$L74,0)</f>
        <v>F</v>
      </c>
      <c r="D74" s="686" t="str">
        <f ca="1">OFFSET(ORÇAMENTO!N$15,$L74,0)</f>
        <v>Serviço</v>
      </c>
      <c r="E74" s="687" t="str">
        <f ca="1">OFFSET(ORÇAMENTO!O$15,$L74,0)</f>
        <v>1.9.10.</v>
      </c>
      <c r="F74" s="699" t="str">
        <f ca="1">OFFSET(ORÇAMENTO!R$15,$L74,0)</f>
        <v>MONTAGEM DE CONEXÕES DE FERRO FUNDIDO, COM FLANGES, DIAM.= 200 MM. INC_05/2020</v>
      </c>
      <c r="G74" s="700">
        <f ca="1">IF($D74&lt;&gt;"Serviço","",OFFSET(ORÇAMENTO!S$15,$L74,0))</f>
        <v>0</v>
      </c>
      <c r="H74" s="692" cm="1">
        <f t="array" aca="1" ref="H74" ca="1">IF($D74&lt;&gt;"Serviço",0,IF(ACOMPANHAMENTO="BM",ROUND(OFFSET(ORÇAMENTO!AJ$15,$L74,0),15-13*ORÇAMENTO!$AF$7),IF(IFERROR(CÁLCULO.FrentesPreenchidas,0)=0,0,SUM(ROUND(OFFSET($P74,0,1,1,CÁLCULO.FrentesPreenchidas),15-13*ORÇAMENTO!$AF$7)))))</f>
        <v>75</v>
      </c>
      <c r="I74" s="720" t="s">
        <v>1240</v>
      </c>
      <c r="J74" s="724" t="str" cm="1">
        <f t="array" aca="1" ref="J74" ca="1">IF(OR(B74&lt;&gt;"S",CÁLCULO.FrentesPreenchidas=0),"",IF(AND(ACOMPANHAMENTO="PLE",AUTOEVENTO="Manual",OR(H74&gt;0,ORÇAMENTO!AC74="QUANT."),OR(K74="",M74=0,N74="")),"►E",IF(AND(ACOMPANHAMENTO="PLE",ORÇAMENTO!AC74="QUANT."),"►Q",IF(AND(ACOMPANHAMENTO="PLE",H74&lt;&gt;SUMPRODUCT(($Q$1:$AI$1=1)*ROUND(Q74:AI74,15))),"►S",IF(AND(COUNTIF($P$11:$AI$11,"▼")=0,H74&gt;0,I74=""),"◄M","")))))</f>
        <v/>
      </c>
      <c r="K74" s="652" t="s">
        <v>1350</v>
      </c>
      <c r="L74" s="701">
        <f ca="1">OFFSET(L74,-1,0)+1</f>
        <v>59</v>
      </c>
      <c r="M74" s="702">
        <f ca="1">IF($D74&lt;&gt;"Serviço","",
          IF(AUTOEVENTO="manual",$A74,
                IF(ISERROR(MATCH($A74,$A$15:OFFSET($A74,-1,0),0)),MAX($M$15:OFFSET(M74,-1,0))+1,
                      INDEX($M$15:OFFSET(M74,-1,0),MATCH($A74,$A$15:OFFSET($A74,-1,0),0)))))</f>
        <v>19</v>
      </c>
      <c r="N74" s="703" t="str">
        <f ca="1">IF($D74&lt;&gt;"Serviço","",
         IF(AUTOEVENTO="Manual",
                IF($A74=0,"&lt;-- defina o número do agrupador",
                       OFFSET(EVENTOS!$D$15,$A74-$A$15,0)),
                OFFSET($F$15,$A74,0)))</f>
        <v>Rede de água - assentamento de tubos</v>
      </c>
      <c r="O74" s="704"/>
      <c r="Q74" s="704"/>
      <c r="R74" s="705"/>
      <c r="S74" s="705"/>
      <c r="T74" s="705"/>
      <c r="U74" s="705">
        <v>75</v>
      </c>
      <c r="V74" s="705"/>
      <c r="W74" s="705"/>
      <c r="X74" s="705"/>
      <c r="Y74" s="705"/>
      <c r="Z74" s="706"/>
      <c r="AA74" s="705"/>
      <c r="AB74" s="705"/>
      <c r="AC74" s="705"/>
      <c r="AD74" s="705"/>
      <c r="AE74" s="705"/>
      <c r="AF74" s="705"/>
      <c r="AG74" s="705"/>
      <c r="AH74" s="706"/>
      <c r="AJ74" s="453">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53">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L74" s="453">
        <f ca="1">IF(AND($D74="Serviço",AL$12&lt;&gt;0,$H74&gt;0,OR(AUTOEVENTO&lt;&gt;"manual",$M74&lt;&gt;$A$15)),
        IF(Import.TipoArredondamento&lt;&gt;"TransfereGOV",
              ROUND(OFFSET($P74,0,AL$13),15-13*ORÇAMENTO!$AF$7)/$H74*OFFSET(ORÇAMENTO!$X$15,ROW(AL74)-ROW(AL$15),0),
              ROUND(ROUND(OFFSET($P74,0,AL$13),15-13*ORÇAMENTO!$AF$7)*OFFSET(ORÇAMENTO!$W$15,ROW(AL74)-ROW(AL$15),0),15-13*ORÇAMENTO!$AF$11)),
         0)</f>
        <v>0</v>
      </c>
      <c r="AM74" s="453">
        <f ca="1">IF(AND($D74="Serviço",AM$12&lt;&gt;0,$H74&gt;0,OR(AUTOEVENTO&lt;&gt;"manual",$M74&lt;&gt;$A$15)),
        IF(Import.TipoArredondamento&lt;&gt;"TransfereGOV",
              ROUND(OFFSET($P74,0,AM$13),15-13*ORÇAMENTO!$AF$7)/$H74*OFFSET(ORÇAMENTO!$X$15,ROW(AM74)-ROW(AM$15),0),
              ROUND(ROUND(OFFSET($P74,0,AM$13),15-13*ORÇAMENTO!$AF$7)*OFFSET(ORÇAMENTO!$W$15,ROW(AM74)-ROW(AM$15),0),15-13*ORÇAMENTO!$AF$11)),
         0)</f>
        <v>0</v>
      </c>
      <c r="AN74" s="453">
        <f ca="1">IF(AND($D74="Serviço",AN$12&lt;&gt;0,$H74&gt;0,OR(AUTOEVENTO&lt;&gt;"manual",$M74&lt;&gt;$A$15)),
        IF(Import.TipoArredondamento&lt;&gt;"TransfereGOV",
              ROUND(OFFSET($P74,0,AN$13),15-13*ORÇAMENTO!$AF$7)/$H74*OFFSET(ORÇAMENTO!$X$15,ROW(AN74)-ROW(AN$15),0),
              ROUND(ROUND(OFFSET($P74,0,AN$13),15-13*ORÇAMENTO!$AF$7)*OFFSET(ORÇAMENTO!$W$15,ROW(AN74)-ROW(AN$15),0),15-13*ORÇAMENTO!$AF$11)),
         0)</f>
        <v>1968</v>
      </c>
      <c r="AO74" s="453">
        <f ca="1">IF(AND($D74="Serviço",AO$12&lt;&gt;0,$H74&gt;0,OR(AUTOEVENTO&lt;&gt;"manual",$M74&lt;&gt;$A$15)),
        IF(Import.TipoArredondamento&lt;&gt;"TransfereGOV",
              ROUND(OFFSET($P74,0,AO$13),15-13*ORÇAMENTO!$AF$7)/$H74*OFFSET(ORÇAMENTO!$X$15,ROW(AO74)-ROW(AO$15),0),
              ROUND(ROUND(OFFSET($P74,0,AO$13),15-13*ORÇAMENTO!$AF$7)*OFFSET(ORÇAMENTO!$W$15,ROW(AO74)-ROW(AO$15),0),15-13*ORÇAMENTO!$AF$11)),
         0)</f>
        <v>0</v>
      </c>
      <c r="AP74" s="453">
        <f ca="1">IF(AND($D74="Serviço",AP$12&lt;&gt;0,$H74&gt;0,OR(AUTOEVENTO&lt;&gt;"manual",$M74&lt;&gt;$A$15)),
        IF(Import.TipoArredondamento&lt;&gt;"TransfereGOV",
              ROUND(OFFSET($P74,0,AP$13),15-13*ORÇAMENTO!$AF$7)/$H74*OFFSET(ORÇAMENTO!$X$15,ROW(AP74)-ROW(AP$15),0),
              ROUND(ROUND(OFFSET($P74,0,AP$13),15-13*ORÇAMENTO!$AF$7)*OFFSET(ORÇAMENTO!$W$15,ROW(AP74)-ROW(AP$15),0),15-13*ORÇAMENTO!$AF$11)),
         0)</f>
        <v>0</v>
      </c>
      <c r="AQ74" s="453">
        <f ca="1">IF(AND($D74="Serviço",AQ$12&lt;&gt;0,$H74&gt;0,OR(AUTOEVENTO&lt;&gt;"manual",$M74&lt;&gt;$A$15)),
        IF(Import.TipoArredondamento&lt;&gt;"TransfereGOV",
              ROUND(OFFSET($P74,0,AQ$13),15-13*ORÇAMENTO!$AF$7)/$H74*OFFSET(ORÇAMENTO!$X$15,ROW(AQ74)-ROW(AQ$15),0),
              ROUND(ROUND(OFFSET($P74,0,AQ$13),15-13*ORÇAMENTO!$AF$7)*OFFSET(ORÇAMENTO!$W$15,ROW(AQ74)-ROW(AQ$15),0),15-13*ORÇAMENTO!$AF$11)),
         0)</f>
        <v>0</v>
      </c>
      <c r="AR74" s="453">
        <f ca="1">IF(AND($D74="Serviço",AR$12&lt;&gt;0,$H74&gt;0,OR(AUTOEVENTO&lt;&gt;"manual",$M74&lt;&gt;$A$15)),
        IF(Import.TipoArredondamento&lt;&gt;"TransfereGOV",
              ROUND(OFFSET($P74,0,AR$13),15-13*ORÇAMENTO!$AF$7)/$H74*OFFSET(ORÇAMENTO!$X$15,ROW(AR74)-ROW(AR$15),0),
              ROUND(ROUND(OFFSET($P74,0,AR$13),15-13*ORÇAMENTO!$AF$7)*OFFSET(ORÇAMENTO!$W$15,ROW(AR74)-ROW(AR$15),0),15-13*ORÇAMENTO!$AF$11)),
         0)</f>
        <v>0</v>
      </c>
      <c r="AS74" s="453">
        <f ca="1">IF(AND($D74="Serviço",AS$12&lt;&gt;0,$H74&gt;0,OR(AUTOEVENTO&lt;&gt;"manual",$M74&lt;&gt;$A$15)),
        IF(Import.TipoArredondamento&lt;&gt;"TransfereGOV",
              ROUND(OFFSET($P74,0,AS$13),15-13*ORÇAMENTO!$AF$7)/$H74*OFFSET(ORÇAMENTO!$X$15,ROW(AS74)-ROW(AS$15),0),
              ROUND(ROUND(OFFSET($P74,0,AS$13),15-13*ORÇAMENTO!$AF$7)*OFFSET(ORÇAMENTO!$W$15,ROW(AS74)-ROW(AS$15),0),15-13*ORÇAMENTO!$AF$11)),
         0)</f>
        <v>0</v>
      </c>
      <c r="AT74" s="453">
        <f ca="1">IF(AND($D74="Serviço",AT$12&lt;&gt;0,$H74&gt;0,OR(AUTOEVENTO&lt;&gt;"manual",$M74&lt;&gt;$A$15)),
        IF(Import.TipoArredondamento&lt;&gt;"TransfereGOV",
              ROUND(OFFSET($P74,0,AT$13),15-13*ORÇAMENTO!$AF$7)/$H74*OFFSET(ORÇAMENTO!$X$15,ROW(AT74)-ROW(AT$15),0),
              ROUND(ROUND(OFFSET($P74,0,AT$13),15-13*ORÇAMENTO!$AF$7)*OFFSET(ORÇAMENTO!$W$15,ROW(AT74)-ROW(AT$15),0),15-13*ORÇAMENTO!$AF$11)),
         0)</f>
        <v>0</v>
      </c>
      <c r="AU74" s="453">
        <f ca="1">IF(AND($D74="Serviço",AU$12&lt;&gt;0,$H74&gt;0,OR(AUTOEVENTO&lt;&gt;"manual",$M74&lt;&gt;$A$15)),
        IF(Import.TipoArredondamento&lt;&gt;"TransfereGOV",
              ROUND(OFFSET($P74,0,AU$13),15-13*ORÇAMENTO!$AF$7)/$H74*OFFSET(ORÇAMENTO!$X$15,ROW(AU74)-ROW(AU$15),0),
              ROUND(ROUND(OFFSET($P74,0,AU$13),15-13*ORÇAMENTO!$AF$7)*OFFSET(ORÇAMENTO!$W$15,ROW(AU74)-ROW(AU$15),0),15-13*ORÇAMENTO!$AF$11)),
         0)</f>
        <v>0</v>
      </c>
      <c r="AV74" s="453">
        <f ca="1">IF(AND($D74="Serviço",AV$12&lt;&gt;0,$H74&gt;0,OR(AUTOEVENTO&lt;&gt;"manual",$M74&lt;&gt;$A$15)),
        IF(Import.TipoArredondamento&lt;&gt;"TransfereGOV",
              ROUND(OFFSET($P74,0,AV$13),15-13*ORÇAMENTO!$AF$7)/$H74*OFFSET(ORÇAMENTO!$X$15,ROW(AV74)-ROW(AV$15),0),
              ROUND(ROUND(OFFSET($P74,0,AV$13),15-13*ORÇAMENTO!$AF$7)*OFFSET(ORÇAMENTO!$W$15,ROW(AV74)-ROW(AV$15),0),15-13*ORÇAMENTO!$AF$11)),
         0)</f>
        <v>0</v>
      </c>
      <c r="AW74" s="453">
        <f ca="1">IF(AND($D74="Serviço",AW$12&lt;&gt;0,$H74&gt;0,OR(AUTOEVENTO&lt;&gt;"manual",$M74&lt;&gt;$A$15)),
        IF(Import.TipoArredondamento&lt;&gt;"TransfereGOV",
              ROUND(OFFSET($P74,0,AW$13),15-13*ORÇAMENTO!$AF$7)/$H74*OFFSET(ORÇAMENTO!$X$15,ROW(AW74)-ROW(AW$15),0),
              ROUND(ROUND(OFFSET($P74,0,AW$13),15-13*ORÇAMENTO!$AF$7)*OFFSET(ORÇAMENTO!$W$15,ROW(AW74)-ROW(AW$15),0),15-13*ORÇAMENTO!$AF$11)),
         0)</f>
        <v>0</v>
      </c>
      <c r="AX74" s="453">
        <f ca="1">IF(AND($D74="Serviço",AX$12&lt;&gt;0,$H74&gt;0,OR(AUTOEVENTO&lt;&gt;"manual",$M74&lt;&gt;$A$15)),
        IF(Import.TipoArredondamento&lt;&gt;"TransfereGOV",
              ROUND(OFFSET($P74,0,AX$13),15-13*ORÇAMENTO!$AF$7)/$H74*OFFSET(ORÇAMENTO!$X$15,ROW(AX74)-ROW(AX$15),0),
              ROUND(ROUND(OFFSET($P74,0,AX$13),15-13*ORÇAMENTO!$AF$7)*OFFSET(ORÇAMENTO!$W$15,ROW(AX74)-ROW(AX$15),0),15-13*ORÇAMENTO!$AF$11)),
         0)</f>
        <v>0</v>
      </c>
      <c r="AY74" s="453">
        <f ca="1">IF(AND($D74="Serviço",AY$12&lt;&gt;0,$H74&gt;0,OR(AUTOEVENTO&lt;&gt;"manual",$M74&lt;&gt;$A$15)),
        IF(Import.TipoArredondamento&lt;&gt;"TransfereGOV",
              ROUND(OFFSET($P74,0,AY$13),15-13*ORÇAMENTO!$AF$7)/$H74*OFFSET(ORÇAMENTO!$X$15,ROW(AY74)-ROW(AY$15),0),
              ROUND(ROUND(OFFSET($P74,0,AY$13),15-13*ORÇAMENTO!$AF$7)*OFFSET(ORÇAMENTO!$W$15,ROW(AY74)-ROW(AY$15),0),15-13*ORÇAMENTO!$AF$11)),
         0)</f>
        <v>0</v>
      </c>
      <c r="AZ74" s="453">
        <f ca="1">IF(AND($D74="Serviço",AZ$12&lt;&gt;0,$H74&gt;0,OR(AUTOEVENTO&lt;&gt;"manual",$M74&lt;&gt;$A$15)),
        IF(Import.TipoArredondamento&lt;&gt;"TransfereGOV",
              ROUND(OFFSET($P74,0,AZ$13),15-13*ORÇAMENTO!$AF$7)/$H74*OFFSET(ORÇAMENTO!$X$15,ROW(AZ74)-ROW(AZ$15),0),
              ROUND(ROUND(OFFSET($P74,0,AZ$13),15-13*ORÇAMENTO!$AF$7)*OFFSET(ORÇAMENTO!$W$15,ROW(AZ74)-ROW(AZ$15),0),15-13*ORÇAMENTO!$AF$11)),
         0)</f>
        <v>0</v>
      </c>
      <c r="BA74" s="453">
        <f ca="1">IF(AND($D74="Serviço",BA$12&lt;&gt;0,$H74&gt;0,OR(AUTOEVENTO&lt;&gt;"manual",$M74&lt;&gt;$A$15)),
        IF(Import.TipoArredondamento&lt;&gt;"TransfereGOV",
              ROUND(OFFSET($P74,0,BA$13),15-13*ORÇAMENTO!$AF$7)/$H74*OFFSET(ORÇAMENTO!$X$15,ROW(BA74)-ROW(BA$15),0),
              ROUND(ROUND(OFFSET($P74,0,BA$13),15-13*ORÇAMENTO!$AF$7)*OFFSET(ORÇAMENTO!$W$15,ROW(BA74)-ROW(BA$15),0),15-13*ORÇAMENTO!$AF$11)),
         0)</f>
        <v>0</v>
      </c>
      <c r="BC74" s="171">
        <f ca="1">IF(OR($D74&lt;&gt;"Serviço",AND(AUTOEVENTO="Manual",$M74=$A$15)),0,
         IF(OFFSET(CRONOPLE!$F$15,$M74-$A$15,BC$13)=0,10^12,OFFSET(CRONOPLE!$F$15,$M74-$A$15,BC$13)))</f>
        <v>1000000000000</v>
      </c>
      <c r="BD74" s="171">
        <f ca="1">IF(OR($D74&lt;&gt;"Serviço",AND(AUTOEVENTO="Manual",$M74=$A$15)),0,
         IF(OFFSET(CRONOPLE!$F$15,$M74-$A$15,BD$13)=0,10^12,OFFSET(CRONOPLE!$F$15,$M74-$A$15,BD$13)))</f>
        <v>1000000000000</v>
      </c>
      <c r="BE74" s="171">
        <f ca="1">IF(OR($D74&lt;&gt;"Serviço",AND(AUTOEVENTO="Manual",$M74=$A$15)),0,
         IF(OFFSET(CRONOPLE!$F$15,$M74-$A$15,BE$13)=0,10^12,OFFSET(CRONOPLE!$F$15,$M74-$A$15,BE$13)))</f>
        <v>1000000000000</v>
      </c>
      <c r="BF74" s="171">
        <f ca="1">IF(OR($D74&lt;&gt;"Serviço",AND(AUTOEVENTO="Manual",$M74=$A$15)),0,
         IF(OFFSET(CRONOPLE!$F$15,$M74-$A$15,BF$13)=0,10^12,OFFSET(CRONOPLE!$F$15,$M74-$A$15,BF$13)))</f>
        <v>1000000000000</v>
      </c>
      <c r="BG74" s="171">
        <f ca="1">IF(OR($D74&lt;&gt;"Serviço",AND(AUTOEVENTO="Manual",$M74=$A$15)),0,
         IF(OFFSET(CRONOPLE!$F$15,$M74-$A$15,BG$13)=0,10^12,OFFSET(CRONOPLE!$F$15,$M74-$A$15,BG$13)))</f>
        <v>7</v>
      </c>
      <c r="BH74" s="171">
        <f ca="1">IF(OR($D74&lt;&gt;"Serviço",AND(AUTOEVENTO="Manual",$M74=$A$15)),0,
         IF(OFFSET(CRONOPLE!$F$15,$M74-$A$15,BH$13)=0,10^12,OFFSET(CRONOPLE!$F$15,$M74-$A$15,BH$13)))</f>
        <v>1000000000000</v>
      </c>
      <c r="BI74" s="171">
        <f ca="1">IF(OR($D74&lt;&gt;"Serviço",AND(AUTOEVENTO="Manual",$M74=$A$15)),0,
         IF(OFFSET(CRONOPLE!$F$15,$M74-$A$15,BI$13)=0,10^12,OFFSET(CRONOPLE!$F$15,$M74-$A$15,BI$13)))</f>
        <v>1000000000000</v>
      </c>
      <c r="BJ74" s="171">
        <f ca="1">IF(OR($D74&lt;&gt;"Serviço",AND(AUTOEVENTO="Manual",$M74=$A$15)),0,
         IF(OFFSET(CRONOPLE!$F$15,$M74-$A$15,BJ$13)=0,10^12,OFFSET(CRONOPLE!$F$15,$M74-$A$15,BJ$13)))</f>
        <v>1000000000000</v>
      </c>
      <c r="BK74" s="171">
        <f ca="1">IF(OR($D74&lt;&gt;"Serviço",AND(AUTOEVENTO="Manual",$M74=$A$15)),0,
         IF(OFFSET(CRONOPLE!$F$15,$M74-$A$15,BK$13)=0,10^12,OFFSET(CRONOPLE!$F$15,$M74-$A$15,BK$13)))</f>
        <v>1000000000000</v>
      </c>
      <c r="BL74" s="171">
        <f ca="1">IF(OR($D74&lt;&gt;"Serviço",AND(AUTOEVENTO="Manual",$M74=$A$15)),0,
         IF(OFFSET(CRONOPLE!$F$15,$M74-$A$15,BL$13)=0,10^12,OFFSET(CRONOPLE!$F$15,$M74-$A$15,BL$13)))</f>
        <v>1000000000000</v>
      </c>
      <c r="BM74" s="171">
        <f ca="1">IF(OR($D74&lt;&gt;"Serviço",AND(AUTOEVENTO="Manual",$M74=$A$15)),0,
         IF(OFFSET(CRONOPLE!$F$15,$M74-$A$15,BM$13)=0,10^12,OFFSET(CRONOPLE!$F$15,$M74-$A$15,BM$13)))</f>
        <v>1000000000000</v>
      </c>
      <c r="BN74" s="171">
        <f ca="1">IF(OR($D74&lt;&gt;"Serviço",AND(AUTOEVENTO="Manual",$M74=$A$15)),0,
         IF(OFFSET(CRONOPLE!$F$15,$M74-$A$15,BN$13)=0,10^12,OFFSET(CRONOPLE!$F$15,$M74-$A$15,BN$13)))</f>
        <v>1000000000000</v>
      </c>
      <c r="BO74" s="171">
        <f ca="1">IF(OR($D74&lt;&gt;"Serviço",AND(AUTOEVENTO="Manual",$M74=$A$15)),0,
         IF(OFFSET(CRONOPLE!$F$15,$M74-$A$15,BO$13)=0,10^12,OFFSET(CRONOPLE!$F$15,$M74-$A$15,BO$13)))</f>
        <v>1000000000000</v>
      </c>
      <c r="BP74" s="171">
        <f ca="1">IF(OR($D74&lt;&gt;"Serviço",AND(AUTOEVENTO="Manual",$M74=$A$15)),0,
         IF(OFFSET(CRONOPLE!$F$15,$M74-$A$15,BP$13)=0,10^12,OFFSET(CRONOPLE!$F$15,$M74-$A$15,BP$13)))</f>
        <v>1000000000000</v>
      </c>
      <c r="BQ74" s="171">
        <f ca="1">IF(OR($D74&lt;&gt;"Serviço",AND(AUTOEVENTO="Manual",$M74=$A$15)),0,
         IF(OFFSET(CRONOPLE!$F$15,$M74-$A$15,BQ$13)=0,10^12,OFFSET(CRONOPLE!$F$15,$M74-$A$15,BQ$13)))</f>
        <v>1000000000000</v>
      </c>
      <c r="BR74" s="171">
        <f ca="1">IF(OR($D74&lt;&gt;"Serviço",AND(AUTOEVENTO="Manual",$M74=$A$15)),0,
         IF(OFFSET(CRONOPLE!$F$15,$M74-$A$15,BR$13)=0,10^12,OFFSET(CRONOPLE!$F$15,$M74-$A$15,BR$13)))</f>
        <v>1000000000000</v>
      </c>
      <c r="BS74" s="171">
        <f ca="1">IF(OR($D74&lt;&gt;"Serviço",AND(AUTOEVENTO="Manual",$M74=$A$15)),0,
         IF(OFFSET(CRONOPLE!$F$15,$M74-$A$15,BS$13)=0,10^12,OFFSET(CRONOPLE!$F$15,$M74-$A$15,BS$13)))</f>
        <v>1000000000000</v>
      </c>
      <c r="BT74" s="171">
        <f ca="1">IF(OR($D74&lt;&gt;"Serviço",AND(AUTOEVENTO="Manual",$M74=$A$15)),0,
         IF(OFFSET(CRONOPLE!$F$15,$M74-$A$15,BT$13)=0,10^12,OFFSET(CRONOPLE!$F$15,$M74-$A$15,BT$13)))</f>
        <v>1000000000000</v>
      </c>
      <c r="BV74" s="172" cm="1">
        <f t="array" aca="1" ref="BV74" ca="1">IF(OR($D74&lt;&gt;"Serviço",AND(AUTOEVENTO="Manual",$M74=$A$15),$M74&gt;(ROW(PLE.lastrow)-ROW(PLE.firstrow))),0,
           IF(OFFSET(PLE!$G$15,$M74-$A$15,BV$13)="",10^12,OFFSET(PLE!$G$15,$M74-$A$15,BV$13)))</f>
        <v>1000000000000</v>
      </c>
      <c r="BW74" s="172" cm="1">
        <f t="array" aca="1" ref="BW74" ca="1">IF(OR($D74&lt;&gt;"Serviço",AND(AUTOEVENTO="Manual",$M74=$A$15),$M74&gt;(ROW(PLE.lastrow)-ROW(PLE.firstrow))),0,
           IF(OFFSET(PLE!$G$15,$M74-$A$15,BW$13)="",10^12,OFFSET(PLE!$G$15,$M74-$A$15,BW$13)))</f>
        <v>1000000000000</v>
      </c>
      <c r="BX74" s="172" cm="1">
        <f t="array" aca="1" ref="BX74" ca="1">IF(OR($D74&lt;&gt;"Serviço",AND(AUTOEVENTO="Manual",$M74=$A$15),$M74&gt;(ROW(PLE.lastrow)-ROW(PLE.firstrow))),0,
           IF(OFFSET(PLE!$G$15,$M74-$A$15,BX$13)="",10^12,OFFSET(PLE!$G$15,$M74-$A$15,BX$13)))</f>
        <v>1000000000000</v>
      </c>
      <c r="BY74" s="172" cm="1">
        <f t="array" aca="1" ref="BY74" ca="1">IF(OR($D74&lt;&gt;"Serviço",AND(AUTOEVENTO="Manual",$M74=$A$15),$M74&gt;(ROW(PLE.lastrow)-ROW(PLE.firstrow))),0,
           IF(OFFSET(PLE!$G$15,$M74-$A$15,BY$13)="",10^12,OFFSET(PLE!$G$15,$M74-$A$15,BY$13)))</f>
        <v>1000000000000</v>
      </c>
      <c r="BZ74" s="172" cm="1">
        <f t="array" aca="1" ref="BZ74" ca="1">IF(OR($D74&lt;&gt;"Serviço",AND(AUTOEVENTO="Manual",$M74=$A$15),$M74&gt;(ROW(PLE.lastrow)-ROW(PLE.firstrow))),0,
           IF(OFFSET(PLE!$G$15,$M74-$A$15,BZ$13)="",10^12,OFFSET(PLE!$G$15,$M74-$A$15,BZ$13)))</f>
        <v>1000000000000</v>
      </c>
      <c r="CA74" s="172" cm="1">
        <f t="array" aca="1" ref="CA74" ca="1">IF(OR($D74&lt;&gt;"Serviço",AND(AUTOEVENTO="Manual",$M74=$A$15),$M74&gt;(ROW(PLE.lastrow)-ROW(PLE.firstrow))),0,
           IF(OFFSET(PLE!$G$15,$M74-$A$15,CA$13)="",10^12,OFFSET(PLE!$G$15,$M74-$A$15,CA$13)))</f>
        <v>1000000000000</v>
      </c>
      <c r="CB74" s="172" cm="1">
        <f t="array" aca="1" ref="CB74" ca="1">IF(OR($D74&lt;&gt;"Serviço",AND(AUTOEVENTO="Manual",$M74=$A$15),$M74&gt;(ROW(PLE.lastrow)-ROW(PLE.firstrow))),0,
           IF(OFFSET(PLE!$G$15,$M74-$A$15,CB$13)="",10^12,OFFSET(PLE!$G$15,$M74-$A$15,CB$13)))</f>
        <v>1000000000000</v>
      </c>
      <c r="CC74" s="172" cm="1">
        <f t="array" aca="1" ref="CC74" ca="1">IF(OR($D74&lt;&gt;"Serviço",AND(AUTOEVENTO="Manual",$M74=$A$15),$M74&gt;(ROW(PLE.lastrow)-ROW(PLE.firstrow))),0,
           IF(OFFSET(PLE!$G$15,$M74-$A$15,CC$13)="",10^12,OFFSET(PLE!$G$15,$M74-$A$15,CC$13)))</f>
        <v>1000000000000</v>
      </c>
      <c r="CD74" s="172" cm="1">
        <f t="array" aca="1" ref="CD74" ca="1">IF(OR($D74&lt;&gt;"Serviço",AND(AUTOEVENTO="Manual",$M74=$A$15),$M74&gt;(ROW(PLE.lastrow)-ROW(PLE.firstrow))),0,
           IF(OFFSET(PLE!$G$15,$M74-$A$15,CD$13)="",10^12,OFFSET(PLE!$G$15,$M74-$A$15,CD$13)))</f>
        <v>1000000000000</v>
      </c>
      <c r="CE74" s="172" cm="1">
        <f t="array" aca="1" ref="CE74" ca="1">IF(OR($D74&lt;&gt;"Serviço",AND(AUTOEVENTO="Manual",$M74=$A$15),$M74&gt;(ROW(PLE.lastrow)-ROW(PLE.firstrow))),0,
           IF(OFFSET(PLE!$G$15,$M74-$A$15,CE$13)="",10^12,OFFSET(PLE!$G$15,$M74-$A$15,CE$13)))</f>
        <v>1000000000000</v>
      </c>
      <c r="CF74" s="172" cm="1">
        <f t="array" aca="1" ref="CF74" ca="1">IF(OR($D74&lt;&gt;"Serviço",AND(AUTOEVENTO="Manual",$M74=$A$15),$M74&gt;(ROW(PLE.lastrow)-ROW(PLE.firstrow))),0,
           IF(OFFSET(PLE!$G$15,$M74-$A$15,CF$13)="",10^12,OFFSET(PLE!$G$15,$M74-$A$15,CF$13)))</f>
        <v>1000000000000</v>
      </c>
      <c r="CG74" s="172" cm="1">
        <f t="array" aca="1" ref="CG74" ca="1">IF(OR($D74&lt;&gt;"Serviço",AND(AUTOEVENTO="Manual",$M74=$A$15),$M74&gt;(ROW(PLE.lastrow)-ROW(PLE.firstrow))),0,
           IF(OFFSET(PLE!$G$15,$M74-$A$15,CG$13)="",10^12,OFFSET(PLE!$G$15,$M74-$A$15,CG$13)))</f>
        <v>1000000000000</v>
      </c>
      <c r="CH74" s="172" cm="1">
        <f t="array" aca="1" ref="CH74" ca="1">IF(OR($D74&lt;&gt;"Serviço",AND(AUTOEVENTO="Manual",$M74=$A$15),$M74&gt;(ROW(PLE.lastrow)-ROW(PLE.firstrow))),0,
           IF(OFFSET(PLE!$G$15,$M74-$A$15,CH$13)="",10^12,OFFSET(PLE!$G$15,$M74-$A$15,CH$13)))</f>
        <v>1000000000000</v>
      </c>
      <c r="CI74" s="172" cm="1">
        <f t="array" aca="1" ref="CI74" ca="1">IF(OR($D74&lt;&gt;"Serviço",AND(AUTOEVENTO="Manual",$M74=$A$15),$M74&gt;(ROW(PLE.lastrow)-ROW(PLE.firstrow))),0,
           IF(OFFSET(PLE!$G$15,$M74-$A$15,CI$13)="",10^12,OFFSET(PLE!$G$15,$M74-$A$15,CI$13)))</f>
        <v>1000000000000</v>
      </c>
      <c r="CJ74" s="172" cm="1">
        <f t="array" aca="1" ref="CJ74" ca="1">IF(OR($D74&lt;&gt;"Serviço",AND(AUTOEVENTO="Manual",$M74=$A$15),$M74&gt;(ROW(PLE.lastrow)-ROW(PLE.firstrow))),0,
           IF(OFFSET(PLE!$G$15,$M74-$A$15,CJ$13)="",10^12,OFFSET(PLE!$G$15,$M74-$A$15,CJ$13)))</f>
        <v>1000000000000</v>
      </c>
      <c r="CK74" s="172" cm="1">
        <f t="array" aca="1" ref="CK74" ca="1">IF(OR($D74&lt;&gt;"Serviço",AND(AUTOEVENTO="Manual",$M74=$A$15),$M74&gt;(ROW(PLE.lastrow)-ROW(PLE.firstrow))),0,
           IF(OFFSET(PLE!$G$15,$M74-$A$15,CK$13)="",10^12,OFFSET(PLE!$G$15,$M74-$A$15,CK$13)))</f>
        <v>1000000000000</v>
      </c>
      <c r="CL74" s="172" cm="1">
        <f t="array" aca="1" ref="CL74" ca="1">IF(OR($D74&lt;&gt;"Serviço",AND(AUTOEVENTO="Manual",$M74=$A$15),$M74&gt;(ROW(PLE.lastrow)-ROW(PLE.firstrow))),0,
           IF(OFFSET(PLE!$G$15,$M74-$A$15,CL$13)="",10^12,OFFSET(PLE!$G$15,$M74-$A$15,CL$13)))</f>
        <v>1000000000000</v>
      </c>
      <c r="CM74" s="172" cm="1">
        <f t="array" aca="1" ref="CM74" ca="1">IF(OR($D74&lt;&gt;"Serviço",AND(AUTOEVENTO="Manual",$M74=$A$15),$M74&gt;(ROW(PLE.lastrow)-ROW(PLE.firstrow))),0,
           IF(OFFSET(PLE!$G$15,$M74-$A$15,CM$13)="",10^12,OFFSET(PLE!$G$15,$M74-$A$15,CM$13)))</f>
        <v>1000000000000</v>
      </c>
    </row>
    <row r="75" spans="1:91" s="673" customFormat="1" ht="12.75" x14ac:dyDescent="0.2">
      <c r="A75" s="671">
        <f ca="1">IFERROR(IF(AUTOEVENTO="Manual",IF(K75&lt;&gt;"",MIN(VALUE(LEFT(K75,FIND(".",K75)-1)),COUNTA(EVENTOS.Lista)),0),IF(OR($B75&gt;AUTOEVENTO,$B75="S",$B75=0),SUBSTITUTE(OFFSET($A75,-1,0),IF($D75="Serviço",".",""),""),$L75&amp;".")),0)</f>
        <v>3</v>
      </c>
      <c r="B75" s="671">
        <f ca="1">OFFSET(ORÇAMENTO!C$15,$L75,0)</f>
        <v>2</v>
      </c>
      <c r="C75" s="671" t="str">
        <f ca="1">OFFSET(ORÇAMENTO!L$15,$L75,0)</f>
        <v>F</v>
      </c>
      <c r="D75" s="116" t="str">
        <f ca="1">OFFSET(ORÇAMENTO!N$15,$L75,0)</f>
        <v>Nível 2</v>
      </c>
      <c r="E75" s="117" t="str">
        <f ca="1">OFFSET(ORÇAMENTO!O$15,$L75,0)</f>
        <v>1.10.</v>
      </c>
      <c r="F75" s="163" t="str">
        <f ca="1">OFFSET(ORÇAMENTO!R$15,$L75,0)</f>
        <v>ASSENTANDO E MOVIMENTAÇÃO DE TERRA - Adutora de Água Tratada</v>
      </c>
      <c r="G75" s="164" t="str">
        <f ca="1">IF($D75&lt;&gt;"Serviço","",OFFSET(ORÇAMENTO!S$15,$L75,0))</f>
        <v/>
      </c>
      <c r="H75" s="122" cm="1">
        <f t="array" aca="1" ref="H75" ca="1">IF($D75&lt;&gt;"Serviço",0,IF(ACOMPANHAMENTO="BM",ROUND(OFFSET(ORÇAMENTO!AJ$15,$L75,0),15-13*ORÇAMENTO!$AF$7),IF(IFERROR(CÁLCULO.FrentesPreenchidas,0)=0,0,SUM(ROUND(OFFSET($P75,0,1,1,CÁLCULO.FrentesPreenchidas),15-13*ORÇAMENTO!$AF$7)))))</f>
        <v>0</v>
      </c>
      <c r="I75" s="468"/>
      <c r="J75" s="651" t="str" cm="1">
        <f t="array" aca="1" ref="J75" ca="1">IF(OR(B75&lt;&gt;"S",CÁLCULO.FrentesPreenchidas=0),"",IF(AND(ACOMPANHAMENTO="PLE",AUTOEVENTO="Manual",OR(H75&gt;0,ORÇAMENTO!AC75="QUANT."),OR(K75="",M75=0,N75="")),"►E",IF(AND(ACOMPANHAMENTO="PLE",ORÇAMENTO!AC75="QUANT."),"►Q",IF(AND(ACOMPANHAMENTO="PLE",H75&lt;&gt;SUMPRODUCT(($Q$1:$AI$1=1)*ROUND(Q75:AI75,15))),"►S",IF(AND(COUNTIF($P$11:$AI$11,"▼")=0,H75&gt;0,I75=""),"◄M","")))))</f>
        <v/>
      </c>
      <c r="K75" s="652" t="s">
        <v>1272</v>
      </c>
      <c r="L75" s="165">
        <f ca="1">OFFSET(L75,-1,0)+1</f>
        <v>60</v>
      </c>
      <c r="M75" s="166" t="str">
        <f ca="1">IF($D75&lt;&gt;"Serviço","",
          IF(AUTOEVENTO="manual",$A75,
                IF(ISERROR(MATCH($A75,$A$15:OFFSET($A75,-1,0),0)),MAX($M$15:OFFSET(M75,-1,0))+1,
                      INDEX($M$15:OFFSET(M75,-1,0),MATCH($A75,$A$15:OFFSET($A75,-1,0),0)))))</f>
        <v/>
      </c>
      <c r="N75" s="167" t="str">
        <f ca="1">IF($D75&lt;&gt;"Serviço","",
         IF(AUTOEVENTO="Manual",
                IF($A75=0,"&lt;-- defina o número do agrupador",
                       OFFSET(EVENTOS!$D$15,$A75-$A$15,0)),
                OFFSET($F$15,$A75,0)))</f>
        <v/>
      </c>
      <c r="O75" s="168"/>
      <c r="Q75" s="168"/>
      <c r="R75" s="169"/>
      <c r="S75" s="169"/>
      <c r="T75" s="169"/>
      <c r="U75" s="169"/>
      <c r="V75" s="169"/>
      <c r="W75" s="169"/>
      <c r="X75" s="169"/>
      <c r="Y75" s="169"/>
      <c r="Z75" s="170"/>
      <c r="AA75" s="705"/>
      <c r="AB75" s="705"/>
      <c r="AC75" s="705"/>
      <c r="AD75" s="705"/>
      <c r="AE75" s="705"/>
      <c r="AF75" s="705"/>
      <c r="AG75" s="705"/>
      <c r="AH75" s="706"/>
      <c r="AJ75" s="453">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3">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L75" s="453">
        <f ca="1">IF(AND($D75="Serviço",AL$12&lt;&gt;0,$H75&gt;0,OR(AUTOEVENTO&lt;&gt;"manual",$M75&lt;&gt;$A$15)),
        IF(Import.TipoArredondamento&lt;&gt;"TransfereGOV",
              ROUND(OFFSET($P75,0,AL$13),15-13*ORÇAMENTO!$AF$7)/$H75*OFFSET(ORÇAMENTO!$X$15,ROW(AL75)-ROW(AL$15),0),
              ROUND(ROUND(OFFSET($P75,0,AL$13),15-13*ORÇAMENTO!$AF$7)*OFFSET(ORÇAMENTO!$W$15,ROW(AL75)-ROW(AL$15),0),15-13*ORÇAMENTO!$AF$11)),
         0)</f>
        <v>0</v>
      </c>
      <c r="AM75" s="453">
        <f ca="1">IF(AND($D75="Serviço",AM$12&lt;&gt;0,$H75&gt;0,OR(AUTOEVENTO&lt;&gt;"manual",$M75&lt;&gt;$A$15)),
        IF(Import.TipoArredondamento&lt;&gt;"TransfereGOV",
              ROUND(OFFSET($P75,0,AM$13),15-13*ORÇAMENTO!$AF$7)/$H75*OFFSET(ORÇAMENTO!$X$15,ROW(AM75)-ROW(AM$15),0),
              ROUND(ROUND(OFFSET($P75,0,AM$13),15-13*ORÇAMENTO!$AF$7)*OFFSET(ORÇAMENTO!$W$15,ROW(AM75)-ROW(AM$15),0),15-13*ORÇAMENTO!$AF$11)),
         0)</f>
        <v>0</v>
      </c>
      <c r="AN75" s="453">
        <f ca="1">IF(AND($D75="Serviço",AN$12&lt;&gt;0,$H75&gt;0,OR(AUTOEVENTO&lt;&gt;"manual",$M75&lt;&gt;$A$15)),
        IF(Import.TipoArredondamento&lt;&gt;"TransfereGOV",
              ROUND(OFFSET($P75,0,AN$13),15-13*ORÇAMENTO!$AF$7)/$H75*OFFSET(ORÇAMENTO!$X$15,ROW(AN75)-ROW(AN$15),0),
              ROUND(ROUND(OFFSET($P75,0,AN$13),15-13*ORÇAMENTO!$AF$7)*OFFSET(ORÇAMENTO!$W$15,ROW(AN75)-ROW(AN$15),0),15-13*ORÇAMENTO!$AF$11)),
         0)</f>
        <v>0</v>
      </c>
      <c r="AO75" s="453">
        <f ca="1">IF(AND($D75="Serviço",AO$12&lt;&gt;0,$H75&gt;0,OR(AUTOEVENTO&lt;&gt;"manual",$M75&lt;&gt;$A$15)),
        IF(Import.TipoArredondamento&lt;&gt;"TransfereGOV",
              ROUND(OFFSET($P75,0,AO$13),15-13*ORÇAMENTO!$AF$7)/$H75*OFFSET(ORÇAMENTO!$X$15,ROW(AO75)-ROW(AO$15),0),
              ROUND(ROUND(OFFSET($P75,0,AO$13),15-13*ORÇAMENTO!$AF$7)*OFFSET(ORÇAMENTO!$W$15,ROW(AO75)-ROW(AO$15),0),15-13*ORÇAMENTO!$AF$11)),
         0)</f>
        <v>0</v>
      </c>
      <c r="AP75" s="453">
        <f ca="1">IF(AND($D75="Serviço",AP$12&lt;&gt;0,$H75&gt;0,OR(AUTOEVENTO&lt;&gt;"manual",$M75&lt;&gt;$A$15)),
        IF(Import.TipoArredondamento&lt;&gt;"TransfereGOV",
              ROUND(OFFSET($P75,0,AP$13),15-13*ORÇAMENTO!$AF$7)/$H75*OFFSET(ORÇAMENTO!$X$15,ROW(AP75)-ROW(AP$15),0),
              ROUND(ROUND(OFFSET($P75,0,AP$13),15-13*ORÇAMENTO!$AF$7)*OFFSET(ORÇAMENTO!$W$15,ROW(AP75)-ROW(AP$15),0),15-13*ORÇAMENTO!$AF$11)),
         0)</f>
        <v>0</v>
      </c>
      <c r="AQ75" s="453">
        <f ca="1">IF(AND($D75="Serviço",AQ$12&lt;&gt;0,$H75&gt;0,OR(AUTOEVENTO&lt;&gt;"manual",$M75&lt;&gt;$A$15)),
        IF(Import.TipoArredondamento&lt;&gt;"TransfereGOV",
              ROUND(OFFSET($P75,0,AQ$13),15-13*ORÇAMENTO!$AF$7)/$H75*OFFSET(ORÇAMENTO!$X$15,ROW(AQ75)-ROW(AQ$15),0),
              ROUND(ROUND(OFFSET($P75,0,AQ$13),15-13*ORÇAMENTO!$AF$7)*OFFSET(ORÇAMENTO!$W$15,ROW(AQ75)-ROW(AQ$15),0),15-13*ORÇAMENTO!$AF$11)),
         0)</f>
        <v>0</v>
      </c>
      <c r="AR75" s="453">
        <f ca="1">IF(AND($D75="Serviço",AR$12&lt;&gt;0,$H75&gt;0,OR(AUTOEVENTO&lt;&gt;"manual",$M75&lt;&gt;$A$15)),
        IF(Import.TipoArredondamento&lt;&gt;"TransfereGOV",
              ROUND(OFFSET($P75,0,AR$13),15-13*ORÇAMENTO!$AF$7)/$H75*OFFSET(ORÇAMENTO!$X$15,ROW(AR75)-ROW(AR$15),0),
              ROUND(ROUND(OFFSET($P75,0,AR$13),15-13*ORÇAMENTO!$AF$7)*OFFSET(ORÇAMENTO!$W$15,ROW(AR75)-ROW(AR$15),0),15-13*ORÇAMENTO!$AF$11)),
         0)</f>
        <v>0</v>
      </c>
      <c r="AS75" s="453">
        <f ca="1">IF(AND($D75="Serviço",AS$12&lt;&gt;0,$H75&gt;0,OR(AUTOEVENTO&lt;&gt;"manual",$M75&lt;&gt;$A$15)),
        IF(Import.TipoArredondamento&lt;&gt;"TransfereGOV",
              ROUND(OFFSET($P75,0,AS$13),15-13*ORÇAMENTO!$AF$7)/$H75*OFFSET(ORÇAMENTO!$X$15,ROW(AS75)-ROW(AS$15),0),
              ROUND(ROUND(OFFSET($P75,0,AS$13),15-13*ORÇAMENTO!$AF$7)*OFFSET(ORÇAMENTO!$W$15,ROW(AS75)-ROW(AS$15),0),15-13*ORÇAMENTO!$AF$11)),
         0)</f>
        <v>0</v>
      </c>
      <c r="AT75" s="453">
        <f ca="1">IF(AND($D75="Serviço",AT$12&lt;&gt;0,$H75&gt;0,OR(AUTOEVENTO&lt;&gt;"manual",$M75&lt;&gt;$A$15)),
        IF(Import.TipoArredondamento&lt;&gt;"TransfereGOV",
              ROUND(OFFSET($P75,0,AT$13),15-13*ORÇAMENTO!$AF$7)/$H75*OFFSET(ORÇAMENTO!$X$15,ROW(AT75)-ROW(AT$15),0),
              ROUND(ROUND(OFFSET($P75,0,AT$13),15-13*ORÇAMENTO!$AF$7)*OFFSET(ORÇAMENTO!$W$15,ROW(AT75)-ROW(AT$15),0),15-13*ORÇAMENTO!$AF$11)),
         0)</f>
        <v>0</v>
      </c>
      <c r="AU75" s="453">
        <f ca="1">IF(AND($D75="Serviço",AU$12&lt;&gt;0,$H75&gt;0,OR(AUTOEVENTO&lt;&gt;"manual",$M75&lt;&gt;$A$15)),
        IF(Import.TipoArredondamento&lt;&gt;"TransfereGOV",
              ROUND(OFFSET($P75,0,AU$13),15-13*ORÇAMENTO!$AF$7)/$H75*OFFSET(ORÇAMENTO!$X$15,ROW(AU75)-ROW(AU$15),0),
              ROUND(ROUND(OFFSET($P75,0,AU$13),15-13*ORÇAMENTO!$AF$7)*OFFSET(ORÇAMENTO!$W$15,ROW(AU75)-ROW(AU$15),0),15-13*ORÇAMENTO!$AF$11)),
         0)</f>
        <v>0</v>
      </c>
      <c r="AV75" s="453">
        <f ca="1">IF(AND($D75="Serviço",AV$12&lt;&gt;0,$H75&gt;0,OR(AUTOEVENTO&lt;&gt;"manual",$M75&lt;&gt;$A$15)),
        IF(Import.TipoArredondamento&lt;&gt;"TransfereGOV",
              ROUND(OFFSET($P75,0,AV$13),15-13*ORÇAMENTO!$AF$7)/$H75*OFFSET(ORÇAMENTO!$X$15,ROW(AV75)-ROW(AV$15),0),
              ROUND(ROUND(OFFSET($P75,0,AV$13),15-13*ORÇAMENTO!$AF$7)*OFFSET(ORÇAMENTO!$W$15,ROW(AV75)-ROW(AV$15),0),15-13*ORÇAMENTO!$AF$11)),
         0)</f>
        <v>0</v>
      </c>
      <c r="AW75" s="453">
        <f ca="1">IF(AND($D75="Serviço",AW$12&lt;&gt;0,$H75&gt;0,OR(AUTOEVENTO&lt;&gt;"manual",$M75&lt;&gt;$A$15)),
        IF(Import.TipoArredondamento&lt;&gt;"TransfereGOV",
              ROUND(OFFSET($P75,0,AW$13),15-13*ORÇAMENTO!$AF$7)/$H75*OFFSET(ORÇAMENTO!$X$15,ROW(AW75)-ROW(AW$15),0),
              ROUND(ROUND(OFFSET($P75,0,AW$13),15-13*ORÇAMENTO!$AF$7)*OFFSET(ORÇAMENTO!$W$15,ROW(AW75)-ROW(AW$15),0),15-13*ORÇAMENTO!$AF$11)),
         0)</f>
        <v>0</v>
      </c>
      <c r="AX75" s="453">
        <f ca="1">IF(AND($D75="Serviço",AX$12&lt;&gt;0,$H75&gt;0,OR(AUTOEVENTO&lt;&gt;"manual",$M75&lt;&gt;$A$15)),
        IF(Import.TipoArredondamento&lt;&gt;"TransfereGOV",
              ROUND(OFFSET($P75,0,AX$13),15-13*ORÇAMENTO!$AF$7)/$H75*OFFSET(ORÇAMENTO!$X$15,ROW(AX75)-ROW(AX$15),0),
              ROUND(ROUND(OFFSET($P75,0,AX$13),15-13*ORÇAMENTO!$AF$7)*OFFSET(ORÇAMENTO!$W$15,ROW(AX75)-ROW(AX$15),0),15-13*ORÇAMENTO!$AF$11)),
         0)</f>
        <v>0</v>
      </c>
      <c r="AY75" s="453">
        <f ca="1">IF(AND($D75="Serviço",AY$12&lt;&gt;0,$H75&gt;0,OR(AUTOEVENTO&lt;&gt;"manual",$M75&lt;&gt;$A$15)),
        IF(Import.TipoArredondamento&lt;&gt;"TransfereGOV",
              ROUND(OFFSET($P75,0,AY$13),15-13*ORÇAMENTO!$AF$7)/$H75*OFFSET(ORÇAMENTO!$X$15,ROW(AY75)-ROW(AY$15),0),
              ROUND(ROUND(OFFSET($P75,0,AY$13),15-13*ORÇAMENTO!$AF$7)*OFFSET(ORÇAMENTO!$W$15,ROW(AY75)-ROW(AY$15),0),15-13*ORÇAMENTO!$AF$11)),
         0)</f>
        <v>0</v>
      </c>
      <c r="AZ75" s="453">
        <f ca="1">IF(AND($D75="Serviço",AZ$12&lt;&gt;0,$H75&gt;0,OR(AUTOEVENTO&lt;&gt;"manual",$M75&lt;&gt;$A$15)),
        IF(Import.TipoArredondamento&lt;&gt;"TransfereGOV",
              ROUND(OFFSET($P75,0,AZ$13),15-13*ORÇAMENTO!$AF$7)/$H75*OFFSET(ORÇAMENTO!$X$15,ROW(AZ75)-ROW(AZ$15),0),
              ROUND(ROUND(OFFSET($P75,0,AZ$13),15-13*ORÇAMENTO!$AF$7)*OFFSET(ORÇAMENTO!$W$15,ROW(AZ75)-ROW(AZ$15),0),15-13*ORÇAMENTO!$AF$11)),
         0)</f>
        <v>0</v>
      </c>
      <c r="BA75" s="453">
        <f ca="1">IF(AND($D75="Serviço",BA$12&lt;&gt;0,$H75&gt;0,OR(AUTOEVENTO&lt;&gt;"manual",$M75&lt;&gt;$A$15)),
        IF(Import.TipoArredondamento&lt;&gt;"TransfereGOV",
              ROUND(OFFSET($P75,0,BA$13),15-13*ORÇAMENTO!$AF$7)/$H75*OFFSET(ORÇAMENTO!$X$15,ROW(BA75)-ROW(BA$15),0),
              ROUND(ROUND(OFFSET($P75,0,BA$13),15-13*ORÇAMENTO!$AF$7)*OFFSET(ORÇAMENTO!$W$15,ROW(BA75)-ROW(BA$15),0),15-13*ORÇAMENTO!$AF$11)),
         0)</f>
        <v>0</v>
      </c>
      <c r="BC75" s="171">
        <f ca="1">IF(OR($D75&lt;&gt;"Serviço",AND(AUTOEVENTO="Manual",$M75=$A$15)),0,
         IF(OFFSET(CRONOPLE!$F$15,$M75-$A$15,BC$13)=0,10^12,OFFSET(CRONOPLE!$F$15,$M75-$A$15,BC$13)))</f>
        <v>0</v>
      </c>
      <c r="BD75" s="171">
        <f ca="1">IF(OR($D75&lt;&gt;"Serviço",AND(AUTOEVENTO="Manual",$M75=$A$15)),0,
         IF(OFFSET(CRONOPLE!$F$15,$M75-$A$15,BD$13)=0,10^12,OFFSET(CRONOPLE!$F$15,$M75-$A$15,BD$13)))</f>
        <v>0</v>
      </c>
      <c r="BE75" s="171">
        <f ca="1">IF(OR($D75&lt;&gt;"Serviço",AND(AUTOEVENTO="Manual",$M75=$A$15)),0,
         IF(OFFSET(CRONOPLE!$F$15,$M75-$A$15,BE$13)=0,10^12,OFFSET(CRONOPLE!$F$15,$M75-$A$15,BE$13)))</f>
        <v>0</v>
      </c>
      <c r="BF75" s="171">
        <f ca="1">IF(OR($D75&lt;&gt;"Serviço",AND(AUTOEVENTO="Manual",$M75=$A$15)),0,
         IF(OFFSET(CRONOPLE!$F$15,$M75-$A$15,BF$13)=0,10^12,OFFSET(CRONOPLE!$F$15,$M75-$A$15,BF$13)))</f>
        <v>0</v>
      </c>
      <c r="BG75" s="171">
        <f ca="1">IF(OR($D75&lt;&gt;"Serviço",AND(AUTOEVENTO="Manual",$M75=$A$15)),0,
         IF(OFFSET(CRONOPLE!$F$15,$M75-$A$15,BG$13)=0,10^12,OFFSET(CRONOPLE!$F$15,$M75-$A$15,BG$13)))</f>
        <v>0</v>
      </c>
      <c r="BH75" s="171">
        <f ca="1">IF(OR($D75&lt;&gt;"Serviço",AND(AUTOEVENTO="Manual",$M75=$A$15)),0,
         IF(OFFSET(CRONOPLE!$F$15,$M75-$A$15,BH$13)=0,10^12,OFFSET(CRONOPLE!$F$15,$M75-$A$15,BH$13)))</f>
        <v>0</v>
      </c>
      <c r="BI75" s="171">
        <f ca="1">IF(OR($D75&lt;&gt;"Serviço",AND(AUTOEVENTO="Manual",$M75=$A$15)),0,
         IF(OFFSET(CRONOPLE!$F$15,$M75-$A$15,BI$13)=0,10^12,OFFSET(CRONOPLE!$F$15,$M75-$A$15,BI$13)))</f>
        <v>0</v>
      </c>
      <c r="BJ75" s="171">
        <f ca="1">IF(OR($D75&lt;&gt;"Serviço",AND(AUTOEVENTO="Manual",$M75=$A$15)),0,
         IF(OFFSET(CRONOPLE!$F$15,$M75-$A$15,BJ$13)=0,10^12,OFFSET(CRONOPLE!$F$15,$M75-$A$15,BJ$13)))</f>
        <v>0</v>
      </c>
      <c r="BK75" s="171">
        <f ca="1">IF(OR($D75&lt;&gt;"Serviço",AND(AUTOEVENTO="Manual",$M75=$A$15)),0,
         IF(OFFSET(CRONOPLE!$F$15,$M75-$A$15,BK$13)=0,10^12,OFFSET(CRONOPLE!$F$15,$M75-$A$15,BK$13)))</f>
        <v>0</v>
      </c>
      <c r="BL75" s="171">
        <f ca="1">IF(OR($D75&lt;&gt;"Serviço",AND(AUTOEVENTO="Manual",$M75=$A$15)),0,
         IF(OFFSET(CRONOPLE!$F$15,$M75-$A$15,BL$13)=0,10^12,OFFSET(CRONOPLE!$F$15,$M75-$A$15,BL$13)))</f>
        <v>0</v>
      </c>
      <c r="BM75" s="171">
        <f ca="1">IF(OR($D75&lt;&gt;"Serviço",AND(AUTOEVENTO="Manual",$M75=$A$15)),0,
         IF(OFFSET(CRONOPLE!$F$15,$M75-$A$15,BM$13)=0,10^12,OFFSET(CRONOPLE!$F$15,$M75-$A$15,BM$13)))</f>
        <v>0</v>
      </c>
      <c r="BN75" s="171">
        <f ca="1">IF(OR($D75&lt;&gt;"Serviço",AND(AUTOEVENTO="Manual",$M75=$A$15)),0,
         IF(OFFSET(CRONOPLE!$F$15,$M75-$A$15,BN$13)=0,10^12,OFFSET(CRONOPLE!$F$15,$M75-$A$15,BN$13)))</f>
        <v>0</v>
      </c>
      <c r="BO75" s="171">
        <f ca="1">IF(OR($D75&lt;&gt;"Serviço",AND(AUTOEVENTO="Manual",$M75=$A$15)),0,
         IF(OFFSET(CRONOPLE!$F$15,$M75-$A$15,BO$13)=0,10^12,OFFSET(CRONOPLE!$F$15,$M75-$A$15,BO$13)))</f>
        <v>0</v>
      </c>
      <c r="BP75" s="171">
        <f ca="1">IF(OR($D75&lt;&gt;"Serviço",AND(AUTOEVENTO="Manual",$M75=$A$15)),0,
         IF(OFFSET(CRONOPLE!$F$15,$M75-$A$15,BP$13)=0,10^12,OFFSET(CRONOPLE!$F$15,$M75-$A$15,BP$13)))</f>
        <v>0</v>
      </c>
      <c r="BQ75" s="171">
        <f ca="1">IF(OR($D75&lt;&gt;"Serviço",AND(AUTOEVENTO="Manual",$M75=$A$15)),0,
         IF(OFFSET(CRONOPLE!$F$15,$M75-$A$15,BQ$13)=0,10^12,OFFSET(CRONOPLE!$F$15,$M75-$A$15,BQ$13)))</f>
        <v>0</v>
      </c>
      <c r="BR75" s="171">
        <f ca="1">IF(OR($D75&lt;&gt;"Serviço",AND(AUTOEVENTO="Manual",$M75=$A$15)),0,
         IF(OFFSET(CRONOPLE!$F$15,$M75-$A$15,BR$13)=0,10^12,OFFSET(CRONOPLE!$F$15,$M75-$A$15,BR$13)))</f>
        <v>0</v>
      </c>
      <c r="BS75" s="171">
        <f ca="1">IF(OR($D75&lt;&gt;"Serviço",AND(AUTOEVENTO="Manual",$M75=$A$15)),0,
         IF(OFFSET(CRONOPLE!$F$15,$M75-$A$15,BS$13)=0,10^12,OFFSET(CRONOPLE!$F$15,$M75-$A$15,BS$13)))</f>
        <v>0</v>
      </c>
      <c r="BT75" s="171">
        <f ca="1">IF(OR($D75&lt;&gt;"Serviço",AND(AUTOEVENTO="Manual",$M75=$A$15)),0,
         IF(OFFSET(CRONOPLE!$F$15,$M75-$A$15,BT$13)=0,10^12,OFFSET(CRONOPLE!$F$15,$M75-$A$15,BT$13)))</f>
        <v>0</v>
      </c>
      <c r="BV75" s="172" cm="1">
        <f t="array" aca="1" ref="BV75" ca="1">IF(OR($D75&lt;&gt;"Serviço",AND(AUTOEVENTO="Manual",$M75=$A$15),$M75&gt;(ROW(PLE.lastrow)-ROW(PLE.firstrow))),0,
           IF(OFFSET(PLE!$G$15,$M75-$A$15,BV$13)="",10^12,OFFSET(PLE!$G$15,$M75-$A$15,BV$13)))</f>
        <v>0</v>
      </c>
      <c r="BW75" s="172" cm="1">
        <f t="array" aca="1" ref="BW75" ca="1">IF(OR($D75&lt;&gt;"Serviço",AND(AUTOEVENTO="Manual",$M75=$A$15),$M75&gt;(ROW(PLE.lastrow)-ROW(PLE.firstrow))),0,
           IF(OFFSET(PLE!$G$15,$M75-$A$15,BW$13)="",10^12,OFFSET(PLE!$G$15,$M75-$A$15,BW$13)))</f>
        <v>0</v>
      </c>
      <c r="BX75" s="172" cm="1">
        <f t="array" aca="1" ref="BX75" ca="1">IF(OR($D75&lt;&gt;"Serviço",AND(AUTOEVENTO="Manual",$M75=$A$15),$M75&gt;(ROW(PLE.lastrow)-ROW(PLE.firstrow))),0,
           IF(OFFSET(PLE!$G$15,$M75-$A$15,BX$13)="",10^12,OFFSET(PLE!$G$15,$M75-$A$15,BX$13)))</f>
        <v>0</v>
      </c>
      <c r="BY75" s="172" cm="1">
        <f t="array" aca="1" ref="BY75" ca="1">IF(OR($D75&lt;&gt;"Serviço",AND(AUTOEVENTO="Manual",$M75=$A$15),$M75&gt;(ROW(PLE.lastrow)-ROW(PLE.firstrow))),0,
           IF(OFFSET(PLE!$G$15,$M75-$A$15,BY$13)="",10^12,OFFSET(PLE!$G$15,$M75-$A$15,BY$13)))</f>
        <v>0</v>
      </c>
      <c r="BZ75" s="172" cm="1">
        <f t="array" aca="1" ref="BZ75" ca="1">IF(OR($D75&lt;&gt;"Serviço",AND(AUTOEVENTO="Manual",$M75=$A$15),$M75&gt;(ROW(PLE.lastrow)-ROW(PLE.firstrow))),0,
           IF(OFFSET(PLE!$G$15,$M75-$A$15,BZ$13)="",10^12,OFFSET(PLE!$G$15,$M75-$A$15,BZ$13)))</f>
        <v>0</v>
      </c>
      <c r="CA75" s="172" cm="1">
        <f t="array" aca="1" ref="CA75" ca="1">IF(OR($D75&lt;&gt;"Serviço",AND(AUTOEVENTO="Manual",$M75=$A$15),$M75&gt;(ROW(PLE.lastrow)-ROW(PLE.firstrow))),0,
           IF(OFFSET(PLE!$G$15,$M75-$A$15,CA$13)="",10^12,OFFSET(PLE!$G$15,$M75-$A$15,CA$13)))</f>
        <v>0</v>
      </c>
      <c r="CB75" s="172" cm="1">
        <f t="array" aca="1" ref="CB75" ca="1">IF(OR($D75&lt;&gt;"Serviço",AND(AUTOEVENTO="Manual",$M75=$A$15),$M75&gt;(ROW(PLE.lastrow)-ROW(PLE.firstrow))),0,
           IF(OFFSET(PLE!$G$15,$M75-$A$15,CB$13)="",10^12,OFFSET(PLE!$G$15,$M75-$A$15,CB$13)))</f>
        <v>0</v>
      </c>
      <c r="CC75" s="172" cm="1">
        <f t="array" aca="1" ref="CC75" ca="1">IF(OR($D75&lt;&gt;"Serviço",AND(AUTOEVENTO="Manual",$M75=$A$15),$M75&gt;(ROW(PLE.lastrow)-ROW(PLE.firstrow))),0,
           IF(OFFSET(PLE!$G$15,$M75-$A$15,CC$13)="",10^12,OFFSET(PLE!$G$15,$M75-$A$15,CC$13)))</f>
        <v>0</v>
      </c>
      <c r="CD75" s="172" cm="1">
        <f t="array" aca="1" ref="CD75" ca="1">IF(OR($D75&lt;&gt;"Serviço",AND(AUTOEVENTO="Manual",$M75=$A$15),$M75&gt;(ROW(PLE.lastrow)-ROW(PLE.firstrow))),0,
           IF(OFFSET(PLE!$G$15,$M75-$A$15,CD$13)="",10^12,OFFSET(PLE!$G$15,$M75-$A$15,CD$13)))</f>
        <v>0</v>
      </c>
      <c r="CE75" s="172" cm="1">
        <f t="array" aca="1" ref="CE75" ca="1">IF(OR($D75&lt;&gt;"Serviço",AND(AUTOEVENTO="Manual",$M75=$A$15),$M75&gt;(ROW(PLE.lastrow)-ROW(PLE.firstrow))),0,
           IF(OFFSET(PLE!$G$15,$M75-$A$15,CE$13)="",10^12,OFFSET(PLE!$G$15,$M75-$A$15,CE$13)))</f>
        <v>0</v>
      </c>
      <c r="CF75" s="172" cm="1">
        <f t="array" aca="1" ref="CF75" ca="1">IF(OR($D75&lt;&gt;"Serviço",AND(AUTOEVENTO="Manual",$M75=$A$15),$M75&gt;(ROW(PLE.lastrow)-ROW(PLE.firstrow))),0,
           IF(OFFSET(PLE!$G$15,$M75-$A$15,CF$13)="",10^12,OFFSET(PLE!$G$15,$M75-$A$15,CF$13)))</f>
        <v>0</v>
      </c>
      <c r="CG75" s="172" cm="1">
        <f t="array" aca="1" ref="CG75" ca="1">IF(OR($D75&lt;&gt;"Serviço",AND(AUTOEVENTO="Manual",$M75=$A$15),$M75&gt;(ROW(PLE.lastrow)-ROW(PLE.firstrow))),0,
           IF(OFFSET(PLE!$G$15,$M75-$A$15,CG$13)="",10^12,OFFSET(PLE!$G$15,$M75-$A$15,CG$13)))</f>
        <v>0</v>
      </c>
      <c r="CH75" s="172" cm="1">
        <f t="array" aca="1" ref="CH75" ca="1">IF(OR($D75&lt;&gt;"Serviço",AND(AUTOEVENTO="Manual",$M75=$A$15),$M75&gt;(ROW(PLE.lastrow)-ROW(PLE.firstrow))),0,
           IF(OFFSET(PLE!$G$15,$M75-$A$15,CH$13)="",10^12,OFFSET(PLE!$G$15,$M75-$A$15,CH$13)))</f>
        <v>0</v>
      </c>
      <c r="CI75" s="172" cm="1">
        <f t="array" aca="1" ref="CI75" ca="1">IF(OR($D75&lt;&gt;"Serviço",AND(AUTOEVENTO="Manual",$M75=$A$15),$M75&gt;(ROW(PLE.lastrow)-ROW(PLE.firstrow))),0,
           IF(OFFSET(PLE!$G$15,$M75-$A$15,CI$13)="",10^12,OFFSET(PLE!$G$15,$M75-$A$15,CI$13)))</f>
        <v>0</v>
      </c>
      <c r="CJ75" s="172" cm="1">
        <f t="array" aca="1" ref="CJ75" ca="1">IF(OR($D75&lt;&gt;"Serviço",AND(AUTOEVENTO="Manual",$M75=$A$15),$M75&gt;(ROW(PLE.lastrow)-ROW(PLE.firstrow))),0,
           IF(OFFSET(PLE!$G$15,$M75-$A$15,CJ$13)="",10^12,OFFSET(PLE!$G$15,$M75-$A$15,CJ$13)))</f>
        <v>0</v>
      </c>
      <c r="CK75" s="172" cm="1">
        <f t="array" aca="1" ref="CK75" ca="1">IF(OR($D75&lt;&gt;"Serviço",AND(AUTOEVENTO="Manual",$M75=$A$15),$M75&gt;(ROW(PLE.lastrow)-ROW(PLE.firstrow))),0,
           IF(OFFSET(PLE!$G$15,$M75-$A$15,CK$13)="",10^12,OFFSET(PLE!$G$15,$M75-$A$15,CK$13)))</f>
        <v>0</v>
      </c>
      <c r="CL75" s="172" cm="1">
        <f t="array" aca="1" ref="CL75" ca="1">IF(OR($D75&lt;&gt;"Serviço",AND(AUTOEVENTO="Manual",$M75=$A$15),$M75&gt;(ROW(PLE.lastrow)-ROW(PLE.firstrow))),0,
           IF(OFFSET(PLE!$G$15,$M75-$A$15,CL$13)="",10^12,OFFSET(PLE!$G$15,$M75-$A$15,CL$13)))</f>
        <v>0</v>
      </c>
      <c r="CM75" s="172" cm="1">
        <f t="array" aca="1" ref="CM75" ca="1">IF(OR($D75&lt;&gt;"Serviço",AND(AUTOEVENTO="Manual",$M75=$A$15),$M75&gt;(ROW(PLE.lastrow)-ROW(PLE.firstrow))),0,
           IF(OFFSET(PLE!$G$15,$M75-$A$15,CM$13)="",10^12,OFFSET(PLE!$G$15,$M75-$A$15,CM$13)))</f>
        <v>0</v>
      </c>
    </row>
    <row r="76" spans="1:91" s="670" customFormat="1" ht="63.75" x14ac:dyDescent="0.2">
      <c r="A76" s="668">
        <f t="shared" ca="1" si="12"/>
        <v>7</v>
      </c>
      <c r="B76" s="668" t="str">
        <f ca="1">OFFSET(ORÇAMENTO!C$15,$L76,0)</f>
        <v>S</v>
      </c>
      <c r="C76" s="668" t="str">
        <f ca="1">OFFSET(ORÇAMENTO!L$15,$L76,0)</f>
        <v>F</v>
      </c>
      <c r="D76" s="116" t="str">
        <f ca="1">OFFSET(ORÇAMENTO!N$15,$L76,0)</f>
        <v>Serviço</v>
      </c>
      <c r="E76" s="117" t="str">
        <f ca="1">OFFSET(ORÇAMENTO!O$15,$L76,0)</f>
        <v>1.10.1.</v>
      </c>
      <c r="F76" s="163" t="str">
        <f ca="1">OFFSET(ORÇAMENTO!R$15,$L76,0)</f>
        <v>ESCAVAÇÃO MECANIZADA DE VALA COM PROF. MAIOR QUE 1,5 M ATÉ 3,0 M (MÉDIA MONTANTE E JUSANTE/UMA COMPOSIÇÃO POR TRECHO), RETROESCAV. (0,26 M3), LARGURA DE 0,8 M A 1,5 M, EM SOLO DE 1A CATEGORIA, EM LOCAIS COM ALTO NÍVEL DE INTERFERÊNCIA. AF_09/2024</v>
      </c>
      <c r="G76" s="164" t="str">
        <f ca="1">IF($D76&lt;&gt;"Serviço","",OFFSET(ORÇAMENTO!S$15,$L76,0))</f>
        <v>M3</v>
      </c>
      <c r="H76" s="122" cm="1">
        <f t="array" aca="1" ref="H76" ca="1">IF($D76&lt;&gt;"Serviço",0,IF(ACOMPANHAMENTO="BM",ROUND(OFFSET(ORÇAMENTO!AJ$15,$L76,0),15-13*ORÇAMENTO!$AF$7),IF(IFERROR(CÁLCULO.FrentesPreenchidas,0)=0,0,SUM(ROUND(OFFSET($P76,0,1,1,CÁLCULO.FrentesPreenchidas),15-13*ORÇAMENTO!$AF$7)))))</f>
        <v>5424</v>
      </c>
      <c r="I76" s="468" t="s">
        <v>1319</v>
      </c>
      <c r="J76" s="651" t="str" cm="1">
        <f t="array" aca="1" ref="J76" ca="1">IF(OR(B76&lt;&gt;"S",CÁLCULO.FrentesPreenchidas=0),"",IF(AND(ACOMPANHAMENTO="PLE",AUTOEVENTO="Manual",OR(H76&gt;0,ORÇAMENTO!AC76="QUANT."),OR(K76="",M76=0,N76="")),"►E",IF(AND(ACOMPANHAMENTO="PLE",ORÇAMENTO!AC76="QUANT."),"►Q",IF(AND(ACOMPANHAMENTO="PLE",H76&lt;&gt;SUMPRODUCT(($Q$1:$AI$1=1)*ROUND(Q76:AI76,15))),"►S",IF(AND(COUNTIF($P$11:$AI$11,"▼")=0,H76&gt;0,I76=""),"◄M","")))))</f>
        <v/>
      </c>
      <c r="K76" s="652" t="s">
        <v>1337</v>
      </c>
      <c r="L76" s="165">
        <f t="shared" ca="1" si="13"/>
        <v>61</v>
      </c>
      <c r="M76" s="166">
        <f ca="1">IF($D76&lt;&gt;"Serviço","",
          IF(AUTOEVENTO="manual",$A76,
                IF(ISERROR(MATCH($A76,$A$15:OFFSET($A76,-1,0),0)),MAX($M$15:OFFSET(M76,-1,0))+1,
                      INDEX($M$15:OFFSET(M76,-1,0),MATCH($A76,$A$15:OFFSET($A76,-1,0),0)))))</f>
        <v>7</v>
      </c>
      <c r="N76" s="167" t="str">
        <f ca="1">IF($D76&lt;&gt;"Serviço","",
         IF(AUTOEVENTO="Manual",
                IF($A76=0,"&lt;-- defina o número do agrupador",
                       OFFSET(EVENTOS!$D$15,$A76-$A$15,0)),
                OFFSET($F$15,$A76,0)))</f>
        <v>Escavação - preparo de fundo de vala</v>
      </c>
      <c r="O76" s="168"/>
      <c r="Q76" s="168"/>
      <c r="R76" s="169"/>
      <c r="S76" s="169"/>
      <c r="T76" s="169"/>
      <c r="U76" s="169">
        <v>5424</v>
      </c>
      <c r="V76" s="169"/>
      <c r="W76" s="169"/>
      <c r="X76" s="169"/>
      <c r="Y76" s="169"/>
      <c r="Z76" s="170"/>
      <c r="AA76" s="705"/>
      <c r="AB76" s="705"/>
      <c r="AC76" s="705"/>
      <c r="AD76" s="705"/>
      <c r="AE76" s="705"/>
      <c r="AF76" s="705"/>
      <c r="AG76" s="705"/>
      <c r="AH76" s="706"/>
      <c r="AJ76" s="453">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53">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L76" s="453">
        <f ca="1">IF(AND($D76="Serviço",AL$12&lt;&gt;0,$H76&gt;0,OR(AUTOEVENTO&lt;&gt;"manual",$M76&lt;&gt;$A$15)),
        IF(Import.TipoArredondamento&lt;&gt;"TransfereGOV",
              ROUND(OFFSET($P76,0,AL$13),15-13*ORÇAMENTO!$AF$7)/$H76*OFFSET(ORÇAMENTO!$X$15,ROW(AL76)-ROW(AL$15),0),
              ROUND(ROUND(OFFSET($P76,0,AL$13),15-13*ORÇAMENTO!$AF$7)*OFFSET(ORÇAMENTO!$W$15,ROW(AL76)-ROW(AL$15),0),15-13*ORÇAMENTO!$AF$11)),
         0)</f>
        <v>0</v>
      </c>
      <c r="AM76" s="453">
        <f ca="1">IF(AND($D76="Serviço",AM$12&lt;&gt;0,$H76&gt;0,OR(AUTOEVENTO&lt;&gt;"manual",$M76&lt;&gt;$A$15)),
        IF(Import.TipoArredondamento&lt;&gt;"TransfereGOV",
              ROUND(OFFSET($P76,0,AM$13),15-13*ORÇAMENTO!$AF$7)/$H76*OFFSET(ORÇAMENTO!$X$15,ROW(AM76)-ROW(AM$15),0),
              ROUND(ROUND(OFFSET($P76,0,AM$13),15-13*ORÇAMENTO!$AF$7)*OFFSET(ORÇAMENTO!$W$15,ROW(AM76)-ROW(AM$15),0),15-13*ORÇAMENTO!$AF$11)),
         0)</f>
        <v>0</v>
      </c>
      <c r="AN76" s="453">
        <f ca="1">IF(AND($D76="Serviço",AN$12&lt;&gt;0,$H76&gt;0,OR(AUTOEVENTO&lt;&gt;"manual",$M76&lt;&gt;$A$15)),
        IF(Import.TipoArredondamento&lt;&gt;"TransfereGOV",
              ROUND(OFFSET($P76,0,AN$13),15-13*ORÇAMENTO!$AF$7)/$H76*OFFSET(ORÇAMENTO!$X$15,ROW(AN76)-ROW(AN$15),0),
              ROUND(ROUND(OFFSET($P76,0,AN$13),15-13*ORÇAMENTO!$AF$7)*OFFSET(ORÇAMENTO!$W$15,ROW(AN76)-ROW(AN$15),0),15-13*ORÇAMENTO!$AF$11)),
         0)</f>
        <v>89767.2</v>
      </c>
      <c r="AO76" s="453">
        <f ca="1">IF(AND($D76="Serviço",AO$12&lt;&gt;0,$H76&gt;0,OR(AUTOEVENTO&lt;&gt;"manual",$M76&lt;&gt;$A$15)),
        IF(Import.TipoArredondamento&lt;&gt;"TransfereGOV",
              ROUND(OFFSET($P76,0,AO$13),15-13*ORÇAMENTO!$AF$7)/$H76*OFFSET(ORÇAMENTO!$X$15,ROW(AO76)-ROW(AO$15),0),
              ROUND(ROUND(OFFSET($P76,0,AO$13),15-13*ORÇAMENTO!$AF$7)*OFFSET(ORÇAMENTO!$W$15,ROW(AO76)-ROW(AO$15),0),15-13*ORÇAMENTO!$AF$11)),
         0)</f>
        <v>0</v>
      </c>
      <c r="AP76" s="453">
        <f ca="1">IF(AND($D76="Serviço",AP$12&lt;&gt;0,$H76&gt;0,OR(AUTOEVENTO&lt;&gt;"manual",$M76&lt;&gt;$A$15)),
        IF(Import.TipoArredondamento&lt;&gt;"TransfereGOV",
              ROUND(OFFSET($P76,0,AP$13),15-13*ORÇAMENTO!$AF$7)/$H76*OFFSET(ORÇAMENTO!$X$15,ROW(AP76)-ROW(AP$15),0),
              ROUND(ROUND(OFFSET($P76,0,AP$13),15-13*ORÇAMENTO!$AF$7)*OFFSET(ORÇAMENTO!$W$15,ROW(AP76)-ROW(AP$15),0),15-13*ORÇAMENTO!$AF$11)),
         0)</f>
        <v>0</v>
      </c>
      <c r="AQ76" s="453">
        <f ca="1">IF(AND($D76="Serviço",AQ$12&lt;&gt;0,$H76&gt;0,OR(AUTOEVENTO&lt;&gt;"manual",$M76&lt;&gt;$A$15)),
        IF(Import.TipoArredondamento&lt;&gt;"TransfereGOV",
              ROUND(OFFSET($P76,0,AQ$13),15-13*ORÇAMENTO!$AF$7)/$H76*OFFSET(ORÇAMENTO!$X$15,ROW(AQ76)-ROW(AQ$15),0),
              ROUND(ROUND(OFFSET($P76,0,AQ$13),15-13*ORÇAMENTO!$AF$7)*OFFSET(ORÇAMENTO!$W$15,ROW(AQ76)-ROW(AQ$15),0),15-13*ORÇAMENTO!$AF$11)),
         0)</f>
        <v>0</v>
      </c>
      <c r="AR76" s="453">
        <f ca="1">IF(AND($D76="Serviço",AR$12&lt;&gt;0,$H76&gt;0,OR(AUTOEVENTO&lt;&gt;"manual",$M76&lt;&gt;$A$15)),
        IF(Import.TipoArredondamento&lt;&gt;"TransfereGOV",
              ROUND(OFFSET($P76,0,AR$13),15-13*ORÇAMENTO!$AF$7)/$H76*OFFSET(ORÇAMENTO!$X$15,ROW(AR76)-ROW(AR$15),0),
              ROUND(ROUND(OFFSET($P76,0,AR$13),15-13*ORÇAMENTO!$AF$7)*OFFSET(ORÇAMENTO!$W$15,ROW(AR76)-ROW(AR$15),0),15-13*ORÇAMENTO!$AF$11)),
         0)</f>
        <v>0</v>
      </c>
      <c r="AS76" s="453">
        <f ca="1">IF(AND($D76="Serviço",AS$12&lt;&gt;0,$H76&gt;0,OR(AUTOEVENTO&lt;&gt;"manual",$M76&lt;&gt;$A$15)),
        IF(Import.TipoArredondamento&lt;&gt;"TransfereGOV",
              ROUND(OFFSET($P76,0,AS$13),15-13*ORÇAMENTO!$AF$7)/$H76*OFFSET(ORÇAMENTO!$X$15,ROW(AS76)-ROW(AS$15),0),
              ROUND(ROUND(OFFSET($P76,0,AS$13),15-13*ORÇAMENTO!$AF$7)*OFFSET(ORÇAMENTO!$W$15,ROW(AS76)-ROW(AS$15),0),15-13*ORÇAMENTO!$AF$11)),
         0)</f>
        <v>0</v>
      </c>
      <c r="AT76" s="453">
        <f ca="1">IF(AND($D76="Serviço",AT$12&lt;&gt;0,$H76&gt;0,OR(AUTOEVENTO&lt;&gt;"manual",$M76&lt;&gt;$A$15)),
        IF(Import.TipoArredondamento&lt;&gt;"TransfereGOV",
              ROUND(OFFSET($P76,0,AT$13),15-13*ORÇAMENTO!$AF$7)/$H76*OFFSET(ORÇAMENTO!$X$15,ROW(AT76)-ROW(AT$15),0),
              ROUND(ROUND(OFFSET($P76,0,AT$13),15-13*ORÇAMENTO!$AF$7)*OFFSET(ORÇAMENTO!$W$15,ROW(AT76)-ROW(AT$15),0),15-13*ORÇAMENTO!$AF$11)),
         0)</f>
        <v>0</v>
      </c>
      <c r="AU76" s="453">
        <f ca="1">IF(AND($D76="Serviço",AU$12&lt;&gt;0,$H76&gt;0,OR(AUTOEVENTO&lt;&gt;"manual",$M76&lt;&gt;$A$15)),
        IF(Import.TipoArredondamento&lt;&gt;"TransfereGOV",
              ROUND(OFFSET($P76,0,AU$13),15-13*ORÇAMENTO!$AF$7)/$H76*OFFSET(ORÇAMENTO!$X$15,ROW(AU76)-ROW(AU$15),0),
              ROUND(ROUND(OFFSET($P76,0,AU$13),15-13*ORÇAMENTO!$AF$7)*OFFSET(ORÇAMENTO!$W$15,ROW(AU76)-ROW(AU$15),0),15-13*ORÇAMENTO!$AF$11)),
         0)</f>
        <v>0</v>
      </c>
      <c r="AV76" s="453">
        <f ca="1">IF(AND($D76="Serviço",AV$12&lt;&gt;0,$H76&gt;0,OR(AUTOEVENTO&lt;&gt;"manual",$M76&lt;&gt;$A$15)),
        IF(Import.TipoArredondamento&lt;&gt;"TransfereGOV",
              ROUND(OFFSET($P76,0,AV$13),15-13*ORÇAMENTO!$AF$7)/$H76*OFFSET(ORÇAMENTO!$X$15,ROW(AV76)-ROW(AV$15),0),
              ROUND(ROUND(OFFSET($P76,0,AV$13),15-13*ORÇAMENTO!$AF$7)*OFFSET(ORÇAMENTO!$W$15,ROW(AV76)-ROW(AV$15),0),15-13*ORÇAMENTO!$AF$11)),
         0)</f>
        <v>0</v>
      </c>
      <c r="AW76" s="453">
        <f ca="1">IF(AND($D76="Serviço",AW$12&lt;&gt;0,$H76&gt;0,OR(AUTOEVENTO&lt;&gt;"manual",$M76&lt;&gt;$A$15)),
        IF(Import.TipoArredondamento&lt;&gt;"TransfereGOV",
              ROUND(OFFSET($P76,0,AW$13),15-13*ORÇAMENTO!$AF$7)/$H76*OFFSET(ORÇAMENTO!$X$15,ROW(AW76)-ROW(AW$15),0),
              ROUND(ROUND(OFFSET($P76,0,AW$13),15-13*ORÇAMENTO!$AF$7)*OFFSET(ORÇAMENTO!$W$15,ROW(AW76)-ROW(AW$15),0),15-13*ORÇAMENTO!$AF$11)),
         0)</f>
        <v>0</v>
      </c>
      <c r="AX76" s="453">
        <f ca="1">IF(AND($D76="Serviço",AX$12&lt;&gt;0,$H76&gt;0,OR(AUTOEVENTO&lt;&gt;"manual",$M76&lt;&gt;$A$15)),
        IF(Import.TipoArredondamento&lt;&gt;"TransfereGOV",
              ROUND(OFFSET($P76,0,AX$13),15-13*ORÇAMENTO!$AF$7)/$H76*OFFSET(ORÇAMENTO!$X$15,ROW(AX76)-ROW(AX$15),0),
              ROUND(ROUND(OFFSET($P76,0,AX$13),15-13*ORÇAMENTO!$AF$7)*OFFSET(ORÇAMENTO!$W$15,ROW(AX76)-ROW(AX$15),0),15-13*ORÇAMENTO!$AF$11)),
         0)</f>
        <v>0</v>
      </c>
      <c r="AY76" s="453">
        <f ca="1">IF(AND($D76="Serviço",AY$12&lt;&gt;0,$H76&gt;0,OR(AUTOEVENTO&lt;&gt;"manual",$M76&lt;&gt;$A$15)),
        IF(Import.TipoArredondamento&lt;&gt;"TransfereGOV",
              ROUND(OFFSET($P76,0,AY$13),15-13*ORÇAMENTO!$AF$7)/$H76*OFFSET(ORÇAMENTO!$X$15,ROW(AY76)-ROW(AY$15),0),
              ROUND(ROUND(OFFSET($P76,0,AY$13),15-13*ORÇAMENTO!$AF$7)*OFFSET(ORÇAMENTO!$W$15,ROW(AY76)-ROW(AY$15),0),15-13*ORÇAMENTO!$AF$11)),
         0)</f>
        <v>0</v>
      </c>
      <c r="AZ76" s="453">
        <f ca="1">IF(AND($D76="Serviço",AZ$12&lt;&gt;0,$H76&gt;0,OR(AUTOEVENTO&lt;&gt;"manual",$M76&lt;&gt;$A$15)),
        IF(Import.TipoArredondamento&lt;&gt;"TransfereGOV",
              ROUND(OFFSET($P76,0,AZ$13),15-13*ORÇAMENTO!$AF$7)/$H76*OFFSET(ORÇAMENTO!$X$15,ROW(AZ76)-ROW(AZ$15),0),
              ROUND(ROUND(OFFSET($P76,0,AZ$13),15-13*ORÇAMENTO!$AF$7)*OFFSET(ORÇAMENTO!$W$15,ROW(AZ76)-ROW(AZ$15),0),15-13*ORÇAMENTO!$AF$11)),
         0)</f>
        <v>0</v>
      </c>
      <c r="BA76" s="453">
        <f ca="1">IF(AND($D76="Serviço",BA$12&lt;&gt;0,$H76&gt;0,OR(AUTOEVENTO&lt;&gt;"manual",$M76&lt;&gt;$A$15)),
        IF(Import.TipoArredondamento&lt;&gt;"TransfereGOV",
              ROUND(OFFSET($P76,0,BA$13),15-13*ORÇAMENTO!$AF$7)/$H76*OFFSET(ORÇAMENTO!$X$15,ROW(BA76)-ROW(BA$15),0),
              ROUND(ROUND(OFFSET($P76,0,BA$13),15-13*ORÇAMENTO!$AF$7)*OFFSET(ORÇAMENTO!$W$15,ROW(BA76)-ROW(BA$15),0),15-13*ORÇAMENTO!$AF$11)),
         0)</f>
        <v>0</v>
      </c>
      <c r="BC76" s="171">
        <f ca="1">IF(OR($D76&lt;&gt;"Serviço",AND(AUTOEVENTO="Manual",$M76=$A$15)),0,
         IF(OFFSET(CRONOPLE!$F$15,$M76-$A$15,BC$13)=0,10^12,OFFSET(CRONOPLE!$F$15,$M76-$A$15,BC$13)))</f>
        <v>10</v>
      </c>
      <c r="BD76" s="171">
        <f ca="1">IF(OR($D76&lt;&gt;"Serviço",AND(AUTOEVENTO="Manual",$M76=$A$15)),0,
         IF(OFFSET(CRONOPLE!$F$15,$M76-$A$15,BD$13)=0,10^12,OFFSET(CRONOPLE!$F$15,$M76-$A$15,BD$13)))</f>
        <v>1000000000000</v>
      </c>
      <c r="BE76" s="171">
        <f ca="1">IF(OR($D76&lt;&gt;"Serviço",AND(AUTOEVENTO="Manual",$M76=$A$15)),0,
         IF(OFFSET(CRONOPLE!$F$15,$M76-$A$15,BE$13)=0,10^12,OFFSET(CRONOPLE!$F$15,$M76-$A$15,BE$13)))</f>
        <v>4</v>
      </c>
      <c r="BF76" s="171">
        <f ca="1">IF(OR($D76&lt;&gt;"Serviço",AND(AUTOEVENTO="Manual",$M76=$A$15)),0,
         IF(OFFSET(CRONOPLE!$F$15,$M76-$A$15,BF$13)=0,10^12,OFFSET(CRONOPLE!$F$15,$M76-$A$15,BF$13)))</f>
        <v>9</v>
      </c>
      <c r="BG76" s="171">
        <f ca="1">IF(OR($D76&lt;&gt;"Serviço",AND(AUTOEVENTO="Manual",$M76=$A$15)),0,
         IF(OFFSET(CRONOPLE!$F$15,$M76-$A$15,BG$13)=0,10^12,OFFSET(CRONOPLE!$F$15,$M76-$A$15,BG$13)))</f>
        <v>6</v>
      </c>
      <c r="BH76" s="171">
        <f ca="1">IF(OR($D76&lt;&gt;"Serviço",AND(AUTOEVENTO="Manual",$M76=$A$15)),0,
         IF(OFFSET(CRONOPLE!$F$15,$M76-$A$15,BH$13)=0,10^12,OFFSET(CRONOPLE!$F$15,$M76-$A$15,BH$13)))</f>
        <v>6</v>
      </c>
      <c r="BI76" s="171">
        <f ca="1">IF(OR($D76&lt;&gt;"Serviço",AND(AUTOEVENTO="Manual",$M76=$A$15)),0,
         IF(OFFSET(CRONOPLE!$F$15,$M76-$A$15,BI$13)=0,10^12,OFFSET(CRONOPLE!$F$15,$M76-$A$15,BI$13)))</f>
        <v>9</v>
      </c>
      <c r="BJ76" s="171">
        <f ca="1">IF(OR($D76&lt;&gt;"Serviço",AND(AUTOEVENTO="Manual",$M76=$A$15)),0,
         IF(OFFSET(CRONOPLE!$F$15,$M76-$A$15,BJ$13)=0,10^12,OFFSET(CRONOPLE!$F$15,$M76-$A$15,BJ$13)))</f>
        <v>1000000000000</v>
      </c>
      <c r="BK76" s="171">
        <f ca="1">IF(OR($D76&lt;&gt;"Serviço",AND(AUTOEVENTO="Manual",$M76=$A$15)),0,
         IF(OFFSET(CRONOPLE!$F$15,$M76-$A$15,BK$13)=0,10^12,OFFSET(CRONOPLE!$F$15,$M76-$A$15,BK$13)))</f>
        <v>1000000000000</v>
      </c>
      <c r="BL76" s="171">
        <f ca="1">IF(OR($D76&lt;&gt;"Serviço",AND(AUTOEVENTO="Manual",$M76=$A$15)),0,
         IF(OFFSET(CRONOPLE!$F$15,$M76-$A$15,BL$13)=0,10^12,OFFSET(CRONOPLE!$F$15,$M76-$A$15,BL$13)))</f>
        <v>1000000000000</v>
      </c>
      <c r="BM76" s="171">
        <f ca="1">IF(OR($D76&lt;&gt;"Serviço",AND(AUTOEVENTO="Manual",$M76=$A$15)),0,
         IF(OFFSET(CRONOPLE!$F$15,$M76-$A$15,BM$13)=0,10^12,OFFSET(CRONOPLE!$F$15,$M76-$A$15,BM$13)))</f>
        <v>1000000000000</v>
      </c>
      <c r="BN76" s="171">
        <f ca="1">IF(OR($D76&lt;&gt;"Serviço",AND(AUTOEVENTO="Manual",$M76=$A$15)),0,
         IF(OFFSET(CRONOPLE!$F$15,$M76-$A$15,BN$13)=0,10^12,OFFSET(CRONOPLE!$F$15,$M76-$A$15,BN$13)))</f>
        <v>1000000000000</v>
      </c>
      <c r="BO76" s="171">
        <f ca="1">IF(OR($D76&lt;&gt;"Serviço",AND(AUTOEVENTO="Manual",$M76=$A$15)),0,
         IF(OFFSET(CRONOPLE!$F$15,$M76-$A$15,BO$13)=0,10^12,OFFSET(CRONOPLE!$F$15,$M76-$A$15,BO$13)))</f>
        <v>1000000000000</v>
      </c>
      <c r="BP76" s="171">
        <f ca="1">IF(OR($D76&lt;&gt;"Serviço",AND(AUTOEVENTO="Manual",$M76=$A$15)),0,
         IF(OFFSET(CRONOPLE!$F$15,$M76-$A$15,BP$13)=0,10^12,OFFSET(CRONOPLE!$F$15,$M76-$A$15,BP$13)))</f>
        <v>1000000000000</v>
      </c>
      <c r="BQ76" s="171">
        <f ca="1">IF(OR($D76&lt;&gt;"Serviço",AND(AUTOEVENTO="Manual",$M76=$A$15)),0,
         IF(OFFSET(CRONOPLE!$F$15,$M76-$A$15,BQ$13)=0,10^12,OFFSET(CRONOPLE!$F$15,$M76-$A$15,BQ$13)))</f>
        <v>1000000000000</v>
      </c>
      <c r="BR76" s="171">
        <f ca="1">IF(OR($D76&lt;&gt;"Serviço",AND(AUTOEVENTO="Manual",$M76=$A$15)),0,
         IF(OFFSET(CRONOPLE!$F$15,$M76-$A$15,BR$13)=0,10^12,OFFSET(CRONOPLE!$F$15,$M76-$A$15,BR$13)))</f>
        <v>1000000000000</v>
      </c>
      <c r="BS76" s="171">
        <f ca="1">IF(OR($D76&lt;&gt;"Serviço",AND(AUTOEVENTO="Manual",$M76=$A$15)),0,
         IF(OFFSET(CRONOPLE!$F$15,$M76-$A$15,BS$13)=0,10^12,OFFSET(CRONOPLE!$F$15,$M76-$A$15,BS$13)))</f>
        <v>1000000000000</v>
      </c>
      <c r="BT76" s="171">
        <f ca="1">IF(OR($D76&lt;&gt;"Serviço",AND(AUTOEVENTO="Manual",$M76=$A$15)),0,
         IF(OFFSET(CRONOPLE!$F$15,$M76-$A$15,BT$13)=0,10^12,OFFSET(CRONOPLE!$F$15,$M76-$A$15,BT$13)))</f>
        <v>1000000000000</v>
      </c>
      <c r="BV76" s="172" cm="1">
        <f t="array" aca="1" ref="BV76" ca="1">IF(OR($D76&lt;&gt;"Serviço",AND(AUTOEVENTO="Manual",$M76=$A$15),$M76&gt;(ROW(PLE.lastrow)-ROW(PLE.firstrow))),0,
           IF(OFFSET(PLE!$G$15,$M76-$A$15,BV$13)="",10^12,OFFSET(PLE!$G$15,$M76-$A$15,BV$13)))</f>
        <v>1000000000000</v>
      </c>
      <c r="BW76" s="172" cm="1">
        <f t="array" aca="1" ref="BW76" ca="1">IF(OR($D76&lt;&gt;"Serviço",AND(AUTOEVENTO="Manual",$M76=$A$15),$M76&gt;(ROW(PLE.lastrow)-ROW(PLE.firstrow))),0,
           IF(OFFSET(PLE!$G$15,$M76-$A$15,BW$13)="",10^12,OFFSET(PLE!$G$15,$M76-$A$15,BW$13)))</f>
        <v>1000000000000</v>
      </c>
      <c r="BX76" s="172" cm="1">
        <f t="array" aca="1" ref="BX76" ca="1">IF(OR($D76&lt;&gt;"Serviço",AND(AUTOEVENTO="Manual",$M76=$A$15),$M76&gt;(ROW(PLE.lastrow)-ROW(PLE.firstrow))),0,
           IF(OFFSET(PLE!$G$15,$M76-$A$15,BX$13)="",10^12,OFFSET(PLE!$G$15,$M76-$A$15,BX$13)))</f>
        <v>1000000000000</v>
      </c>
      <c r="BY76" s="172" cm="1">
        <f t="array" aca="1" ref="BY76" ca="1">IF(OR($D76&lt;&gt;"Serviço",AND(AUTOEVENTO="Manual",$M76=$A$15),$M76&gt;(ROW(PLE.lastrow)-ROW(PLE.firstrow))),0,
           IF(OFFSET(PLE!$G$15,$M76-$A$15,BY$13)="",10^12,OFFSET(PLE!$G$15,$M76-$A$15,BY$13)))</f>
        <v>1000000000000</v>
      </c>
      <c r="BZ76" s="172" cm="1">
        <f t="array" aca="1" ref="BZ76" ca="1">IF(OR($D76&lt;&gt;"Serviço",AND(AUTOEVENTO="Manual",$M76=$A$15),$M76&gt;(ROW(PLE.lastrow)-ROW(PLE.firstrow))),0,
           IF(OFFSET(PLE!$G$15,$M76-$A$15,BZ$13)="",10^12,OFFSET(PLE!$G$15,$M76-$A$15,BZ$13)))</f>
        <v>1000000000000</v>
      </c>
      <c r="CA76" s="172" cm="1">
        <f t="array" aca="1" ref="CA76" ca="1">IF(OR($D76&lt;&gt;"Serviço",AND(AUTOEVENTO="Manual",$M76=$A$15),$M76&gt;(ROW(PLE.lastrow)-ROW(PLE.firstrow))),0,
           IF(OFFSET(PLE!$G$15,$M76-$A$15,CA$13)="",10^12,OFFSET(PLE!$G$15,$M76-$A$15,CA$13)))</f>
        <v>1000000000000</v>
      </c>
      <c r="CB76" s="172" cm="1">
        <f t="array" aca="1" ref="CB76" ca="1">IF(OR($D76&lt;&gt;"Serviço",AND(AUTOEVENTO="Manual",$M76=$A$15),$M76&gt;(ROW(PLE.lastrow)-ROW(PLE.firstrow))),0,
           IF(OFFSET(PLE!$G$15,$M76-$A$15,CB$13)="",10^12,OFFSET(PLE!$G$15,$M76-$A$15,CB$13)))</f>
        <v>1000000000000</v>
      </c>
      <c r="CC76" s="172" cm="1">
        <f t="array" aca="1" ref="CC76" ca="1">IF(OR($D76&lt;&gt;"Serviço",AND(AUTOEVENTO="Manual",$M76=$A$15),$M76&gt;(ROW(PLE.lastrow)-ROW(PLE.firstrow))),0,
           IF(OFFSET(PLE!$G$15,$M76-$A$15,CC$13)="",10^12,OFFSET(PLE!$G$15,$M76-$A$15,CC$13)))</f>
        <v>1000000000000</v>
      </c>
      <c r="CD76" s="172" cm="1">
        <f t="array" aca="1" ref="CD76" ca="1">IF(OR($D76&lt;&gt;"Serviço",AND(AUTOEVENTO="Manual",$M76=$A$15),$M76&gt;(ROW(PLE.lastrow)-ROW(PLE.firstrow))),0,
           IF(OFFSET(PLE!$G$15,$M76-$A$15,CD$13)="",10^12,OFFSET(PLE!$G$15,$M76-$A$15,CD$13)))</f>
        <v>1000000000000</v>
      </c>
      <c r="CE76" s="172" cm="1">
        <f t="array" aca="1" ref="CE76" ca="1">IF(OR($D76&lt;&gt;"Serviço",AND(AUTOEVENTO="Manual",$M76=$A$15),$M76&gt;(ROW(PLE.lastrow)-ROW(PLE.firstrow))),0,
           IF(OFFSET(PLE!$G$15,$M76-$A$15,CE$13)="",10^12,OFFSET(PLE!$G$15,$M76-$A$15,CE$13)))</f>
        <v>1000000000000</v>
      </c>
      <c r="CF76" s="172" cm="1">
        <f t="array" aca="1" ref="CF76" ca="1">IF(OR($D76&lt;&gt;"Serviço",AND(AUTOEVENTO="Manual",$M76=$A$15),$M76&gt;(ROW(PLE.lastrow)-ROW(PLE.firstrow))),0,
           IF(OFFSET(PLE!$G$15,$M76-$A$15,CF$13)="",10^12,OFFSET(PLE!$G$15,$M76-$A$15,CF$13)))</f>
        <v>1000000000000</v>
      </c>
      <c r="CG76" s="172" cm="1">
        <f t="array" aca="1" ref="CG76" ca="1">IF(OR($D76&lt;&gt;"Serviço",AND(AUTOEVENTO="Manual",$M76=$A$15),$M76&gt;(ROW(PLE.lastrow)-ROW(PLE.firstrow))),0,
           IF(OFFSET(PLE!$G$15,$M76-$A$15,CG$13)="",10^12,OFFSET(PLE!$G$15,$M76-$A$15,CG$13)))</f>
        <v>1000000000000</v>
      </c>
      <c r="CH76" s="172" cm="1">
        <f t="array" aca="1" ref="CH76" ca="1">IF(OR($D76&lt;&gt;"Serviço",AND(AUTOEVENTO="Manual",$M76=$A$15),$M76&gt;(ROW(PLE.lastrow)-ROW(PLE.firstrow))),0,
           IF(OFFSET(PLE!$G$15,$M76-$A$15,CH$13)="",10^12,OFFSET(PLE!$G$15,$M76-$A$15,CH$13)))</f>
        <v>1000000000000</v>
      </c>
      <c r="CI76" s="172" cm="1">
        <f t="array" aca="1" ref="CI76" ca="1">IF(OR($D76&lt;&gt;"Serviço",AND(AUTOEVENTO="Manual",$M76=$A$15),$M76&gt;(ROW(PLE.lastrow)-ROW(PLE.firstrow))),0,
           IF(OFFSET(PLE!$G$15,$M76-$A$15,CI$13)="",10^12,OFFSET(PLE!$G$15,$M76-$A$15,CI$13)))</f>
        <v>1000000000000</v>
      </c>
      <c r="CJ76" s="172" cm="1">
        <f t="array" aca="1" ref="CJ76" ca="1">IF(OR($D76&lt;&gt;"Serviço",AND(AUTOEVENTO="Manual",$M76=$A$15),$M76&gt;(ROW(PLE.lastrow)-ROW(PLE.firstrow))),0,
           IF(OFFSET(PLE!$G$15,$M76-$A$15,CJ$13)="",10^12,OFFSET(PLE!$G$15,$M76-$A$15,CJ$13)))</f>
        <v>1000000000000</v>
      </c>
      <c r="CK76" s="172" cm="1">
        <f t="array" aca="1" ref="CK76" ca="1">IF(OR($D76&lt;&gt;"Serviço",AND(AUTOEVENTO="Manual",$M76=$A$15),$M76&gt;(ROW(PLE.lastrow)-ROW(PLE.firstrow))),0,
           IF(OFFSET(PLE!$G$15,$M76-$A$15,CK$13)="",10^12,OFFSET(PLE!$G$15,$M76-$A$15,CK$13)))</f>
        <v>1000000000000</v>
      </c>
      <c r="CL76" s="172" cm="1">
        <f t="array" aca="1" ref="CL76" ca="1">IF(OR($D76&lt;&gt;"Serviço",AND(AUTOEVENTO="Manual",$M76=$A$15),$M76&gt;(ROW(PLE.lastrow)-ROW(PLE.firstrow))),0,
           IF(OFFSET(PLE!$G$15,$M76-$A$15,CL$13)="",10^12,OFFSET(PLE!$G$15,$M76-$A$15,CL$13)))</f>
        <v>1000000000000</v>
      </c>
      <c r="CM76" s="172" cm="1">
        <f t="array" aca="1" ref="CM76" ca="1">IF(OR($D76&lt;&gt;"Serviço",AND(AUTOEVENTO="Manual",$M76=$A$15),$M76&gt;(ROW(PLE.lastrow)-ROW(PLE.firstrow))),0,
           IF(OFFSET(PLE!$G$15,$M76-$A$15,CM$13)="",10^12,OFFSET(PLE!$G$15,$M76-$A$15,CM$13)))</f>
        <v>1000000000000</v>
      </c>
    </row>
    <row r="77" spans="1:91" s="670" customFormat="1" ht="38.25" x14ac:dyDescent="0.2">
      <c r="A77" s="668">
        <f t="shared" ca="1" si="12"/>
        <v>7</v>
      </c>
      <c r="B77" s="668" t="str">
        <f ca="1">OFFSET(ORÇAMENTO!C$15,$L77,0)</f>
        <v>S</v>
      </c>
      <c r="C77" s="668" t="str">
        <f ca="1">OFFSET(ORÇAMENTO!L$15,$L77,0)</f>
        <v>F</v>
      </c>
      <c r="D77" s="116" t="str">
        <f ca="1">OFFSET(ORÇAMENTO!N$15,$L77,0)</f>
        <v>Serviço</v>
      </c>
      <c r="E77" s="117" t="str">
        <f ca="1">OFFSET(ORÇAMENTO!O$15,$L77,0)</f>
        <v>1.10.2.</v>
      </c>
      <c r="F77" s="163" t="str">
        <f ca="1">OFFSET(ORÇAMENTO!R$15,$L77,0)</f>
        <v>PREPARO DE FUNDO DE VALA COM LARGURA MENOR QUE 1,5 M (ACERTO DO SOLO NATURAL), EM LOCAL COM NÍVEL BAIXO DE INTERFERÊNCIA. AF_01/2026</v>
      </c>
      <c r="G77" s="164" t="str">
        <f ca="1">IF($D77&lt;&gt;"Serviço","",OFFSET(ORÇAMENTO!S$15,$L77,0))</f>
        <v>M2</v>
      </c>
      <c r="H77" s="122" cm="1">
        <f t="array" aca="1" ref="H77" ca="1">IF($D77&lt;&gt;"Serviço",0,IF(ACOMPANHAMENTO="BM",ROUND(OFFSET(ORÇAMENTO!AJ$15,$L77,0),15-13*ORÇAMENTO!$AF$7),IF(IFERROR(CÁLCULO.FrentesPreenchidas,0)=0,0,SUM(ROUND(OFFSET($P77,0,1,1,CÁLCULO.FrentesPreenchidas),15-13*ORÇAMENTO!$AF$7)))))</f>
        <v>3390</v>
      </c>
      <c r="I77" s="468" t="s">
        <v>1320</v>
      </c>
      <c r="J77" s="651" t="str" cm="1">
        <f t="array" aca="1" ref="J77" ca="1">IF(OR(B77&lt;&gt;"S",CÁLCULO.FrentesPreenchidas=0),"",IF(AND(ACOMPANHAMENTO="PLE",AUTOEVENTO="Manual",OR(H77&gt;0,ORÇAMENTO!AC77="QUANT."),OR(K77="",M77=0,N77="")),"►E",IF(AND(ACOMPANHAMENTO="PLE",ORÇAMENTO!AC77="QUANT."),"►Q",IF(AND(ACOMPANHAMENTO="PLE",H77&lt;&gt;SUMPRODUCT(($Q$1:$AI$1=1)*ROUND(Q77:AI77,15))),"►S",IF(AND(COUNTIF($P$11:$AI$11,"▼")=0,H77&gt;0,I77=""),"◄M","")))))</f>
        <v/>
      </c>
      <c r="K77" s="652" t="s">
        <v>1351</v>
      </c>
      <c r="L77" s="165">
        <f t="shared" ca="1" si="13"/>
        <v>62</v>
      </c>
      <c r="M77" s="166">
        <f ca="1">IF($D77&lt;&gt;"Serviço","",
          IF(AUTOEVENTO="manual",$A77,
                IF(ISERROR(MATCH($A77,$A$15:OFFSET($A77,-1,0),0)),MAX($M$15:OFFSET(M77,-1,0))+1,
                      INDEX($M$15:OFFSET(M77,-1,0),MATCH($A77,$A$15:OFFSET($A77,-1,0),0)))))</f>
        <v>7</v>
      </c>
      <c r="N77" s="167" t="str">
        <f ca="1">IF($D77&lt;&gt;"Serviço","",
         IF(AUTOEVENTO="Manual",
                IF($A77=0,"&lt;-- defina o número do agrupador",
                       OFFSET(EVENTOS!$D$15,$A77-$A$15,0)),
                OFFSET($F$15,$A77,0)))</f>
        <v>Escavação - preparo de fundo de vala</v>
      </c>
      <c r="O77" s="168"/>
      <c r="Q77" s="168"/>
      <c r="R77" s="169"/>
      <c r="S77" s="169"/>
      <c r="T77" s="169"/>
      <c r="U77" s="169">
        <v>3390</v>
      </c>
      <c r="V77" s="169"/>
      <c r="W77" s="169"/>
      <c r="X77" s="169"/>
      <c r="Y77" s="169"/>
      <c r="Z77" s="170"/>
      <c r="AA77" s="705"/>
      <c r="AB77" s="705"/>
      <c r="AC77" s="705"/>
      <c r="AD77" s="705"/>
      <c r="AE77" s="705"/>
      <c r="AF77" s="705"/>
      <c r="AG77" s="705"/>
      <c r="AH77" s="706"/>
      <c r="AJ77" s="453">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0</v>
      </c>
      <c r="AK77" s="453">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L77" s="453">
        <f ca="1">IF(AND($D77="Serviço",AL$12&lt;&gt;0,$H77&gt;0,OR(AUTOEVENTO&lt;&gt;"manual",$M77&lt;&gt;$A$15)),
        IF(Import.TipoArredondamento&lt;&gt;"TransfereGOV",
              ROUND(OFFSET($P77,0,AL$13),15-13*ORÇAMENTO!$AF$7)/$H77*OFFSET(ORÇAMENTO!$X$15,ROW(AL77)-ROW(AL$15),0),
              ROUND(ROUND(OFFSET($P77,0,AL$13),15-13*ORÇAMENTO!$AF$7)*OFFSET(ORÇAMENTO!$W$15,ROW(AL77)-ROW(AL$15),0),15-13*ORÇAMENTO!$AF$11)),
         0)</f>
        <v>0</v>
      </c>
      <c r="AM77" s="453">
        <f ca="1">IF(AND($D77="Serviço",AM$12&lt;&gt;0,$H77&gt;0,OR(AUTOEVENTO&lt;&gt;"manual",$M77&lt;&gt;$A$15)),
        IF(Import.TipoArredondamento&lt;&gt;"TransfereGOV",
              ROUND(OFFSET($P77,0,AM$13),15-13*ORÇAMENTO!$AF$7)/$H77*OFFSET(ORÇAMENTO!$X$15,ROW(AM77)-ROW(AM$15),0),
              ROUND(ROUND(OFFSET($P77,0,AM$13),15-13*ORÇAMENTO!$AF$7)*OFFSET(ORÇAMENTO!$W$15,ROW(AM77)-ROW(AM$15),0),15-13*ORÇAMENTO!$AF$11)),
         0)</f>
        <v>0</v>
      </c>
      <c r="AN77" s="453">
        <f ca="1">IF(AND($D77="Serviço",AN$12&lt;&gt;0,$H77&gt;0,OR(AUTOEVENTO&lt;&gt;"manual",$M77&lt;&gt;$A$15)),
        IF(Import.TipoArredondamento&lt;&gt;"TransfereGOV",
              ROUND(OFFSET($P77,0,AN$13),15-13*ORÇAMENTO!$AF$7)/$H77*OFFSET(ORÇAMENTO!$X$15,ROW(AN77)-ROW(AN$15),0),
              ROUND(ROUND(OFFSET($P77,0,AN$13),15-13*ORÇAMENTO!$AF$7)*OFFSET(ORÇAMENTO!$W$15,ROW(AN77)-ROW(AN$15),0),15-13*ORÇAMENTO!$AF$11)),
         0)</f>
        <v>36984.9</v>
      </c>
      <c r="AO77" s="453">
        <f ca="1">IF(AND($D77="Serviço",AO$12&lt;&gt;0,$H77&gt;0,OR(AUTOEVENTO&lt;&gt;"manual",$M77&lt;&gt;$A$15)),
        IF(Import.TipoArredondamento&lt;&gt;"TransfereGOV",
              ROUND(OFFSET($P77,0,AO$13),15-13*ORÇAMENTO!$AF$7)/$H77*OFFSET(ORÇAMENTO!$X$15,ROW(AO77)-ROW(AO$15),0),
              ROUND(ROUND(OFFSET($P77,0,AO$13),15-13*ORÇAMENTO!$AF$7)*OFFSET(ORÇAMENTO!$W$15,ROW(AO77)-ROW(AO$15),0),15-13*ORÇAMENTO!$AF$11)),
         0)</f>
        <v>0</v>
      </c>
      <c r="AP77" s="453">
        <f ca="1">IF(AND($D77="Serviço",AP$12&lt;&gt;0,$H77&gt;0,OR(AUTOEVENTO&lt;&gt;"manual",$M77&lt;&gt;$A$15)),
        IF(Import.TipoArredondamento&lt;&gt;"TransfereGOV",
              ROUND(OFFSET($P77,0,AP$13),15-13*ORÇAMENTO!$AF$7)/$H77*OFFSET(ORÇAMENTO!$X$15,ROW(AP77)-ROW(AP$15),0),
              ROUND(ROUND(OFFSET($P77,0,AP$13),15-13*ORÇAMENTO!$AF$7)*OFFSET(ORÇAMENTO!$W$15,ROW(AP77)-ROW(AP$15),0),15-13*ORÇAMENTO!$AF$11)),
         0)</f>
        <v>0</v>
      </c>
      <c r="AQ77" s="453">
        <f ca="1">IF(AND($D77="Serviço",AQ$12&lt;&gt;0,$H77&gt;0,OR(AUTOEVENTO&lt;&gt;"manual",$M77&lt;&gt;$A$15)),
        IF(Import.TipoArredondamento&lt;&gt;"TransfereGOV",
              ROUND(OFFSET($P77,0,AQ$13),15-13*ORÇAMENTO!$AF$7)/$H77*OFFSET(ORÇAMENTO!$X$15,ROW(AQ77)-ROW(AQ$15),0),
              ROUND(ROUND(OFFSET($P77,0,AQ$13),15-13*ORÇAMENTO!$AF$7)*OFFSET(ORÇAMENTO!$W$15,ROW(AQ77)-ROW(AQ$15),0),15-13*ORÇAMENTO!$AF$11)),
         0)</f>
        <v>0</v>
      </c>
      <c r="AR77" s="453">
        <f ca="1">IF(AND($D77="Serviço",AR$12&lt;&gt;0,$H77&gt;0,OR(AUTOEVENTO&lt;&gt;"manual",$M77&lt;&gt;$A$15)),
        IF(Import.TipoArredondamento&lt;&gt;"TransfereGOV",
              ROUND(OFFSET($P77,0,AR$13),15-13*ORÇAMENTO!$AF$7)/$H77*OFFSET(ORÇAMENTO!$X$15,ROW(AR77)-ROW(AR$15),0),
              ROUND(ROUND(OFFSET($P77,0,AR$13),15-13*ORÇAMENTO!$AF$7)*OFFSET(ORÇAMENTO!$W$15,ROW(AR77)-ROW(AR$15),0),15-13*ORÇAMENTO!$AF$11)),
         0)</f>
        <v>0</v>
      </c>
      <c r="AS77" s="453">
        <f ca="1">IF(AND($D77="Serviço",AS$12&lt;&gt;0,$H77&gt;0,OR(AUTOEVENTO&lt;&gt;"manual",$M77&lt;&gt;$A$15)),
        IF(Import.TipoArredondamento&lt;&gt;"TransfereGOV",
              ROUND(OFFSET($P77,0,AS$13),15-13*ORÇAMENTO!$AF$7)/$H77*OFFSET(ORÇAMENTO!$X$15,ROW(AS77)-ROW(AS$15),0),
              ROUND(ROUND(OFFSET($P77,0,AS$13),15-13*ORÇAMENTO!$AF$7)*OFFSET(ORÇAMENTO!$W$15,ROW(AS77)-ROW(AS$15),0),15-13*ORÇAMENTO!$AF$11)),
         0)</f>
        <v>0</v>
      </c>
      <c r="AT77" s="453">
        <f ca="1">IF(AND($D77="Serviço",AT$12&lt;&gt;0,$H77&gt;0,OR(AUTOEVENTO&lt;&gt;"manual",$M77&lt;&gt;$A$15)),
        IF(Import.TipoArredondamento&lt;&gt;"TransfereGOV",
              ROUND(OFFSET($P77,0,AT$13),15-13*ORÇAMENTO!$AF$7)/$H77*OFFSET(ORÇAMENTO!$X$15,ROW(AT77)-ROW(AT$15),0),
              ROUND(ROUND(OFFSET($P77,0,AT$13),15-13*ORÇAMENTO!$AF$7)*OFFSET(ORÇAMENTO!$W$15,ROW(AT77)-ROW(AT$15),0),15-13*ORÇAMENTO!$AF$11)),
         0)</f>
        <v>0</v>
      </c>
      <c r="AU77" s="453">
        <f ca="1">IF(AND($D77="Serviço",AU$12&lt;&gt;0,$H77&gt;0,OR(AUTOEVENTO&lt;&gt;"manual",$M77&lt;&gt;$A$15)),
        IF(Import.TipoArredondamento&lt;&gt;"TransfereGOV",
              ROUND(OFFSET($P77,0,AU$13),15-13*ORÇAMENTO!$AF$7)/$H77*OFFSET(ORÇAMENTO!$X$15,ROW(AU77)-ROW(AU$15),0),
              ROUND(ROUND(OFFSET($P77,0,AU$13),15-13*ORÇAMENTO!$AF$7)*OFFSET(ORÇAMENTO!$W$15,ROW(AU77)-ROW(AU$15),0),15-13*ORÇAMENTO!$AF$11)),
         0)</f>
        <v>0</v>
      </c>
      <c r="AV77" s="453">
        <f ca="1">IF(AND($D77="Serviço",AV$12&lt;&gt;0,$H77&gt;0,OR(AUTOEVENTO&lt;&gt;"manual",$M77&lt;&gt;$A$15)),
        IF(Import.TipoArredondamento&lt;&gt;"TransfereGOV",
              ROUND(OFFSET($P77,0,AV$13),15-13*ORÇAMENTO!$AF$7)/$H77*OFFSET(ORÇAMENTO!$X$15,ROW(AV77)-ROW(AV$15),0),
              ROUND(ROUND(OFFSET($P77,0,AV$13),15-13*ORÇAMENTO!$AF$7)*OFFSET(ORÇAMENTO!$W$15,ROW(AV77)-ROW(AV$15),0),15-13*ORÇAMENTO!$AF$11)),
         0)</f>
        <v>0</v>
      </c>
      <c r="AW77" s="453">
        <f ca="1">IF(AND($D77="Serviço",AW$12&lt;&gt;0,$H77&gt;0,OR(AUTOEVENTO&lt;&gt;"manual",$M77&lt;&gt;$A$15)),
        IF(Import.TipoArredondamento&lt;&gt;"TransfereGOV",
              ROUND(OFFSET($P77,0,AW$13),15-13*ORÇAMENTO!$AF$7)/$H77*OFFSET(ORÇAMENTO!$X$15,ROW(AW77)-ROW(AW$15),0),
              ROUND(ROUND(OFFSET($P77,0,AW$13),15-13*ORÇAMENTO!$AF$7)*OFFSET(ORÇAMENTO!$W$15,ROW(AW77)-ROW(AW$15),0),15-13*ORÇAMENTO!$AF$11)),
         0)</f>
        <v>0</v>
      </c>
      <c r="AX77" s="453">
        <f ca="1">IF(AND($D77="Serviço",AX$12&lt;&gt;0,$H77&gt;0,OR(AUTOEVENTO&lt;&gt;"manual",$M77&lt;&gt;$A$15)),
        IF(Import.TipoArredondamento&lt;&gt;"TransfereGOV",
              ROUND(OFFSET($P77,0,AX$13),15-13*ORÇAMENTO!$AF$7)/$H77*OFFSET(ORÇAMENTO!$X$15,ROW(AX77)-ROW(AX$15),0),
              ROUND(ROUND(OFFSET($P77,0,AX$13),15-13*ORÇAMENTO!$AF$7)*OFFSET(ORÇAMENTO!$W$15,ROW(AX77)-ROW(AX$15),0),15-13*ORÇAMENTO!$AF$11)),
         0)</f>
        <v>0</v>
      </c>
      <c r="AY77" s="453">
        <f ca="1">IF(AND($D77="Serviço",AY$12&lt;&gt;0,$H77&gt;0,OR(AUTOEVENTO&lt;&gt;"manual",$M77&lt;&gt;$A$15)),
        IF(Import.TipoArredondamento&lt;&gt;"TransfereGOV",
              ROUND(OFFSET($P77,0,AY$13),15-13*ORÇAMENTO!$AF$7)/$H77*OFFSET(ORÇAMENTO!$X$15,ROW(AY77)-ROW(AY$15),0),
              ROUND(ROUND(OFFSET($P77,0,AY$13),15-13*ORÇAMENTO!$AF$7)*OFFSET(ORÇAMENTO!$W$15,ROW(AY77)-ROW(AY$15),0),15-13*ORÇAMENTO!$AF$11)),
         0)</f>
        <v>0</v>
      </c>
      <c r="AZ77" s="453">
        <f ca="1">IF(AND($D77="Serviço",AZ$12&lt;&gt;0,$H77&gt;0,OR(AUTOEVENTO&lt;&gt;"manual",$M77&lt;&gt;$A$15)),
        IF(Import.TipoArredondamento&lt;&gt;"TransfereGOV",
              ROUND(OFFSET($P77,0,AZ$13),15-13*ORÇAMENTO!$AF$7)/$H77*OFFSET(ORÇAMENTO!$X$15,ROW(AZ77)-ROW(AZ$15),0),
              ROUND(ROUND(OFFSET($P77,0,AZ$13),15-13*ORÇAMENTO!$AF$7)*OFFSET(ORÇAMENTO!$W$15,ROW(AZ77)-ROW(AZ$15),0),15-13*ORÇAMENTO!$AF$11)),
         0)</f>
        <v>0</v>
      </c>
      <c r="BA77" s="453">
        <f ca="1">IF(AND($D77="Serviço",BA$12&lt;&gt;0,$H77&gt;0,OR(AUTOEVENTO&lt;&gt;"manual",$M77&lt;&gt;$A$15)),
        IF(Import.TipoArredondamento&lt;&gt;"TransfereGOV",
              ROUND(OFFSET($P77,0,BA$13),15-13*ORÇAMENTO!$AF$7)/$H77*OFFSET(ORÇAMENTO!$X$15,ROW(BA77)-ROW(BA$15),0),
              ROUND(ROUND(OFFSET($P77,0,BA$13),15-13*ORÇAMENTO!$AF$7)*OFFSET(ORÇAMENTO!$W$15,ROW(BA77)-ROW(BA$15),0),15-13*ORÇAMENTO!$AF$11)),
         0)</f>
        <v>0</v>
      </c>
      <c r="BC77" s="171">
        <f ca="1">IF(OR($D77&lt;&gt;"Serviço",AND(AUTOEVENTO="Manual",$M77=$A$15)),0,
         IF(OFFSET(CRONOPLE!$F$15,$M77-$A$15,BC$13)=0,10^12,OFFSET(CRONOPLE!$F$15,$M77-$A$15,BC$13)))</f>
        <v>10</v>
      </c>
      <c r="BD77" s="171">
        <f ca="1">IF(OR($D77&lt;&gt;"Serviço",AND(AUTOEVENTO="Manual",$M77=$A$15)),0,
         IF(OFFSET(CRONOPLE!$F$15,$M77-$A$15,BD$13)=0,10^12,OFFSET(CRONOPLE!$F$15,$M77-$A$15,BD$13)))</f>
        <v>1000000000000</v>
      </c>
      <c r="BE77" s="171">
        <f ca="1">IF(OR($D77&lt;&gt;"Serviço",AND(AUTOEVENTO="Manual",$M77=$A$15)),0,
         IF(OFFSET(CRONOPLE!$F$15,$M77-$A$15,BE$13)=0,10^12,OFFSET(CRONOPLE!$F$15,$M77-$A$15,BE$13)))</f>
        <v>4</v>
      </c>
      <c r="BF77" s="171">
        <f ca="1">IF(OR($D77&lt;&gt;"Serviço",AND(AUTOEVENTO="Manual",$M77=$A$15)),0,
         IF(OFFSET(CRONOPLE!$F$15,$M77-$A$15,BF$13)=0,10^12,OFFSET(CRONOPLE!$F$15,$M77-$A$15,BF$13)))</f>
        <v>9</v>
      </c>
      <c r="BG77" s="171">
        <f ca="1">IF(OR($D77&lt;&gt;"Serviço",AND(AUTOEVENTO="Manual",$M77=$A$15)),0,
         IF(OFFSET(CRONOPLE!$F$15,$M77-$A$15,BG$13)=0,10^12,OFFSET(CRONOPLE!$F$15,$M77-$A$15,BG$13)))</f>
        <v>6</v>
      </c>
      <c r="BH77" s="171">
        <f ca="1">IF(OR($D77&lt;&gt;"Serviço",AND(AUTOEVENTO="Manual",$M77=$A$15)),0,
         IF(OFFSET(CRONOPLE!$F$15,$M77-$A$15,BH$13)=0,10^12,OFFSET(CRONOPLE!$F$15,$M77-$A$15,BH$13)))</f>
        <v>6</v>
      </c>
      <c r="BI77" s="171">
        <f ca="1">IF(OR($D77&lt;&gt;"Serviço",AND(AUTOEVENTO="Manual",$M77=$A$15)),0,
         IF(OFFSET(CRONOPLE!$F$15,$M77-$A$15,BI$13)=0,10^12,OFFSET(CRONOPLE!$F$15,$M77-$A$15,BI$13)))</f>
        <v>9</v>
      </c>
      <c r="BJ77" s="171">
        <f ca="1">IF(OR($D77&lt;&gt;"Serviço",AND(AUTOEVENTO="Manual",$M77=$A$15)),0,
         IF(OFFSET(CRONOPLE!$F$15,$M77-$A$15,BJ$13)=0,10^12,OFFSET(CRONOPLE!$F$15,$M77-$A$15,BJ$13)))</f>
        <v>1000000000000</v>
      </c>
      <c r="BK77" s="171">
        <f ca="1">IF(OR($D77&lt;&gt;"Serviço",AND(AUTOEVENTO="Manual",$M77=$A$15)),0,
         IF(OFFSET(CRONOPLE!$F$15,$M77-$A$15,BK$13)=0,10^12,OFFSET(CRONOPLE!$F$15,$M77-$A$15,BK$13)))</f>
        <v>1000000000000</v>
      </c>
      <c r="BL77" s="171">
        <f ca="1">IF(OR($D77&lt;&gt;"Serviço",AND(AUTOEVENTO="Manual",$M77=$A$15)),0,
         IF(OFFSET(CRONOPLE!$F$15,$M77-$A$15,BL$13)=0,10^12,OFFSET(CRONOPLE!$F$15,$M77-$A$15,BL$13)))</f>
        <v>1000000000000</v>
      </c>
      <c r="BM77" s="171">
        <f ca="1">IF(OR($D77&lt;&gt;"Serviço",AND(AUTOEVENTO="Manual",$M77=$A$15)),0,
         IF(OFFSET(CRONOPLE!$F$15,$M77-$A$15,BM$13)=0,10^12,OFFSET(CRONOPLE!$F$15,$M77-$A$15,BM$13)))</f>
        <v>1000000000000</v>
      </c>
      <c r="BN77" s="171">
        <f ca="1">IF(OR($D77&lt;&gt;"Serviço",AND(AUTOEVENTO="Manual",$M77=$A$15)),0,
         IF(OFFSET(CRONOPLE!$F$15,$M77-$A$15,BN$13)=0,10^12,OFFSET(CRONOPLE!$F$15,$M77-$A$15,BN$13)))</f>
        <v>1000000000000</v>
      </c>
      <c r="BO77" s="171">
        <f ca="1">IF(OR($D77&lt;&gt;"Serviço",AND(AUTOEVENTO="Manual",$M77=$A$15)),0,
         IF(OFFSET(CRONOPLE!$F$15,$M77-$A$15,BO$13)=0,10^12,OFFSET(CRONOPLE!$F$15,$M77-$A$15,BO$13)))</f>
        <v>1000000000000</v>
      </c>
      <c r="BP77" s="171">
        <f ca="1">IF(OR($D77&lt;&gt;"Serviço",AND(AUTOEVENTO="Manual",$M77=$A$15)),0,
         IF(OFFSET(CRONOPLE!$F$15,$M77-$A$15,BP$13)=0,10^12,OFFSET(CRONOPLE!$F$15,$M77-$A$15,BP$13)))</f>
        <v>1000000000000</v>
      </c>
      <c r="BQ77" s="171">
        <f ca="1">IF(OR($D77&lt;&gt;"Serviço",AND(AUTOEVENTO="Manual",$M77=$A$15)),0,
         IF(OFFSET(CRONOPLE!$F$15,$M77-$A$15,BQ$13)=0,10^12,OFFSET(CRONOPLE!$F$15,$M77-$A$15,BQ$13)))</f>
        <v>1000000000000</v>
      </c>
      <c r="BR77" s="171">
        <f ca="1">IF(OR($D77&lt;&gt;"Serviço",AND(AUTOEVENTO="Manual",$M77=$A$15)),0,
         IF(OFFSET(CRONOPLE!$F$15,$M77-$A$15,BR$13)=0,10^12,OFFSET(CRONOPLE!$F$15,$M77-$A$15,BR$13)))</f>
        <v>1000000000000</v>
      </c>
      <c r="BS77" s="171">
        <f ca="1">IF(OR($D77&lt;&gt;"Serviço",AND(AUTOEVENTO="Manual",$M77=$A$15)),0,
         IF(OFFSET(CRONOPLE!$F$15,$M77-$A$15,BS$13)=0,10^12,OFFSET(CRONOPLE!$F$15,$M77-$A$15,BS$13)))</f>
        <v>1000000000000</v>
      </c>
      <c r="BT77" s="171">
        <f ca="1">IF(OR($D77&lt;&gt;"Serviço",AND(AUTOEVENTO="Manual",$M77=$A$15)),0,
         IF(OFFSET(CRONOPLE!$F$15,$M77-$A$15,BT$13)=0,10^12,OFFSET(CRONOPLE!$F$15,$M77-$A$15,BT$13)))</f>
        <v>1000000000000</v>
      </c>
      <c r="BV77" s="172" cm="1">
        <f t="array" aca="1" ref="BV77" ca="1">IF(OR($D77&lt;&gt;"Serviço",AND(AUTOEVENTO="Manual",$M77=$A$15),$M77&gt;(ROW(PLE.lastrow)-ROW(PLE.firstrow))),0,
           IF(OFFSET(PLE!$G$15,$M77-$A$15,BV$13)="",10^12,OFFSET(PLE!$G$15,$M77-$A$15,BV$13)))</f>
        <v>1000000000000</v>
      </c>
      <c r="BW77" s="172" cm="1">
        <f t="array" aca="1" ref="BW77" ca="1">IF(OR($D77&lt;&gt;"Serviço",AND(AUTOEVENTO="Manual",$M77=$A$15),$M77&gt;(ROW(PLE.lastrow)-ROW(PLE.firstrow))),0,
           IF(OFFSET(PLE!$G$15,$M77-$A$15,BW$13)="",10^12,OFFSET(PLE!$G$15,$M77-$A$15,BW$13)))</f>
        <v>1000000000000</v>
      </c>
      <c r="BX77" s="172" cm="1">
        <f t="array" aca="1" ref="BX77" ca="1">IF(OR($D77&lt;&gt;"Serviço",AND(AUTOEVENTO="Manual",$M77=$A$15),$M77&gt;(ROW(PLE.lastrow)-ROW(PLE.firstrow))),0,
           IF(OFFSET(PLE!$G$15,$M77-$A$15,BX$13)="",10^12,OFFSET(PLE!$G$15,$M77-$A$15,BX$13)))</f>
        <v>1000000000000</v>
      </c>
      <c r="BY77" s="172" cm="1">
        <f t="array" aca="1" ref="BY77" ca="1">IF(OR($D77&lt;&gt;"Serviço",AND(AUTOEVENTO="Manual",$M77=$A$15),$M77&gt;(ROW(PLE.lastrow)-ROW(PLE.firstrow))),0,
           IF(OFFSET(PLE!$G$15,$M77-$A$15,BY$13)="",10^12,OFFSET(PLE!$G$15,$M77-$A$15,BY$13)))</f>
        <v>1000000000000</v>
      </c>
      <c r="BZ77" s="172" cm="1">
        <f t="array" aca="1" ref="BZ77" ca="1">IF(OR($D77&lt;&gt;"Serviço",AND(AUTOEVENTO="Manual",$M77=$A$15),$M77&gt;(ROW(PLE.lastrow)-ROW(PLE.firstrow))),0,
           IF(OFFSET(PLE!$G$15,$M77-$A$15,BZ$13)="",10^12,OFFSET(PLE!$G$15,$M77-$A$15,BZ$13)))</f>
        <v>1000000000000</v>
      </c>
      <c r="CA77" s="172" cm="1">
        <f t="array" aca="1" ref="CA77" ca="1">IF(OR($D77&lt;&gt;"Serviço",AND(AUTOEVENTO="Manual",$M77=$A$15),$M77&gt;(ROW(PLE.lastrow)-ROW(PLE.firstrow))),0,
           IF(OFFSET(PLE!$G$15,$M77-$A$15,CA$13)="",10^12,OFFSET(PLE!$G$15,$M77-$A$15,CA$13)))</f>
        <v>1000000000000</v>
      </c>
      <c r="CB77" s="172" cm="1">
        <f t="array" aca="1" ref="CB77" ca="1">IF(OR($D77&lt;&gt;"Serviço",AND(AUTOEVENTO="Manual",$M77=$A$15),$M77&gt;(ROW(PLE.lastrow)-ROW(PLE.firstrow))),0,
           IF(OFFSET(PLE!$G$15,$M77-$A$15,CB$13)="",10^12,OFFSET(PLE!$G$15,$M77-$A$15,CB$13)))</f>
        <v>1000000000000</v>
      </c>
      <c r="CC77" s="172" cm="1">
        <f t="array" aca="1" ref="CC77" ca="1">IF(OR($D77&lt;&gt;"Serviço",AND(AUTOEVENTO="Manual",$M77=$A$15),$M77&gt;(ROW(PLE.lastrow)-ROW(PLE.firstrow))),0,
           IF(OFFSET(PLE!$G$15,$M77-$A$15,CC$13)="",10^12,OFFSET(PLE!$G$15,$M77-$A$15,CC$13)))</f>
        <v>1000000000000</v>
      </c>
      <c r="CD77" s="172" cm="1">
        <f t="array" aca="1" ref="CD77" ca="1">IF(OR($D77&lt;&gt;"Serviço",AND(AUTOEVENTO="Manual",$M77=$A$15),$M77&gt;(ROW(PLE.lastrow)-ROW(PLE.firstrow))),0,
           IF(OFFSET(PLE!$G$15,$M77-$A$15,CD$13)="",10^12,OFFSET(PLE!$G$15,$M77-$A$15,CD$13)))</f>
        <v>1000000000000</v>
      </c>
      <c r="CE77" s="172" cm="1">
        <f t="array" aca="1" ref="CE77" ca="1">IF(OR($D77&lt;&gt;"Serviço",AND(AUTOEVENTO="Manual",$M77=$A$15),$M77&gt;(ROW(PLE.lastrow)-ROW(PLE.firstrow))),0,
           IF(OFFSET(PLE!$G$15,$M77-$A$15,CE$13)="",10^12,OFFSET(PLE!$G$15,$M77-$A$15,CE$13)))</f>
        <v>1000000000000</v>
      </c>
      <c r="CF77" s="172" cm="1">
        <f t="array" aca="1" ref="CF77" ca="1">IF(OR($D77&lt;&gt;"Serviço",AND(AUTOEVENTO="Manual",$M77=$A$15),$M77&gt;(ROW(PLE.lastrow)-ROW(PLE.firstrow))),0,
           IF(OFFSET(PLE!$G$15,$M77-$A$15,CF$13)="",10^12,OFFSET(PLE!$G$15,$M77-$A$15,CF$13)))</f>
        <v>1000000000000</v>
      </c>
      <c r="CG77" s="172" cm="1">
        <f t="array" aca="1" ref="CG77" ca="1">IF(OR($D77&lt;&gt;"Serviço",AND(AUTOEVENTO="Manual",$M77=$A$15),$M77&gt;(ROW(PLE.lastrow)-ROW(PLE.firstrow))),0,
           IF(OFFSET(PLE!$G$15,$M77-$A$15,CG$13)="",10^12,OFFSET(PLE!$G$15,$M77-$A$15,CG$13)))</f>
        <v>1000000000000</v>
      </c>
      <c r="CH77" s="172" cm="1">
        <f t="array" aca="1" ref="CH77" ca="1">IF(OR($D77&lt;&gt;"Serviço",AND(AUTOEVENTO="Manual",$M77=$A$15),$M77&gt;(ROW(PLE.lastrow)-ROW(PLE.firstrow))),0,
           IF(OFFSET(PLE!$G$15,$M77-$A$15,CH$13)="",10^12,OFFSET(PLE!$G$15,$M77-$A$15,CH$13)))</f>
        <v>1000000000000</v>
      </c>
      <c r="CI77" s="172" cm="1">
        <f t="array" aca="1" ref="CI77" ca="1">IF(OR($D77&lt;&gt;"Serviço",AND(AUTOEVENTO="Manual",$M77=$A$15),$M77&gt;(ROW(PLE.lastrow)-ROW(PLE.firstrow))),0,
           IF(OFFSET(PLE!$G$15,$M77-$A$15,CI$13)="",10^12,OFFSET(PLE!$G$15,$M77-$A$15,CI$13)))</f>
        <v>1000000000000</v>
      </c>
      <c r="CJ77" s="172" cm="1">
        <f t="array" aca="1" ref="CJ77" ca="1">IF(OR($D77&lt;&gt;"Serviço",AND(AUTOEVENTO="Manual",$M77=$A$15),$M77&gt;(ROW(PLE.lastrow)-ROW(PLE.firstrow))),0,
           IF(OFFSET(PLE!$G$15,$M77-$A$15,CJ$13)="",10^12,OFFSET(PLE!$G$15,$M77-$A$15,CJ$13)))</f>
        <v>1000000000000</v>
      </c>
      <c r="CK77" s="172" cm="1">
        <f t="array" aca="1" ref="CK77" ca="1">IF(OR($D77&lt;&gt;"Serviço",AND(AUTOEVENTO="Manual",$M77=$A$15),$M77&gt;(ROW(PLE.lastrow)-ROW(PLE.firstrow))),0,
           IF(OFFSET(PLE!$G$15,$M77-$A$15,CK$13)="",10^12,OFFSET(PLE!$G$15,$M77-$A$15,CK$13)))</f>
        <v>1000000000000</v>
      </c>
      <c r="CL77" s="172" cm="1">
        <f t="array" aca="1" ref="CL77" ca="1">IF(OR($D77&lt;&gt;"Serviço",AND(AUTOEVENTO="Manual",$M77=$A$15),$M77&gt;(ROW(PLE.lastrow)-ROW(PLE.firstrow))),0,
           IF(OFFSET(PLE!$G$15,$M77-$A$15,CL$13)="",10^12,OFFSET(PLE!$G$15,$M77-$A$15,CL$13)))</f>
        <v>1000000000000</v>
      </c>
      <c r="CM77" s="172" cm="1">
        <f t="array" aca="1" ref="CM77" ca="1">IF(OR($D77&lt;&gt;"Serviço",AND(AUTOEVENTO="Manual",$M77=$A$15),$M77&gt;(ROW(PLE.lastrow)-ROW(PLE.firstrow))),0,
           IF(OFFSET(PLE!$G$15,$M77-$A$15,CM$13)="",10^12,OFFSET(PLE!$G$15,$M77-$A$15,CM$13)))</f>
        <v>1000000000000</v>
      </c>
    </row>
    <row r="78" spans="1:91" s="670" customFormat="1" ht="63.75" x14ac:dyDescent="0.2">
      <c r="A78" s="668">
        <f t="shared" ca="1" si="12"/>
        <v>9</v>
      </c>
      <c r="B78" s="668" t="str">
        <f ca="1">OFFSET(ORÇAMENTO!C$15,$L78,0)</f>
        <v>S</v>
      </c>
      <c r="C78" s="668" t="str">
        <f ca="1">OFFSET(ORÇAMENTO!L$15,$L78,0)</f>
        <v>F</v>
      </c>
      <c r="D78" s="116" t="str">
        <f ca="1">OFFSET(ORÇAMENTO!N$15,$L78,0)</f>
        <v>Serviço</v>
      </c>
      <c r="E78" s="117" t="str">
        <f ca="1">OFFSET(ORÇAMENTO!O$15,$L78,0)</f>
        <v>1.10.3.</v>
      </c>
      <c r="F78" s="163" t="str">
        <f ca="1">OFFSET(ORÇAMENTO!R$15,$L78,0)</f>
        <v>REATERRO MECANIZADO DE VALA COM RETROESCAVADEIRA (CAPACIDADE DA CAÇAMBA DA RETRO: 0,26 M³/POTÊNCIA: 88 HP), LARGURA ATÉ 0,8 M, PROFUNDIDADE ATÉ 1,5 M, COM SOLO (SEM SUBSTITUIÇÃO) DE 1ª CATEGORIA, COM COMPACTADOR DE SOLOS DE PERCUSSÃO. AF_08/2023</v>
      </c>
      <c r="G78" s="164" t="str">
        <f ca="1">IF($D78&lt;&gt;"Serviço","",OFFSET(ORÇAMENTO!S$15,$L78,0))</f>
        <v>M3</v>
      </c>
      <c r="H78" s="122" cm="1">
        <f t="array" aca="1" ref="H78" ca="1">IF($D78&lt;&gt;"Serviço",0,IF(ACOMPANHAMENTO="BM",ROUND(OFFSET(ORÇAMENTO!AJ$15,$L78,0),15-13*ORÇAMENTO!$AF$7),IF(IFERROR(CÁLCULO.FrentesPreenchidas,0)=0,0,SUM(ROUND(OFFSET($P78,0,1,1,CÁLCULO.FrentesPreenchidas),15-13*ORÇAMENTO!$AF$7)))))</f>
        <v>5424</v>
      </c>
      <c r="I78" s="468" t="s">
        <v>1319</v>
      </c>
      <c r="J78" s="651" t="str" cm="1">
        <f t="array" aca="1" ref="J78" ca="1">IF(OR(B78&lt;&gt;"S",CÁLCULO.FrentesPreenchidas=0),"",IF(AND(ACOMPANHAMENTO="PLE",AUTOEVENTO="Manual",OR(H78&gt;0,ORÇAMENTO!AC78="QUANT."),OR(K78="",M78=0,N78="")),"►E",IF(AND(ACOMPANHAMENTO="PLE",ORÇAMENTO!AC78="QUANT."),"►Q",IF(AND(ACOMPANHAMENTO="PLE",H78&lt;&gt;SUMPRODUCT(($Q$1:$AI$1=1)*ROUND(Q78:AI78,15))),"►S",IF(AND(COUNTIF($P$11:$AI$11,"▼")=0,H78&gt;0,I78=""),"◄M","")))))</f>
        <v/>
      </c>
      <c r="K78" s="652" t="s">
        <v>1347</v>
      </c>
      <c r="L78" s="165">
        <f t="shared" ca="1" si="13"/>
        <v>63</v>
      </c>
      <c r="M78" s="166">
        <f ca="1">IF($D78&lt;&gt;"Serviço","",
          IF(AUTOEVENTO="manual",$A78,
                IF(ISERROR(MATCH($A78,$A$15:OFFSET($A78,-1,0),0)),MAX($M$15:OFFSET(M78,-1,0))+1,
                      INDEX($M$15:OFFSET(M78,-1,0),MATCH($A78,$A$15:OFFSET($A78,-1,0),0)))))</f>
        <v>9</v>
      </c>
      <c r="N78" s="167" t="str">
        <f ca="1">IF($D78&lt;&gt;"Serviço","",
         IF(AUTOEVENTO="Manual",
                IF($A78=0,"&lt;-- defina o número do agrupador",
                       OFFSET(EVENTOS!$D$15,$A78-$A$15,0)),
                OFFSET($F$15,$A78,0)))</f>
        <v>Reaterro</v>
      </c>
      <c r="O78" s="168"/>
      <c r="Q78" s="168"/>
      <c r="R78" s="169"/>
      <c r="S78" s="169"/>
      <c r="T78" s="169"/>
      <c r="U78" s="169">
        <v>5424</v>
      </c>
      <c r="V78" s="169"/>
      <c r="W78" s="169"/>
      <c r="X78" s="169"/>
      <c r="Y78" s="169"/>
      <c r="Z78" s="170"/>
      <c r="AA78" s="705"/>
      <c r="AB78" s="705"/>
      <c r="AC78" s="705"/>
      <c r="AD78" s="705"/>
      <c r="AE78" s="705"/>
      <c r="AF78" s="705"/>
      <c r="AG78" s="705"/>
      <c r="AH78" s="706"/>
      <c r="AJ78" s="453">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0</v>
      </c>
      <c r="AK78" s="453">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L78" s="453">
        <f ca="1">IF(AND($D78="Serviço",AL$12&lt;&gt;0,$H78&gt;0,OR(AUTOEVENTO&lt;&gt;"manual",$M78&lt;&gt;$A$15)),
        IF(Import.TipoArredondamento&lt;&gt;"TransfereGOV",
              ROUND(OFFSET($P78,0,AL$13),15-13*ORÇAMENTO!$AF$7)/$H78*OFFSET(ORÇAMENTO!$X$15,ROW(AL78)-ROW(AL$15),0),
              ROUND(ROUND(OFFSET($P78,0,AL$13),15-13*ORÇAMENTO!$AF$7)*OFFSET(ORÇAMENTO!$W$15,ROW(AL78)-ROW(AL$15),0),15-13*ORÇAMENTO!$AF$11)),
         0)</f>
        <v>0</v>
      </c>
      <c r="AM78" s="453">
        <f ca="1">IF(AND($D78="Serviço",AM$12&lt;&gt;0,$H78&gt;0,OR(AUTOEVENTO&lt;&gt;"manual",$M78&lt;&gt;$A$15)),
        IF(Import.TipoArredondamento&lt;&gt;"TransfereGOV",
              ROUND(OFFSET($P78,0,AM$13),15-13*ORÇAMENTO!$AF$7)/$H78*OFFSET(ORÇAMENTO!$X$15,ROW(AM78)-ROW(AM$15),0),
              ROUND(ROUND(OFFSET($P78,0,AM$13),15-13*ORÇAMENTO!$AF$7)*OFFSET(ORÇAMENTO!$W$15,ROW(AM78)-ROW(AM$15),0),15-13*ORÇAMENTO!$AF$11)),
         0)</f>
        <v>0</v>
      </c>
      <c r="AN78" s="453">
        <f ca="1">IF(AND($D78="Serviço",AN$12&lt;&gt;0,$H78&gt;0,OR(AUTOEVENTO&lt;&gt;"manual",$M78&lt;&gt;$A$15)),
        IF(Import.TipoArredondamento&lt;&gt;"TransfereGOV",
              ROUND(OFFSET($P78,0,AN$13),15-13*ORÇAMENTO!$AF$7)/$H78*OFFSET(ORÇAMENTO!$X$15,ROW(AN78)-ROW(AN$15),0),
              ROUND(ROUND(OFFSET($P78,0,AN$13),15-13*ORÇAMENTO!$AF$7)*OFFSET(ORÇAMENTO!$W$15,ROW(AN78)-ROW(AN$15),0),15-13*ORÇAMENTO!$AF$11)),
         0)</f>
        <v>187290.72</v>
      </c>
      <c r="AO78" s="453">
        <f ca="1">IF(AND($D78="Serviço",AO$12&lt;&gt;0,$H78&gt;0,OR(AUTOEVENTO&lt;&gt;"manual",$M78&lt;&gt;$A$15)),
        IF(Import.TipoArredondamento&lt;&gt;"TransfereGOV",
              ROUND(OFFSET($P78,0,AO$13),15-13*ORÇAMENTO!$AF$7)/$H78*OFFSET(ORÇAMENTO!$X$15,ROW(AO78)-ROW(AO$15),0),
              ROUND(ROUND(OFFSET($P78,0,AO$13),15-13*ORÇAMENTO!$AF$7)*OFFSET(ORÇAMENTO!$W$15,ROW(AO78)-ROW(AO$15),0),15-13*ORÇAMENTO!$AF$11)),
         0)</f>
        <v>0</v>
      </c>
      <c r="AP78" s="453">
        <f ca="1">IF(AND($D78="Serviço",AP$12&lt;&gt;0,$H78&gt;0,OR(AUTOEVENTO&lt;&gt;"manual",$M78&lt;&gt;$A$15)),
        IF(Import.TipoArredondamento&lt;&gt;"TransfereGOV",
              ROUND(OFFSET($P78,0,AP$13),15-13*ORÇAMENTO!$AF$7)/$H78*OFFSET(ORÇAMENTO!$X$15,ROW(AP78)-ROW(AP$15),0),
              ROUND(ROUND(OFFSET($P78,0,AP$13),15-13*ORÇAMENTO!$AF$7)*OFFSET(ORÇAMENTO!$W$15,ROW(AP78)-ROW(AP$15),0),15-13*ORÇAMENTO!$AF$11)),
         0)</f>
        <v>0</v>
      </c>
      <c r="AQ78" s="453">
        <f ca="1">IF(AND($D78="Serviço",AQ$12&lt;&gt;0,$H78&gt;0,OR(AUTOEVENTO&lt;&gt;"manual",$M78&lt;&gt;$A$15)),
        IF(Import.TipoArredondamento&lt;&gt;"TransfereGOV",
              ROUND(OFFSET($P78,0,AQ$13),15-13*ORÇAMENTO!$AF$7)/$H78*OFFSET(ORÇAMENTO!$X$15,ROW(AQ78)-ROW(AQ$15),0),
              ROUND(ROUND(OFFSET($P78,0,AQ$13),15-13*ORÇAMENTO!$AF$7)*OFFSET(ORÇAMENTO!$W$15,ROW(AQ78)-ROW(AQ$15),0),15-13*ORÇAMENTO!$AF$11)),
         0)</f>
        <v>0</v>
      </c>
      <c r="AR78" s="453">
        <f ca="1">IF(AND($D78="Serviço",AR$12&lt;&gt;0,$H78&gt;0,OR(AUTOEVENTO&lt;&gt;"manual",$M78&lt;&gt;$A$15)),
        IF(Import.TipoArredondamento&lt;&gt;"TransfereGOV",
              ROUND(OFFSET($P78,0,AR$13),15-13*ORÇAMENTO!$AF$7)/$H78*OFFSET(ORÇAMENTO!$X$15,ROW(AR78)-ROW(AR$15),0),
              ROUND(ROUND(OFFSET($P78,0,AR$13),15-13*ORÇAMENTO!$AF$7)*OFFSET(ORÇAMENTO!$W$15,ROW(AR78)-ROW(AR$15),0),15-13*ORÇAMENTO!$AF$11)),
         0)</f>
        <v>0</v>
      </c>
      <c r="AS78" s="453">
        <f ca="1">IF(AND($D78="Serviço",AS$12&lt;&gt;0,$H78&gt;0,OR(AUTOEVENTO&lt;&gt;"manual",$M78&lt;&gt;$A$15)),
        IF(Import.TipoArredondamento&lt;&gt;"TransfereGOV",
              ROUND(OFFSET($P78,0,AS$13),15-13*ORÇAMENTO!$AF$7)/$H78*OFFSET(ORÇAMENTO!$X$15,ROW(AS78)-ROW(AS$15),0),
              ROUND(ROUND(OFFSET($P78,0,AS$13),15-13*ORÇAMENTO!$AF$7)*OFFSET(ORÇAMENTO!$W$15,ROW(AS78)-ROW(AS$15),0),15-13*ORÇAMENTO!$AF$11)),
         0)</f>
        <v>0</v>
      </c>
      <c r="AT78" s="453">
        <f ca="1">IF(AND($D78="Serviço",AT$12&lt;&gt;0,$H78&gt;0,OR(AUTOEVENTO&lt;&gt;"manual",$M78&lt;&gt;$A$15)),
        IF(Import.TipoArredondamento&lt;&gt;"TransfereGOV",
              ROUND(OFFSET($P78,0,AT$13),15-13*ORÇAMENTO!$AF$7)/$H78*OFFSET(ORÇAMENTO!$X$15,ROW(AT78)-ROW(AT$15),0),
              ROUND(ROUND(OFFSET($P78,0,AT$13),15-13*ORÇAMENTO!$AF$7)*OFFSET(ORÇAMENTO!$W$15,ROW(AT78)-ROW(AT$15),0),15-13*ORÇAMENTO!$AF$11)),
         0)</f>
        <v>0</v>
      </c>
      <c r="AU78" s="453">
        <f ca="1">IF(AND($D78="Serviço",AU$12&lt;&gt;0,$H78&gt;0,OR(AUTOEVENTO&lt;&gt;"manual",$M78&lt;&gt;$A$15)),
        IF(Import.TipoArredondamento&lt;&gt;"TransfereGOV",
              ROUND(OFFSET($P78,0,AU$13),15-13*ORÇAMENTO!$AF$7)/$H78*OFFSET(ORÇAMENTO!$X$15,ROW(AU78)-ROW(AU$15),0),
              ROUND(ROUND(OFFSET($P78,0,AU$13),15-13*ORÇAMENTO!$AF$7)*OFFSET(ORÇAMENTO!$W$15,ROW(AU78)-ROW(AU$15),0),15-13*ORÇAMENTO!$AF$11)),
         0)</f>
        <v>0</v>
      </c>
      <c r="AV78" s="453">
        <f ca="1">IF(AND($D78="Serviço",AV$12&lt;&gt;0,$H78&gt;0,OR(AUTOEVENTO&lt;&gt;"manual",$M78&lt;&gt;$A$15)),
        IF(Import.TipoArredondamento&lt;&gt;"TransfereGOV",
              ROUND(OFFSET($P78,0,AV$13),15-13*ORÇAMENTO!$AF$7)/$H78*OFFSET(ORÇAMENTO!$X$15,ROW(AV78)-ROW(AV$15),0),
              ROUND(ROUND(OFFSET($P78,0,AV$13),15-13*ORÇAMENTO!$AF$7)*OFFSET(ORÇAMENTO!$W$15,ROW(AV78)-ROW(AV$15),0),15-13*ORÇAMENTO!$AF$11)),
         0)</f>
        <v>0</v>
      </c>
      <c r="AW78" s="453">
        <f ca="1">IF(AND($D78="Serviço",AW$12&lt;&gt;0,$H78&gt;0,OR(AUTOEVENTO&lt;&gt;"manual",$M78&lt;&gt;$A$15)),
        IF(Import.TipoArredondamento&lt;&gt;"TransfereGOV",
              ROUND(OFFSET($P78,0,AW$13),15-13*ORÇAMENTO!$AF$7)/$H78*OFFSET(ORÇAMENTO!$X$15,ROW(AW78)-ROW(AW$15),0),
              ROUND(ROUND(OFFSET($P78,0,AW$13),15-13*ORÇAMENTO!$AF$7)*OFFSET(ORÇAMENTO!$W$15,ROW(AW78)-ROW(AW$15),0),15-13*ORÇAMENTO!$AF$11)),
         0)</f>
        <v>0</v>
      </c>
      <c r="AX78" s="453">
        <f ca="1">IF(AND($D78="Serviço",AX$12&lt;&gt;0,$H78&gt;0,OR(AUTOEVENTO&lt;&gt;"manual",$M78&lt;&gt;$A$15)),
        IF(Import.TipoArredondamento&lt;&gt;"TransfereGOV",
              ROUND(OFFSET($P78,0,AX$13),15-13*ORÇAMENTO!$AF$7)/$H78*OFFSET(ORÇAMENTO!$X$15,ROW(AX78)-ROW(AX$15),0),
              ROUND(ROUND(OFFSET($P78,0,AX$13),15-13*ORÇAMENTO!$AF$7)*OFFSET(ORÇAMENTO!$W$15,ROW(AX78)-ROW(AX$15),0),15-13*ORÇAMENTO!$AF$11)),
         0)</f>
        <v>0</v>
      </c>
      <c r="AY78" s="453">
        <f ca="1">IF(AND($D78="Serviço",AY$12&lt;&gt;0,$H78&gt;0,OR(AUTOEVENTO&lt;&gt;"manual",$M78&lt;&gt;$A$15)),
        IF(Import.TipoArredondamento&lt;&gt;"TransfereGOV",
              ROUND(OFFSET($P78,0,AY$13),15-13*ORÇAMENTO!$AF$7)/$H78*OFFSET(ORÇAMENTO!$X$15,ROW(AY78)-ROW(AY$15),0),
              ROUND(ROUND(OFFSET($P78,0,AY$13),15-13*ORÇAMENTO!$AF$7)*OFFSET(ORÇAMENTO!$W$15,ROW(AY78)-ROW(AY$15),0),15-13*ORÇAMENTO!$AF$11)),
         0)</f>
        <v>0</v>
      </c>
      <c r="AZ78" s="453">
        <f ca="1">IF(AND($D78="Serviço",AZ$12&lt;&gt;0,$H78&gt;0,OR(AUTOEVENTO&lt;&gt;"manual",$M78&lt;&gt;$A$15)),
        IF(Import.TipoArredondamento&lt;&gt;"TransfereGOV",
              ROUND(OFFSET($P78,0,AZ$13),15-13*ORÇAMENTO!$AF$7)/$H78*OFFSET(ORÇAMENTO!$X$15,ROW(AZ78)-ROW(AZ$15),0),
              ROUND(ROUND(OFFSET($P78,0,AZ$13),15-13*ORÇAMENTO!$AF$7)*OFFSET(ORÇAMENTO!$W$15,ROW(AZ78)-ROW(AZ$15),0),15-13*ORÇAMENTO!$AF$11)),
         0)</f>
        <v>0</v>
      </c>
      <c r="BA78" s="453">
        <f ca="1">IF(AND($D78="Serviço",BA$12&lt;&gt;0,$H78&gt;0,OR(AUTOEVENTO&lt;&gt;"manual",$M78&lt;&gt;$A$15)),
        IF(Import.TipoArredondamento&lt;&gt;"TransfereGOV",
              ROUND(OFFSET($P78,0,BA$13),15-13*ORÇAMENTO!$AF$7)/$H78*OFFSET(ORÇAMENTO!$X$15,ROW(BA78)-ROW(BA$15),0),
              ROUND(ROUND(OFFSET($P78,0,BA$13),15-13*ORÇAMENTO!$AF$7)*OFFSET(ORÇAMENTO!$W$15,ROW(BA78)-ROW(BA$15),0),15-13*ORÇAMENTO!$AF$11)),
         0)</f>
        <v>0</v>
      </c>
      <c r="BC78" s="171">
        <f ca="1">IF(OR($D78&lt;&gt;"Serviço",AND(AUTOEVENTO="Manual",$M78=$A$15)),0,
         IF(OFFSET(CRONOPLE!$F$15,$M78-$A$15,BC$13)=0,10^12,OFFSET(CRONOPLE!$F$15,$M78-$A$15,BC$13)))</f>
        <v>1000000000000</v>
      </c>
      <c r="BD78" s="171">
        <f ca="1">IF(OR($D78&lt;&gt;"Serviço",AND(AUTOEVENTO="Manual",$M78=$A$15)),0,
         IF(OFFSET(CRONOPLE!$F$15,$M78-$A$15,BD$13)=0,10^12,OFFSET(CRONOPLE!$F$15,$M78-$A$15,BD$13)))</f>
        <v>1000000000000</v>
      </c>
      <c r="BE78" s="171">
        <f ca="1">IF(OR($D78&lt;&gt;"Serviço",AND(AUTOEVENTO="Manual",$M78=$A$15)),0,
         IF(OFFSET(CRONOPLE!$F$15,$M78-$A$15,BE$13)=0,10^12,OFFSET(CRONOPLE!$F$15,$M78-$A$15,BE$13)))</f>
        <v>1000000000000</v>
      </c>
      <c r="BF78" s="171">
        <f ca="1">IF(OR($D78&lt;&gt;"Serviço",AND(AUTOEVENTO="Manual",$M78=$A$15)),0,
         IF(OFFSET(CRONOPLE!$F$15,$M78-$A$15,BF$13)=0,10^12,OFFSET(CRONOPLE!$F$15,$M78-$A$15,BF$13)))</f>
        <v>11</v>
      </c>
      <c r="BG78" s="171">
        <f ca="1">IF(OR($D78&lt;&gt;"Serviço",AND(AUTOEVENTO="Manual",$M78=$A$15)),0,
         IF(OFFSET(CRONOPLE!$F$15,$M78-$A$15,BG$13)=0,10^12,OFFSET(CRONOPLE!$F$15,$M78-$A$15,BG$13)))</f>
        <v>7</v>
      </c>
      <c r="BH78" s="171">
        <f ca="1">IF(OR($D78&lt;&gt;"Serviço",AND(AUTOEVENTO="Manual",$M78=$A$15)),0,
         IF(OFFSET(CRONOPLE!$F$15,$M78-$A$15,BH$13)=0,10^12,OFFSET(CRONOPLE!$F$15,$M78-$A$15,BH$13)))</f>
        <v>1000000000000</v>
      </c>
      <c r="BI78" s="171">
        <f ca="1">IF(OR($D78&lt;&gt;"Serviço",AND(AUTOEVENTO="Manual",$M78=$A$15)),0,
         IF(OFFSET(CRONOPLE!$F$15,$M78-$A$15,BI$13)=0,10^12,OFFSET(CRONOPLE!$F$15,$M78-$A$15,BI$13)))</f>
        <v>12</v>
      </c>
      <c r="BJ78" s="171">
        <f ca="1">IF(OR($D78&lt;&gt;"Serviço",AND(AUTOEVENTO="Manual",$M78=$A$15)),0,
         IF(OFFSET(CRONOPLE!$F$15,$M78-$A$15,BJ$13)=0,10^12,OFFSET(CRONOPLE!$F$15,$M78-$A$15,BJ$13)))</f>
        <v>1000000000000</v>
      </c>
      <c r="BK78" s="171">
        <f ca="1">IF(OR($D78&lt;&gt;"Serviço",AND(AUTOEVENTO="Manual",$M78=$A$15)),0,
         IF(OFFSET(CRONOPLE!$F$15,$M78-$A$15,BK$13)=0,10^12,OFFSET(CRONOPLE!$F$15,$M78-$A$15,BK$13)))</f>
        <v>1000000000000</v>
      </c>
      <c r="BL78" s="171">
        <f ca="1">IF(OR($D78&lt;&gt;"Serviço",AND(AUTOEVENTO="Manual",$M78=$A$15)),0,
         IF(OFFSET(CRONOPLE!$F$15,$M78-$A$15,BL$13)=0,10^12,OFFSET(CRONOPLE!$F$15,$M78-$A$15,BL$13)))</f>
        <v>1000000000000</v>
      </c>
      <c r="BM78" s="171">
        <f ca="1">IF(OR($D78&lt;&gt;"Serviço",AND(AUTOEVENTO="Manual",$M78=$A$15)),0,
         IF(OFFSET(CRONOPLE!$F$15,$M78-$A$15,BM$13)=0,10^12,OFFSET(CRONOPLE!$F$15,$M78-$A$15,BM$13)))</f>
        <v>1000000000000</v>
      </c>
      <c r="BN78" s="171">
        <f ca="1">IF(OR($D78&lt;&gt;"Serviço",AND(AUTOEVENTO="Manual",$M78=$A$15)),0,
         IF(OFFSET(CRONOPLE!$F$15,$M78-$A$15,BN$13)=0,10^12,OFFSET(CRONOPLE!$F$15,$M78-$A$15,BN$13)))</f>
        <v>1000000000000</v>
      </c>
      <c r="BO78" s="171">
        <f ca="1">IF(OR($D78&lt;&gt;"Serviço",AND(AUTOEVENTO="Manual",$M78=$A$15)),0,
         IF(OFFSET(CRONOPLE!$F$15,$M78-$A$15,BO$13)=0,10^12,OFFSET(CRONOPLE!$F$15,$M78-$A$15,BO$13)))</f>
        <v>1000000000000</v>
      </c>
      <c r="BP78" s="171">
        <f ca="1">IF(OR($D78&lt;&gt;"Serviço",AND(AUTOEVENTO="Manual",$M78=$A$15)),0,
         IF(OFFSET(CRONOPLE!$F$15,$M78-$A$15,BP$13)=0,10^12,OFFSET(CRONOPLE!$F$15,$M78-$A$15,BP$13)))</f>
        <v>1000000000000</v>
      </c>
      <c r="BQ78" s="171">
        <f ca="1">IF(OR($D78&lt;&gt;"Serviço",AND(AUTOEVENTO="Manual",$M78=$A$15)),0,
         IF(OFFSET(CRONOPLE!$F$15,$M78-$A$15,BQ$13)=0,10^12,OFFSET(CRONOPLE!$F$15,$M78-$A$15,BQ$13)))</f>
        <v>1000000000000</v>
      </c>
      <c r="BR78" s="171">
        <f ca="1">IF(OR($D78&lt;&gt;"Serviço",AND(AUTOEVENTO="Manual",$M78=$A$15)),0,
         IF(OFFSET(CRONOPLE!$F$15,$M78-$A$15,BR$13)=0,10^12,OFFSET(CRONOPLE!$F$15,$M78-$A$15,BR$13)))</f>
        <v>1000000000000</v>
      </c>
      <c r="BS78" s="171">
        <f ca="1">IF(OR($D78&lt;&gt;"Serviço",AND(AUTOEVENTO="Manual",$M78=$A$15)),0,
         IF(OFFSET(CRONOPLE!$F$15,$M78-$A$15,BS$13)=0,10^12,OFFSET(CRONOPLE!$F$15,$M78-$A$15,BS$13)))</f>
        <v>1000000000000</v>
      </c>
      <c r="BT78" s="171">
        <f ca="1">IF(OR($D78&lt;&gt;"Serviço",AND(AUTOEVENTO="Manual",$M78=$A$15)),0,
         IF(OFFSET(CRONOPLE!$F$15,$M78-$A$15,BT$13)=0,10^12,OFFSET(CRONOPLE!$F$15,$M78-$A$15,BT$13)))</f>
        <v>1000000000000</v>
      </c>
      <c r="BV78" s="172" cm="1">
        <f t="array" aca="1" ref="BV78" ca="1">IF(OR($D78&lt;&gt;"Serviço",AND(AUTOEVENTO="Manual",$M78=$A$15),$M78&gt;(ROW(PLE.lastrow)-ROW(PLE.firstrow))),0,
           IF(OFFSET(PLE!$G$15,$M78-$A$15,BV$13)="",10^12,OFFSET(PLE!$G$15,$M78-$A$15,BV$13)))</f>
        <v>1000000000000</v>
      </c>
      <c r="BW78" s="172" cm="1">
        <f t="array" aca="1" ref="BW78" ca="1">IF(OR($D78&lt;&gt;"Serviço",AND(AUTOEVENTO="Manual",$M78=$A$15),$M78&gt;(ROW(PLE.lastrow)-ROW(PLE.firstrow))),0,
           IF(OFFSET(PLE!$G$15,$M78-$A$15,BW$13)="",10^12,OFFSET(PLE!$G$15,$M78-$A$15,BW$13)))</f>
        <v>1000000000000</v>
      </c>
      <c r="BX78" s="172" cm="1">
        <f t="array" aca="1" ref="BX78" ca="1">IF(OR($D78&lt;&gt;"Serviço",AND(AUTOEVENTO="Manual",$M78=$A$15),$M78&gt;(ROW(PLE.lastrow)-ROW(PLE.firstrow))),0,
           IF(OFFSET(PLE!$G$15,$M78-$A$15,BX$13)="",10^12,OFFSET(PLE!$G$15,$M78-$A$15,BX$13)))</f>
        <v>1000000000000</v>
      </c>
      <c r="BY78" s="172" cm="1">
        <f t="array" aca="1" ref="BY78" ca="1">IF(OR($D78&lt;&gt;"Serviço",AND(AUTOEVENTO="Manual",$M78=$A$15),$M78&gt;(ROW(PLE.lastrow)-ROW(PLE.firstrow))),0,
           IF(OFFSET(PLE!$G$15,$M78-$A$15,BY$13)="",10^12,OFFSET(PLE!$G$15,$M78-$A$15,BY$13)))</f>
        <v>1000000000000</v>
      </c>
      <c r="BZ78" s="172" cm="1">
        <f t="array" aca="1" ref="BZ78" ca="1">IF(OR($D78&lt;&gt;"Serviço",AND(AUTOEVENTO="Manual",$M78=$A$15),$M78&gt;(ROW(PLE.lastrow)-ROW(PLE.firstrow))),0,
           IF(OFFSET(PLE!$G$15,$M78-$A$15,BZ$13)="",10^12,OFFSET(PLE!$G$15,$M78-$A$15,BZ$13)))</f>
        <v>1000000000000</v>
      </c>
      <c r="CA78" s="172" cm="1">
        <f t="array" aca="1" ref="CA78" ca="1">IF(OR($D78&lt;&gt;"Serviço",AND(AUTOEVENTO="Manual",$M78=$A$15),$M78&gt;(ROW(PLE.lastrow)-ROW(PLE.firstrow))),0,
           IF(OFFSET(PLE!$G$15,$M78-$A$15,CA$13)="",10^12,OFFSET(PLE!$G$15,$M78-$A$15,CA$13)))</f>
        <v>1000000000000</v>
      </c>
      <c r="CB78" s="172" cm="1">
        <f t="array" aca="1" ref="CB78" ca="1">IF(OR($D78&lt;&gt;"Serviço",AND(AUTOEVENTO="Manual",$M78=$A$15),$M78&gt;(ROW(PLE.lastrow)-ROW(PLE.firstrow))),0,
           IF(OFFSET(PLE!$G$15,$M78-$A$15,CB$13)="",10^12,OFFSET(PLE!$G$15,$M78-$A$15,CB$13)))</f>
        <v>1000000000000</v>
      </c>
      <c r="CC78" s="172" cm="1">
        <f t="array" aca="1" ref="CC78" ca="1">IF(OR($D78&lt;&gt;"Serviço",AND(AUTOEVENTO="Manual",$M78=$A$15),$M78&gt;(ROW(PLE.lastrow)-ROW(PLE.firstrow))),0,
           IF(OFFSET(PLE!$G$15,$M78-$A$15,CC$13)="",10^12,OFFSET(PLE!$G$15,$M78-$A$15,CC$13)))</f>
        <v>1000000000000</v>
      </c>
      <c r="CD78" s="172" cm="1">
        <f t="array" aca="1" ref="CD78" ca="1">IF(OR($D78&lt;&gt;"Serviço",AND(AUTOEVENTO="Manual",$M78=$A$15),$M78&gt;(ROW(PLE.lastrow)-ROW(PLE.firstrow))),0,
           IF(OFFSET(PLE!$G$15,$M78-$A$15,CD$13)="",10^12,OFFSET(PLE!$G$15,$M78-$A$15,CD$13)))</f>
        <v>1000000000000</v>
      </c>
      <c r="CE78" s="172" cm="1">
        <f t="array" aca="1" ref="CE78" ca="1">IF(OR($D78&lt;&gt;"Serviço",AND(AUTOEVENTO="Manual",$M78=$A$15),$M78&gt;(ROW(PLE.lastrow)-ROW(PLE.firstrow))),0,
           IF(OFFSET(PLE!$G$15,$M78-$A$15,CE$13)="",10^12,OFFSET(PLE!$G$15,$M78-$A$15,CE$13)))</f>
        <v>1000000000000</v>
      </c>
      <c r="CF78" s="172" cm="1">
        <f t="array" aca="1" ref="CF78" ca="1">IF(OR($D78&lt;&gt;"Serviço",AND(AUTOEVENTO="Manual",$M78=$A$15),$M78&gt;(ROW(PLE.lastrow)-ROW(PLE.firstrow))),0,
           IF(OFFSET(PLE!$G$15,$M78-$A$15,CF$13)="",10^12,OFFSET(PLE!$G$15,$M78-$A$15,CF$13)))</f>
        <v>1000000000000</v>
      </c>
      <c r="CG78" s="172" cm="1">
        <f t="array" aca="1" ref="CG78" ca="1">IF(OR($D78&lt;&gt;"Serviço",AND(AUTOEVENTO="Manual",$M78=$A$15),$M78&gt;(ROW(PLE.lastrow)-ROW(PLE.firstrow))),0,
           IF(OFFSET(PLE!$G$15,$M78-$A$15,CG$13)="",10^12,OFFSET(PLE!$G$15,$M78-$A$15,CG$13)))</f>
        <v>1000000000000</v>
      </c>
      <c r="CH78" s="172" cm="1">
        <f t="array" aca="1" ref="CH78" ca="1">IF(OR($D78&lt;&gt;"Serviço",AND(AUTOEVENTO="Manual",$M78=$A$15),$M78&gt;(ROW(PLE.lastrow)-ROW(PLE.firstrow))),0,
           IF(OFFSET(PLE!$G$15,$M78-$A$15,CH$13)="",10^12,OFFSET(PLE!$G$15,$M78-$A$15,CH$13)))</f>
        <v>1000000000000</v>
      </c>
      <c r="CI78" s="172" cm="1">
        <f t="array" aca="1" ref="CI78" ca="1">IF(OR($D78&lt;&gt;"Serviço",AND(AUTOEVENTO="Manual",$M78=$A$15),$M78&gt;(ROW(PLE.lastrow)-ROW(PLE.firstrow))),0,
           IF(OFFSET(PLE!$G$15,$M78-$A$15,CI$13)="",10^12,OFFSET(PLE!$G$15,$M78-$A$15,CI$13)))</f>
        <v>1000000000000</v>
      </c>
      <c r="CJ78" s="172" cm="1">
        <f t="array" aca="1" ref="CJ78" ca="1">IF(OR($D78&lt;&gt;"Serviço",AND(AUTOEVENTO="Manual",$M78=$A$15),$M78&gt;(ROW(PLE.lastrow)-ROW(PLE.firstrow))),0,
           IF(OFFSET(PLE!$G$15,$M78-$A$15,CJ$13)="",10^12,OFFSET(PLE!$G$15,$M78-$A$15,CJ$13)))</f>
        <v>1000000000000</v>
      </c>
      <c r="CK78" s="172" cm="1">
        <f t="array" aca="1" ref="CK78" ca="1">IF(OR($D78&lt;&gt;"Serviço",AND(AUTOEVENTO="Manual",$M78=$A$15),$M78&gt;(ROW(PLE.lastrow)-ROW(PLE.firstrow))),0,
           IF(OFFSET(PLE!$G$15,$M78-$A$15,CK$13)="",10^12,OFFSET(PLE!$G$15,$M78-$A$15,CK$13)))</f>
        <v>1000000000000</v>
      </c>
      <c r="CL78" s="172" cm="1">
        <f t="array" aca="1" ref="CL78" ca="1">IF(OR($D78&lt;&gt;"Serviço",AND(AUTOEVENTO="Manual",$M78=$A$15),$M78&gt;(ROW(PLE.lastrow)-ROW(PLE.firstrow))),0,
           IF(OFFSET(PLE!$G$15,$M78-$A$15,CL$13)="",10^12,OFFSET(PLE!$G$15,$M78-$A$15,CL$13)))</f>
        <v>1000000000000</v>
      </c>
      <c r="CM78" s="172" cm="1">
        <f t="array" aca="1" ref="CM78" ca="1">IF(OR($D78&lt;&gt;"Serviço",AND(AUTOEVENTO="Manual",$M78=$A$15),$M78&gt;(ROW(PLE.lastrow)-ROW(PLE.firstrow))),0,
           IF(OFFSET(PLE!$G$15,$M78-$A$15,CM$13)="",10^12,OFFSET(PLE!$G$15,$M78-$A$15,CM$13)))</f>
        <v>1000000000000</v>
      </c>
    </row>
    <row r="79" spans="1:91" s="670" customFormat="1" ht="51" x14ac:dyDescent="0.2">
      <c r="A79" s="668">
        <f t="shared" ca="1" si="12"/>
        <v>8</v>
      </c>
      <c r="B79" s="668" t="str">
        <f ca="1">OFFSET(ORÇAMENTO!C$15,$L79,0)</f>
        <v>S</v>
      </c>
      <c r="C79" s="668" t="str">
        <f ca="1">OFFSET(ORÇAMENTO!L$15,$L79,0)</f>
        <v>F</v>
      </c>
      <c r="D79" s="116" t="str">
        <f ca="1">OFFSET(ORÇAMENTO!N$15,$L79,0)</f>
        <v>Serviço</v>
      </c>
      <c r="E79" s="117" t="str">
        <f ca="1">OFFSET(ORÇAMENTO!O$15,$L79,0)</f>
        <v>1.10.4.</v>
      </c>
      <c r="F79" s="163" t="str">
        <f ca="1">OFFSET(ORÇAMENTO!R$15,$L79,0)</f>
        <v>ASSENTAMENTO DE TUBO DE PVC DEFOFO OU PRFV OU RPVC PARA REDE DE ÁGUA, DN 200 MM, JUNTA ELÁSTICA INTEGRADA, INSTALADO EM LOCAL COM NÍVEL ALTO DE INTERFERÊNCIAS (NÃO INCLUI FORNECIMENTO). AF_05/2024</v>
      </c>
      <c r="G79" s="164" t="str">
        <f ca="1">IF($D79&lt;&gt;"Serviço","",OFFSET(ORÇAMENTO!S$15,$L79,0))</f>
        <v>M</v>
      </c>
      <c r="H79" s="122" cm="1">
        <f t="array" aca="1" ref="H79" ca="1">IF($D79&lt;&gt;"Serviço",0,IF(ACOMPANHAMENTO="BM",ROUND(OFFSET(ORÇAMENTO!AJ$15,$L79,0),15-13*ORÇAMENTO!$AF$7),IF(IFERROR(CÁLCULO.FrentesPreenchidas,0)=0,0,SUM(ROUND(OFFSET($P79,0,1,1,CÁLCULO.FrentesPreenchidas),15-13*ORÇAMENTO!$AF$7)))))</f>
        <v>3390</v>
      </c>
      <c r="I79" s="468" t="s">
        <v>1128</v>
      </c>
      <c r="J79" s="651" t="str" cm="1">
        <f t="array" aca="1" ref="J79" ca="1">IF(OR(B79&lt;&gt;"S",CÁLCULO.FrentesPreenchidas=0),"",IF(AND(ACOMPANHAMENTO="PLE",AUTOEVENTO="Manual",OR(H79&gt;0,ORÇAMENTO!AC79="QUANT."),OR(K79="",M79=0,N79="")),"►E",IF(AND(ACOMPANHAMENTO="PLE",ORÇAMENTO!AC79="QUANT."),"►Q",IF(AND(ACOMPANHAMENTO="PLE",H79&lt;&gt;SUMPRODUCT(($Q$1:$AI$1=1)*ROUND(Q79:AI79,15))),"►S",IF(AND(COUNTIF($P$11:$AI$11,"▼")=0,H79&gt;0,I79=""),"◄M","")))))</f>
        <v/>
      </c>
      <c r="K79" s="652" t="s">
        <v>1352</v>
      </c>
      <c r="L79" s="165">
        <f t="shared" ca="1" si="13"/>
        <v>64</v>
      </c>
      <c r="M79" s="166">
        <f ca="1">IF($D79&lt;&gt;"Serviço","",
          IF(AUTOEVENTO="manual",$A79,
                IF(ISERROR(MATCH($A79,$A$15:OFFSET($A79,-1,0),0)),MAX($M$15:OFFSET(M79,-1,0))+1,
                      INDEX($M$15:OFFSET(M79,-1,0),MATCH($A79,$A$15:OFFSET($A79,-1,0),0)))))</f>
        <v>8</v>
      </c>
      <c r="N79" s="167" t="str">
        <f ca="1">IF($D79&lt;&gt;"Serviço","",
         IF(AUTOEVENTO="Manual",
                IF($A79=0,"&lt;-- defina o número do agrupador",
                       OFFSET(EVENTOS!$D$15,$A79-$A$15,0)),
                OFFSET($F$15,$A79,0)))</f>
        <v>Assentamento de tubulação</v>
      </c>
      <c r="O79" s="168"/>
      <c r="Q79" s="168"/>
      <c r="R79" s="169"/>
      <c r="S79" s="169"/>
      <c r="T79" s="169"/>
      <c r="U79" s="169">
        <v>3390</v>
      </c>
      <c r="V79" s="169"/>
      <c r="W79" s="169"/>
      <c r="X79" s="169"/>
      <c r="Y79" s="169"/>
      <c r="Z79" s="170"/>
      <c r="AA79" s="705"/>
      <c r="AB79" s="705"/>
      <c r="AC79" s="705"/>
      <c r="AD79" s="705"/>
      <c r="AE79" s="705"/>
      <c r="AF79" s="705"/>
      <c r="AG79" s="705"/>
      <c r="AH79" s="706"/>
      <c r="AJ79" s="453">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0</v>
      </c>
      <c r="AK79" s="453">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0</v>
      </c>
      <c r="AL79" s="453">
        <f ca="1">IF(AND($D79="Serviço",AL$12&lt;&gt;0,$H79&gt;0,OR(AUTOEVENTO&lt;&gt;"manual",$M79&lt;&gt;$A$15)),
        IF(Import.TipoArredondamento&lt;&gt;"TransfereGOV",
              ROUND(OFFSET($P79,0,AL$13),15-13*ORÇAMENTO!$AF$7)/$H79*OFFSET(ORÇAMENTO!$X$15,ROW(AL79)-ROW(AL$15),0),
              ROUND(ROUND(OFFSET($P79,0,AL$13),15-13*ORÇAMENTO!$AF$7)*OFFSET(ORÇAMENTO!$W$15,ROW(AL79)-ROW(AL$15),0),15-13*ORÇAMENTO!$AF$11)),
         0)</f>
        <v>0</v>
      </c>
      <c r="AM79" s="453">
        <f ca="1">IF(AND($D79="Serviço",AM$12&lt;&gt;0,$H79&gt;0,OR(AUTOEVENTO&lt;&gt;"manual",$M79&lt;&gt;$A$15)),
        IF(Import.TipoArredondamento&lt;&gt;"TransfereGOV",
              ROUND(OFFSET($P79,0,AM$13),15-13*ORÇAMENTO!$AF$7)/$H79*OFFSET(ORÇAMENTO!$X$15,ROW(AM79)-ROW(AM$15),0),
              ROUND(ROUND(OFFSET($P79,0,AM$13),15-13*ORÇAMENTO!$AF$7)*OFFSET(ORÇAMENTO!$W$15,ROW(AM79)-ROW(AM$15),0),15-13*ORÇAMENTO!$AF$11)),
         0)</f>
        <v>0</v>
      </c>
      <c r="AN79" s="453">
        <f ca="1">IF(AND($D79="Serviço",AN$12&lt;&gt;0,$H79&gt;0,OR(AUTOEVENTO&lt;&gt;"manual",$M79&lt;&gt;$A$15)),
        IF(Import.TipoArredondamento&lt;&gt;"TransfereGOV",
              ROUND(OFFSET($P79,0,AN$13),15-13*ORÇAMENTO!$AF$7)/$H79*OFFSET(ORÇAMENTO!$X$15,ROW(AN79)-ROW(AN$15),0),
              ROUND(ROUND(OFFSET($P79,0,AN$13),15-13*ORÇAMENTO!$AF$7)*OFFSET(ORÇAMENTO!$W$15,ROW(AN79)-ROW(AN$15),0),15-13*ORÇAMENTO!$AF$11)),
         0)</f>
        <v>47799</v>
      </c>
      <c r="AO79" s="453">
        <f ca="1">IF(AND($D79="Serviço",AO$12&lt;&gt;0,$H79&gt;0,OR(AUTOEVENTO&lt;&gt;"manual",$M79&lt;&gt;$A$15)),
        IF(Import.TipoArredondamento&lt;&gt;"TransfereGOV",
              ROUND(OFFSET($P79,0,AO$13),15-13*ORÇAMENTO!$AF$7)/$H79*OFFSET(ORÇAMENTO!$X$15,ROW(AO79)-ROW(AO$15),0),
              ROUND(ROUND(OFFSET($P79,0,AO$13),15-13*ORÇAMENTO!$AF$7)*OFFSET(ORÇAMENTO!$W$15,ROW(AO79)-ROW(AO$15),0),15-13*ORÇAMENTO!$AF$11)),
         0)</f>
        <v>0</v>
      </c>
      <c r="AP79" s="453">
        <f ca="1">IF(AND($D79="Serviço",AP$12&lt;&gt;0,$H79&gt;0,OR(AUTOEVENTO&lt;&gt;"manual",$M79&lt;&gt;$A$15)),
        IF(Import.TipoArredondamento&lt;&gt;"TransfereGOV",
              ROUND(OFFSET($P79,0,AP$13),15-13*ORÇAMENTO!$AF$7)/$H79*OFFSET(ORÇAMENTO!$X$15,ROW(AP79)-ROW(AP$15),0),
              ROUND(ROUND(OFFSET($P79,0,AP$13),15-13*ORÇAMENTO!$AF$7)*OFFSET(ORÇAMENTO!$W$15,ROW(AP79)-ROW(AP$15),0),15-13*ORÇAMENTO!$AF$11)),
         0)</f>
        <v>0</v>
      </c>
      <c r="AQ79" s="453">
        <f ca="1">IF(AND($D79="Serviço",AQ$12&lt;&gt;0,$H79&gt;0,OR(AUTOEVENTO&lt;&gt;"manual",$M79&lt;&gt;$A$15)),
        IF(Import.TipoArredondamento&lt;&gt;"TransfereGOV",
              ROUND(OFFSET($P79,0,AQ$13),15-13*ORÇAMENTO!$AF$7)/$H79*OFFSET(ORÇAMENTO!$X$15,ROW(AQ79)-ROW(AQ$15),0),
              ROUND(ROUND(OFFSET($P79,0,AQ$13),15-13*ORÇAMENTO!$AF$7)*OFFSET(ORÇAMENTO!$W$15,ROW(AQ79)-ROW(AQ$15),0),15-13*ORÇAMENTO!$AF$11)),
         0)</f>
        <v>0</v>
      </c>
      <c r="AR79" s="453">
        <f ca="1">IF(AND($D79="Serviço",AR$12&lt;&gt;0,$H79&gt;0,OR(AUTOEVENTO&lt;&gt;"manual",$M79&lt;&gt;$A$15)),
        IF(Import.TipoArredondamento&lt;&gt;"TransfereGOV",
              ROUND(OFFSET($P79,0,AR$13),15-13*ORÇAMENTO!$AF$7)/$H79*OFFSET(ORÇAMENTO!$X$15,ROW(AR79)-ROW(AR$15),0),
              ROUND(ROUND(OFFSET($P79,0,AR$13),15-13*ORÇAMENTO!$AF$7)*OFFSET(ORÇAMENTO!$W$15,ROW(AR79)-ROW(AR$15),0),15-13*ORÇAMENTO!$AF$11)),
         0)</f>
        <v>0</v>
      </c>
      <c r="AS79" s="453">
        <f ca="1">IF(AND($D79="Serviço",AS$12&lt;&gt;0,$H79&gt;0,OR(AUTOEVENTO&lt;&gt;"manual",$M79&lt;&gt;$A$15)),
        IF(Import.TipoArredondamento&lt;&gt;"TransfereGOV",
              ROUND(OFFSET($P79,0,AS$13),15-13*ORÇAMENTO!$AF$7)/$H79*OFFSET(ORÇAMENTO!$X$15,ROW(AS79)-ROW(AS$15),0),
              ROUND(ROUND(OFFSET($P79,0,AS$13),15-13*ORÇAMENTO!$AF$7)*OFFSET(ORÇAMENTO!$W$15,ROW(AS79)-ROW(AS$15),0),15-13*ORÇAMENTO!$AF$11)),
         0)</f>
        <v>0</v>
      </c>
      <c r="AT79" s="453">
        <f ca="1">IF(AND($D79="Serviço",AT$12&lt;&gt;0,$H79&gt;0,OR(AUTOEVENTO&lt;&gt;"manual",$M79&lt;&gt;$A$15)),
        IF(Import.TipoArredondamento&lt;&gt;"TransfereGOV",
              ROUND(OFFSET($P79,0,AT$13),15-13*ORÇAMENTO!$AF$7)/$H79*OFFSET(ORÇAMENTO!$X$15,ROW(AT79)-ROW(AT$15),0),
              ROUND(ROUND(OFFSET($P79,0,AT$13),15-13*ORÇAMENTO!$AF$7)*OFFSET(ORÇAMENTO!$W$15,ROW(AT79)-ROW(AT$15),0),15-13*ORÇAMENTO!$AF$11)),
         0)</f>
        <v>0</v>
      </c>
      <c r="AU79" s="453">
        <f ca="1">IF(AND($D79="Serviço",AU$12&lt;&gt;0,$H79&gt;0,OR(AUTOEVENTO&lt;&gt;"manual",$M79&lt;&gt;$A$15)),
        IF(Import.TipoArredondamento&lt;&gt;"TransfereGOV",
              ROUND(OFFSET($P79,0,AU$13),15-13*ORÇAMENTO!$AF$7)/$H79*OFFSET(ORÇAMENTO!$X$15,ROW(AU79)-ROW(AU$15),0),
              ROUND(ROUND(OFFSET($P79,0,AU$13),15-13*ORÇAMENTO!$AF$7)*OFFSET(ORÇAMENTO!$W$15,ROW(AU79)-ROW(AU$15),0),15-13*ORÇAMENTO!$AF$11)),
         0)</f>
        <v>0</v>
      </c>
      <c r="AV79" s="453">
        <f ca="1">IF(AND($D79="Serviço",AV$12&lt;&gt;0,$H79&gt;0,OR(AUTOEVENTO&lt;&gt;"manual",$M79&lt;&gt;$A$15)),
        IF(Import.TipoArredondamento&lt;&gt;"TransfereGOV",
              ROUND(OFFSET($P79,0,AV$13),15-13*ORÇAMENTO!$AF$7)/$H79*OFFSET(ORÇAMENTO!$X$15,ROW(AV79)-ROW(AV$15),0),
              ROUND(ROUND(OFFSET($P79,0,AV$13),15-13*ORÇAMENTO!$AF$7)*OFFSET(ORÇAMENTO!$W$15,ROW(AV79)-ROW(AV$15),0),15-13*ORÇAMENTO!$AF$11)),
         0)</f>
        <v>0</v>
      </c>
      <c r="AW79" s="453">
        <f ca="1">IF(AND($D79="Serviço",AW$12&lt;&gt;0,$H79&gt;0,OR(AUTOEVENTO&lt;&gt;"manual",$M79&lt;&gt;$A$15)),
        IF(Import.TipoArredondamento&lt;&gt;"TransfereGOV",
              ROUND(OFFSET($P79,0,AW$13),15-13*ORÇAMENTO!$AF$7)/$H79*OFFSET(ORÇAMENTO!$X$15,ROW(AW79)-ROW(AW$15),0),
              ROUND(ROUND(OFFSET($P79,0,AW$13),15-13*ORÇAMENTO!$AF$7)*OFFSET(ORÇAMENTO!$W$15,ROW(AW79)-ROW(AW$15),0),15-13*ORÇAMENTO!$AF$11)),
         0)</f>
        <v>0</v>
      </c>
      <c r="AX79" s="453">
        <f ca="1">IF(AND($D79="Serviço",AX$12&lt;&gt;0,$H79&gt;0,OR(AUTOEVENTO&lt;&gt;"manual",$M79&lt;&gt;$A$15)),
        IF(Import.TipoArredondamento&lt;&gt;"TransfereGOV",
              ROUND(OFFSET($P79,0,AX$13),15-13*ORÇAMENTO!$AF$7)/$H79*OFFSET(ORÇAMENTO!$X$15,ROW(AX79)-ROW(AX$15),0),
              ROUND(ROUND(OFFSET($P79,0,AX$13),15-13*ORÇAMENTO!$AF$7)*OFFSET(ORÇAMENTO!$W$15,ROW(AX79)-ROW(AX$15),0),15-13*ORÇAMENTO!$AF$11)),
         0)</f>
        <v>0</v>
      </c>
      <c r="AY79" s="453">
        <f ca="1">IF(AND($D79="Serviço",AY$12&lt;&gt;0,$H79&gt;0,OR(AUTOEVENTO&lt;&gt;"manual",$M79&lt;&gt;$A$15)),
        IF(Import.TipoArredondamento&lt;&gt;"TransfereGOV",
              ROUND(OFFSET($P79,0,AY$13),15-13*ORÇAMENTO!$AF$7)/$H79*OFFSET(ORÇAMENTO!$X$15,ROW(AY79)-ROW(AY$15),0),
              ROUND(ROUND(OFFSET($P79,0,AY$13),15-13*ORÇAMENTO!$AF$7)*OFFSET(ORÇAMENTO!$W$15,ROW(AY79)-ROW(AY$15),0),15-13*ORÇAMENTO!$AF$11)),
         0)</f>
        <v>0</v>
      </c>
      <c r="AZ79" s="453">
        <f ca="1">IF(AND($D79="Serviço",AZ$12&lt;&gt;0,$H79&gt;0,OR(AUTOEVENTO&lt;&gt;"manual",$M79&lt;&gt;$A$15)),
        IF(Import.TipoArredondamento&lt;&gt;"TransfereGOV",
              ROUND(OFFSET($P79,0,AZ$13),15-13*ORÇAMENTO!$AF$7)/$H79*OFFSET(ORÇAMENTO!$X$15,ROW(AZ79)-ROW(AZ$15),0),
              ROUND(ROUND(OFFSET($P79,0,AZ$13),15-13*ORÇAMENTO!$AF$7)*OFFSET(ORÇAMENTO!$W$15,ROW(AZ79)-ROW(AZ$15),0),15-13*ORÇAMENTO!$AF$11)),
         0)</f>
        <v>0</v>
      </c>
      <c r="BA79" s="453">
        <f ca="1">IF(AND($D79="Serviço",BA$12&lt;&gt;0,$H79&gt;0,OR(AUTOEVENTO&lt;&gt;"manual",$M79&lt;&gt;$A$15)),
        IF(Import.TipoArredondamento&lt;&gt;"TransfereGOV",
              ROUND(OFFSET($P79,0,BA$13),15-13*ORÇAMENTO!$AF$7)/$H79*OFFSET(ORÇAMENTO!$X$15,ROW(BA79)-ROW(BA$15),0),
              ROUND(ROUND(OFFSET($P79,0,BA$13),15-13*ORÇAMENTO!$AF$7)*OFFSET(ORÇAMENTO!$W$15,ROW(BA79)-ROW(BA$15),0),15-13*ORÇAMENTO!$AF$11)),
         0)</f>
        <v>0</v>
      </c>
      <c r="BC79" s="171">
        <f ca="1">IF(OR($D79&lt;&gt;"Serviço",AND(AUTOEVENTO="Manual",$M79=$A$15)),0,
         IF(OFFSET(CRONOPLE!$F$15,$M79-$A$15,BC$13)=0,10^12,OFFSET(CRONOPLE!$F$15,$M79-$A$15,BC$13)))</f>
        <v>1000000000000</v>
      </c>
      <c r="BD79" s="171">
        <f ca="1">IF(OR($D79&lt;&gt;"Serviço",AND(AUTOEVENTO="Manual",$M79=$A$15)),0,
         IF(OFFSET(CRONOPLE!$F$15,$M79-$A$15,BD$13)=0,10^12,OFFSET(CRONOPLE!$F$15,$M79-$A$15,BD$13)))</f>
        <v>1000000000000</v>
      </c>
      <c r="BE79" s="171">
        <f ca="1">IF(OR($D79&lt;&gt;"Serviço",AND(AUTOEVENTO="Manual",$M79=$A$15)),0,
         IF(OFFSET(CRONOPLE!$F$15,$M79-$A$15,BE$13)=0,10^12,OFFSET(CRONOPLE!$F$15,$M79-$A$15,BE$13)))</f>
        <v>1000000000000</v>
      </c>
      <c r="BF79" s="171">
        <f ca="1">IF(OR($D79&lt;&gt;"Serviço",AND(AUTOEVENTO="Manual",$M79=$A$15)),0,
         IF(OFFSET(CRONOPLE!$F$15,$M79-$A$15,BF$13)=0,10^12,OFFSET(CRONOPLE!$F$15,$M79-$A$15,BF$13)))</f>
        <v>1000000000000</v>
      </c>
      <c r="BG79" s="171">
        <f ca="1">IF(OR($D79&lt;&gt;"Serviço",AND(AUTOEVENTO="Manual",$M79=$A$15)),0,
         IF(OFFSET(CRONOPLE!$F$15,$M79-$A$15,BG$13)=0,10^12,OFFSET(CRONOPLE!$F$15,$M79-$A$15,BG$13)))</f>
        <v>7</v>
      </c>
      <c r="BH79" s="171">
        <f ca="1">IF(OR($D79&lt;&gt;"Serviço",AND(AUTOEVENTO="Manual",$M79=$A$15)),0,
         IF(OFFSET(CRONOPLE!$F$15,$M79-$A$15,BH$13)=0,10^12,OFFSET(CRONOPLE!$F$15,$M79-$A$15,BH$13)))</f>
        <v>1000000000000</v>
      </c>
      <c r="BI79" s="171">
        <f ca="1">IF(OR($D79&lt;&gt;"Serviço",AND(AUTOEVENTO="Manual",$M79=$A$15)),0,
         IF(OFFSET(CRONOPLE!$F$15,$M79-$A$15,BI$13)=0,10^12,OFFSET(CRONOPLE!$F$15,$M79-$A$15,BI$13)))</f>
        <v>11</v>
      </c>
      <c r="BJ79" s="171">
        <f ca="1">IF(OR($D79&lt;&gt;"Serviço",AND(AUTOEVENTO="Manual",$M79=$A$15)),0,
         IF(OFFSET(CRONOPLE!$F$15,$M79-$A$15,BJ$13)=0,10^12,OFFSET(CRONOPLE!$F$15,$M79-$A$15,BJ$13)))</f>
        <v>1000000000000</v>
      </c>
      <c r="BK79" s="171">
        <f ca="1">IF(OR($D79&lt;&gt;"Serviço",AND(AUTOEVENTO="Manual",$M79=$A$15)),0,
         IF(OFFSET(CRONOPLE!$F$15,$M79-$A$15,BK$13)=0,10^12,OFFSET(CRONOPLE!$F$15,$M79-$A$15,BK$13)))</f>
        <v>1000000000000</v>
      </c>
      <c r="BL79" s="171">
        <f ca="1">IF(OR($D79&lt;&gt;"Serviço",AND(AUTOEVENTO="Manual",$M79=$A$15)),0,
         IF(OFFSET(CRONOPLE!$F$15,$M79-$A$15,BL$13)=0,10^12,OFFSET(CRONOPLE!$F$15,$M79-$A$15,BL$13)))</f>
        <v>1000000000000</v>
      </c>
      <c r="BM79" s="171">
        <f ca="1">IF(OR($D79&lt;&gt;"Serviço",AND(AUTOEVENTO="Manual",$M79=$A$15)),0,
         IF(OFFSET(CRONOPLE!$F$15,$M79-$A$15,BM$13)=0,10^12,OFFSET(CRONOPLE!$F$15,$M79-$A$15,BM$13)))</f>
        <v>1000000000000</v>
      </c>
      <c r="BN79" s="171">
        <f ca="1">IF(OR($D79&lt;&gt;"Serviço",AND(AUTOEVENTO="Manual",$M79=$A$15)),0,
         IF(OFFSET(CRONOPLE!$F$15,$M79-$A$15,BN$13)=0,10^12,OFFSET(CRONOPLE!$F$15,$M79-$A$15,BN$13)))</f>
        <v>1000000000000</v>
      </c>
      <c r="BO79" s="171">
        <f ca="1">IF(OR($D79&lt;&gt;"Serviço",AND(AUTOEVENTO="Manual",$M79=$A$15)),0,
         IF(OFFSET(CRONOPLE!$F$15,$M79-$A$15,BO$13)=0,10^12,OFFSET(CRONOPLE!$F$15,$M79-$A$15,BO$13)))</f>
        <v>1000000000000</v>
      </c>
      <c r="BP79" s="171">
        <f ca="1">IF(OR($D79&lt;&gt;"Serviço",AND(AUTOEVENTO="Manual",$M79=$A$15)),0,
         IF(OFFSET(CRONOPLE!$F$15,$M79-$A$15,BP$13)=0,10^12,OFFSET(CRONOPLE!$F$15,$M79-$A$15,BP$13)))</f>
        <v>1000000000000</v>
      </c>
      <c r="BQ79" s="171">
        <f ca="1">IF(OR($D79&lt;&gt;"Serviço",AND(AUTOEVENTO="Manual",$M79=$A$15)),0,
         IF(OFFSET(CRONOPLE!$F$15,$M79-$A$15,BQ$13)=0,10^12,OFFSET(CRONOPLE!$F$15,$M79-$A$15,BQ$13)))</f>
        <v>1000000000000</v>
      </c>
      <c r="BR79" s="171">
        <f ca="1">IF(OR($D79&lt;&gt;"Serviço",AND(AUTOEVENTO="Manual",$M79=$A$15)),0,
         IF(OFFSET(CRONOPLE!$F$15,$M79-$A$15,BR$13)=0,10^12,OFFSET(CRONOPLE!$F$15,$M79-$A$15,BR$13)))</f>
        <v>1000000000000</v>
      </c>
      <c r="BS79" s="171">
        <f ca="1">IF(OR($D79&lt;&gt;"Serviço",AND(AUTOEVENTO="Manual",$M79=$A$15)),0,
         IF(OFFSET(CRONOPLE!$F$15,$M79-$A$15,BS$13)=0,10^12,OFFSET(CRONOPLE!$F$15,$M79-$A$15,BS$13)))</f>
        <v>1000000000000</v>
      </c>
      <c r="BT79" s="171">
        <f ca="1">IF(OR($D79&lt;&gt;"Serviço",AND(AUTOEVENTO="Manual",$M79=$A$15)),0,
         IF(OFFSET(CRONOPLE!$F$15,$M79-$A$15,BT$13)=0,10^12,OFFSET(CRONOPLE!$F$15,$M79-$A$15,BT$13)))</f>
        <v>1000000000000</v>
      </c>
      <c r="BV79" s="172" cm="1">
        <f t="array" aca="1" ref="BV79" ca="1">IF(OR($D79&lt;&gt;"Serviço",AND(AUTOEVENTO="Manual",$M79=$A$15),$M79&gt;(ROW(PLE.lastrow)-ROW(PLE.firstrow))),0,
           IF(OFFSET(PLE!$G$15,$M79-$A$15,BV$13)="",10^12,OFFSET(PLE!$G$15,$M79-$A$15,BV$13)))</f>
        <v>1000000000000</v>
      </c>
      <c r="BW79" s="172" cm="1">
        <f t="array" aca="1" ref="BW79" ca="1">IF(OR($D79&lt;&gt;"Serviço",AND(AUTOEVENTO="Manual",$M79=$A$15),$M79&gt;(ROW(PLE.lastrow)-ROW(PLE.firstrow))),0,
           IF(OFFSET(PLE!$G$15,$M79-$A$15,BW$13)="",10^12,OFFSET(PLE!$G$15,$M79-$A$15,BW$13)))</f>
        <v>1000000000000</v>
      </c>
      <c r="BX79" s="172" cm="1">
        <f t="array" aca="1" ref="BX79" ca="1">IF(OR($D79&lt;&gt;"Serviço",AND(AUTOEVENTO="Manual",$M79=$A$15),$M79&gt;(ROW(PLE.lastrow)-ROW(PLE.firstrow))),0,
           IF(OFFSET(PLE!$G$15,$M79-$A$15,BX$13)="",10^12,OFFSET(PLE!$G$15,$M79-$A$15,BX$13)))</f>
        <v>1000000000000</v>
      </c>
      <c r="BY79" s="172" cm="1">
        <f t="array" aca="1" ref="BY79" ca="1">IF(OR($D79&lt;&gt;"Serviço",AND(AUTOEVENTO="Manual",$M79=$A$15),$M79&gt;(ROW(PLE.lastrow)-ROW(PLE.firstrow))),0,
           IF(OFFSET(PLE!$G$15,$M79-$A$15,BY$13)="",10^12,OFFSET(PLE!$G$15,$M79-$A$15,BY$13)))</f>
        <v>1000000000000</v>
      </c>
      <c r="BZ79" s="172" cm="1">
        <f t="array" aca="1" ref="BZ79" ca="1">IF(OR($D79&lt;&gt;"Serviço",AND(AUTOEVENTO="Manual",$M79=$A$15),$M79&gt;(ROW(PLE.lastrow)-ROW(PLE.firstrow))),0,
           IF(OFFSET(PLE!$G$15,$M79-$A$15,BZ$13)="",10^12,OFFSET(PLE!$G$15,$M79-$A$15,BZ$13)))</f>
        <v>1000000000000</v>
      </c>
      <c r="CA79" s="172" cm="1">
        <f t="array" aca="1" ref="CA79" ca="1">IF(OR($D79&lt;&gt;"Serviço",AND(AUTOEVENTO="Manual",$M79=$A$15),$M79&gt;(ROW(PLE.lastrow)-ROW(PLE.firstrow))),0,
           IF(OFFSET(PLE!$G$15,$M79-$A$15,CA$13)="",10^12,OFFSET(PLE!$G$15,$M79-$A$15,CA$13)))</f>
        <v>1000000000000</v>
      </c>
      <c r="CB79" s="172" cm="1">
        <f t="array" aca="1" ref="CB79" ca="1">IF(OR($D79&lt;&gt;"Serviço",AND(AUTOEVENTO="Manual",$M79=$A$15),$M79&gt;(ROW(PLE.lastrow)-ROW(PLE.firstrow))),0,
           IF(OFFSET(PLE!$G$15,$M79-$A$15,CB$13)="",10^12,OFFSET(PLE!$G$15,$M79-$A$15,CB$13)))</f>
        <v>1000000000000</v>
      </c>
      <c r="CC79" s="172" cm="1">
        <f t="array" aca="1" ref="CC79" ca="1">IF(OR($D79&lt;&gt;"Serviço",AND(AUTOEVENTO="Manual",$M79=$A$15),$M79&gt;(ROW(PLE.lastrow)-ROW(PLE.firstrow))),0,
           IF(OFFSET(PLE!$G$15,$M79-$A$15,CC$13)="",10^12,OFFSET(PLE!$G$15,$M79-$A$15,CC$13)))</f>
        <v>1000000000000</v>
      </c>
      <c r="CD79" s="172" cm="1">
        <f t="array" aca="1" ref="CD79" ca="1">IF(OR($D79&lt;&gt;"Serviço",AND(AUTOEVENTO="Manual",$M79=$A$15),$M79&gt;(ROW(PLE.lastrow)-ROW(PLE.firstrow))),0,
           IF(OFFSET(PLE!$G$15,$M79-$A$15,CD$13)="",10^12,OFFSET(PLE!$G$15,$M79-$A$15,CD$13)))</f>
        <v>1000000000000</v>
      </c>
      <c r="CE79" s="172" cm="1">
        <f t="array" aca="1" ref="CE79" ca="1">IF(OR($D79&lt;&gt;"Serviço",AND(AUTOEVENTO="Manual",$M79=$A$15),$M79&gt;(ROW(PLE.lastrow)-ROW(PLE.firstrow))),0,
           IF(OFFSET(PLE!$G$15,$M79-$A$15,CE$13)="",10^12,OFFSET(PLE!$G$15,$M79-$A$15,CE$13)))</f>
        <v>1000000000000</v>
      </c>
      <c r="CF79" s="172" cm="1">
        <f t="array" aca="1" ref="CF79" ca="1">IF(OR($D79&lt;&gt;"Serviço",AND(AUTOEVENTO="Manual",$M79=$A$15),$M79&gt;(ROW(PLE.lastrow)-ROW(PLE.firstrow))),0,
           IF(OFFSET(PLE!$G$15,$M79-$A$15,CF$13)="",10^12,OFFSET(PLE!$G$15,$M79-$A$15,CF$13)))</f>
        <v>1000000000000</v>
      </c>
      <c r="CG79" s="172" cm="1">
        <f t="array" aca="1" ref="CG79" ca="1">IF(OR($D79&lt;&gt;"Serviço",AND(AUTOEVENTO="Manual",$M79=$A$15),$M79&gt;(ROW(PLE.lastrow)-ROW(PLE.firstrow))),0,
           IF(OFFSET(PLE!$G$15,$M79-$A$15,CG$13)="",10^12,OFFSET(PLE!$G$15,$M79-$A$15,CG$13)))</f>
        <v>1000000000000</v>
      </c>
      <c r="CH79" s="172" cm="1">
        <f t="array" aca="1" ref="CH79" ca="1">IF(OR($D79&lt;&gt;"Serviço",AND(AUTOEVENTO="Manual",$M79=$A$15),$M79&gt;(ROW(PLE.lastrow)-ROW(PLE.firstrow))),0,
           IF(OFFSET(PLE!$G$15,$M79-$A$15,CH$13)="",10^12,OFFSET(PLE!$G$15,$M79-$A$15,CH$13)))</f>
        <v>1000000000000</v>
      </c>
      <c r="CI79" s="172" cm="1">
        <f t="array" aca="1" ref="CI79" ca="1">IF(OR($D79&lt;&gt;"Serviço",AND(AUTOEVENTO="Manual",$M79=$A$15),$M79&gt;(ROW(PLE.lastrow)-ROW(PLE.firstrow))),0,
           IF(OFFSET(PLE!$G$15,$M79-$A$15,CI$13)="",10^12,OFFSET(PLE!$G$15,$M79-$A$15,CI$13)))</f>
        <v>1000000000000</v>
      </c>
      <c r="CJ79" s="172" cm="1">
        <f t="array" aca="1" ref="CJ79" ca="1">IF(OR($D79&lt;&gt;"Serviço",AND(AUTOEVENTO="Manual",$M79=$A$15),$M79&gt;(ROW(PLE.lastrow)-ROW(PLE.firstrow))),0,
           IF(OFFSET(PLE!$G$15,$M79-$A$15,CJ$13)="",10^12,OFFSET(PLE!$G$15,$M79-$A$15,CJ$13)))</f>
        <v>1000000000000</v>
      </c>
      <c r="CK79" s="172" cm="1">
        <f t="array" aca="1" ref="CK79" ca="1">IF(OR($D79&lt;&gt;"Serviço",AND(AUTOEVENTO="Manual",$M79=$A$15),$M79&gt;(ROW(PLE.lastrow)-ROW(PLE.firstrow))),0,
           IF(OFFSET(PLE!$G$15,$M79-$A$15,CK$13)="",10^12,OFFSET(PLE!$G$15,$M79-$A$15,CK$13)))</f>
        <v>1000000000000</v>
      </c>
      <c r="CL79" s="172" cm="1">
        <f t="array" aca="1" ref="CL79" ca="1">IF(OR($D79&lt;&gt;"Serviço",AND(AUTOEVENTO="Manual",$M79=$A$15),$M79&gt;(ROW(PLE.lastrow)-ROW(PLE.firstrow))),0,
           IF(OFFSET(PLE!$G$15,$M79-$A$15,CL$13)="",10^12,OFFSET(PLE!$G$15,$M79-$A$15,CL$13)))</f>
        <v>1000000000000</v>
      </c>
      <c r="CM79" s="172" cm="1">
        <f t="array" aca="1" ref="CM79" ca="1">IF(OR($D79&lt;&gt;"Serviço",AND(AUTOEVENTO="Manual",$M79=$A$15),$M79&gt;(ROW(PLE.lastrow)-ROW(PLE.firstrow))),0,
           IF(OFFSET(PLE!$G$15,$M79-$A$15,CM$13)="",10^12,OFFSET(PLE!$G$15,$M79-$A$15,CM$13)))</f>
        <v>1000000000000</v>
      </c>
    </row>
    <row r="80" spans="1:91" s="673" customFormat="1" ht="51" x14ac:dyDescent="0.2">
      <c r="A80" s="671">
        <f ca="1">IFERROR(IF(AUTOEVENTO="Manual",IF(K80&lt;&gt;"",MIN(VALUE(LEFT(K80,FIND(".",K80)-1)),COUNTA(EVENTOS.Lista)),0),IF(OR($B80&gt;AUTOEVENTO,$B80="S",$B80=0),SUBSTITUTE(OFFSET($A80,-1,0),IF($D80="Serviço",".",""),""),$L80&amp;".")),0)</f>
        <v>28</v>
      </c>
      <c r="B80" s="671" t="str">
        <f ca="1">OFFSET(ORÇAMENTO!C$15,$L80,0)</f>
        <v>S</v>
      </c>
      <c r="C80" s="671" t="str">
        <f ca="1">OFFSET(ORÇAMENTO!L$15,$L80,0)</f>
        <v>F</v>
      </c>
      <c r="D80" s="116" t="str">
        <f ca="1">OFFSET(ORÇAMENTO!N$15,$L80,0)</f>
        <v>Serviço</v>
      </c>
      <c r="E80" s="117" t="str">
        <f ca="1">OFFSET(ORÇAMENTO!O$15,$L80,0)</f>
        <v>1.10.5.</v>
      </c>
      <c r="F80" s="163" t="str">
        <f ca="1">OFFSET(ORÇAMENTO!R$15,$L80,0)</f>
        <v>EXECUÇÃO E APLICAÇÃO DE CONCRETO BETUMINOSO USINADO A QUENTE (CBUQ), MASSA COMERCIAL, INCLUINDO FORNECIMENTO E TRANSPORTE DOS AGREGADOS E MATERIAL BETUMINOSO, EXCLUSIVE TRANSPORTE DA MASSA ASFÁLTICA ATÉ A PISTA</v>
      </c>
      <c r="G80" s="164" t="str">
        <f ca="1">IF($D80&lt;&gt;"Serviço","",OFFSET(ORÇAMENTO!S$15,$L80,0))</f>
        <v>m3</v>
      </c>
      <c r="H80" s="122" cm="1">
        <f t="array" aca="1" ref="H80" ca="1">IF($D80&lt;&gt;"Serviço",0,IF(ACOMPANHAMENTO="BM",ROUND(OFFSET(ORÇAMENTO!AJ$15,$L80,0),15-13*ORÇAMENTO!$AF$7),IF(IFERROR(CÁLCULO.FrentesPreenchidas,0)=0,0,SUM(ROUND(OFFSET($P80,0,1,1,CÁLCULO.FrentesPreenchidas),15-13*ORÇAMENTO!$AF$7)))))</f>
        <v>54.14</v>
      </c>
      <c r="I80" s="468"/>
      <c r="J80" s="651" t="str" cm="1">
        <f t="array" aca="1" ref="J80" ca="1">IF(OR(B80&lt;&gt;"S",CÁLCULO.FrentesPreenchidas=0),"",IF(AND(ACOMPANHAMENTO="PLE",AUTOEVENTO="Manual",OR(H80&gt;0,ORÇAMENTO!AC80="QUANT."),OR(K80="",M80=0,N80="")),"►E",IF(AND(ACOMPANHAMENTO="PLE",ORÇAMENTO!AC80="QUANT."),"►Q",IF(AND(ACOMPANHAMENTO="PLE",H80&lt;&gt;SUMPRODUCT(($Q$1:$AI$1=1)*ROUND(Q80:AI80,15))),"►S",IF(AND(COUNTIF($P$11:$AI$11,"▼")=0,H80&gt;0,I80=""),"◄M","")))))</f>
        <v>◄M</v>
      </c>
      <c r="K80" s="652" t="s">
        <v>1353</v>
      </c>
      <c r="L80" s="165">
        <f ca="1">OFFSET(L80,-1,0)+1</f>
        <v>65</v>
      </c>
      <c r="M80" s="166">
        <f ca="1">IF($D80&lt;&gt;"Serviço","",
          IF(AUTOEVENTO="manual",$A80,
                IF(ISERROR(MATCH($A80,$A$15:OFFSET($A80,-1,0),0)),MAX($M$15:OFFSET(M80,-1,0))+1,
                      INDEX($M$15:OFFSET(M80,-1,0),MATCH($A80,$A$15:OFFSET($A80,-1,0),0)))))</f>
        <v>28</v>
      </c>
      <c r="N80" s="167" t="str">
        <f ca="1">IF($D80&lt;&gt;"Serviço","",
         IF(AUTOEVENTO="Manual",
                IF($A80=0,"&lt;-- defina o número do agrupador",
                       OFFSET(EVENTOS!$D$15,$A80-$A$15,0)),
                OFFSET($F$15,$A80,0)))</f>
        <v>Pavimentação</v>
      </c>
      <c r="O80" s="168"/>
      <c r="Q80" s="168"/>
      <c r="R80" s="169"/>
      <c r="S80" s="169"/>
      <c r="T80" s="169"/>
      <c r="U80" s="169">
        <v>54.14</v>
      </c>
      <c r="V80" s="169"/>
      <c r="W80" s="169"/>
      <c r="X80" s="169"/>
      <c r="Y80" s="169"/>
      <c r="Z80" s="170"/>
      <c r="AA80" s="705"/>
      <c r="AB80" s="705"/>
      <c r="AC80" s="705"/>
      <c r="AD80" s="705"/>
      <c r="AE80" s="705"/>
      <c r="AF80" s="705"/>
      <c r="AG80" s="705"/>
      <c r="AH80" s="706"/>
      <c r="AJ80" s="453">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0</v>
      </c>
      <c r="AK80" s="453">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0</v>
      </c>
      <c r="AL80" s="453">
        <f ca="1">IF(AND($D80="Serviço",AL$12&lt;&gt;0,$H80&gt;0,OR(AUTOEVENTO&lt;&gt;"manual",$M80&lt;&gt;$A$15)),
        IF(Import.TipoArredondamento&lt;&gt;"TransfereGOV",
              ROUND(OFFSET($P80,0,AL$13),15-13*ORÇAMENTO!$AF$7)/$H80*OFFSET(ORÇAMENTO!$X$15,ROW(AL80)-ROW(AL$15),0),
              ROUND(ROUND(OFFSET($P80,0,AL$13),15-13*ORÇAMENTO!$AF$7)*OFFSET(ORÇAMENTO!$W$15,ROW(AL80)-ROW(AL$15),0),15-13*ORÇAMENTO!$AF$11)),
         0)</f>
        <v>0</v>
      </c>
      <c r="AM80" s="453">
        <f ca="1">IF(AND($D80="Serviço",AM$12&lt;&gt;0,$H80&gt;0,OR(AUTOEVENTO&lt;&gt;"manual",$M80&lt;&gt;$A$15)),
        IF(Import.TipoArredondamento&lt;&gt;"TransfereGOV",
              ROUND(OFFSET($P80,0,AM$13),15-13*ORÇAMENTO!$AF$7)/$H80*OFFSET(ORÇAMENTO!$X$15,ROW(AM80)-ROW(AM$15),0),
              ROUND(ROUND(OFFSET($P80,0,AM$13),15-13*ORÇAMENTO!$AF$7)*OFFSET(ORÇAMENTO!$W$15,ROW(AM80)-ROW(AM$15),0),15-13*ORÇAMENTO!$AF$11)),
         0)</f>
        <v>0</v>
      </c>
      <c r="AN80" s="453">
        <f ca="1">IF(AND($D80="Serviço",AN$12&lt;&gt;0,$H80&gt;0,OR(AUTOEVENTO&lt;&gt;"manual",$M80&lt;&gt;$A$15)),
        IF(Import.TipoArredondamento&lt;&gt;"TransfereGOV",
              ROUND(OFFSET($P80,0,AN$13),15-13*ORÇAMENTO!$AF$7)/$H80*OFFSET(ORÇAMENTO!$X$15,ROW(AN80)-ROW(AN$15),0),
              ROUND(ROUND(OFFSET($P80,0,AN$13),15-13*ORÇAMENTO!$AF$7)*OFFSET(ORÇAMENTO!$W$15,ROW(AN80)-ROW(AN$15),0),15-13*ORÇAMENTO!$AF$11)),
         0)</f>
        <v>120848.6</v>
      </c>
      <c r="AO80" s="453">
        <f ca="1">IF(AND($D80="Serviço",AO$12&lt;&gt;0,$H80&gt;0,OR(AUTOEVENTO&lt;&gt;"manual",$M80&lt;&gt;$A$15)),
        IF(Import.TipoArredondamento&lt;&gt;"TransfereGOV",
              ROUND(OFFSET($P80,0,AO$13),15-13*ORÇAMENTO!$AF$7)/$H80*OFFSET(ORÇAMENTO!$X$15,ROW(AO80)-ROW(AO$15),0),
              ROUND(ROUND(OFFSET($P80,0,AO$13),15-13*ORÇAMENTO!$AF$7)*OFFSET(ORÇAMENTO!$W$15,ROW(AO80)-ROW(AO$15),0),15-13*ORÇAMENTO!$AF$11)),
         0)</f>
        <v>0</v>
      </c>
      <c r="AP80" s="453">
        <f ca="1">IF(AND($D80="Serviço",AP$12&lt;&gt;0,$H80&gt;0,OR(AUTOEVENTO&lt;&gt;"manual",$M80&lt;&gt;$A$15)),
        IF(Import.TipoArredondamento&lt;&gt;"TransfereGOV",
              ROUND(OFFSET($P80,0,AP$13),15-13*ORÇAMENTO!$AF$7)/$H80*OFFSET(ORÇAMENTO!$X$15,ROW(AP80)-ROW(AP$15),0),
              ROUND(ROUND(OFFSET($P80,0,AP$13),15-13*ORÇAMENTO!$AF$7)*OFFSET(ORÇAMENTO!$W$15,ROW(AP80)-ROW(AP$15),0),15-13*ORÇAMENTO!$AF$11)),
         0)</f>
        <v>0</v>
      </c>
      <c r="AQ80" s="453">
        <f ca="1">IF(AND($D80="Serviço",AQ$12&lt;&gt;0,$H80&gt;0,OR(AUTOEVENTO&lt;&gt;"manual",$M80&lt;&gt;$A$15)),
        IF(Import.TipoArredondamento&lt;&gt;"TransfereGOV",
              ROUND(OFFSET($P80,0,AQ$13),15-13*ORÇAMENTO!$AF$7)/$H80*OFFSET(ORÇAMENTO!$X$15,ROW(AQ80)-ROW(AQ$15),0),
              ROUND(ROUND(OFFSET($P80,0,AQ$13),15-13*ORÇAMENTO!$AF$7)*OFFSET(ORÇAMENTO!$W$15,ROW(AQ80)-ROW(AQ$15),0),15-13*ORÇAMENTO!$AF$11)),
         0)</f>
        <v>0</v>
      </c>
      <c r="AR80" s="453">
        <f ca="1">IF(AND($D80="Serviço",AR$12&lt;&gt;0,$H80&gt;0,OR(AUTOEVENTO&lt;&gt;"manual",$M80&lt;&gt;$A$15)),
        IF(Import.TipoArredondamento&lt;&gt;"TransfereGOV",
              ROUND(OFFSET($P80,0,AR$13),15-13*ORÇAMENTO!$AF$7)/$H80*OFFSET(ORÇAMENTO!$X$15,ROW(AR80)-ROW(AR$15),0),
              ROUND(ROUND(OFFSET($P80,0,AR$13),15-13*ORÇAMENTO!$AF$7)*OFFSET(ORÇAMENTO!$W$15,ROW(AR80)-ROW(AR$15),0),15-13*ORÇAMENTO!$AF$11)),
         0)</f>
        <v>0</v>
      </c>
      <c r="AS80" s="453">
        <f ca="1">IF(AND($D80="Serviço",AS$12&lt;&gt;0,$H80&gt;0,OR(AUTOEVENTO&lt;&gt;"manual",$M80&lt;&gt;$A$15)),
        IF(Import.TipoArredondamento&lt;&gt;"TransfereGOV",
              ROUND(OFFSET($P80,0,AS$13),15-13*ORÇAMENTO!$AF$7)/$H80*OFFSET(ORÇAMENTO!$X$15,ROW(AS80)-ROW(AS$15),0),
              ROUND(ROUND(OFFSET($P80,0,AS$13),15-13*ORÇAMENTO!$AF$7)*OFFSET(ORÇAMENTO!$W$15,ROW(AS80)-ROW(AS$15),0),15-13*ORÇAMENTO!$AF$11)),
         0)</f>
        <v>0</v>
      </c>
      <c r="AT80" s="453">
        <f ca="1">IF(AND($D80="Serviço",AT$12&lt;&gt;0,$H80&gt;0,OR(AUTOEVENTO&lt;&gt;"manual",$M80&lt;&gt;$A$15)),
        IF(Import.TipoArredondamento&lt;&gt;"TransfereGOV",
              ROUND(OFFSET($P80,0,AT$13),15-13*ORÇAMENTO!$AF$7)/$H80*OFFSET(ORÇAMENTO!$X$15,ROW(AT80)-ROW(AT$15),0),
              ROUND(ROUND(OFFSET($P80,0,AT$13),15-13*ORÇAMENTO!$AF$7)*OFFSET(ORÇAMENTO!$W$15,ROW(AT80)-ROW(AT$15),0),15-13*ORÇAMENTO!$AF$11)),
         0)</f>
        <v>0</v>
      </c>
      <c r="AU80" s="453">
        <f ca="1">IF(AND($D80="Serviço",AU$12&lt;&gt;0,$H80&gt;0,OR(AUTOEVENTO&lt;&gt;"manual",$M80&lt;&gt;$A$15)),
        IF(Import.TipoArredondamento&lt;&gt;"TransfereGOV",
              ROUND(OFFSET($P80,0,AU$13),15-13*ORÇAMENTO!$AF$7)/$H80*OFFSET(ORÇAMENTO!$X$15,ROW(AU80)-ROW(AU$15),0),
              ROUND(ROUND(OFFSET($P80,0,AU$13),15-13*ORÇAMENTO!$AF$7)*OFFSET(ORÇAMENTO!$W$15,ROW(AU80)-ROW(AU$15),0),15-13*ORÇAMENTO!$AF$11)),
         0)</f>
        <v>0</v>
      </c>
      <c r="AV80" s="453">
        <f ca="1">IF(AND($D80="Serviço",AV$12&lt;&gt;0,$H80&gt;0,OR(AUTOEVENTO&lt;&gt;"manual",$M80&lt;&gt;$A$15)),
        IF(Import.TipoArredondamento&lt;&gt;"TransfereGOV",
              ROUND(OFFSET($P80,0,AV$13),15-13*ORÇAMENTO!$AF$7)/$H80*OFFSET(ORÇAMENTO!$X$15,ROW(AV80)-ROW(AV$15),0),
              ROUND(ROUND(OFFSET($P80,0,AV$13),15-13*ORÇAMENTO!$AF$7)*OFFSET(ORÇAMENTO!$W$15,ROW(AV80)-ROW(AV$15),0),15-13*ORÇAMENTO!$AF$11)),
         0)</f>
        <v>0</v>
      </c>
      <c r="AW80" s="453">
        <f ca="1">IF(AND($D80="Serviço",AW$12&lt;&gt;0,$H80&gt;0,OR(AUTOEVENTO&lt;&gt;"manual",$M80&lt;&gt;$A$15)),
        IF(Import.TipoArredondamento&lt;&gt;"TransfereGOV",
              ROUND(OFFSET($P80,0,AW$13),15-13*ORÇAMENTO!$AF$7)/$H80*OFFSET(ORÇAMENTO!$X$15,ROW(AW80)-ROW(AW$15),0),
              ROUND(ROUND(OFFSET($P80,0,AW$13),15-13*ORÇAMENTO!$AF$7)*OFFSET(ORÇAMENTO!$W$15,ROW(AW80)-ROW(AW$15),0),15-13*ORÇAMENTO!$AF$11)),
         0)</f>
        <v>0</v>
      </c>
      <c r="AX80" s="453">
        <f ca="1">IF(AND($D80="Serviço",AX$12&lt;&gt;0,$H80&gt;0,OR(AUTOEVENTO&lt;&gt;"manual",$M80&lt;&gt;$A$15)),
        IF(Import.TipoArredondamento&lt;&gt;"TransfereGOV",
              ROUND(OFFSET($P80,0,AX$13),15-13*ORÇAMENTO!$AF$7)/$H80*OFFSET(ORÇAMENTO!$X$15,ROW(AX80)-ROW(AX$15),0),
              ROUND(ROUND(OFFSET($P80,0,AX$13),15-13*ORÇAMENTO!$AF$7)*OFFSET(ORÇAMENTO!$W$15,ROW(AX80)-ROW(AX$15),0),15-13*ORÇAMENTO!$AF$11)),
         0)</f>
        <v>0</v>
      </c>
      <c r="AY80" s="453">
        <f ca="1">IF(AND($D80="Serviço",AY$12&lt;&gt;0,$H80&gt;0,OR(AUTOEVENTO&lt;&gt;"manual",$M80&lt;&gt;$A$15)),
        IF(Import.TipoArredondamento&lt;&gt;"TransfereGOV",
              ROUND(OFFSET($P80,0,AY$13),15-13*ORÇAMENTO!$AF$7)/$H80*OFFSET(ORÇAMENTO!$X$15,ROW(AY80)-ROW(AY$15),0),
              ROUND(ROUND(OFFSET($P80,0,AY$13),15-13*ORÇAMENTO!$AF$7)*OFFSET(ORÇAMENTO!$W$15,ROW(AY80)-ROW(AY$15),0),15-13*ORÇAMENTO!$AF$11)),
         0)</f>
        <v>0</v>
      </c>
      <c r="AZ80" s="453">
        <f ca="1">IF(AND($D80="Serviço",AZ$12&lt;&gt;0,$H80&gt;0,OR(AUTOEVENTO&lt;&gt;"manual",$M80&lt;&gt;$A$15)),
        IF(Import.TipoArredondamento&lt;&gt;"TransfereGOV",
              ROUND(OFFSET($P80,0,AZ$13),15-13*ORÇAMENTO!$AF$7)/$H80*OFFSET(ORÇAMENTO!$X$15,ROW(AZ80)-ROW(AZ$15),0),
              ROUND(ROUND(OFFSET($P80,0,AZ$13),15-13*ORÇAMENTO!$AF$7)*OFFSET(ORÇAMENTO!$W$15,ROW(AZ80)-ROW(AZ$15),0),15-13*ORÇAMENTO!$AF$11)),
         0)</f>
        <v>0</v>
      </c>
      <c r="BA80" s="453">
        <f ca="1">IF(AND($D80="Serviço",BA$12&lt;&gt;0,$H80&gt;0,OR(AUTOEVENTO&lt;&gt;"manual",$M80&lt;&gt;$A$15)),
        IF(Import.TipoArredondamento&lt;&gt;"TransfereGOV",
              ROUND(OFFSET($P80,0,BA$13),15-13*ORÇAMENTO!$AF$7)/$H80*OFFSET(ORÇAMENTO!$X$15,ROW(BA80)-ROW(BA$15),0),
              ROUND(ROUND(OFFSET($P80,0,BA$13),15-13*ORÇAMENTO!$AF$7)*OFFSET(ORÇAMENTO!$W$15,ROW(BA80)-ROW(BA$15),0),15-13*ORÇAMENTO!$AF$11)),
         0)</f>
        <v>0</v>
      </c>
      <c r="BC80" s="171">
        <f ca="1">IF(OR($D80&lt;&gt;"Serviço",AND(AUTOEVENTO="Manual",$M80=$A$15)),0,
         IF(OFFSET(CRONOPLE!$F$15,$M80-$A$15,BC$13)=0,10^12,OFFSET(CRONOPLE!$F$15,$M80-$A$15,BC$13)))</f>
        <v>1000000000000</v>
      </c>
      <c r="BD80" s="171">
        <f ca="1">IF(OR($D80&lt;&gt;"Serviço",AND(AUTOEVENTO="Manual",$M80=$A$15)),0,
         IF(OFFSET(CRONOPLE!$F$15,$M80-$A$15,BD$13)=0,10^12,OFFSET(CRONOPLE!$F$15,$M80-$A$15,BD$13)))</f>
        <v>1000000000000</v>
      </c>
      <c r="BE80" s="171">
        <f ca="1">IF(OR($D80&lt;&gt;"Serviço",AND(AUTOEVENTO="Manual",$M80=$A$15)),0,
         IF(OFFSET(CRONOPLE!$F$15,$M80-$A$15,BE$13)=0,10^12,OFFSET(CRONOPLE!$F$15,$M80-$A$15,BE$13)))</f>
        <v>1000000000000</v>
      </c>
      <c r="BF80" s="171">
        <f ca="1">IF(OR($D80&lt;&gt;"Serviço",AND(AUTOEVENTO="Manual",$M80=$A$15)),0,
         IF(OFFSET(CRONOPLE!$F$15,$M80-$A$15,BF$13)=0,10^12,OFFSET(CRONOPLE!$F$15,$M80-$A$15,BF$13)))</f>
        <v>1000000000000</v>
      </c>
      <c r="BG80" s="171">
        <f ca="1">IF(OR($D80&lt;&gt;"Serviço",AND(AUTOEVENTO="Manual",$M80=$A$15)),0,
         IF(OFFSET(CRONOPLE!$F$15,$M80-$A$15,BG$13)=0,10^12,OFFSET(CRONOPLE!$F$15,$M80-$A$15,BG$13)))</f>
        <v>5</v>
      </c>
      <c r="BH80" s="171">
        <f ca="1">IF(OR($D80&lt;&gt;"Serviço",AND(AUTOEVENTO="Manual",$M80=$A$15)),0,
         IF(OFFSET(CRONOPLE!$F$15,$M80-$A$15,BH$13)=0,10^12,OFFSET(CRONOPLE!$F$15,$M80-$A$15,BH$13)))</f>
        <v>11</v>
      </c>
      <c r="BI80" s="171">
        <f ca="1">IF(OR($D80&lt;&gt;"Serviço",AND(AUTOEVENTO="Manual",$M80=$A$15)),0,
         IF(OFFSET(CRONOPLE!$F$15,$M80-$A$15,BI$13)=0,10^12,OFFSET(CRONOPLE!$F$15,$M80-$A$15,BI$13)))</f>
        <v>1000000000000</v>
      </c>
      <c r="BJ80" s="171">
        <f ca="1">IF(OR($D80&lt;&gt;"Serviço",AND(AUTOEVENTO="Manual",$M80=$A$15)),0,
         IF(OFFSET(CRONOPLE!$F$15,$M80-$A$15,BJ$13)=0,10^12,OFFSET(CRONOPLE!$F$15,$M80-$A$15,BJ$13)))</f>
        <v>1000000000000</v>
      </c>
      <c r="BK80" s="171">
        <f ca="1">IF(OR($D80&lt;&gt;"Serviço",AND(AUTOEVENTO="Manual",$M80=$A$15)),0,
         IF(OFFSET(CRONOPLE!$F$15,$M80-$A$15,BK$13)=0,10^12,OFFSET(CRONOPLE!$F$15,$M80-$A$15,BK$13)))</f>
        <v>1000000000000</v>
      </c>
      <c r="BL80" s="171">
        <f ca="1">IF(OR($D80&lt;&gt;"Serviço",AND(AUTOEVENTO="Manual",$M80=$A$15)),0,
         IF(OFFSET(CRONOPLE!$F$15,$M80-$A$15,BL$13)=0,10^12,OFFSET(CRONOPLE!$F$15,$M80-$A$15,BL$13)))</f>
        <v>1000000000000</v>
      </c>
      <c r="BM80" s="171">
        <f ca="1">IF(OR($D80&lt;&gt;"Serviço",AND(AUTOEVENTO="Manual",$M80=$A$15)),0,
         IF(OFFSET(CRONOPLE!$F$15,$M80-$A$15,BM$13)=0,10^12,OFFSET(CRONOPLE!$F$15,$M80-$A$15,BM$13)))</f>
        <v>1000000000000</v>
      </c>
      <c r="BN80" s="171">
        <f ca="1">IF(OR($D80&lt;&gt;"Serviço",AND(AUTOEVENTO="Manual",$M80=$A$15)),0,
         IF(OFFSET(CRONOPLE!$F$15,$M80-$A$15,BN$13)=0,10^12,OFFSET(CRONOPLE!$F$15,$M80-$A$15,BN$13)))</f>
        <v>1000000000000</v>
      </c>
      <c r="BO80" s="171">
        <f ca="1">IF(OR($D80&lt;&gt;"Serviço",AND(AUTOEVENTO="Manual",$M80=$A$15)),0,
         IF(OFFSET(CRONOPLE!$F$15,$M80-$A$15,BO$13)=0,10^12,OFFSET(CRONOPLE!$F$15,$M80-$A$15,BO$13)))</f>
        <v>1000000000000</v>
      </c>
      <c r="BP80" s="171">
        <f ca="1">IF(OR($D80&lt;&gt;"Serviço",AND(AUTOEVENTO="Manual",$M80=$A$15)),0,
         IF(OFFSET(CRONOPLE!$F$15,$M80-$A$15,BP$13)=0,10^12,OFFSET(CRONOPLE!$F$15,$M80-$A$15,BP$13)))</f>
        <v>1000000000000</v>
      </c>
      <c r="BQ80" s="171">
        <f ca="1">IF(OR($D80&lt;&gt;"Serviço",AND(AUTOEVENTO="Manual",$M80=$A$15)),0,
         IF(OFFSET(CRONOPLE!$F$15,$M80-$A$15,BQ$13)=0,10^12,OFFSET(CRONOPLE!$F$15,$M80-$A$15,BQ$13)))</f>
        <v>1000000000000</v>
      </c>
      <c r="BR80" s="171">
        <f ca="1">IF(OR($D80&lt;&gt;"Serviço",AND(AUTOEVENTO="Manual",$M80=$A$15)),0,
         IF(OFFSET(CRONOPLE!$F$15,$M80-$A$15,BR$13)=0,10^12,OFFSET(CRONOPLE!$F$15,$M80-$A$15,BR$13)))</f>
        <v>1000000000000</v>
      </c>
      <c r="BS80" s="171">
        <f ca="1">IF(OR($D80&lt;&gt;"Serviço",AND(AUTOEVENTO="Manual",$M80=$A$15)),0,
         IF(OFFSET(CRONOPLE!$F$15,$M80-$A$15,BS$13)=0,10^12,OFFSET(CRONOPLE!$F$15,$M80-$A$15,BS$13)))</f>
        <v>1000000000000</v>
      </c>
      <c r="BT80" s="171">
        <f ca="1">IF(OR($D80&lt;&gt;"Serviço",AND(AUTOEVENTO="Manual",$M80=$A$15)),0,
         IF(OFFSET(CRONOPLE!$F$15,$M80-$A$15,BT$13)=0,10^12,OFFSET(CRONOPLE!$F$15,$M80-$A$15,BT$13)))</f>
        <v>1000000000000</v>
      </c>
      <c r="BV80" s="172" cm="1">
        <f t="array" aca="1" ref="BV80" ca="1">IF(OR($D80&lt;&gt;"Serviço",AND(AUTOEVENTO="Manual",$M80=$A$15),$M80&gt;(ROW(PLE.lastrow)-ROW(PLE.firstrow))),0,
           IF(OFFSET(PLE!$G$15,$M80-$A$15,BV$13)="",10^12,OFFSET(PLE!$G$15,$M80-$A$15,BV$13)))</f>
        <v>1000000000000</v>
      </c>
      <c r="BW80" s="172" cm="1">
        <f t="array" aca="1" ref="BW80" ca="1">IF(OR($D80&lt;&gt;"Serviço",AND(AUTOEVENTO="Manual",$M80=$A$15),$M80&gt;(ROW(PLE.lastrow)-ROW(PLE.firstrow))),0,
           IF(OFFSET(PLE!$G$15,$M80-$A$15,BW$13)="",10^12,OFFSET(PLE!$G$15,$M80-$A$15,BW$13)))</f>
        <v>1000000000000</v>
      </c>
      <c r="BX80" s="172" cm="1">
        <f t="array" aca="1" ref="BX80" ca="1">IF(OR($D80&lt;&gt;"Serviço",AND(AUTOEVENTO="Manual",$M80=$A$15),$M80&gt;(ROW(PLE.lastrow)-ROW(PLE.firstrow))),0,
           IF(OFFSET(PLE!$G$15,$M80-$A$15,BX$13)="",10^12,OFFSET(PLE!$G$15,$M80-$A$15,BX$13)))</f>
        <v>1000000000000</v>
      </c>
      <c r="BY80" s="172" cm="1">
        <f t="array" aca="1" ref="BY80" ca="1">IF(OR($D80&lt;&gt;"Serviço",AND(AUTOEVENTO="Manual",$M80=$A$15),$M80&gt;(ROW(PLE.lastrow)-ROW(PLE.firstrow))),0,
           IF(OFFSET(PLE!$G$15,$M80-$A$15,BY$13)="",10^12,OFFSET(PLE!$G$15,$M80-$A$15,BY$13)))</f>
        <v>1000000000000</v>
      </c>
      <c r="BZ80" s="172" cm="1">
        <f t="array" aca="1" ref="BZ80" ca="1">IF(OR($D80&lt;&gt;"Serviço",AND(AUTOEVENTO="Manual",$M80=$A$15),$M80&gt;(ROW(PLE.lastrow)-ROW(PLE.firstrow))),0,
           IF(OFFSET(PLE!$G$15,$M80-$A$15,BZ$13)="",10^12,OFFSET(PLE!$G$15,$M80-$A$15,BZ$13)))</f>
        <v>1000000000000</v>
      </c>
      <c r="CA80" s="172" cm="1">
        <f t="array" aca="1" ref="CA80" ca="1">IF(OR($D80&lt;&gt;"Serviço",AND(AUTOEVENTO="Manual",$M80=$A$15),$M80&gt;(ROW(PLE.lastrow)-ROW(PLE.firstrow))),0,
           IF(OFFSET(PLE!$G$15,$M80-$A$15,CA$13)="",10^12,OFFSET(PLE!$G$15,$M80-$A$15,CA$13)))</f>
        <v>1000000000000</v>
      </c>
      <c r="CB80" s="172" cm="1">
        <f t="array" aca="1" ref="CB80" ca="1">IF(OR($D80&lt;&gt;"Serviço",AND(AUTOEVENTO="Manual",$M80=$A$15),$M80&gt;(ROW(PLE.lastrow)-ROW(PLE.firstrow))),0,
           IF(OFFSET(PLE!$G$15,$M80-$A$15,CB$13)="",10^12,OFFSET(PLE!$G$15,$M80-$A$15,CB$13)))</f>
        <v>1000000000000</v>
      </c>
      <c r="CC80" s="172" cm="1">
        <f t="array" aca="1" ref="CC80" ca="1">IF(OR($D80&lt;&gt;"Serviço",AND(AUTOEVENTO="Manual",$M80=$A$15),$M80&gt;(ROW(PLE.lastrow)-ROW(PLE.firstrow))),0,
           IF(OFFSET(PLE!$G$15,$M80-$A$15,CC$13)="",10^12,OFFSET(PLE!$G$15,$M80-$A$15,CC$13)))</f>
        <v>1000000000000</v>
      </c>
      <c r="CD80" s="172" cm="1">
        <f t="array" aca="1" ref="CD80" ca="1">IF(OR($D80&lt;&gt;"Serviço",AND(AUTOEVENTO="Manual",$M80=$A$15),$M80&gt;(ROW(PLE.lastrow)-ROW(PLE.firstrow))),0,
           IF(OFFSET(PLE!$G$15,$M80-$A$15,CD$13)="",10^12,OFFSET(PLE!$G$15,$M80-$A$15,CD$13)))</f>
        <v>1000000000000</v>
      </c>
      <c r="CE80" s="172" cm="1">
        <f t="array" aca="1" ref="CE80" ca="1">IF(OR($D80&lt;&gt;"Serviço",AND(AUTOEVENTO="Manual",$M80=$A$15),$M80&gt;(ROW(PLE.lastrow)-ROW(PLE.firstrow))),0,
           IF(OFFSET(PLE!$G$15,$M80-$A$15,CE$13)="",10^12,OFFSET(PLE!$G$15,$M80-$A$15,CE$13)))</f>
        <v>1000000000000</v>
      </c>
      <c r="CF80" s="172" cm="1">
        <f t="array" aca="1" ref="CF80" ca="1">IF(OR($D80&lt;&gt;"Serviço",AND(AUTOEVENTO="Manual",$M80=$A$15),$M80&gt;(ROW(PLE.lastrow)-ROW(PLE.firstrow))),0,
           IF(OFFSET(PLE!$G$15,$M80-$A$15,CF$13)="",10^12,OFFSET(PLE!$G$15,$M80-$A$15,CF$13)))</f>
        <v>1000000000000</v>
      </c>
      <c r="CG80" s="172" cm="1">
        <f t="array" aca="1" ref="CG80" ca="1">IF(OR($D80&lt;&gt;"Serviço",AND(AUTOEVENTO="Manual",$M80=$A$15),$M80&gt;(ROW(PLE.lastrow)-ROW(PLE.firstrow))),0,
           IF(OFFSET(PLE!$G$15,$M80-$A$15,CG$13)="",10^12,OFFSET(PLE!$G$15,$M80-$A$15,CG$13)))</f>
        <v>1000000000000</v>
      </c>
      <c r="CH80" s="172" cm="1">
        <f t="array" aca="1" ref="CH80" ca="1">IF(OR($D80&lt;&gt;"Serviço",AND(AUTOEVENTO="Manual",$M80=$A$15),$M80&gt;(ROW(PLE.lastrow)-ROW(PLE.firstrow))),0,
           IF(OFFSET(PLE!$G$15,$M80-$A$15,CH$13)="",10^12,OFFSET(PLE!$G$15,$M80-$A$15,CH$13)))</f>
        <v>1000000000000</v>
      </c>
      <c r="CI80" s="172" cm="1">
        <f t="array" aca="1" ref="CI80" ca="1">IF(OR($D80&lt;&gt;"Serviço",AND(AUTOEVENTO="Manual",$M80=$A$15),$M80&gt;(ROW(PLE.lastrow)-ROW(PLE.firstrow))),0,
           IF(OFFSET(PLE!$G$15,$M80-$A$15,CI$13)="",10^12,OFFSET(PLE!$G$15,$M80-$A$15,CI$13)))</f>
        <v>1000000000000</v>
      </c>
      <c r="CJ80" s="172" cm="1">
        <f t="array" aca="1" ref="CJ80" ca="1">IF(OR($D80&lt;&gt;"Serviço",AND(AUTOEVENTO="Manual",$M80=$A$15),$M80&gt;(ROW(PLE.lastrow)-ROW(PLE.firstrow))),0,
           IF(OFFSET(PLE!$G$15,$M80-$A$15,CJ$13)="",10^12,OFFSET(PLE!$G$15,$M80-$A$15,CJ$13)))</f>
        <v>1000000000000</v>
      </c>
      <c r="CK80" s="172" cm="1">
        <f t="array" aca="1" ref="CK80" ca="1">IF(OR($D80&lt;&gt;"Serviço",AND(AUTOEVENTO="Manual",$M80=$A$15),$M80&gt;(ROW(PLE.lastrow)-ROW(PLE.firstrow))),0,
           IF(OFFSET(PLE!$G$15,$M80-$A$15,CK$13)="",10^12,OFFSET(PLE!$G$15,$M80-$A$15,CK$13)))</f>
        <v>1000000000000</v>
      </c>
      <c r="CL80" s="172" cm="1">
        <f t="array" aca="1" ref="CL80" ca="1">IF(OR($D80&lt;&gt;"Serviço",AND(AUTOEVENTO="Manual",$M80=$A$15),$M80&gt;(ROW(PLE.lastrow)-ROW(PLE.firstrow))),0,
           IF(OFFSET(PLE!$G$15,$M80-$A$15,CL$13)="",10^12,OFFSET(PLE!$G$15,$M80-$A$15,CL$13)))</f>
        <v>1000000000000</v>
      </c>
      <c r="CM80" s="172" cm="1">
        <f t="array" aca="1" ref="CM80" ca="1">IF(OR($D80&lt;&gt;"Serviço",AND(AUTOEVENTO="Manual",$M80=$A$15),$M80&gt;(ROW(PLE.lastrow)-ROW(PLE.firstrow))),0,
           IF(OFFSET(PLE!$G$15,$M80-$A$15,CM$13)="",10^12,OFFSET(PLE!$G$15,$M80-$A$15,CM$13)))</f>
        <v>1000000000000</v>
      </c>
    </row>
    <row r="81" spans="1:91" s="673" customFormat="1" ht="63.75" x14ac:dyDescent="0.2">
      <c r="A81" s="671">
        <f ca="1">IFERROR(IF(AUTOEVENTO="Manual",IF(K81&lt;&gt;"",MIN(VALUE(LEFT(K81,FIND(".",K81)-1)),COUNTA(EVENTOS.Lista)),0),IF(OR($B81&gt;AUTOEVENTO,$B81="S",$B81=0),SUBSTITUTE(OFFSET($A81,-1,0),IF($D81="Serviço",".",""),""),$L81&amp;".")),0)</f>
        <v>10</v>
      </c>
      <c r="B81" s="671" t="str">
        <f ca="1">OFFSET(ORÇAMENTO!C$15,$L81,0)</f>
        <v>S</v>
      </c>
      <c r="C81" s="671" t="str">
        <f ca="1">OFFSET(ORÇAMENTO!L$15,$L81,0)</f>
        <v>F</v>
      </c>
      <c r="D81" s="116" t="str">
        <f ca="1">OFFSET(ORÇAMENTO!N$15,$L81,0)</f>
        <v>Serviço</v>
      </c>
      <c r="E81" s="117" t="str">
        <f ca="1">OFFSET(ORÇAMENTO!O$15,$L81,0)</f>
        <v>1.10.6.</v>
      </c>
      <c r="F81" s="163" t="str">
        <f ca="1">OFFSET(ORÇAMENTO!R$15,$L81,0)</f>
        <v>ESCORAMENTO DE VALA, TIPO CONTÍNUO, COM PROFUNDIDADE DE 0 A 1,5 M, LARGURA MENOR QUE 1,5 M. AF_01/2026</v>
      </c>
      <c r="G81" s="164" t="str">
        <f ca="1">IF($D81&lt;&gt;"Serviço","",OFFSET(ORÇAMENTO!S$15,$L81,0))</f>
        <v>M2</v>
      </c>
      <c r="H81" s="122" cm="1">
        <f t="array" aca="1" ref="H81" ca="1">IF($D81&lt;&gt;"Serviço",0,IF(ACOMPANHAMENTO="BM",ROUND(OFFSET(ORÇAMENTO!AJ$15,$L81,0),15-13*ORÇAMENTO!$AF$7),IF(IFERROR(CÁLCULO.FrentesPreenchidas,0)=0,0,SUM(ROUND(OFFSET($P81,0,1,1,CÁLCULO.FrentesPreenchidas),15-13*ORÇAMENTO!$AF$7)))))</f>
        <v>989</v>
      </c>
      <c r="I81" s="679" t="s">
        <v>1321</v>
      </c>
      <c r="J81" s="651" t="str" cm="1">
        <f t="array" aca="1" ref="J81" ca="1">IF(OR(B81&lt;&gt;"S",CÁLCULO.FrentesPreenchidas=0),"",IF(AND(ACOMPANHAMENTO="PLE",AUTOEVENTO="Manual",OR(H81&gt;0,ORÇAMENTO!AC81="QUANT."),OR(K81="",M81=0,N81="")),"►E",IF(AND(ACOMPANHAMENTO="PLE",ORÇAMENTO!AC81="QUANT."),"►Q",IF(AND(ACOMPANHAMENTO="PLE",H81&lt;&gt;SUMPRODUCT(($Q$1:$AI$1=1)*ROUND(Q81:AI81,15))),"►S",IF(AND(COUNTIF($P$11:$AI$11,"▼")=0,H81&gt;0,I81=""),"◄M","")))))</f>
        <v/>
      </c>
      <c r="K81" s="652" t="s">
        <v>1354</v>
      </c>
      <c r="L81" s="165">
        <f ca="1">OFFSET(L81,-1,0)+1</f>
        <v>66</v>
      </c>
      <c r="M81" s="166">
        <f ca="1">IF($D81&lt;&gt;"Serviço","",
          IF(AUTOEVENTO="manual",$A81,
                IF(ISERROR(MATCH($A81,$A$15:OFFSET($A81,-1,0),0)),MAX($M$15:OFFSET(M81,-1,0))+1,
                      INDEX($M$15:OFFSET(M81,-1,0),MATCH($A81,$A$15:OFFSET($A81,-1,0),0)))))</f>
        <v>10</v>
      </c>
      <c r="N81" s="167" t="str">
        <f ca="1">IF($D81&lt;&gt;"Serviço","",
         IF(AUTOEVENTO="Manual",
                IF($A81=0,"&lt;-- defina o número do agrupador",
                       OFFSET(EVENTOS!$D$15,$A81-$A$15,0)),
                OFFSET($F$15,$A81,0)))</f>
        <v>Fundação - Forma</v>
      </c>
      <c r="O81" s="168"/>
      <c r="Q81" s="168"/>
      <c r="R81" s="169"/>
      <c r="S81" s="169"/>
      <c r="T81" s="169"/>
      <c r="U81" s="169">
        <v>989</v>
      </c>
      <c r="V81" s="169"/>
      <c r="W81" s="169"/>
      <c r="X81" s="169"/>
      <c r="Y81" s="169"/>
      <c r="Z81" s="170"/>
      <c r="AA81" s="705"/>
      <c r="AB81" s="705"/>
      <c r="AC81" s="705"/>
      <c r="AD81" s="705"/>
      <c r="AE81" s="705"/>
      <c r="AF81" s="705"/>
      <c r="AG81" s="705"/>
      <c r="AH81" s="706"/>
      <c r="AJ81" s="453">
        <f ca="1">IF(AND($D81="Serviço",AJ$12&lt;&gt;0,$H81&gt;0,OR(AUTOEVENTO&lt;&gt;"manual",$M81&lt;&gt;$A$15)),
        IF(Import.TipoArredondamento&lt;&gt;"TransfereGOV",
              ROUND(OFFSET($P81,0,AJ$13),15-13*ORÇAMENTO!$AF$7)/$H81*OFFSET(ORÇAMENTO!$X$15,ROW(AJ81)-ROW(AJ$15),0),
              ROUND(ROUND(OFFSET($P81,0,AJ$13),15-13*ORÇAMENTO!$AF$7)*OFFSET(ORÇAMENTO!$W$15,ROW(AJ81)-ROW(AJ$15),0),15-13*ORÇAMENTO!$AF$11)),
         0)</f>
        <v>0</v>
      </c>
      <c r="AK81" s="453">
        <f ca="1">IF(AND($D81="Serviço",AK$12&lt;&gt;0,$H81&gt;0,OR(AUTOEVENTO&lt;&gt;"manual",$M81&lt;&gt;$A$15)),
        IF(Import.TipoArredondamento&lt;&gt;"TransfereGOV",
              ROUND(OFFSET($P81,0,AK$13),15-13*ORÇAMENTO!$AF$7)/$H81*OFFSET(ORÇAMENTO!$X$15,ROW(AK81)-ROW(AK$15),0),
              ROUND(ROUND(OFFSET($P81,0,AK$13),15-13*ORÇAMENTO!$AF$7)*OFFSET(ORÇAMENTO!$W$15,ROW(AK81)-ROW(AK$15),0),15-13*ORÇAMENTO!$AF$11)),
         0)</f>
        <v>0</v>
      </c>
      <c r="AL81" s="453">
        <f ca="1">IF(AND($D81="Serviço",AL$12&lt;&gt;0,$H81&gt;0,OR(AUTOEVENTO&lt;&gt;"manual",$M81&lt;&gt;$A$15)),
        IF(Import.TipoArredondamento&lt;&gt;"TransfereGOV",
              ROUND(OFFSET($P81,0,AL$13),15-13*ORÇAMENTO!$AF$7)/$H81*OFFSET(ORÇAMENTO!$X$15,ROW(AL81)-ROW(AL$15),0),
              ROUND(ROUND(OFFSET($P81,0,AL$13),15-13*ORÇAMENTO!$AF$7)*OFFSET(ORÇAMENTO!$W$15,ROW(AL81)-ROW(AL$15),0),15-13*ORÇAMENTO!$AF$11)),
         0)</f>
        <v>0</v>
      </c>
      <c r="AM81" s="453">
        <f ca="1">IF(AND($D81="Serviço",AM$12&lt;&gt;0,$H81&gt;0,OR(AUTOEVENTO&lt;&gt;"manual",$M81&lt;&gt;$A$15)),
        IF(Import.TipoArredondamento&lt;&gt;"TransfereGOV",
              ROUND(OFFSET($P81,0,AM$13),15-13*ORÇAMENTO!$AF$7)/$H81*OFFSET(ORÇAMENTO!$X$15,ROW(AM81)-ROW(AM$15),0),
              ROUND(ROUND(OFFSET($P81,0,AM$13),15-13*ORÇAMENTO!$AF$7)*OFFSET(ORÇAMENTO!$W$15,ROW(AM81)-ROW(AM$15),0),15-13*ORÇAMENTO!$AF$11)),
         0)</f>
        <v>0</v>
      </c>
      <c r="AN81" s="453">
        <f ca="1">IF(AND($D81="Serviço",AN$12&lt;&gt;0,$H81&gt;0,OR(AUTOEVENTO&lt;&gt;"manual",$M81&lt;&gt;$A$15)),
        IF(Import.TipoArredondamento&lt;&gt;"TransfereGOV",
              ROUND(OFFSET($P81,0,AN$13),15-13*ORÇAMENTO!$AF$7)/$H81*OFFSET(ORÇAMENTO!$X$15,ROW(AN81)-ROW(AN$15),0),
              ROUND(ROUND(OFFSET($P81,0,AN$13),15-13*ORÇAMENTO!$AF$7)*OFFSET(ORÇAMENTO!$W$15,ROW(AN81)-ROW(AN$15),0),15-13*ORÇAMENTO!$AF$11)),
         0)</f>
        <v>107355.95</v>
      </c>
      <c r="AO81" s="453">
        <f ca="1">IF(AND($D81="Serviço",AO$12&lt;&gt;0,$H81&gt;0,OR(AUTOEVENTO&lt;&gt;"manual",$M81&lt;&gt;$A$15)),
        IF(Import.TipoArredondamento&lt;&gt;"TransfereGOV",
              ROUND(OFFSET($P81,0,AO$13),15-13*ORÇAMENTO!$AF$7)/$H81*OFFSET(ORÇAMENTO!$X$15,ROW(AO81)-ROW(AO$15),0),
              ROUND(ROUND(OFFSET($P81,0,AO$13),15-13*ORÇAMENTO!$AF$7)*OFFSET(ORÇAMENTO!$W$15,ROW(AO81)-ROW(AO$15),0),15-13*ORÇAMENTO!$AF$11)),
         0)</f>
        <v>0</v>
      </c>
      <c r="AP81" s="453">
        <f ca="1">IF(AND($D81="Serviço",AP$12&lt;&gt;0,$H81&gt;0,OR(AUTOEVENTO&lt;&gt;"manual",$M81&lt;&gt;$A$15)),
        IF(Import.TipoArredondamento&lt;&gt;"TransfereGOV",
              ROUND(OFFSET($P81,0,AP$13),15-13*ORÇAMENTO!$AF$7)/$H81*OFFSET(ORÇAMENTO!$X$15,ROW(AP81)-ROW(AP$15),0),
              ROUND(ROUND(OFFSET($P81,0,AP$13),15-13*ORÇAMENTO!$AF$7)*OFFSET(ORÇAMENTO!$W$15,ROW(AP81)-ROW(AP$15),0),15-13*ORÇAMENTO!$AF$11)),
         0)</f>
        <v>0</v>
      </c>
      <c r="AQ81" s="453">
        <f ca="1">IF(AND($D81="Serviço",AQ$12&lt;&gt;0,$H81&gt;0,OR(AUTOEVENTO&lt;&gt;"manual",$M81&lt;&gt;$A$15)),
        IF(Import.TipoArredondamento&lt;&gt;"TransfereGOV",
              ROUND(OFFSET($P81,0,AQ$13),15-13*ORÇAMENTO!$AF$7)/$H81*OFFSET(ORÇAMENTO!$X$15,ROW(AQ81)-ROW(AQ$15),0),
              ROUND(ROUND(OFFSET($P81,0,AQ$13),15-13*ORÇAMENTO!$AF$7)*OFFSET(ORÇAMENTO!$W$15,ROW(AQ81)-ROW(AQ$15),0),15-13*ORÇAMENTO!$AF$11)),
         0)</f>
        <v>0</v>
      </c>
      <c r="AR81" s="453">
        <f ca="1">IF(AND($D81="Serviço",AR$12&lt;&gt;0,$H81&gt;0,OR(AUTOEVENTO&lt;&gt;"manual",$M81&lt;&gt;$A$15)),
        IF(Import.TipoArredondamento&lt;&gt;"TransfereGOV",
              ROUND(OFFSET($P81,0,AR$13),15-13*ORÇAMENTO!$AF$7)/$H81*OFFSET(ORÇAMENTO!$X$15,ROW(AR81)-ROW(AR$15),0),
              ROUND(ROUND(OFFSET($P81,0,AR$13),15-13*ORÇAMENTO!$AF$7)*OFFSET(ORÇAMENTO!$W$15,ROW(AR81)-ROW(AR$15),0),15-13*ORÇAMENTO!$AF$11)),
         0)</f>
        <v>0</v>
      </c>
      <c r="AS81" s="453">
        <f ca="1">IF(AND($D81="Serviço",AS$12&lt;&gt;0,$H81&gt;0,OR(AUTOEVENTO&lt;&gt;"manual",$M81&lt;&gt;$A$15)),
        IF(Import.TipoArredondamento&lt;&gt;"TransfereGOV",
              ROUND(OFFSET($P81,0,AS$13),15-13*ORÇAMENTO!$AF$7)/$H81*OFFSET(ORÇAMENTO!$X$15,ROW(AS81)-ROW(AS$15),0),
              ROUND(ROUND(OFFSET($P81,0,AS$13),15-13*ORÇAMENTO!$AF$7)*OFFSET(ORÇAMENTO!$W$15,ROW(AS81)-ROW(AS$15),0),15-13*ORÇAMENTO!$AF$11)),
         0)</f>
        <v>0</v>
      </c>
      <c r="AT81" s="453">
        <f ca="1">IF(AND($D81="Serviço",AT$12&lt;&gt;0,$H81&gt;0,OR(AUTOEVENTO&lt;&gt;"manual",$M81&lt;&gt;$A$15)),
        IF(Import.TipoArredondamento&lt;&gt;"TransfereGOV",
              ROUND(OFFSET($P81,0,AT$13),15-13*ORÇAMENTO!$AF$7)/$H81*OFFSET(ORÇAMENTO!$X$15,ROW(AT81)-ROW(AT$15),0),
              ROUND(ROUND(OFFSET($P81,0,AT$13),15-13*ORÇAMENTO!$AF$7)*OFFSET(ORÇAMENTO!$W$15,ROW(AT81)-ROW(AT$15),0),15-13*ORÇAMENTO!$AF$11)),
         0)</f>
        <v>0</v>
      </c>
      <c r="AU81" s="453">
        <f ca="1">IF(AND($D81="Serviço",AU$12&lt;&gt;0,$H81&gt;0,OR(AUTOEVENTO&lt;&gt;"manual",$M81&lt;&gt;$A$15)),
        IF(Import.TipoArredondamento&lt;&gt;"TransfereGOV",
              ROUND(OFFSET($P81,0,AU$13),15-13*ORÇAMENTO!$AF$7)/$H81*OFFSET(ORÇAMENTO!$X$15,ROW(AU81)-ROW(AU$15),0),
              ROUND(ROUND(OFFSET($P81,0,AU$13),15-13*ORÇAMENTO!$AF$7)*OFFSET(ORÇAMENTO!$W$15,ROW(AU81)-ROW(AU$15),0),15-13*ORÇAMENTO!$AF$11)),
         0)</f>
        <v>0</v>
      </c>
      <c r="AV81" s="453">
        <f ca="1">IF(AND($D81="Serviço",AV$12&lt;&gt;0,$H81&gt;0,OR(AUTOEVENTO&lt;&gt;"manual",$M81&lt;&gt;$A$15)),
        IF(Import.TipoArredondamento&lt;&gt;"TransfereGOV",
              ROUND(OFFSET($P81,0,AV$13),15-13*ORÇAMENTO!$AF$7)/$H81*OFFSET(ORÇAMENTO!$X$15,ROW(AV81)-ROW(AV$15),0),
              ROUND(ROUND(OFFSET($P81,0,AV$13),15-13*ORÇAMENTO!$AF$7)*OFFSET(ORÇAMENTO!$W$15,ROW(AV81)-ROW(AV$15),0),15-13*ORÇAMENTO!$AF$11)),
         0)</f>
        <v>0</v>
      </c>
      <c r="AW81" s="453">
        <f ca="1">IF(AND($D81="Serviço",AW$12&lt;&gt;0,$H81&gt;0,OR(AUTOEVENTO&lt;&gt;"manual",$M81&lt;&gt;$A$15)),
        IF(Import.TipoArredondamento&lt;&gt;"TransfereGOV",
              ROUND(OFFSET($P81,0,AW$13),15-13*ORÇAMENTO!$AF$7)/$H81*OFFSET(ORÇAMENTO!$X$15,ROW(AW81)-ROW(AW$15),0),
              ROUND(ROUND(OFFSET($P81,0,AW$13),15-13*ORÇAMENTO!$AF$7)*OFFSET(ORÇAMENTO!$W$15,ROW(AW81)-ROW(AW$15),0),15-13*ORÇAMENTO!$AF$11)),
         0)</f>
        <v>0</v>
      </c>
      <c r="AX81" s="453">
        <f ca="1">IF(AND($D81="Serviço",AX$12&lt;&gt;0,$H81&gt;0,OR(AUTOEVENTO&lt;&gt;"manual",$M81&lt;&gt;$A$15)),
        IF(Import.TipoArredondamento&lt;&gt;"TransfereGOV",
              ROUND(OFFSET($P81,0,AX$13),15-13*ORÇAMENTO!$AF$7)/$H81*OFFSET(ORÇAMENTO!$X$15,ROW(AX81)-ROW(AX$15),0),
              ROUND(ROUND(OFFSET($P81,0,AX$13),15-13*ORÇAMENTO!$AF$7)*OFFSET(ORÇAMENTO!$W$15,ROW(AX81)-ROW(AX$15),0),15-13*ORÇAMENTO!$AF$11)),
         0)</f>
        <v>0</v>
      </c>
      <c r="AY81" s="453">
        <f ca="1">IF(AND($D81="Serviço",AY$12&lt;&gt;0,$H81&gt;0,OR(AUTOEVENTO&lt;&gt;"manual",$M81&lt;&gt;$A$15)),
        IF(Import.TipoArredondamento&lt;&gt;"TransfereGOV",
              ROUND(OFFSET($P81,0,AY$13),15-13*ORÇAMENTO!$AF$7)/$H81*OFFSET(ORÇAMENTO!$X$15,ROW(AY81)-ROW(AY$15),0),
              ROUND(ROUND(OFFSET($P81,0,AY$13),15-13*ORÇAMENTO!$AF$7)*OFFSET(ORÇAMENTO!$W$15,ROW(AY81)-ROW(AY$15),0),15-13*ORÇAMENTO!$AF$11)),
         0)</f>
        <v>0</v>
      </c>
      <c r="AZ81" s="453">
        <f ca="1">IF(AND($D81="Serviço",AZ$12&lt;&gt;0,$H81&gt;0,OR(AUTOEVENTO&lt;&gt;"manual",$M81&lt;&gt;$A$15)),
        IF(Import.TipoArredondamento&lt;&gt;"TransfereGOV",
              ROUND(OFFSET($P81,0,AZ$13),15-13*ORÇAMENTO!$AF$7)/$H81*OFFSET(ORÇAMENTO!$X$15,ROW(AZ81)-ROW(AZ$15),0),
              ROUND(ROUND(OFFSET($P81,0,AZ$13),15-13*ORÇAMENTO!$AF$7)*OFFSET(ORÇAMENTO!$W$15,ROW(AZ81)-ROW(AZ$15),0),15-13*ORÇAMENTO!$AF$11)),
         0)</f>
        <v>0</v>
      </c>
      <c r="BA81" s="453">
        <f ca="1">IF(AND($D81="Serviço",BA$12&lt;&gt;0,$H81&gt;0,OR(AUTOEVENTO&lt;&gt;"manual",$M81&lt;&gt;$A$15)),
        IF(Import.TipoArredondamento&lt;&gt;"TransfereGOV",
              ROUND(OFFSET($P81,0,BA$13),15-13*ORÇAMENTO!$AF$7)/$H81*OFFSET(ORÇAMENTO!$X$15,ROW(BA81)-ROW(BA$15),0),
              ROUND(ROUND(OFFSET($P81,0,BA$13),15-13*ORÇAMENTO!$AF$7)*OFFSET(ORÇAMENTO!$W$15,ROW(BA81)-ROW(BA$15),0),15-13*ORÇAMENTO!$AF$11)),
         0)</f>
        <v>0</v>
      </c>
      <c r="BC81" s="171">
        <f ca="1">IF(OR($D81&lt;&gt;"Serviço",AND(AUTOEVENTO="Manual",$M81=$A$15)),0,
         IF(OFFSET(CRONOPLE!$F$15,$M81-$A$15,BC$13)=0,10^12,OFFSET(CRONOPLE!$F$15,$M81-$A$15,BC$13)))</f>
        <v>1000000000000</v>
      </c>
      <c r="BD81" s="171">
        <f ca="1">IF(OR($D81&lt;&gt;"Serviço",AND(AUTOEVENTO="Manual",$M81=$A$15)),0,
         IF(OFFSET(CRONOPLE!$F$15,$M81-$A$15,BD$13)=0,10^12,OFFSET(CRONOPLE!$F$15,$M81-$A$15,BD$13)))</f>
        <v>1000000000000</v>
      </c>
      <c r="BE81" s="171">
        <f ca="1">IF(OR($D81&lt;&gt;"Serviço",AND(AUTOEVENTO="Manual",$M81=$A$15)),0,
         IF(OFFSET(CRONOPLE!$F$15,$M81-$A$15,BE$13)=0,10^12,OFFSET(CRONOPLE!$F$15,$M81-$A$15,BE$13)))</f>
        <v>1000000000000</v>
      </c>
      <c r="BF81" s="171">
        <f ca="1">IF(OR($D81&lt;&gt;"Serviço",AND(AUTOEVENTO="Manual",$M81=$A$15)),0,
         IF(OFFSET(CRONOPLE!$F$15,$M81-$A$15,BF$13)=0,10^12,OFFSET(CRONOPLE!$F$15,$M81-$A$15,BF$13)))</f>
        <v>1000000000000</v>
      </c>
      <c r="BG81" s="171">
        <f ca="1">IF(OR($D81&lt;&gt;"Serviço",AND(AUTOEVENTO="Manual",$M81=$A$15)),0,
         IF(OFFSET(CRONOPLE!$F$15,$M81-$A$15,BG$13)=0,10^12,OFFSET(CRONOPLE!$F$15,$M81-$A$15,BG$13)))</f>
        <v>9</v>
      </c>
      <c r="BH81" s="171">
        <f ca="1">IF(OR($D81&lt;&gt;"Serviço",AND(AUTOEVENTO="Manual",$M81=$A$15)),0,
         IF(OFFSET(CRONOPLE!$F$15,$M81-$A$15,BH$13)=0,10^12,OFFSET(CRONOPLE!$F$15,$M81-$A$15,BH$13)))</f>
        <v>1000000000000</v>
      </c>
      <c r="BI81" s="171">
        <f ca="1">IF(OR($D81&lt;&gt;"Serviço",AND(AUTOEVENTO="Manual",$M81=$A$15)),0,
         IF(OFFSET(CRONOPLE!$F$15,$M81-$A$15,BI$13)=0,10^12,OFFSET(CRONOPLE!$F$15,$M81-$A$15,BI$13)))</f>
        <v>1000000000000</v>
      </c>
      <c r="BJ81" s="171">
        <f ca="1">IF(OR($D81&lt;&gt;"Serviço",AND(AUTOEVENTO="Manual",$M81=$A$15)),0,
         IF(OFFSET(CRONOPLE!$F$15,$M81-$A$15,BJ$13)=0,10^12,OFFSET(CRONOPLE!$F$15,$M81-$A$15,BJ$13)))</f>
        <v>1000000000000</v>
      </c>
      <c r="BK81" s="171">
        <f ca="1">IF(OR($D81&lt;&gt;"Serviço",AND(AUTOEVENTO="Manual",$M81=$A$15)),0,
         IF(OFFSET(CRONOPLE!$F$15,$M81-$A$15,BK$13)=0,10^12,OFFSET(CRONOPLE!$F$15,$M81-$A$15,BK$13)))</f>
        <v>1000000000000</v>
      </c>
      <c r="BL81" s="171">
        <f ca="1">IF(OR($D81&lt;&gt;"Serviço",AND(AUTOEVENTO="Manual",$M81=$A$15)),0,
         IF(OFFSET(CRONOPLE!$F$15,$M81-$A$15,BL$13)=0,10^12,OFFSET(CRONOPLE!$F$15,$M81-$A$15,BL$13)))</f>
        <v>1000000000000</v>
      </c>
      <c r="BM81" s="171">
        <f ca="1">IF(OR($D81&lt;&gt;"Serviço",AND(AUTOEVENTO="Manual",$M81=$A$15)),0,
         IF(OFFSET(CRONOPLE!$F$15,$M81-$A$15,BM$13)=0,10^12,OFFSET(CRONOPLE!$F$15,$M81-$A$15,BM$13)))</f>
        <v>1000000000000</v>
      </c>
      <c r="BN81" s="171">
        <f ca="1">IF(OR($D81&lt;&gt;"Serviço",AND(AUTOEVENTO="Manual",$M81=$A$15)),0,
         IF(OFFSET(CRONOPLE!$F$15,$M81-$A$15,BN$13)=0,10^12,OFFSET(CRONOPLE!$F$15,$M81-$A$15,BN$13)))</f>
        <v>1000000000000</v>
      </c>
      <c r="BO81" s="171">
        <f ca="1">IF(OR($D81&lt;&gt;"Serviço",AND(AUTOEVENTO="Manual",$M81=$A$15)),0,
         IF(OFFSET(CRONOPLE!$F$15,$M81-$A$15,BO$13)=0,10^12,OFFSET(CRONOPLE!$F$15,$M81-$A$15,BO$13)))</f>
        <v>1000000000000</v>
      </c>
      <c r="BP81" s="171">
        <f ca="1">IF(OR($D81&lt;&gt;"Serviço",AND(AUTOEVENTO="Manual",$M81=$A$15)),0,
         IF(OFFSET(CRONOPLE!$F$15,$M81-$A$15,BP$13)=0,10^12,OFFSET(CRONOPLE!$F$15,$M81-$A$15,BP$13)))</f>
        <v>1000000000000</v>
      </c>
      <c r="BQ81" s="171">
        <f ca="1">IF(OR($D81&lt;&gt;"Serviço",AND(AUTOEVENTO="Manual",$M81=$A$15)),0,
         IF(OFFSET(CRONOPLE!$F$15,$M81-$A$15,BQ$13)=0,10^12,OFFSET(CRONOPLE!$F$15,$M81-$A$15,BQ$13)))</f>
        <v>1000000000000</v>
      </c>
      <c r="BR81" s="171">
        <f ca="1">IF(OR($D81&lt;&gt;"Serviço",AND(AUTOEVENTO="Manual",$M81=$A$15)),0,
         IF(OFFSET(CRONOPLE!$F$15,$M81-$A$15,BR$13)=0,10^12,OFFSET(CRONOPLE!$F$15,$M81-$A$15,BR$13)))</f>
        <v>1000000000000</v>
      </c>
      <c r="BS81" s="171">
        <f ca="1">IF(OR($D81&lt;&gt;"Serviço",AND(AUTOEVENTO="Manual",$M81=$A$15)),0,
         IF(OFFSET(CRONOPLE!$F$15,$M81-$A$15,BS$13)=0,10^12,OFFSET(CRONOPLE!$F$15,$M81-$A$15,BS$13)))</f>
        <v>1000000000000</v>
      </c>
      <c r="BT81" s="171">
        <f ca="1">IF(OR($D81&lt;&gt;"Serviço",AND(AUTOEVENTO="Manual",$M81=$A$15)),0,
         IF(OFFSET(CRONOPLE!$F$15,$M81-$A$15,BT$13)=0,10^12,OFFSET(CRONOPLE!$F$15,$M81-$A$15,BT$13)))</f>
        <v>1000000000000</v>
      </c>
      <c r="BV81" s="172" cm="1">
        <f t="array" aca="1" ref="BV81" ca="1">IF(OR($D81&lt;&gt;"Serviço",AND(AUTOEVENTO="Manual",$M81=$A$15),$M81&gt;(ROW(PLE.lastrow)-ROW(PLE.firstrow))),0,
           IF(OFFSET(PLE!$G$15,$M81-$A$15,BV$13)="",10^12,OFFSET(PLE!$G$15,$M81-$A$15,BV$13)))</f>
        <v>1000000000000</v>
      </c>
      <c r="BW81" s="172" cm="1">
        <f t="array" aca="1" ref="BW81" ca="1">IF(OR($D81&lt;&gt;"Serviço",AND(AUTOEVENTO="Manual",$M81=$A$15),$M81&gt;(ROW(PLE.lastrow)-ROW(PLE.firstrow))),0,
           IF(OFFSET(PLE!$G$15,$M81-$A$15,BW$13)="",10^12,OFFSET(PLE!$G$15,$M81-$A$15,BW$13)))</f>
        <v>1000000000000</v>
      </c>
      <c r="BX81" s="172" cm="1">
        <f t="array" aca="1" ref="BX81" ca="1">IF(OR($D81&lt;&gt;"Serviço",AND(AUTOEVENTO="Manual",$M81=$A$15),$M81&gt;(ROW(PLE.lastrow)-ROW(PLE.firstrow))),0,
           IF(OFFSET(PLE!$G$15,$M81-$A$15,BX$13)="",10^12,OFFSET(PLE!$G$15,$M81-$A$15,BX$13)))</f>
        <v>1000000000000</v>
      </c>
      <c r="BY81" s="172" cm="1">
        <f t="array" aca="1" ref="BY81" ca="1">IF(OR($D81&lt;&gt;"Serviço",AND(AUTOEVENTO="Manual",$M81=$A$15),$M81&gt;(ROW(PLE.lastrow)-ROW(PLE.firstrow))),0,
           IF(OFFSET(PLE!$G$15,$M81-$A$15,BY$13)="",10^12,OFFSET(PLE!$G$15,$M81-$A$15,BY$13)))</f>
        <v>1000000000000</v>
      </c>
      <c r="BZ81" s="172" cm="1">
        <f t="array" aca="1" ref="BZ81" ca="1">IF(OR($D81&lt;&gt;"Serviço",AND(AUTOEVENTO="Manual",$M81=$A$15),$M81&gt;(ROW(PLE.lastrow)-ROW(PLE.firstrow))),0,
           IF(OFFSET(PLE!$G$15,$M81-$A$15,BZ$13)="",10^12,OFFSET(PLE!$G$15,$M81-$A$15,BZ$13)))</f>
        <v>1000000000000</v>
      </c>
      <c r="CA81" s="172" cm="1">
        <f t="array" aca="1" ref="CA81" ca="1">IF(OR($D81&lt;&gt;"Serviço",AND(AUTOEVENTO="Manual",$M81=$A$15),$M81&gt;(ROW(PLE.lastrow)-ROW(PLE.firstrow))),0,
           IF(OFFSET(PLE!$G$15,$M81-$A$15,CA$13)="",10^12,OFFSET(PLE!$G$15,$M81-$A$15,CA$13)))</f>
        <v>1000000000000</v>
      </c>
      <c r="CB81" s="172" cm="1">
        <f t="array" aca="1" ref="CB81" ca="1">IF(OR($D81&lt;&gt;"Serviço",AND(AUTOEVENTO="Manual",$M81=$A$15),$M81&gt;(ROW(PLE.lastrow)-ROW(PLE.firstrow))),0,
           IF(OFFSET(PLE!$G$15,$M81-$A$15,CB$13)="",10^12,OFFSET(PLE!$G$15,$M81-$A$15,CB$13)))</f>
        <v>1000000000000</v>
      </c>
      <c r="CC81" s="172" cm="1">
        <f t="array" aca="1" ref="CC81" ca="1">IF(OR($D81&lt;&gt;"Serviço",AND(AUTOEVENTO="Manual",$M81=$A$15),$M81&gt;(ROW(PLE.lastrow)-ROW(PLE.firstrow))),0,
           IF(OFFSET(PLE!$G$15,$M81-$A$15,CC$13)="",10^12,OFFSET(PLE!$G$15,$M81-$A$15,CC$13)))</f>
        <v>1000000000000</v>
      </c>
      <c r="CD81" s="172" cm="1">
        <f t="array" aca="1" ref="CD81" ca="1">IF(OR($D81&lt;&gt;"Serviço",AND(AUTOEVENTO="Manual",$M81=$A$15),$M81&gt;(ROW(PLE.lastrow)-ROW(PLE.firstrow))),0,
           IF(OFFSET(PLE!$G$15,$M81-$A$15,CD$13)="",10^12,OFFSET(PLE!$G$15,$M81-$A$15,CD$13)))</f>
        <v>1000000000000</v>
      </c>
      <c r="CE81" s="172" cm="1">
        <f t="array" aca="1" ref="CE81" ca="1">IF(OR($D81&lt;&gt;"Serviço",AND(AUTOEVENTO="Manual",$M81=$A$15),$M81&gt;(ROW(PLE.lastrow)-ROW(PLE.firstrow))),0,
           IF(OFFSET(PLE!$G$15,$M81-$A$15,CE$13)="",10^12,OFFSET(PLE!$G$15,$M81-$A$15,CE$13)))</f>
        <v>1000000000000</v>
      </c>
      <c r="CF81" s="172" cm="1">
        <f t="array" aca="1" ref="CF81" ca="1">IF(OR($D81&lt;&gt;"Serviço",AND(AUTOEVENTO="Manual",$M81=$A$15),$M81&gt;(ROW(PLE.lastrow)-ROW(PLE.firstrow))),0,
           IF(OFFSET(PLE!$G$15,$M81-$A$15,CF$13)="",10^12,OFFSET(PLE!$G$15,$M81-$A$15,CF$13)))</f>
        <v>1000000000000</v>
      </c>
      <c r="CG81" s="172" cm="1">
        <f t="array" aca="1" ref="CG81" ca="1">IF(OR($D81&lt;&gt;"Serviço",AND(AUTOEVENTO="Manual",$M81=$A$15),$M81&gt;(ROW(PLE.lastrow)-ROW(PLE.firstrow))),0,
           IF(OFFSET(PLE!$G$15,$M81-$A$15,CG$13)="",10^12,OFFSET(PLE!$G$15,$M81-$A$15,CG$13)))</f>
        <v>1000000000000</v>
      </c>
      <c r="CH81" s="172" cm="1">
        <f t="array" aca="1" ref="CH81" ca="1">IF(OR($D81&lt;&gt;"Serviço",AND(AUTOEVENTO="Manual",$M81=$A$15),$M81&gt;(ROW(PLE.lastrow)-ROW(PLE.firstrow))),0,
           IF(OFFSET(PLE!$G$15,$M81-$A$15,CH$13)="",10^12,OFFSET(PLE!$G$15,$M81-$A$15,CH$13)))</f>
        <v>1000000000000</v>
      </c>
      <c r="CI81" s="172" cm="1">
        <f t="array" aca="1" ref="CI81" ca="1">IF(OR($D81&lt;&gt;"Serviço",AND(AUTOEVENTO="Manual",$M81=$A$15),$M81&gt;(ROW(PLE.lastrow)-ROW(PLE.firstrow))),0,
           IF(OFFSET(PLE!$G$15,$M81-$A$15,CI$13)="",10^12,OFFSET(PLE!$G$15,$M81-$A$15,CI$13)))</f>
        <v>1000000000000</v>
      </c>
      <c r="CJ81" s="172" cm="1">
        <f t="array" aca="1" ref="CJ81" ca="1">IF(OR($D81&lt;&gt;"Serviço",AND(AUTOEVENTO="Manual",$M81=$A$15),$M81&gt;(ROW(PLE.lastrow)-ROW(PLE.firstrow))),0,
           IF(OFFSET(PLE!$G$15,$M81-$A$15,CJ$13)="",10^12,OFFSET(PLE!$G$15,$M81-$A$15,CJ$13)))</f>
        <v>1000000000000</v>
      </c>
      <c r="CK81" s="172" cm="1">
        <f t="array" aca="1" ref="CK81" ca="1">IF(OR($D81&lt;&gt;"Serviço",AND(AUTOEVENTO="Manual",$M81=$A$15),$M81&gt;(ROW(PLE.lastrow)-ROW(PLE.firstrow))),0,
           IF(OFFSET(PLE!$G$15,$M81-$A$15,CK$13)="",10^12,OFFSET(PLE!$G$15,$M81-$A$15,CK$13)))</f>
        <v>1000000000000</v>
      </c>
      <c r="CL81" s="172" cm="1">
        <f t="array" aca="1" ref="CL81" ca="1">IF(OR($D81&lt;&gt;"Serviço",AND(AUTOEVENTO="Manual",$M81=$A$15),$M81&gt;(ROW(PLE.lastrow)-ROW(PLE.firstrow))),0,
           IF(OFFSET(PLE!$G$15,$M81-$A$15,CL$13)="",10^12,OFFSET(PLE!$G$15,$M81-$A$15,CL$13)))</f>
        <v>1000000000000</v>
      </c>
      <c r="CM81" s="172" cm="1">
        <f t="array" aca="1" ref="CM81" ca="1">IF(OR($D81&lt;&gt;"Serviço",AND(AUTOEVENTO="Manual",$M81=$A$15),$M81&gt;(ROW(PLE.lastrow)-ROW(PLE.firstrow))),0,
           IF(OFFSET(PLE!$G$15,$M81-$A$15,CM$13)="",10^12,OFFSET(PLE!$G$15,$M81-$A$15,CM$13)))</f>
        <v>1000000000000</v>
      </c>
    </row>
    <row r="82" spans="1:91" s="673" customFormat="1" ht="25.5" x14ac:dyDescent="0.2">
      <c r="A82" s="671">
        <f ca="1">IFERROR(IF(AUTOEVENTO="Manual",IF(K82&lt;&gt;"",MIN(VALUE(LEFT(K82,FIND(".",K82)-1)),COUNTA(EVENTOS.Lista)),0),IF(OR($B82&gt;AUTOEVENTO,$B82="S",$B82=0),SUBSTITUTE(OFFSET($A82,-1,0),IF($D82="Serviço",".",""),""),$L82&amp;".")),0)</f>
        <v>7</v>
      </c>
      <c r="B82" s="671" t="str">
        <f ca="1">OFFSET(ORÇAMENTO!C$15,$L82,0)</f>
        <v>S</v>
      </c>
      <c r="C82" s="671" t="str">
        <f ca="1">OFFSET(ORÇAMENTO!L$15,$L82,0)</f>
        <v>F</v>
      </c>
      <c r="D82" s="116" t="str">
        <f ca="1">OFFSET(ORÇAMENTO!N$15,$L82,0)</f>
        <v>Serviço</v>
      </c>
      <c r="E82" s="117" t="str">
        <f ca="1">OFFSET(ORÇAMENTO!O$15,$L82,0)</f>
        <v>1.10.7.</v>
      </c>
      <c r="F82" s="163" t="str">
        <f ca="1">OFFSET(ORÇAMENTO!R$15,$L82,0)</f>
        <v>TRAVESSIA MÉTODO NÃO DESTRUTIVO P/ TUBO 200</v>
      </c>
      <c r="G82" s="164" t="str">
        <f ca="1">IF($D82&lt;&gt;"Serviço","",OFFSET(ORÇAMENTO!S$15,$L82,0))</f>
        <v>M²</v>
      </c>
      <c r="H82" s="122" cm="1">
        <f t="array" aca="1" ref="H82" ca="1">IF($D82&lt;&gt;"Serviço",0,IF(ACOMPANHAMENTO="BM",ROUND(OFFSET(ORÇAMENTO!AJ$15,$L82,0),15-13*ORÇAMENTO!$AF$7),IF(IFERROR(CÁLCULO.FrentesPreenchidas,0)=0,0,SUM(ROUND(OFFSET($P82,0,1,1,CÁLCULO.FrentesPreenchidas),15-13*ORÇAMENTO!$AF$7)))))</f>
        <v>18</v>
      </c>
      <c r="I82" s="468" t="s">
        <v>1129</v>
      </c>
      <c r="J82" s="651" t="str" cm="1">
        <f t="array" aca="1" ref="J82" ca="1">IF(OR(B82&lt;&gt;"S",CÁLCULO.FrentesPreenchidas=0),"",IF(AND(ACOMPANHAMENTO="PLE",AUTOEVENTO="Manual",OR(H82&gt;0,ORÇAMENTO!AC82="QUANT."),OR(K82="",M82=0,N82="")),"►E",IF(AND(ACOMPANHAMENTO="PLE",ORÇAMENTO!AC82="QUANT."),"►Q",IF(AND(ACOMPANHAMENTO="PLE",H82&lt;&gt;SUMPRODUCT(($Q$1:$AI$1=1)*ROUND(Q82:AI82,15))),"►S",IF(AND(COUNTIF($P$11:$AI$11,"▼")=0,H82&gt;0,I82=""),"◄M","")))))</f>
        <v/>
      </c>
      <c r="K82" s="652" t="s">
        <v>1346</v>
      </c>
      <c r="L82" s="165">
        <f ca="1">OFFSET(L82,-1,0)+1</f>
        <v>67</v>
      </c>
      <c r="M82" s="166">
        <f ca="1">IF($D82&lt;&gt;"Serviço","",
          IF(AUTOEVENTO="manual",$A82,
                IF(ISERROR(MATCH($A82,$A$15:OFFSET($A82,-1,0),0)),MAX($M$15:OFFSET(M82,-1,0))+1,
                      INDEX($M$15:OFFSET(M82,-1,0),MATCH($A82,$A$15:OFFSET($A82,-1,0),0)))))</f>
        <v>7</v>
      </c>
      <c r="N82" s="167" t="str">
        <f ca="1">IF($D82&lt;&gt;"Serviço","",
         IF(AUTOEVENTO="Manual",
                IF($A82=0,"&lt;-- defina o número do agrupador",
                       OFFSET(EVENTOS!$D$15,$A82-$A$15,0)),
                OFFSET($F$15,$A82,0)))</f>
        <v>Escavação - preparo de fundo de vala</v>
      </c>
      <c r="O82" s="168"/>
      <c r="Q82" s="168"/>
      <c r="R82" s="169"/>
      <c r="S82" s="169"/>
      <c r="T82" s="169"/>
      <c r="U82" s="169">
        <v>18</v>
      </c>
      <c r="V82" s="169"/>
      <c r="W82" s="169"/>
      <c r="X82" s="169"/>
      <c r="Y82" s="169"/>
      <c r="Z82" s="170"/>
      <c r="AA82" s="705"/>
      <c r="AB82" s="705"/>
      <c r="AC82" s="705"/>
      <c r="AD82" s="705"/>
      <c r="AE82" s="705"/>
      <c r="AF82" s="705"/>
      <c r="AG82" s="705"/>
      <c r="AH82" s="706"/>
      <c r="AJ82" s="453">
        <f ca="1">IF(AND($D82="Serviço",AJ$12&lt;&gt;0,$H82&gt;0,OR(AUTOEVENTO&lt;&gt;"manual",$M82&lt;&gt;$A$15)),
        IF(Import.TipoArredondamento&lt;&gt;"TransfereGOV",
              ROUND(OFFSET($P82,0,AJ$13),15-13*ORÇAMENTO!$AF$7)/$H82*OFFSET(ORÇAMENTO!$X$15,ROW(AJ82)-ROW(AJ$15),0),
              ROUND(ROUND(OFFSET($P82,0,AJ$13),15-13*ORÇAMENTO!$AF$7)*OFFSET(ORÇAMENTO!$W$15,ROW(AJ82)-ROW(AJ$15),0),15-13*ORÇAMENTO!$AF$11)),
         0)</f>
        <v>0</v>
      </c>
      <c r="AK82" s="453">
        <f ca="1">IF(AND($D82="Serviço",AK$12&lt;&gt;0,$H82&gt;0,OR(AUTOEVENTO&lt;&gt;"manual",$M82&lt;&gt;$A$15)),
        IF(Import.TipoArredondamento&lt;&gt;"TransfereGOV",
              ROUND(OFFSET($P82,0,AK$13),15-13*ORÇAMENTO!$AF$7)/$H82*OFFSET(ORÇAMENTO!$X$15,ROW(AK82)-ROW(AK$15),0),
              ROUND(ROUND(OFFSET($P82,0,AK$13),15-13*ORÇAMENTO!$AF$7)*OFFSET(ORÇAMENTO!$W$15,ROW(AK82)-ROW(AK$15),0),15-13*ORÇAMENTO!$AF$11)),
         0)</f>
        <v>0</v>
      </c>
      <c r="AL82" s="453">
        <f ca="1">IF(AND($D82="Serviço",AL$12&lt;&gt;0,$H82&gt;0,OR(AUTOEVENTO&lt;&gt;"manual",$M82&lt;&gt;$A$15)),
        IF(Import.TipoArredondamento&lt;&gt;"TransfereGOV",
              ROUND(OFFSET($P82,0,AL$13),15-13*ORÇAMENTO!$AF$7)/$H82*OFFSET(ORÇAMENTO!$X$15,ROW(AL82)-ROW(AL$15),0),
              ROUND(ROUND(OFFSET($P82,0,AL$13),15-13*ORÇAMENTO!$AF$7)*OFFSET(ORÇAMENTO!$W$15,ROW(AL82)-ROW(AL$15),0),15-13*ORÇAMENTO!$AF$11)),
         0)</f>
        <v>0</v>
      </c>
      <c r="AM82" s="453">
        <f ca="1">IF(AND($D82="Serviço",AM$12&lt;&gt;0,$H82&gt;0,OR(AUTOEVENTO&lt;&gt;"manual",$M82&lt;&gt;$A$15)),
        IF(Import.TipoArredondamento&lt;&gt;"TransfereGOV",
              ROUND(OFFSET($P82,0,AM$13),15-13*ORÇAMENTO!$AF$7)/$H82*OFFSET(ORÇAMENTO!$X$15,ROW(AM82)-ROW(AM$15),0),
              ROUND(ROUND(OFFSET($P82,0,AM$13),15-13*ORÇAMENTO!$AF$7)*OFFSET(ORÇAMENTO!$W$15,ROW(AM82)-ROW(AM$15),0),15-13*ORÇAMENTO!$AF$11)),
         0)</f>
        <v>0</v>
      </c>
      <c r="AN82" s="453">
        <f ca="1">IF(AND($D82="Serviço",AN$12&lt;&gt;0,$H82&gt;0,OR(AUTOEVENTO&lt;&gt;"manual",$M82&lt;&gt;$A$15)),
        IF(Import.TipoArredondamento&lt;&gt;"TransfereGOV",
              ROUND(OFFSET($P82,0,AN$13),15-13*ORÇAMENTO!$AF$7)/$H82*OFFSET(ORÇAMENTO!$X$15,ROW(AN82)-ROW(AN$15),0),
              ROUND(ROUND(OFFSET($P82,0,AN$13),15-13*ORÇAMENTO!$AF$7)*OFFSET(ORÇAMENTO!$W$15,ROW(AN82)-ROW(AN$15),0),15-13*ORÇAMENTO!$AF$11)),
         0)</f>
        <v>63898.559999999998</v>
      </c>
      <c r="AO82" s="453">
        <f ca="1">IF(AND($D82="Serviço",AO$12&lt;&gt;0,$H82&gt;0,OR(AUTOEVENTO&lt;&gt;"manual",$M82&lt;&gt;$A$15)),
        IF(Import.TipoArredondamento&lt;&gt;"TransfereGOV",
              ROUND(OFFSET($P82,0,AO$13),15-13*ORÇAMENTO!$AF$7)/$H82*OFFSET(ORÇAMENTO!$X$15,ROW(AO82)-ROW(AO$15),0),
              ROUND(ROUND(OFFSET($P82,0,AO$13),15-13*ORÇAMENTO!$AF$7)*OFFSET(ORÇAMENTO!$W$15,ROW(AO82)-ROW(AO$15),0),15-13*ORÇAMENTO!$AF$11)),
         0)</f>
        <v>0</v>
      </c>
      <c r="AP82" s="453">
        <f ca="1">IF(AND($D82="Serviço",AP$12&lt;&gt;0,$H82&gt;0,OR(AUTOEVENTO&lt;&gt;"manual",$M82&lt;&gt;$A$15)),
        IF(Import.TipoArredondamento&lt;&gt;"TransfereGOV",
              ROUND(OFFSET($P82,0,AP$13),15-13*ORÇAMENTO!$AF$7)/$H82*OFFSET(ORÇAMENTO!$X$15,ROW(AP82)-ROW(AP$15),0),
              ROUND(ROUND(OFFSET($P82,0,AP$13),15-13*ORÇAMENTO!$AF$7)*OFFSET(ORÇAMENTO!$W$15,ROW(AP82)-ROW(AP$15),0),15-13*ORÇAMENTO!$AF$11)),
         0)</f>
        <v>0</v>
      </c>
      <c r="AQ82" s="453">
        <f ca="1">IF(AND($D82="Serviço",AQ$12&lt;&gt;0,$H82&gt;0,OR(AUTOEVENTO&lt;&gt;"manual",$M82&lt;&gt;$A$15)),
        IF(Import.TipoArredondamento&lt;&gt;"TransfereGOV",
              ROUND(OFFSET($P82,0,AQ$13),15-13*ORÇAMENTO!$AF$7)/$H82*OFFSET(ORÇAMENTO!$X$15,ROW(AQ82)-ROW(AQ$15),0),
              ROUND(ROUND(OFFSET($P82,0,AQ$13),15-13*ORÇAMENTO!$AF$7)*OFFSET(ORÇAMENTO!$W$15,ROW(AQ82)-ROW(AQ$15),0),15-13*ORÇAMENTO!$AF$11)),
         0)</f>
        <v>0</v>
      </c>
      <c r="AR82" s="453">
        <f ca="1">IF(AND($D82="Serviço",AR$12&lt;&gt;0,$H82&gt;0,OR(AUTOEVENTO&lt;&gt;"manual",$M82&lt;&gt;$A$15)),
        IF(Import.TipoArredondamento&lt;&gt;"TransfereGOV",
              ROUND(OFFSET($P82,0,AR$13),15-13*ORÇAMENTO!$AF$7)/$H82*OFFSET(ORÇAMENTO!$X$15,ROW(AR82)-ROW(AR$15),0),
              ROUND(ROUND(OFFSET($P82,0,AR$13),15-13*ORÇAMENTO!$AF$7)*OFFSET(ORÇAMENTO!$W$15,ROW(AR82)-ROW(AR$15),0),15-13*ORÇAMENTO!$AF$11)),
         0)</f>
        <v>0</v>
      </c>
      <c r="AS82" s="453">
        <f ca="1">IF(AND($D82="Serviço",AS$12&lt;&gt;0,$H82&gt;0,OR(AUTOEVENTO&lt;&gt;"manual",$M82&lt;&gt;$A$15)),
        IF(Import.TipoArredondamento&lt;&gt;"TransfereGOV",
              ROUND(OFFSET($P82,0,AS$13),15-13*ORÇAMENTO!$AF$7)/$H82*OFFSET(ORÇAMENTO!$X$15,ROW(AS82)-ROW(AS$15),0),
              ROUND(ROUND(OFFSET($P82,0,AS$13),15-13*ORÇAMENTO!$AF$7)*OFFSET(ORÇAMENTO!$W$15,ROW(AS82)-ROW(AS$15),0),15-13*ORÇAMENTO!$AF$11)),
         0)</f>
        <v>0</v>
      </c>
      <c r="AT82" s="453">
        <f ca="1">IF(AND($D82="Serviço",AT$12&lt;&gt;0,$H82&gt;0,OR(AUTOEVENTO&lt;&gt;"manual",$M82&lt;&gt;$A$15)),
        IF(Import.TipoArredondamento&lt;&gt;"TransfereGOV",
              ROUND(OFFSET($P82,0,AT$13),15-13*ORÇAMENTO!$AF$7)/$H82*OFFSET(ORÇAMENTO!$X$15,ROW(AT82)-ROW(AT$15),0),
              ROUND(ROUND(OFFSET($P82,0,AT$13),15-13*ORÇAMENTO!$AF$7)*OFFSET(ORÇAMENTO!$W$15,ROW(AT82)-ROW(AT$15),0),15-13*ORÇAMENTO!$AF$11)),
         0)</f>
        <v>0</v>
      </c>
      <c r="AU82" s="453">
        <f ca="1">IF(AND($D82="Serviço",AU$12&lt;&gt;0,$H82&gt;0,OR(AUTOEVENTO&lt;&gt;"manual",$M82&lt;&gt;$A$15)),
        IF(Import.TipoArredondamento&lt;&gt;"TransfereGOV",
              ROUND(OFFSET($P82,0,AU$13),15-13*ORÇAMENTO!$AF$7)/$H82*OFFSET(ORÇAMENTO!$X$15,ROW(AU82)-ROW(AU$15),0),
              ROUND(ROUND(OFFSET($P82,0,AU$13),15-13*ORÇAMENTO!$AF$7)*OFFSET(ORÇAMENTO!$W$15,ROW(AU82)-ROW(AU$15),0),15-13*ORÇAMENTO!$AF$11)),
         0)</f>
        <v>0</v>
      </c>
      <c r="AV82" s="453">
        <f ca="1">IF(AND($D82="Serviço",AV$12&lt;&gt;0,$H82&gt;0,OR(AUTOEVENTO&lt;&gt;"manual",$M82&lt;&gt;$A$15)),
        IF(Import.TipoArredondamento&lt;&gt;"TransfereGOV",
              ROUND(OFFSET($P82,0,AV$13),15-13*ORÇAMENTO!$AF$7)/$H82*OFFSET(ORÇAMENTO!$X$15,ROW(AV82)-ROW(AV$15),0),
              ROUND(ROUND(OFFSET($P82,0,AV$13),15-13*ORÇAMENTO!$AF$7)*OFFSET(ORÇAMENTO!$W$15,ROW(AV82)-ROW(AV$15),0),15-13*ORÇAMENTO!$AF$11)),
         0)</f>
        <v>0</v>
      </c>
      <c r="AW82" s="453">
        <f ca="1">IF(AND($D82="Serviço",AW$12&lt;&gt;0,$H82&gt;0,OR(AUTOEVENTO&lt;&gt;"manual",$M82&lt;&gt;$A$15)),
        IF(Import.TipoArredondamento&lt;&gt;"TransfereGOV",
              ROUND(OFFSET($P82,0,AW$13),15-13*ORÇAMENTO!$AF$7)/$H82*OFFSET(ORÇAMENTO!$X$15,ROW(AW82)-ROW(AW$15),0),
              ROUND(ROUND(OFFSET($P82,0,AW$13),15-13*ORÇAMENTO!$AF$7)*OFFSET(ORÇAMENTO!$W$15,ROW(AW82)-ROW(AW$15),0),15-13*ORÇAMENTO!$AF$11)),
         0)</f>
        <v>0</v>
      </c>
      <c r="AX82" s="453">
        <f ca="1">IF(AND($D82="Serviço",AX$12&lt;&gt;0,$H82&gt;0,OR(AUTOEVENTO&lt;&gt;"manual",$M82&lt;&gt;$A$15)),
        IF(Import.TipoArredondamento&lt;&gt;"TransfereGOV",
              ROUND(OFFSET($P82,0,AX$13),15-13*ORÇAMENTO!$AF$7)/$H82*OFFSET(ORÇAMENTO!$X$15,ROW(AX82)-ROW(AX$15),0),
              ROUND(ROUND(OFFSET($P82,0,AX$13),15-13*ORÇAMENTO!$AF$7)*OFFSET(ORÇAMENTO!$W$15,ROW(AX82)-ROW(AX$15),0),15-13*ORÇAMENTO!$AF$11)),
         0)</f>
        <v>0</v>
      </c>
      <c r="AY82" s="453">
        <f ca="1">IF(AND($D82="Serviço",AY$12&lt;&gt;0,$H82&gt;0,OR(AUTOEVENTO&lt;&gt;"manual",$M82&lt;&gt;$A$15)),
        IF(Import.TipoArredondamento&lt;&gt;"TransfereGOV",
              ROUND(OFFSET($P82,0,AY$13),15-13*ORÇAMENTO!$AF$7)/$H82*OFFSET(ORÇAMENTO!$X$15,ROW(AY82)-ROW(AY$15),0),
              ROUND(ROUND(OFFSET($P82,0,AY$13),15-13*ORÇAMENTO!$AF$7)*OFFSET(ORÇAMENTO!$W$15,ROW(AY82)-ROW(AY$15),0),15-13*ORÇAMENTO!$AF$11)),
         0)</f>
        <v>0</v>
      </c>
      <c r="AZ82" s="453">
        <f ca="1">IF(AND($D82="Serviço",AZ$12&lt;&gt;0,$H82&gt;0,OR(AUTOEVENTO&lt;&gt;"manual",$M82&lt;&gt;$A$15)),
        IF(Import.TipoArredondamento&lt;&gt;"TransfereGOV",
              ROUND(OFFSET($P82,0,AZ$13),15-13*ORÇAMENTO!$AF$7)/$H82*OFFSET(ORÇAMENTO!$X$15,ROW(AZ82)-ROW(AZ$15),0),
              ROUND(ROUND(OFFSET($P82,0,AZ$13),15-13*ORÇAMENTO!$AF$7)*OFFSET(ORÇAMENTO!$W$15,ROW(AZ82)-ROW(AZ$15),0),15-13*ORÇAMENTO!$AF$11)),
         0)</f>
        <v>0</v>
      </c>
      <c r="BA82" s="453">
        <f ca="1">IF(AND($D82="Serviço",BA$12&lt;&gt;0,$H82&gt;0,OR(AUTOEVENTO&lt;&gt;"manual",$M82&lt;&gt;$A$15)),
        IF(Import.TipoArredondamento&lt;&gt;"TransfereGOV",
              ROUND(OFFSET($P82,0,BA$13),15-13*ORÇAMENTO!$AF$7)/$H82*OFFSET(ORÇAMENTO!$X$15,ROW(BA82)-ROW(BA$15),0),
              ROUND(ROUND(OFFSET($P82,0,BA$13),15-13*ORÇAMENTO!$AF$7)*OFFSET(ORÇAMENTO!$W$15,ROW(BA82)-ROW(BA$15),0),15-13*ORÇAMENTO!$AF$11)),
         0)</f>
        <v>0</v>
      </c>
      <c r="BC82" s="171">
        <f ca="1">IF(OR($D82&lt;&gt;"Serviço",AND(AUTOEVENTO="Manual",$M82=$A$15)),0,
         IF(OFFSET(CRONOPLE!$F$15,$M82-$A$15,BC$13)=0,10^12,OFFSET(CRONOPLE!$F$15,$M82-$A$15,BC$13)))</f>
        <v>10</v>
      </c>
      <c r="BD82" s="171">
        <f ca="1">IF(OR($D82&lt;&gt;"Serviço",AND(AUTOEVENTO="Manual",$M82=$A$15)),0,
         IF(OFFSET(CRONOPLE!$F$15,$M82-$A$15,BD$13)=0,10^12,OFFSET(CRONOPLE!$F$15,$M82-$A$15,BD$13)))</f>
        <v>1000000000000</v>
      </c>
      <c r="BE82" s="171">
        <f ca="1">IF(OR($D82&lt;&gt;"Serviço",AND(AUTOEVENTO="Manual",$M82=$A$15)),0,
         IF(OFFSET(CRONOPLE!$F$15,$M82-$A$15,BE$13)=0,10^12,OFFSET(CRONOPLE!$F$15,$M82-$A$15,BE$13)))</f>
        <v>4</v>
      </c>
      <c r="BF82" s="171">
        <f ca="1">IF(OR($D82&lt;&gt;"Serviço",AND(AUTOEVENTO="Manual",$M82=$A$15)),0,
         IF(OFFSET(CRONOPLE!$F$15,$M82-$A$15,BF$13)=0,10^12,OFFSET(CRONOPLE!$F$15,$M82-$A$15,BF$13)))</f>
        <v>9</v>
      </c>
      <c r="BG82" s="171">
        <f ca="1">IF(OR($D82&lt;&gt;"Serviço",AND(AUTOEVENTO="Manual",$M82=$A$15)),0,
         IF(OFFSET(CRONOPLE!$F$15,$M82-$A$15,BG$13)=0,10^12,OFFSET(CRONOPLE!$F$15,$M82-$A$15,BG$13)))</f>
        <v>6</v>
      </c>
      <c r="BH82" s="171">
        <f ca="1">IF(OR($D82&lt;&gt;"Serviço",AND(AUTOEVENTO="Manual",$M82=$A$15)),0,
         IF(OFFSET(CRONOPLE!$F$15,$M82-$A$15,BH$13)=0,10^12,OFFSET(CRONOPLE!$F$15,$M82-$A$15,BH$13)))</f>
        <v>6</v>
      </c>
      <c r="BI82" s="171">
        <f ca="1">IF(OR($D82&lt;&gt;"Serviço",AND(AUTOEVENTO="Manual",$M82=$A$15)),0,
         IF(OFFSET(CRONOPLE!$F$15,$M82-$A$15,BI$13)=0,10^12,OFFSET(CRONOPLE!$F$15,$M82-$A$15,BI$13)))</f>
        <v>9</v>
      </c>
      <c r="BJ82" s="171">
        <f ca="1">IF(OR($D82&lt;&gt;"Serviço",AND(AUTOEVENTO="Manual",$M82=$A$15)),0,
         IF(OFFSET(CRONOPLE!$F$15,$M82-$A$15,BJ$13)=0,10^12,OFFSET(CRONOPLE!$F$15,$M82-$A$15,BJ$13)))</f>
        <v>1000000000000</v>
      </c>
      <c r="BK82" s="171">
        <f ca="1">IF(OR($D82&lt;&gt;"Serviço",AND(AUTOEVENTO="Manual",$M82=$A$15)),0,
         IF(OFFSET(CRONOPLE!$F$15,$M82-$A$15,BK$13)=0,10^12,OFFSET(CRONOPLE!$F$15,$M82-$A$15,BK$13)))</f>
        <v>1000000000000</v>
      </c>
      <c r="BL82" s="171">
        <f ca="1">IF(OR($D82&lt;&gt;"Serviço",AND(AUTOEVENTO="Manual",$M82=$A$15)),0,
         IF(OFFSET(CRONOPLE!$F$15,$M82-$A$15,BL$13)=0,10^12,OFFSET(CRONOPLE!$F$15,$M82-$A$15,BL$13)))</f>
        <v>1000000000000</v>
      </c>
      <c r="BM82" s="171">
        <f ca="1">IF(OR($D82&lt;&gt;"Serviço",AND(AUTOEVENTO="Manual",$M82=$A$15)),0,
         IF(OFFSET(CRONOPLE!$F$15,$M82-$A$15,BM$13)=0,10^12,OFFSET(CRONOPLE!$F$15,$M82-$A$15,BM$13)))</f>
        <v>1000000000000</v>
      </c>
      <c r="BN82" s="171">
        <f ca="1">IF(OR($D82&lt;&gt;"Serviço",AND(AUTOEVENTO="Manual",$M82=$A$15)),0,
         IF(OFFSET(CRONOPLE!$F$15,$M82-$A$15,BN$13)=0,10^12,OFFSET(CRONOPLE!$F$15,$M82-$A$15,BN$13)))</f>
        <v>1000000000000</v>
      </c>
      <c r="BO82" s="171">
        <f ca="1">IF(OR($D82&lt;&gt;"Serviço",AND(AUTOEVENTO="Manual",$M82=$A$15)),0,
         IF(OFFSET(CRONOPLE!$F$15,$M82-$A$15,BO$13)=0,10^12,OFFSET(CRONOPLE!$F$15,$M82-$A$15,BO$13)))</f>
        <v>1000000000000</v>
      </c>
      <c r="BP82" s="171">
        <f ca="1">IF(OR($D82&lt;&gt;"Serviço",AND(AUTOEVENTO="Manual",$M82=$A$15)),0,
         IF(OFFSET(CRONOPLE!$F$15,$M82-$A$15,BP$13)=0,10^12,OFFSET(CRONOPLE!$F$15,$M82-$A$15,BP$13)))</f>
        <v>1000000000000</v>
      </c>
      <c r="BQ82" s="171">
        <f ca="1">IF(OR($D82&lt;&gt;"Serviço",AND(AUTOEVENTO="Manual",$M82=$A$15)),0,
         IF(OFFSET(CRONOPLE!$F$15,$M82-$A$15,BQ$13)=0,10^12,OFFSET(CRONOPLE!$F$15,$M82-$A$15,BQ$13)))</f>
        <v>1000000000000</v>
      </c>
      <c r="BR82" s="171">
        <f ca="1">IF(OR($D82&lt;&gt;"Serviço",AND(AUTOEVENTO="Manual",$M82=$A$15)),0,
         IF(OFFSET(CRONOPLE!$F$15,$M82-$A$15,BR$13)=0,10^12,OFFSET(CRONOPLE!$F$15,$M82-$A$15,BR$13)))</f>
        <v>1000000000000</v>
      </c>
      <c r="BS82" s="171">
        <f ca="1">IF(OR($D82&lt;&gt;"Serviço",AND(AUTOEVENTO="Manual",$M82=$A$15)),0,
         IF(OFFSET(CRONOPLE!$F$15,$M82-$A$15,BS$13)=0,10^12,OFFSET(CRONOPLE!$F$15,$M82-$A$15,BS$13)))</f>
        <v>1000000000000</v>
      </c>
      <c r="BT82" s="171">
        <f ca="1">IF(OR($D82&lt;&gt;"Serviço",AND(AUTOEVENTO="Manual",$M82=$A$15)),0,
         IF(OFFSET(CRONOPLE!$F$15,$M82-$A$15,BT$13)=0,10^12,OFFSET(CRONOPLE!$F$15,$M82-$A$15,BT$13)))</f>
        <v>1000000000000</v>
      </c>
      <c r="BV82" s="172" cm="1">
        <f t="array" aca="1" ref="BV82" ca="1">IF(OR($D82&lt;&gt;"Serviço",AND(AUTOEVENTO="Manual",$M82=$A$15),$M82&gt;(ROW(PLE.lastrow)-ROW(PLE.firstrow))),0,
           IF(OFFSET(PLE!$G$15,$M82-$A$15,BV$13)="",10^12,OFFSET(PLE!$G$15,$M82-$A$15,BV$13)))</f>
        <v>1000000000000</v>
      </c>
      <c r="BW82" s="172" cm="1">
        <f t="array" aca="1" ref="BW82" ca="1">IF(OR($D82&lt;&gt;"Serviço",AND(AUTOEVENTO="Manual",$M82=$A$15),$M82&gt;(ROW(PLE.lastrow)-ROW(PLE.firstrow))),0,
           IF(OFFSET(PLE!$G$15,$M82-$A$15,BW$13)="",10^12,OFFSET(PLE!$G$15,$M82-$A$15,BW$13)))</f>
        <v>1000000000000</v>
      </c>
      <c r="BX82" s="172" cm="1">
        <f t="array" aca="1" ref="BX82" ca="1">IF(OR($D82&lt;&gt;"Serviço",AND(AUTOEVENTO="Manual",$M82=$A$15),$M82&gt;(ROW(PLE.lastrow)-ROW(PLE.firstrow))),0,
           IF(OFFSET(PLE!$G$15,$M82-$A$15,BX$13)="",10^12,OFFSET(PLE!$G$15,$M82-$A$15,BX$13)))</f>
        <v>1000000000000</v>
      </c>
      <c r="BY82" s="172" cm="1">
        <f t="array" aca="1" ref="BY82" ca="1">IF(OR($D82&lt;&gt;"Serviço",AND(AUTOEVENTO="Manual",$M82=$A$15),$M82&gt;(ROW(PLE.lastrow)-ROW(PLE.firstrow))),0,
           IF(OFFSET(PLE!$G$15,$M82-$A$15,BY$13)="",10^12,OFFSET(PLE!$G$15,$M82-$A$15,BY$13)))</f>
        <v>1000000000000</v>
      </c>
      <c r="BZ82" s="172" cm="1">
        <f t="array" aca="1" ref="BZ82" ca="1">IF(OR($D82&lt;&gt;"Serviço",AND(AUTOEVENTO="Manual",$M82=$A$15),$M82&gt;(ROW(PLE.lastrow)-ROW(PLE.firstrow))),0,
           IF(OFFSET(PLE!$G$15,$M82-$A$15,BZ$13)="",10^12,OFFSET(PLE!$G$15,$M82-$A$15,BZ$13)))</f>
        <v>1000000000000</v>
      </c>
      <c r="CA82" s="172" cm="1">
        <f t="array" aca="1" ref="CA82" ca="1">IF(OR($D82&lt;&gt;"Serviço",AND(AUTOEVENTO="Manual",$M82=$A$15),$M82&gt;(ROW(PLE.lastrow)-ROW(PLE.firstrow))),0,
           IF(OFFSET(PLE!$G$15,$M82-$A$15,CA$13)="",10^12,OFFSET(PLE!$G$15,$M82-$A$15,CA$13)))</f>
        <v>1000000000000</v>
      </c>
      <c r="CB82" s="172" cm="1">
        <f t="array" aca="1" ref="CB82" ca="1">IF(OR($D82&lt;&gt;"Serviço",AND(AUTOEVENTO="Manual",$M82=$A$15),$M82&gt;(ROW(PLE.lastrow)-ROW(PLE.firstrow))),0,
           IF(OFFSET(PLE!$G$15,$M82-$A$15,CB$13)="",10^12,OFFSET(PLE!$G$15,$M82-$A$15,CB$13)))</f>
        <v>1000000000000</v>
      </c>
      <c r="CC82" s="172" cm="1">
        <f t="array" aca="1" ref="CC82" ca="1">IF(OR($D82&lt;&gt;"Serviço",AND(AUTOEVENTO="Manual",$M82=$A$15),$M82&gt;(ROW(PLE.lastrow)-ROW(PLE.firstrow))),0,
           IF(OFFSET(PLE!$G$15,$M82-$A$15,CC$13)="",10^12,OFFSET(PLE!$G$15,$M82-$A$15,CC$13)))</f>
        <v>1000000000000</v>
      </c>
      <c r="CD82" s="172" cm="1">
        <f t="array" aca="1" ref="CD82" ca="1">IF(OR($D82&lt;&gt;"Serviço",AND(AUTOEVENTO="Manual",$M82=$A$15),$M82&gt;(ROW(PLE.lastrow)-ROW(PLE.firstrow))),0,
           IF(OFFSET(PLE!$G$15,$M82-$A$15,CD$13)="",10^12,OFFSET(PLE!$G$15,$M82-$A$15,CD$13)))</f>
        <v>1000000000000</v>
      </c>
      <c r="CE82" s="172" cm="1">
        <f t="array" aca="1" ref="CE82" ca="1">IF(OR($D82&lt;&gt;"Serviço",AND(AUTOEVENTO="Manual",$M82=$A$15),$M82&gt;(ROW(PLE.lastrow)-ROW(PLE.firstrow))),0,
           IF(OFFSET(PLE!$G$15,$M82-$A$15,CE$13)="",10^12,OFFSET(PLE!$G$15,$M82-$A$15,CE$13)))</f>
        <v>1000000000000</v>
      </c>
      <c r="CF82" s="172" cm="1">
        <f t="array" aca="1" ref="CF82" ca="1">IF(OR($D82&lt;&gt;"Serviço",AND(AUTOEVENTO="Manual",$M82=$A$15),$M82&gt;(ROW(PLE.lastrow)-ROW(PLE.firstrow))),0,
           IF(OFFSET(PLE!$G$15,$M82-$A$15,CF$13)="",10^12,OFFSET(PLE!$G$15,$M82-$A$15,CF$13)))</f>
        <v>1000000000000</v>
      </c>
      <c r="CG82" s="172" cm="1">
        <f t="array" aca="1" ref="CG82" ca="1">IF(OR($D82&lt;&gt;"Serviço",AND(AUTOEVENTO="Manual",$M82=$A$15),$M82&gt;(ROW(PLE.lastrow)-ROW(PLE.firstrow))),0,
           IF(OFFSET(PLE!$G$15,$M82-$A$15,CG$13)="",10^12,OFFSET(PLE!$G$15,$M82-$A$15,CG$13)))</f>
        <v>1000000000000</v>
      </c>
      <c r="CH82" s="172" cm="1">
        <f t="array" aca="1" ref="CH82" ca="1">IF(OR($D82&lt;&gt;"Serviço",AND(AUTOEVENTO="Manual",$M82=$A$15),$M82&gt;(ROW(PLE.lastrow)-ROW(PLE.firstrow))),0,
           IF(OFFSET(PLE!$G$15,$M82-$A$15,CH$13)="",10^12,OFFSET(PLE!$G$15,$M82-$A$15,CH$13)))</f>
        <v>1000000000000</v>
      </c>
      <c r="CI82" s="172" cm="1">
        <f t="array" aca="1" ref="CI82" ca="1">IF(OR($D82&lt;&gt;"Serviço",AND(AUTOEVENTO="Manual",$M82=$A$15),$M82&gt;(ROW(PLE.lastrow)-ROW(PLE.firstrow))),0,
           IF(OFFSET(PLE!$G$15,$M82-$A$15,CI$13)="",10^12,OFFSET(PLE!$G$15,$M82-$A$15,CI$13)))</f>
        <v>1000000000000</v>
      </c>
      <c r="CJ82" s="172" cm="1">
        <f t="array" aca="1" ref="CJ82" ca="1">IF(OR($D82&lt;&gt;"Serviço",AND(AUTOEVENTO="Manual",$M82=$A$15),$M82&gt;(ROW(PLE.lastrow)-ROW(PLE.firstrow))),0,
           IF(OFFSET(PLE!$G$15,$M82-$A$15,CJ$13)="",10^12,OFFSET(PLE!$G$15,$M82-$A$15,CJ$13)))</f>
        <v>1000000000000</v>
      </c>
      <c r="CK82" s="172" cm="1">
        <f t="array" aca="1" ref="CK82" ca="1">IF(OR($D82&lt;&gt;"Serviço",AND(AUTOEVENTO="Manual",$M82=$A$15),$M82&gt;(ROW(PLE.lastrow)-ROW(PLE.firstrow))),0,
           IF(OFFSET(PLE!$G$15,$M82-$A$15,CK$13)="",10^12,OFFSET(PLE!$G$15,$M82-$A$15,CK$13)))</f>
        <v>1000000000000</v>
      </c>
      <c r="CL82" s="172" cm="1">
        <f t="array" aca="1" ref="CL82" ca="1">IF(OR($D82&lt;&gt;"Serviço",AND(AUTOEVENTO="Manual",$M82=$A$15),$M82&gt;(ROW(PLE.lastrow)-ROW(PLE.firstrow))),0,
           IF(OFFSET(PLE!$G$15,$M82-$A$15,CL$13)="",10^12,OFFSET(PLE!$G$15,$M82-$A$15,CL$13)))</f>
        <v>1000000000000</v>
      </c>
      <c r="CM82" s="172" cm="1">
        <f t="array" aca="1" ref="CM82" ca="1">IF(OR($D82&lt;&gt;"Serviço",AND(AUTOEVENTO="Manual",$M82=$A$15),$M82&gt;(ROW(PLE.lastrow)-ROW(PLE.firstrow))),0,
           IF(OFFSET(PLE!$G$15,$M82-$A$15,CM$13)="",10^12,OFFSET(PLE!$G$15,$M82-$A$15,CM$13)))</f>
        <v>1000000000000</v>
      </c>
    </row>
    <row r="83" spans="1:91" s="670" customFormat="1" ht="12.75" x14ac:dyDescent="0.2">
      <c r="A83" s="668">
        <f t="shared" ca="1" si="12"/>
        <v>0</v>
      </c>
      <c r="B83" s="668">
        <f ca="1">OFFSET(ORÇAMENTO!C$15,$L83,0)</f>
        <v>2</v>
      </c>
      <c r="C83" s="668" t="str">
        <f ca="1">OFFSET(ORÇAMENTO!L$15,$L83,0)</f>
        <v>F</v>
      </c>
      <c r="D83" s="116" t="str">
        <f ca="1">OFFSET(ORÇAMENTO!N$15,$L83,0)</f>
        <v>Nível 2</v>
      </c>
      <c r="E83" s="117" t="str">
        <f ca="1">OFFSET(ORÇAMENTO!O$15,$L83,0)</f>
        <v>1.11.</v>
      </c>
      <c r="F83" s="163" t="str">
        <f ca="1">OFFSET(ORÇAMENTO!R$15,$L83,0)</f>
        <v>BLOCOS DE ANCORAGEM - Adutora de Água Tratada</v>
      </c>
      <c r="G83" s="164" t="str">
        <f ca="1">IF($D83&lt;&gt;"Serviço","",OFFSET(ORÇAMENTO!S$15,$L83,0))</f>
        <v/>
      </c>
      <c r="H83" s="122" cm="1">
        <f t="array" aca="1" ref="H83" ca="1">IF($D83&lt;&gt;"Serviço",0,IF(ACOMPANHAMENTO="BM",ROUND(OFFSET(ORÇAMENTO!AJ$15,$L83,0),15-13*ORÇAMENTO!$AF$7),IF(IFERROR(CÁLCULO.FrentesPreenchidas,0)=0,0,SUM(ROUND(OFFSET($P83,0,1,1,CÁLCULO.FrentesPreenchidas),15-13*ORÇAMENTO!$AF$7)))))</f>
        <v>0</v>
      </c>
      <c r="I83" s="468"/>
      <c r="J83" s="651" t="str" cm="1">
        <f t="array" aca="1" ref="J83" ca="1">IF(OR(B83&lt;&gt;"S",CÁLCULO.FrentesPreenchidas=0),"",IF(AND(ACOMPANHAMENTO="PLE",AUTOEVENTO="Manual",OR(H83&gt;0,ORÇAMENTO!AC83="QUANT."),OR(K83="",M83=0,N83="")),"►E",IF(AND(ACOMPANHAMENTO="PLE",ORÇAMENTO!AC83="QUANT."),"►Q",IF(AND(ACOMPANHAMENTO="PLE",H83&lt;&gt;SUMPRODUCT(($Q$1:$AI$1=1)*ROUND(Q83:AI83,15))),"►S",IF(AND(COUNTIF($P$11:$AI$11,"▼")=0,H83&gt;0,I83=""),"◄M","")))))</f>
        <v/>
      </c>
      <c r="K83" s="652"/>
      <c r="L83" s="165">
        <f t="shared" ca="1" si="13"/>
        <v>68</v>
      </c>
      <c r="M83" s="166" t="str">
        <f ca="1">IF($D83&lt;&gt;"Serviço","",
          IF(AUTOEVENTO="manual",$A83,
                IF(ISERROR(MATCH($A83,$A$15:OFFSET($A83,-1,0),0)),MAX($M$15:OFFSET(M83,-1,0))+1,
                      INDEX($M$15:OFFSET(M83,-1,0),MATCH($A83,$A$15:OFFSET($A83,-1,0),0)))))</f>
        <v/>
      </c>
      <c r="N83" s="167" t="str">
        <f ca="1">IF($D83&lt;&gt;"Serviço","",
         IF(AUTOEVENTO="Manual",
                IF($A83=0,"&lt;-- defina o número do agrupador",
                       OFFSET(EVENTOS!$D$15,$A83-$A$15,0)),
                OFFSET($F$15,$A83,0)))</f>
        <v/>
      </c>
      <c r="O83" s="168"/>
      <c r="Q83" s="168"/>
      <c r="R83" s="169"/>
      <c r="S83" s="169"/>
      <c r="T83" s="169"/>
      <c r="U83" s="169" t="s">
        <v>250</v>
      </c>
      <c r="V83" s="169"/>
      <c r="W83" s="169"/>
      <c r="X83" s="169"/>
      <c r="Y83" s="169"/>
      <c r="Z83" s="170"/>
      <c r="AA83" s="705"/>
      <c r="AB83" s="705"/>
      <c r="AC83" s="705"/>
      <c r="AD83" s="705"/>
      <c r="AE83" s="705"/>
      <c r="AF83" s="705"/>
      <c r="AG83" s="705"/>
      <c r="AH83" s="706"/>
      <c r="AJ83" s="453">
        <f ca="1">IF(AND($D83="Serviço",AJ$12&lt;&gt;0,$H83&gt;0,OR(AUTOEVENTO&lt;&gt;"manual",$M83&lt;&gt;$A$15)),
        IF(Import.TipoArredondamento&lt;&gt;"TransfereGOV",
              ROUND(OFFSET($P83,0,AJ$13),15-13*ORÇAMENTO!$AF$7)/$H83*OFFSET(ORÇAMENTO!$X$15,ROW(AJ83)-ROW(AJ$15),0),
              ROUND(ROUND(OFFSET($P83,0,AJ$13),15-13*ORÇAMENTO!$AF$7)*OFFSET(ORÇAMENTO!$W$15,ROW(AJ83)-ROW(AJ$15),0),15-13*ORÇAMENTO!$AF$11)),
         0)</f>
        <v>0</v>
      </c>
      <c r="AK83" s="453">
        <f ca="1">IF(AND($D83="Serviço",AK$12&lt;&gt;0,$H83&gt;0,OR(AUTOEVENTO&lt;&gt;"manual",$M83&lt;&gt;$A$15)),
        IF(Import.TipoArredondamento&lt;&gt;"TransfereGOV",
              ROUND(OFFSET($P83,0,AK$13),15-13*ORÇAMENTO!$AF$7)/$H83*OFFSET(ORÇAMENTO!$X$15,ROW(AK83)-ROW(AK$15),0),
              ROUND(ROUND(OFFSET($P83,0,AK$13),15-13*ORÇAMENTO!$AF$7)*OFFSET(ORÇAMENTO!$W$15,ROW(AK83)-ROW(AK$15),0),15-13*ORÇAMENTO!$AF$11)),
         0)</f>
        <v>0</v>
      </c>
      <c r="AL83" s="453">
        <f ca="1">IF(AND($D83="Serviço",AL$12&lt;&gt;0,$H83&gt;0,OR(AUTOEVENTO&lt;&gt;"manual",$M83&lt;&gt;$A$15)),
        IF(Import.TipoArredondamento&lt;&gt;"TransfereGOV",
              ROUND(OFFSET($P83,0,AL$13),15-13*ORÇAMENTO!$AF$7)/$H83*OFFSET(ORÇAMENTO!$X$15,ROW(AL83)-ROW(AL$15),0),
              ROUND(ROUND(OFFSET($P83,0,AL$13),15-13*ORÇAMENTO!$AF$7)*OFFSET(ORÇAMENTO!$W$15,ROW(AL83)-ROW(AL$15),0),15-13*ORÇAMENTO!$AF$11)),
         0)</f>
        <v>0</v>
      </c>
      <c r="AM83" s="453">
        <f ca="1">IF(AND($D83="Serviço",AM$12&lt;&gt;0,$H83&gt;0,OR(AUTOEVENTO&lt;&gt;"manual",$M83&lt;&gt;$A$15)),
        IF(Import.TipoArredondamento&lt;&gt;"TransfereGOV",
              ROUND(OFFSET($P83,0,AM$13),15-13*ORÇAMENTO!$AF$7)/$H83*OFFSET(ORÇAMENTO!$X$15,ROW(AM83)-ROW(AM$15),0),
              ROUND(ROUND(OFFSET($P83,0,AM$13),15-13*ORÇAMENTO!$AF$7)*OFFSET(ORÇAMENTO!$W$15,ROW(AM83)-ROW(AM$15),0),15-13*ORÇAMENTO!$AF$11)),
         0)</f>
        <v>0</v>
      </c>
      <c r="AN83" s="453">
        <f ca="1">IF(AND($D83="Serviço",AN$12&lt;&gt;0,$H83&gt;0,OR(AUTOEVENTO&lt;&gt;"manual",$M83&lt;&gt;$A$15)),
        IF(Import.TipoArredondamento&lt;&gt;"TransfereGOV",
              ROUND(OFFSET($P83,0,AN$13),15-13*ORÇAMENTO!$AF$7)/$H83*OFFSET(ORÇAMENTO!$X$15,ROW(AN83)-ROW(AN$15),0),
              ROUND(ROUND(OFFSET($P83,0,AN$13),15-13*ORÇAMENTO!$AF$7)*OFFSET(ORÇAMENTO!$W$15,ROW(AN83)-ROW(AN$15),0),15-13*ORÇAMENTO!$AF$11)),
         0)</f>
        <v>0</v>
      </c>
      <c r="AO83" s="453">
        <f ca="1">IF(AND($D83="Serviço",AO$12&lt;&gt;0,$H83&gt;0,OR(AUTOEVENTO&lt;&gt;"manual",$M83&lt;&gt;$A$15)),
        IF(Import.TipoArredondamento&lt;&gt;"TransfereGOV",
              ROUND(OFFSET($P83,0,AO$13),15-13*ORÇAMENTO!$AF$7)/$H83*OFFSET(ORÇAMENTO!$X$15,ROW(AO83)-ROW(AO$15),0),
              ROUND(ROUND(OFFSET($P83,0,AO$13),15-13*ORÇAMENTO!$AF$7)*OFFSET(ORÇAMENTO!$W$15,ROW(AO83)-ROW(AO$15),0),15-13*ORÇAMENTO!$AF$11)),
         0)</f>
        <v>0</v>
      </c>
      <c r="AP83" s="453">
        <f ca="1">IF(AND($D83="Serviço",AP$12&lt;&gt;0,$H83&gt;0,OR(AUTOEVENTO&lt;&gt;"manual",$M83&lt;&gt;$A$15)),
        IF(Import.TipoArredondamento&lt;&gt;"TransfereGOV",
              ROUND(OFFSET($P83,0,AP$13),15-13*ORÇAMENTO!$AF$7)/$H83*OFFSET(ORÇAMENTO!$X$15,ROW(AP83)-ROW(AP$15),0),
              ROUND(ROUND(OFFSET($P83,0,AP$13),15-13*ORÇAMENTO!$AF$7)*OFFSET(ORÇAMENTO!$W$15,ROW(AP83)-ROW(AP$15),0),15-13*ORÇAMENTO!$AF$11)),
         0)</f>
        <v>0</v>
      </c>
      <c r="AQ83" s="453">
        <f ca="1">IF(AND($D83="Serviço",AQ$12&lt;&gt;0,$H83&gt;0,OR(AUTOEVENTO&lt;&gt;"manual",$M83&lt;&gt;$A$15)),
        IF(Import.TipoArredondamento&lt;&gt;"TransfereGOV",
              ROUND(OFFSET($P83,0,AQ$13),15-13*ORÇAMENTO!$AF$7)/$H83*OFFSET(ORÇAMENTO!$X$15,ROW(AQ83)-ROW(AQ$15),0),
              ROUND(ROUND(OFFSET($P83,0,AQ$13),15-13*ORÇAMENTO!$AF$7)*OFFSET(ORÇAMENTO!$W$15,ROW(AQ83)-ROW(AQ$15),0),15-13*ORÇAMENTO!$AF$11)),
         0)</f>
        <v>0</v>
      </c>
      <c r="AR83" s="453">
        <f ca="1">IF(AND($D83="Serviço",AR$12&lt;&gt;0,$H83&gt;0,OR(AUTOEVENTO&lt;&gt;"manual",$M83&lt;&gt;$A$15)),
        IF(Import.TipoArredondamento&lt;&gt;"TransfereGOV",
              ROUND(OFFSET($P83,0,AR$13),15-13*ORÇAMENTO!$AF$7)/$H83*OFFSET(ORÇAMENTO!$X$15,ROW(AR83)-ROW(AR$15),0),
              ROUND(ROUND(OFFSET($P83,0,AR$13),15-13*ORÇAMENTO!$AF$7)*OFFSET(ORÇAMENTO!$W$15,ROW(AR83)-ROW(AR$15),0),15-13*ORÇAMENTO!$AF$11)),
         0)</f>
        <v>0</v>
      </c>
      <c r="AS83" s="453">
        <f ca="1">IF(AND($D83="Serviço",AS$12&lt;&gt;0,$H83&gt;0,OR(AUTOEVENTO&lt;&gt;"manual",$M83&lt;&gt;$A$15)),
        IF(Import.TipoArredondamento&lt;&gt;"TransfereGOV",
              ROUND(OFFSET($P83,0,AS$13),15-13*ORÇAMENTO!$AF$7)/$H83*OFFSET(ORÇAMENTO!$X$15,ROW(AS83)-ROW(AS$15),0),
              ROUND(ROUND(OFFSET($P83,0,AS$13),15-13*ORÇAMENTO!$AF$7)*OFFSET(ORÇAMENTO!$W$15,ROW(AS83)-ROW(AS$15),0),15-13*ORÇAMENTO!$AF$11)),
         0)</f>
        <v>0</v>
      </c>
      <c r="AT83" s="453">
        <f ca="1">IF(AND($D83="Serviço",AT$12&lt;&gt;0,$H83&gt;0,OR(AUTOEVENTO&lt;&gt;"manual",$M83&lt;&gt;$A$15)),
        IF(Import.TipoArredondamento&lt;&gt;"TransfereGOV",
              ROUND(OFFSET($P83,0,AT$13),15-13*ORÇAMENTO!$AF$7)/$H83*OFFSET(ORÇAMENTO!$X$15,ROW(AT83)-ROW(AT$15),0),
              ROUND(ROUND(OFFSET($P83,0,AT$13),15-13*ORÇAMENTO!$AF$7)*OFFSET(ORÇAMENTO!$W$15,ROW(AT83)-ROW(AT$15),0),15-13*ORÇAMENTO!$AF$11)),
         0)</f>
        <v>0</v>
      </c>
      <c r="AU83" s="453">
        <f ca="1">IF(AND($D83="Serviço",AU$12&lt;&gt;0,$H83&gt;0,OR(AUTOEVENTO&lt;&gt;"manual",$M83&lt;&gt;$A$15)),
        IF(Import.TipoArredondamento&lt;&gt;"TransfereGOV",
              ROUND(OFFSET($P83,0,AU$13),15-13*ORÇAMENTO!$AF$7)/$H83*OFFSET(ORÇAMENTO!$X$15,ROW(AU83)-ROW(AU$15),0),
              ROUND(ROUND(OFFSET($P83,0,AU$13),15-13*ORÇAMENTO!$AF$7)*OFFSET(ORÇAMENTO!$W$15,ROW(AU83)-ROW(AU$15),0),15-13*ORÇAMENTO!$AF$11)),
         0)</f>
        <v>0</v>
      </c>
      <c r="AV83" s="453">
        <f ca="1">IF(AND($D83="Serviço",AV$12&lt;&gt;0,$H83&gt;0,OR(AUTOEVENTO&lt;&gt;"manual",$M83&lt;&gt;$A$15)),
        IF(Import.TipoArredondamento&lt;&gt;"TransfereGOV",
              ROUND(OFFSET($P83,0,AV$13),15-13*ORÇAMENTO!$AF$7)/$H83*OFFSET(ORÇAMENTO!$X$15,ROW(AV83)-ROW(AV$15),0),
              ROUND(ROUND(OFFSET($P83,0,AV$13),15-13*ORÇAMENTO!$AF$7)*OFFSET(ORÇAMENTO!$W$15,ROW(AV83)-ROW(AV$15),0),15-13*ORÇAMENTO!$AF$11)),
         0)</f>
        <v>0</v>
      </c>
      <c r="AW83" s="453">
        <f ca="1">IF(AND($D83="Serviço",AW$12&lt;&gt;0,$H83&gt;0,OR(AUTOEVENTO&lt;&gt;"manual",$M83&lt;&gt;$A$15)),
        IF(Import.TipoArredondamento&lt;&gt;"TransfereGOV",
              ROUND(OFFSET($P83,0,AW$13),15-13*ORÇAMENTO!$AF$7)/$H83*OFFSET(ORÇAMENTO!$X$15,ROW(AW83)-ROW(AW$15),0),
              ROUND(ROUND(OFFSET($P83,0,AW$13),15-13*ORÇAMENTO!$AF$7)*OFFSET(ORÇAMENTO!$W$15,ROW(AW83)-ROW(AW$15),0),15-13*ORÇAMENTO!$AF$11)),
         0)</f>
        <v>0</v>
      </c>
      <c r="AX83" s="453">
        <f ca="1">IF(AND($D83="Serviço",AX$12&lt;&gt;0,$H83&gt;0,OR(AUTOEVENTO&lt;&gt;"manual",$M83&lt;&gt;$A$15)),
        IF(Import.TipoArredondamento&lt;&gt;"TransfereGOV",
              ROUND(OFFSET($P83,0,AX$13),15-13*ORÇAMENTO!$AF$7)/$H83*OFFSET(ORÇAMENTO!$X$15,ROW(AX83)-ROW(AX$15),0),
              ROUND(ROUND(OFFSET($P83,0,AX$13),15-13*ORÇAMENTO!$AF$7)*OFFSET(ORÇAMENTO!$W$15,ROW(AX83)-ROW(AX$15),0),15-13*ORÇAMENTO!$AF$11)),
         0)</f>
        <v>0</v>
      </c>
      <c r="AY83" s="453">
        <f ca="1">IF(AND($D83="Serviço",AY$12&lt;&gt;0,$H83&gt;0,OR(AUTOEVENTO&lt;&gt;"manual",$M83&lt;&gt;$A$15)),
        IF(Import.TipoArredondamento&lt;&gt;"TransfereGOV",
              ROUND(OFFSET($P83,0,AY$13),15-13*ORÇAMENTO!$AF$7)/$H83*OFFSET(ORÇAMENTO!$X$15,ROW(AY83)-ROW(AY$15),0),
              ROUND(ROUND(OFFSET($P83,0,AY$13),15-13*ORÇAMENTO!$AF$7)*OFFSET(ORÇAMENTO!$W$15,ROW(AY83)-ROW(AY$15),0),15-13*ORÇAMENTO!$AF$11)),
         0)</f>
        <v>0</v>
      </c>
      <c r="AZ83" s="453">
        <f ca="1">IF(AND($D83="Serviço",AZ$12&lt;&gt;0,$H83&gt;0,OR(AUTOEVENTO&lt;&gt;"manual",$M83&lt;&gt;$A$15)),
        IF(Import.TipoArredondamento&lt;&gt;"TransfereGOV",
              ROUND(OFFSET($P83,0,AZ$13),15-13*ORÇAMENTO!$AF$7)/$H83*OFFSET(ORÇAMENTO!$X$15,ROW(AZ83)-ROW(AZ$15),0),
              ROUND(ROUND(OFFSET($P83,0,AZ$13),15-13*ORÇAMENTO!$AF$7)*OFFSET(ORÇAMENTO!$W$15,ROW(AZ83)-ROW(AZ$15),0),15-13*ORÇAMENTO!$AF$11)),
         0)</f>
        <v>0</v>
      </c>
      <c r="BA83" s="453">
        <f ca="1">IF(AND($D83="Serviço",BA$12&lt;&gt;0,$H83&gt;0,OR(AUTOEVENTO&lt;&gt;"manual",$M83&lt;&gt;$A$15)),
        IF(Import.TipoArredondamento&lt;&gt;"TransfereGOV",
              ROUND(OFFSET($P83,0,BA$13),15-13*ORÇAMENTO!$AF$7)/$H83*OFFSET(ORÇAMENTO!$X$15,ROW(BA83)-ROW(BA$15),0),
              ROUND(ROUND(OFFSET($P83,0,BA$13),15-13*ORÇAMENTO!$AF$7)*OFFSET(ORÇAMENTO!$W$15,ROW(BA83)-ROW(BA$15),0),15-13*ORÇAMENTO!$AF$11)),
         0)</f>
        <v>0</v>
      </c>
      <c r="BC83" s="171">
        <f ca="1">IF(OR($D83&lt;&gt;"Serviço",AND(AUTOEVENTO="Manual",$M83=$A$15)),0,
         IF(OFFSET(CRONOPLE!$F$15,$M83-$A$15,BC$13)=0,10^12,OFFSET(CRONOPLE!$F$15,$M83-$A$15,BC$13)))</f>
        <v>0</v>
      </c>
      <c r="BD83" s="171">
        <f ca="1">IF(OR($D83&lt;&gt;"Serviço",AND(AUTOEVENTO="Manual",$M83=$A$15)),0,
         IF(OFFSET(CRONOPLE!$F$15,$M83-$A$15,BD$13)=0,10^12,OFFSET(CRONOPLE!$F$15,$M83-$A$15,BD$13)))</f>
        <v>0</v>
      </c>
      <c r="BE83" s="171">
        <f ca="1">IF(OR($D83&lt;&gt;"Serviço",AND(AUTOEVENTO="Manual",$M83=$A$15)),0,
         IF(OFFSET(CRONOPLE!$F$15,$M83-$A$15,BE$13)=0,10^12,OFFSET(CRONOPLE!$F$15,$M83-$A$15,BE$13)))</f>
        <v>0</v>
      </c>
      <c r="BF83" s="171">
        <f ca="1">IF(OR($D83&lt;&gt;"Serviço",AND(AUTOEVENTO="Manual",$M83=$A$15)),0,
         IF(OFFSET(CRONOPLE!$F$15,$M83-$A$15,BF$13)=0,10^12,OFFSET(CRONOPLE!$F$15,$M83-$A$15,BF$13)))</f>
        <v>0</v>
      </c>
      <c r="BG83" s="171">
        <f ca="1">IF(OR($D83&lt;&gt;"Serviço",AND(AUTOEVENTO="Manual",$M83=$A$15)),0,
         IF(OFFSET(CRONOPLE!$F$15,$M83-$A$15,BG$13)=0,10^12,OFFSET(CRONOPLE!$F$15,$M83-$A$15,BG$13)))</f>
        <v>0</v>
      </c>
      <c r="BH83" s="171">
        <f ca="1">IF(OR($D83&lt;&gt;"Serviço",AND(AUTOEVENTO="Manual",$M83=$A$15)),0,
         IF(OFFSET(CRONOPLE!$F$15,$M83-$A$15,BH$13)=0,10^12,OFFSET(CRONOPLE!$F$15,$M83-$A$15,BH$13)))</f>
        <v>0</v>
      </c>
      <c r="BI83" s="171">
        <f ca="1">IF(OR($D83&lt;&gt;"Serviço",AND(AUTOEVENTO="Manual",$M83=$A$15)),0,
         IF(OFFSET(CRONOPLE!$F$15,$M83-$A$15,BI$13)=0,10^12,OFFSET(CRONOPLE!$F$15,$M83-$A$15,BI$13)))</f>
        <v>0</v>
      </c>
      <c r="BJ83" s="171">
        <f ca="1">IF(OR($D83&lt;&gt;"Serviço",AND(AUTOEVENTO="Manual",$M83=$A$15)),0,
         IF(OFFSET(CRONOPLE!$F$15,$M83-$A$15,BJ$13)=0,10^12,OFFSET(CRONOPLE!$F$15,$M83-$A$15,BJ$13)))</f>
        <v>0</v>
      </c>
      <c r="BK83" s="171">
        <f ca="1">IF(OR($D83&lt;&gt;"Serviço",AND(AUTOEVENTO="Manual",$M83=$A$15)),0,
         IF(OFFSET(CRONOPLE!$F$15,$M83-$A$15,BK$13)=0,10^12,OFFSET(CRONOPLE!$F$15,$M83-$A$15,BK$13)))</f>
        <v>0</v>
      </c>
      <c r="BL83" s="171">
        <f ca="1">IF(OR($D83&lt;&gt;"Serviço",AND(AUTOEVENTO="Manual",$M83=$A$15)),0,
         IF(OFFSET(CRONOPLE!$F$15,$M83-$A$15,BL$13)=0,10^12,OFFSET(CRONOPLE!$F$15,$M83-$A$15,BL$13)))</f>
        <v>0</v>
      </c>
      <c r="BM83" s="171">
        <f ca="1">IF(OR($D83&lt;&gt;"Serviço",AND(AUTOEVENTO="Manual",$M83=$A$15)),0,
         IF(OFFSET(CRONOPLE!$F$15,$M83-$A$15,BM$13)=0,10^12,OFFSET(CRONOPLE!$F$15,$M83-$A$15,BM$13)))</f>
        <v>0</v>
      </c>
      <c r="BN83" s="171">
        <f ca="1">IF(OR($D83&lt;&gt;"Serviço",AND(AUTOEVENTO="Manual",$M83=$A$15)),0,
         IF(OFFSET(CRONOPLE!$F$15,$M83-$A$15,BN$13)=0,10^12,OFFSET(CRONOPLE!$F$15,$M83-$A$15,BN$13)))</f>
        <v>0</v>
      </c>
      <c r="BO83" s="171">
        <f ca="1">IF(OR($D83&lt;&gt;"Serviço",AND(AUTOEVENTO="Manual",$M83=$A$15)),0,
         IF(OFFSET(CRONOPLE!$F$15,$M83-$A$15,BO$13)=0,10^12,OFFSET(CRONOPLE!$F$15,$M83-$A$15,BO$13)))</f>
        <v>0</v>
      </c>
      <c r="BP83" s="171">
        <f ca="1">IF(OR($D83&lt;&gt;"Serviço",AND(AUTOEVENTO="Manual",$M83=$A$15)),0,
         IF(OFFSET(CRONOPLE!$F$15,$M83-$A$15,BP$13)=0,10^12,OFFSET(CRONOPLE!$F$15,$M83-$A$15,BP$13)))</f>
        <v>0</v>
      </c>
      <c r="BQ83" s="171">
        <f ca="1">IF(OR($D83&lt;&gt;"Serviço",AND(AUTOEVENTO="Manual",$M83=$A$15)),0,
         IF(OFFSET(CRONOPLE!$F$15,$M83-$A$15,BQ$13)=0,10^12,OFFSET(CRONOPLE!$F$15,$M83-$A$15,BQ$13)))</f>
        <v>0</v>
      </c>
      <c r="BR83" s="171">
        <f ca="1">IF(OR($D83&lt;&gt;"Serviço",AND(AUTOEVENTO="Manual",$M83=$A$15)),0,
         IF(OFFSET(CRONOPLE!$F$15,$M83-$A$15,BR$13)=0,10^12,OFFSET(CRONOPLE!$F$15,$M83-$A$15,BR$13)))</f>
        <v>0</v>
      </c>
      <c r="BS83" s="171">
        <f ca="1">IF(OR($D83&lt;&gt;"Serviço",AND(AUTOEVENTO="Manual",$M83=$A$15)),0,
         IF(OFFSET(CRONOPLE!$F$15,$M83-$A$15,BS$13)=0,10^12,OFFSET(CRONOPLE!$F$15,$M83-$A$15,BS$13)))</f>
        <v>0</v>
      </c>
      <c r="BT83" s="171">
        <f ca="1">IF(OR($D83&lt;&gt;"Serviço",AND(AUTOEVENTO="Manual",$M83=$A$15)),0,
         IF(OFFSET(CRONOPLE!$F$15,$M83-$A$15,BT$13)=0,10^12,OFFSET(CRONOPLE!$F$15,$M83-$A$15,BT$13)))</f>
        <v>0</v>
      </c>
      <c r="BV83" s="172" cm="1">
        <f t="array" aca="1" ref="BV83" ca="1">IF(OR($D83&lt;&gt;"Serviço",AND(AUTOEVENTO="Manual",$M83=$A$15),$M83&gt;(ROW(PLE.lastrow)-ROW(PLE.firstrow))),0,
           IF(OFFSET(PLE!$G$15,$M83-$A$15,BV$13)="",10^12,OFFSET(PLE!$G$15,$M83-$A$15,BV$13)))</f>
        <v>0</v>
      </c>
      <c r="BW83" s="172" cm="1">
        <f t="array" aca="1" ref="BW83" ca="1">IF(OR($D83&lt;&gt;"Serviço",AND(AUTOEVENTO="Manual",$M83=$A$15),$M83&gt;(ROW(PLE.lastrow)-ROW(PLE.firstrow))),0,
           IF(OFFSET(PLE!$G$15,$M83-$A$15,BW$13)="",10^12,OFFSET(PLE!$G$15,$M83-$A$15,BW$13)))</f>
        <v>0</v>
      </c>
      <c r="BX83" s="172" cm="1">
        <f t="array" aca="1" ref="BX83" ca="1">IF(OR($D83&lt;&gt;"Serviço",AND(AUTOEVENTO="Manual",$M83=$A$15),$M83&gt;(ROW(PLE.lastrow)-ROW(PLE.firstrow))),0,
           IF(OFFSET(PLE!$G$15,$M83-$A$15,BX$13)="",10^12,OFFSET(PLE!$G$15,$M83-$A$15,BX$13)))</f>
        <v>0</v>
      </c>
      <c r="BY83" s="172" cm="1">
        <f t="array" aca="1" ref="BY83" ca="1">IF(OR($D83&lt;&gt;"Serviço",AND(AUTOEVENTO="Manual",$M83=$A$15),$M83&gt;(ROW(PLE.lastrow)-ROW(PLE.firstrow))),0,
           IF(OFFSET(PLE!$G$15,$M83-$A$15,BY$13)="",10^12,OFFSET(PLE!$G$15,$M83-$A$15,BY$13)))</f>
        <v>0</v>
      </c>
      <c r="BZ83" s="172" cm="1">
        <f t="array" aca="1" ref="BZ83" ca="1">IF(OR($D83&lt;&gt;"Serviço",AND(AUTOEVENTO="Manual",$M83=$A$15),$M83&gt;(ROW(PLE.lastrow)-ROW(PLE.firstrow))),0,
           IF(OFFSET(PLE!$G$15,$M83-$A$15,BZ$13)="",10^12,OFFSET(PLE!$G$15,$M83-$A$15,BZ$13)))</f>
        <v>0</v>
      </c>
      <c r="CA83" s="172" cm="1">
        <f t="array" aca="1" ref="CA83" ca="1">IF(OR($D83&lt;&gt;"Serviço",AND(AUTOEVENTO="Manual",$M83=$A$15),$M83&gt;(ROW(PLE.lastrow)-ROW(PLE.firstrow))),0,
           IF(OFFSET(PLE!$G$15,$M83-$A$15,CA$13)="",10^12,OFFSET(PLE!$G$15,$M83-$A$15,CA$13)))</f>
        <v>0</v>
      </c>
      <c r="CB83" s="172" cm="1">
        <f t="array" aca="1" ref="CB83" ca="1">IF(OR($D83&lt;&gt;"Serviço",AND(AUTOEVENTO="Manual",$M83=$A$15),$M83&gt;(ROW(PLE.lastrow)-ROW(PLE.firstrow))),0,
           IF(OFFSET(PLE!$G$15,$M83-$A$15,CB$13)="",10^12,OFFSET(PLE!$G$15,$M83-$A$15,CB$13)))</f>
        <v>0</v>
      </c>
      <c r="CC83" s="172" cm="1">
        <f t="array" aca="1" ref="CC83" ca="1">IF(OR($D83&lt;&gt;"Serviço",AND(AUTOEVENTO="Manual",$M83=$A$15),$M83&gt;(ROW(PLE.lastrow)-ROW(PLE.firstrow))),0,
           IF(OFFSET(PLE!$G$15,$M83-$A$15,CC$13)="",10^12,OFFSET(PLE!$G$15,$M83-$A$15,CC$13)))</f>
        <v>0</v>
      </c>
      <c r="CD83" s="172" cm="1">
        <f t="array" aca="1" ref="CD83" ca="1">IF(OR($D83&lt;&gt;"Serviço",AND(AUTOEVENTO="Manual",$M83=$A$15),$M83&gt;(ROW(PLE.lastrow)-ROW(PLE.firstrow))),0,
           IF(OFFSET(PLE!$G$15,$M83-$A$15,CD$13)="",10^12,OFFSET(PLE!$G$15,$M83-$A$15,CD$13)))</f>
        <v>0</v>
      </c>
      <c r="CE83" s="172" cm="1">
        <f t="array" aca="1" ref="CE83" ca="1">IF(OR($D83&lt;&gt;"Serviço",AND(AUTOEVENTO="Manual",$M83=$A$15),$M83&gt;(ROW(PLE.lastrow)-ROW(PLE.firstrow))),0,
           IF(OFFSET(PLE!$G$15,$M83-$A$15,CE$13)="",10^12,OFFSET(PLE!$G$15,$M83-$A$15,CE$13)))</f>
        <v>0</v>
      </c>
      <c r="CF83" s="172" cm="1">
        <f t="array" aca="1" ref="CF83" ca="1">IF(OR($D83&lt;&gt;"Serviço",AND(AUTOEVENTO="Manual",$M83=$A$15),$M83&gt;(ROW(PLE.lastrow)-ROW(PLE.firstrow))),0,
           IF(OFFSET(PLE!$G$15,$M83-$A$15,CF$13)="",10^12,OFFSET(PLE!$G$15,$M83-$A$15,CF$13)))</f>
        <v>0</v>
      </c>
      <c r="CG83" s="172" cm="1">
        <f t="array" aca="1" ref="CG83" ca="1">IF(OR($D83&lt;&gt;"Serviço",AND(AUTOEVENTO="Manual",$M83=$A$15),$M83&gt;(ROW(PLE.lastrow)-ROW(PLE.firstrow))),0,
           IF(OFFSET(PLE!$G$15,$M83-$A$15,CG$13)="",10^12,OFFSET(PLE!$G$15,$M83-$A$15,CG$13)))</f>
        <v>0</v>
      </c>
      <c r="CH83" s="172" cm="1">
        <f t="array" aca="1" ref="CH83" ca="1">IF(OR($D83&lt;&gt;"Serviço",AND(AUTOEVENTO="Manual",$M83=$A$15),$M83&gt;(ROW(PLE.lastrow)-ROW(PLE.firstrow))),0,
           IF(OFFSET(PLE!$G$15,$M83-$A$15,CH$13)="",10^12,OFFSET(PLE!$G$15,$M83-$A$15,CH$13)))</f>
        <v>0</v>
      </c>
      <c r="CI83" s="172" cm="1">
        <f t="array" aca="1" ref="CI83" ca="1">IF(OR($D83&lt;&gt;"Serviço",AND(AUTOEVENTO="Manual",$M83=$A$15),$M83&gt;(ROW(PLE.lastrow)-ROW(PLE.firstrow))),0,
           IF(OFFSET(PLE!$G$15,$M83-$A$15,CI$13)="",10^12,OFFSET(PLE!$G$15,$M83-$A$15,CI$13)))</f>
        <v>0</v>
      </c>
      <c r="CJ83" s="172" cm="1">
        <f t="array" aca="1" ref="CJ83" ca="1">IF(OR($D83&lt;&gt;"Serviço",AND(AUTOEVENTO="Manual",$M83=$A$15),$M83&gt;(ROW(PLE.lastrow)-ROW(PLE.firstrow))),0,
           IF(OFFSET(PLE!$G$15,$M83-$A$15,CJ$13)="",10^12,OFFSET(PLE!$G$15,$M83-$A$15,CJ$13)))</f>
        <v>0</v>
      </c>
      <c r="CK83" s="172" cm="1">
        <f t="array" aca="1" ref="CK83" ca="1">IF(OR($D83&lt;&gt;"Serviço",AND(AUTOEVENTO="Manual",$M83=$A$15),$M83&gt;(ROW(PLE.lastrow)-ROW(PLE.firstrow))),0,
           IF(OFFSET(PLE!$G$15,$M83-$A$15,CK$13)="",10^12,OFFSET(PLE!$G$15,$M83-$A$15,CK$13)))</f>
        <v>0</v>
      </c>
      <c r="CL83" s="172" cm="1">
        <f t="array" aca="1" ref="CL83" ca="1">IF(OR($D83&lt;&gt;"Serviço",AND(AUTOEVENTO="Manual",$M83=$A$15),$M83&gt;(ROW(PLE.lastrow)-ROW(PLE.firstrow))),0,
           IF(OFFSET(PLE!$G$15,$M83-$A$15,CL$13)="",10^12,OFFSET(PLE!$G$15,$M83-$A$15,CL$13)))</f>
        <v>0</v>
      </c>
      <c r="CM83" s="172" cm="1">
        <f t="array" aca="1" ref="CM83" ca="1">IF(OR($D83&lt;&gt;"Serviço",AND(AUTOEVENTO="Manual",$M83=$A$15),$M83&gt;(ROW(PLE.lastrow)-ROW(PLE.firstrow))),0,
           IF(OFFSET(PLE!$G$15,$M83-$A$15,CM$13)="",10^12,OFFSET(PLE!$G$15,$M83-$A$15,CM$13)))</f>
        <v>0</v>
      </c>
    </row>
    <row r="84" spans="1:91" s="670" customFormat="1" ht="38.25" x14ac:dyDescent="0.2">
      <c r="A84" s="668">
        <f t="shared" ca="1" si="12"/>
        <v>12</v>
      </c>
      <c r="B84" s="668" t="str">
        <f ca="1">OFFSET(ORÇAMENTO!C$15,$L84,0)</f>
        <v>S</v>
      </c>
      <c r="C84" s="668" t="str">
        <f ca="1">OFFSET(ORÇAMENTO!L$15,$L84,0)</f>
        <v>F</v>
      </c>
      <c r="D84" s="116" t="str">
        <f ca="1">OFFSET(ORÇAMENTO!N$15,$L84,0)</f>
        <v>Serviço</v>
      </c>
      <c r="E84" s="117" t="str">
        <f ca="1">OFFSET(ORÇAMENTO!O$15,$L84,0)</f>
        <v>1.11.1.</v>
      </c>
      <c r="F84" s="163" t="str">
        <f ca="1">OFFSET(ORÇAMENTO!R$15,$L84,0)</f>
        <v>CONCRETO FCK = 20MPA, TRAÇO 1:2,7:3 (EM MASSA SECA DE CIMENTO/ AREIA MÉDIA/ BRITA 1) - PREPARO MECÂNICO COM BETONEIRA 600 L. AF_05/2021</v>
      </c>
      <c r="G84" s="164" t="str">
        <f ca="1">IF($D84&lt;&gt;"Serviço","",OFFSET(ORÇAMENTO!S$15,$L84,0))</f>
        <v>M3</v>
      </c>
      <c r="H84" s="122" cm="1">
        <f t="array" aca="1" ref="H84" ca="1">IF($D84&lt;&gt;"Serviço",0,IF(ACOMPANHAMENTO="BM",ROUND(OFFSET(ORÇAMENTO!AJ$15,$L84,0),15-13*ORÇAMENTO!$AF$7),IF(IFERROR(CÁLCULO.FrentesPreenchidas,0)=0,0,SUM(ROUND(OFFSET($P84,0,1,1,CÁLCULO.FrentesPreenchidas),15-13*ORÇAMENTO!$AF$7)))))</f>
        <v>17</v>
      </c>
      <c r="I84" s="468" t="s">
        <v>1161</v>
      </c>
      <c r="J84" s="651" t="str" cm="1">
        <f t="array" aca="1" ref="J84" ca="1">IF(OR(B84&lt;&gt;"S",CÁLCULO.FrentesPreenchidas=0),"",IF(AND(ACOMPANHAMENTO="PLE",AUTOEVENTO="Manual",OR(H84&gt;0,ORÇAMENTO!AC84="QUANT."),OR(K84="",M84=0,N84="")),"►E",IF(AND(ACOMPANHAMENTO="PLE",ORÇAMENTO!AC84="QUANT."),"►Q",IF(AND(ACOMPANHAMENTO="PLE",H84&lt;&gt;SUMPRODUCT(($Q$1:$AI$1=1)*ROUND(Q84:AI84,15))),"►S",IF(AND(COUNTIF($P$11:$AI$11,"▼")=0,H84&gt;0,I84=""),"◄M","")))))</f>
        <v/>
      </c>
      <c r="K84" s="652" t="s">
        <v>1339</v>
      </c>
      <c r="L84" s="165">
        <f t="shared" ca="1" si="13"/>
        <v>69</v>
      </c>
      <c r="M84" s="166">
        <f ca="1">IF($D84&lt;&gt;"Serviço","",
          IF(AUTOEVENTO="manual",$A84,
                IF(ISERROR(MATCH($A84,$A$15:OFFSET($A84,-1,0),0)),MAX($M$15:OFFSET(M84,-1,0))+1,
                      INDEX($M$15:OFFSET(M84,-1,0),MATCH($A84,$A$15:OFFSET($A84,-1,0),0)))))</f>
        <v>12</v>
      </c>
      <c r="N84" s="167" t="str">
        <f ca="1">IF($D84&lt;&gt;"Serviço","",
         IF(AUTOEVENTO="Manual",
                IF($A84=0,"&lt;-- defina o número do agrupador",
                       OFFSET(EVENTOS!$D$15,$A84-$A$15,0)),
                OFFSET($F$15,$A84,0)))</f>
        <v>Fundação - Concretagem</v>
      </c>
      <c r="O84" s="168"/>
      <c r="Q84" s="168"/>
      <c r="R84" s="169"/>
      <c r="S84" s="169"/>
      <c r="T84" s="169"/>
      <c r="U84" s="169">
        <v>17</v>
      </c>
      <c r="V84" s="169"/>
      <c r="W84" s="169"/>
      <c r="X84" s="169"/>
      <c r="Y84" s="169"/>
      <c r="Z84" s="170"/>
      <c r="AA84" s="705"/>
      <c r="AB84" s="705"/>
      <c r="AC84" s="705"/>
      <c r="AD84" s="705"/>
      <c r="AE84" s="705"/>
      <c r="AF84" s="705"/>
      <c r="AG84" s="705"/>
      <c r="AH84" s="706"/>
      <c r="AJ84" s="453">
        <f ca="1">IF(AND($D84="Serviço",AJ$12&lt;&gt;0,$H84&gt;0,OR(AUTOEVENTO&lt;&gt;"manual",$M84&lt;&gt;$A$15)),
        IF(Import.TipoArredondamento&lt;&gt;"TransfereGOV",
              ROUND(OFFSET($P84,0,AJ$13),15-13*ORÇAMENTO!$AF$7)/$H84*OFFSET(ORÇAMENTO!$X$15,ROW(AJ84)-ROW(AJ$15),0),
              ROUND(ROUND(OFFSET($P84,0,AJ$13),15-13*ORÇAMENTO!$AF$7)*OFFSET(ORÇAMENTO!$W$15,ROW(AJ84)-ROW(AJ$15),0),15-13*ORÇAMENTO!$AF$11)),
         0)</f>
        <v>0</v>
      </c>
      <c r="AK84" s="453">
        <f ca="1">IF(AND($D84="Serviço",AK$12&lt;&gt;0,$H84&gt;0,OR(AUTOEVENTO&lt;&gt;"manual",$M84&lt;&gt;$A$15)),
        IF(Import.TipoArredondamento&lt;&gt;"TransfereGOV",
              ROUND(OFFSET($P84,0,AK$13),15-13*ORÇAMENTO!$AF$7)/$H84*OFFSET(ORÇAMENTO!$X$15,ROW(AK84)-ROW(AK$15),0),
              ROUND(ROUND(OFFSET($P84,0,AK$13),15-13*ORÇAMENTO!$AF$7)*OFFSET(ORÇAMENTO!$W$15,ROW(AK84)-ROW(AK$15),0),15-13*ORÇAMENTO!$AF$11)),
         0)</f>
        <v>0</v>
      </c>
      <c r="AL84" s="453">
        <f ca="1">IF(AND($D84="Serviço",AL$12&lt;&gt;0,$H84&gt;0,OR(AUTOEVENTO&lt;&gt;"manual",$M84&lt;&gt;$A$15)),
        IF(Import.TipoArredondamento&lt;&gt;"TransfereGOV",
              ROUND(OFFSET($P84,0,AL$13),15-13*ORÇAMENTO!$AF$7)/$H84*OFFSET(ORÇAMENTO!$X$15,ROW(AL84)-ROW(AL$15),0),
              ROUND(ROUND(OFFSET($P84,0,AL$13),15-13*ORÇAMENTO!$AF$7)*OFFSET(ORÇAMENTO!$W$15,ROW(AL84)-ROW(AL$15),0),15-13*ORÇAMENTO!$AF$11)),
         0)</f>
        <v>0</v>
      </c>
      <c r="AM84" s="453">
        <f ca="1">IF(AND($D84="Serviço",AM$12&lt;&gt;0,$H84&gt;0,OR(AUTOEVENTO&lt;&gt;"manual",$M84&lt;&gt;$A$15)),
        IF(Import.TipoArredondamento&lt;&gt;"TransfereGOV",
              ROUND(OFFSET($P84,0,AM$13),15-13*ORÇAMENTO!$AF$7)/$H84*OFFSET(ORÇAMENTO!$X$15,ROW(AM84)-ROW(AM$15),0),
              ROUND(ROUND(OFFSET($P84,0,AM$13),15-13*ORÇAMENTO!$AF$7)*OFFSET(ORÇAMENTO!$W$15,ROW(AM84)-ROW(AM$15),0),15-13*ORÇAMENTO!$AF$11)),
         0)</f>
        <v>0</v>
      </c>
      <c r="AN84" s="453">
        <f ca="1">IF(AND($D84="Serviço",AN$12&lt;&gt;0,$H84&gt;0,OR(AUTOEVENTO&lt;&gt;"manual",$M84&lt;&gt;$A$15)),
        IF(Import.TipoArredondamento&lt;&gt;"TransfereGOV",
              ROUND(OFFSET($P84,0,AN$13),15-13*ORÇAMENTO!$AF$7)/$H84*OFFSET(ORÇAMENTO!$X$15,ROW(AN84)-ROW(AN$15),0),
              ROUND(ROUND(OFFSET($P84,0,AN$13),15-13*ORÇAMENTO!$AF$7)*OFFSET(ORÇAMENTO!$W$15,ROW(AN84)-ROW(AN$15),0),15-13*ORÇAMENTO!$AF$11)),
         0)</f>
        <v>11664.38</v>
      </c>
      <c r="AO84" s="453">
        <f ca="1">IF(AND($D84="Serviço",AO$12&lt;&gt;0,$H84&gt;0,OR(AUTOEVENTO&lt;&gt;"manual",$M84&lt;&gt;$A$15)),
        IF(Import.TipoArredondamento&lt;&gt;"TransfereGOV",
              ROUND(OFFSET($P84,0,AO$13),15-13*ORÇAMENTO!$AF$7)/$H84*OFFSET(ORÇAMENTO!$X$15,ROW(AO84)-ROW(AO$15),0),
              ROUND(ROUND(OFFSET($P84,0,AO$13),15-13*ORÇAMENTO!$AF$7)*OFFSET(ORÇAMENTO!$W$15,ROW(AO84)-ROW(AO$15),0),15-13*ORÇAMENTO!$AF$11)),
         0)</f>
        <v>0</v>
      </c>
      <c r="AP84" s="453">
        <f ca="1">IF(AND($D84="Serviço",AP$12&lt;&gt;0,$H84&gt;0,OR(AUTOEVENTO&lt;&gt;"manual",$M84&lt;&gt;$A$15)),
        IF(Import.TipoArredondamento&lt;&gt;"TransfereGOV",
              ROUND(OFFSET($P84,0,AP$13),15-13*ORÇAMENTO!$AF$7)/$H84*OFFSET(ORÇAMENTO!$X$15,ROW(AP84)-ROW(AP$15),0),
              ROUND(ROUND(OFFSET($P84,0,AP$13),15-13*ORÇAMENTO!$AF$7)*OFFSET(ORÇAMENTO!$W$15,ROW(AP84)-ROW(AP$15),0),15-13*ORÇAMENTO!$AF$11)),
         0)</f>
        <v>0</v>
      </c>
      <c r="AQ84" s="453">
        <f ca="1">IF(AND($D84="Serviço",AQ$12&lt;&gt;0,$H84&gt;0,OR(AUTOEVENTO&lt;&gt;"manual",$M84&lt;&gt;$A$15)),
        IF(Import.TipoArredondamento&lt;&gt;"TransfereGOV",
              ROUND(OFFSET($P84,0,AQ$13),15-13*ORÇAMENTO!$AF$7)/$H84*OFFSET(ORÇAMENTO!$X$15,ROW(AQ84)-ROW(AQ$15),0),
              ROUND(ROUND(OFFSET($P84,0,AQ$13),15-13*ORÇAMENTO!$AF$7)*OFFSET(ORÇAMENTO!$W$15,ROW(AQ84)-ROW(AQ$15),0),15-13*ORÇAMENTO!$AF$11)),
         0)</f>
        <v>0</v>
      </c>
      <c r="AR84" s="453">
        <f ca="1">IF(AND($D84="Serviço",AR$12&lt;&gt;0,$H84&gt;0,OR(AUTOEVENTO&lt;&gt;"manual",$M84&lt;&gt;$A$15)),
        IF(Import.TipoArredondamento&lt;&gt;"TransfereGOV",
              ROUND(OFFSET($P84,0,AR$13),15-13*ORÇAMENTO!$AF$7)/$H84*OFFSET(ORÇAMENTO!$X$15,ROW(AR84)-ROW(AR$15),0),
              ROUND(ROUND(OFFSET($P84,0,AR$13),15-13*ORÇAMENTO!$AF$7)*OFFSET(ORÇAMENTO!$W$15,ROW(AR84)-ROW(AR$15),0),15-13*ORÇAMENTO!$AF$11)),
         0)</f>
        <v>0</v>
      </c>
      <c r="AS84" s="453">
        <f ca="1">IF(AND($D84="Serviço",AS$12&lt;&gt;0,$H84&gt;0,OR(AUTOEVENTO&lt;&gt;"manual",$M84&lt;&gt;$A$15)),
        IF(Import.TipoArredondamento&lt;&gt;"TransfereGOV",
              ROUND(OFFSET($P84,0,AS$13),15-13*ORÇAMENTO!$AF$7)/$H84*OFFSET(ORÇAMENTO!$X$15,ROW(AS84)-ROW(AS$15),0),
              ROUND(ROUND(OFFSET($P84,0,AS$13),15-13*ORÇAMENTO!$AF$7)*OFFSET(ORÇAMENTO!$W$15,ROW(AS84)-ROW(AS$15),0),15-13*ORÇAMENTO!$AF$11)),
         0)</f>
        <v>0</v>
      </c>
      <c r="AT84" s="453">
        <f ca="1">IF(AND($D84="Serviço",AT$12&lt;&gt;0,$H84&gt;0,OR(AUTOEVENTO&lt;&gt;"manual",$M84&lt;&gt;$A$15)),
        IF(Import.TipoArredondamento&lt;&gt;"TransfereGOV",
              ROUND(OFFSET($P84,0,AT$13),15-13*ORÇAMENTO!$AF$7)/$H84*OFFSET(ORÇAMENTO!$X$15,ROW(AT84)-ROW(AT$15),0),
              ROUND(ROUND(OFFSET($P84,0,AT$13),15-13*ORÇAMENTO!$AF$7)*OFFSET(ORÇAMENTO!$W$15,ROW(AT84)-ROW(AT$15),0),15-13*ORÇAMENTO!$AF$11)),
         0)</f>
        <v>0</v>
      </c>
      <c r="AU84" s="453">
        <f ca="1">IF(AND($D84="Serviço",AU$12&lt;&gt;0,$H84&gt;0,OR(AUTOEVENTO&lt;&gt;"manual",$M84&lt;&gt;$A$15)),
        IF(Import.TipoArredondamento&lt;&gt;"TransfereGOV",
              ROUND(OFFSET($P84,0,AU$13),15-13*ORÇAMENTO!$AF$7)/$H84*OFFSET(ORÇAMENTO!$X$15,ROW(AU84)-ROW(AU$15),0),
              ROUND(ROUND(OFFSET($P84,0,AU$13),15-13*ORÇAMENTO!$AF$7)*OFFSET(ORÇAMENTO!$W$15,ROW(AU84)-ROW(AU$15),0),15-13*ORÇAMENTO!$AF$11)),
         0)</f>
        <v>0</v>
      </c>
      <c r="AV84" s="453">
        <f ca="1">IF(AND($D84="Serviço",AV$12&lt;&gt;0,$H84&gt;0,OR(AUTOEVENTO&lt;&gt;"manual",$M84&lt;&gt;$A$15)),
        IF(Import.TipoArredondamento&lt;&gt;"TransfereGOV",
              ROUND(OFFSET($P84,0,AV$13),15-13*ORÇAMENTO!$AF$7)/$H84*OFFSET(ORÇAMENTO!$X$15,ROW(AV84)-ROW(AV$15),0),
              ROUND(ROUND(OFFSET($P84,0,AV$13),15-13*ORÇAMENTO!$AF$7)*OFFSET(ORÇAMENTO!$W$15,ROW(AV84)-ROW(AV$15),0),15-13*ORÇAMENTO!$AF$11)),
         0)</f>
        <v>0</v>
      </c>
      <c r="AW84" s="453">
        <f ca="1">IF(AND($D84="Serviço",AW$12&lt;&gt;0,$H84&gt;0,OR(AUTOEVENTO&lt;&gt;"manual",$M84&lt;&gt;$A$15)),
        IF(Import.TipoArredondamento&lt;&gt;"TransfereGOV",
              ROUND(OFFSET($P84,0,AW$13),15-13*ORÇAMENTO!$AF$7)/$H84*OFFSET(ORÇAMENTO!$X$15,ROW(AW84)-ROW(AW$15),0),
              ROUND(ROUND(OFFSET($P84,0,AW$13),15-13*ORÇAMENTO!$AF$7)*OFFSET(ORÇAMENTO!$W$15,ROW(AW84)-ROW(AW$15),0),15-13*ORÇAMENTO!$AF$11)),
         0)</f>
        <v>0</v>
      </c>
      <c r="AX84" s="453">
        <f ca="1">IF(AND($D84="Serviço",AX$12&lt;&gt;0,$H84&gt;0,OR(AUTOEVENTO&lt;&gt;"manual",$M84&lt;&gt;$A$15)),
        IF(Import.TipoArredondamento&lt;&gt;"TransfereGOV",
              ROUND(OFFSET($P84,0,AX$13),15-13*ORÇAMENTO!$AF$7)/$H84*OFFSET(ORÇAMENTO!$X$15,ROW(AX84)-ROW(AX$15),0),
              ROUND(ROUND(OFFSET($P84,0,AX$13),15-13*ORÇAMENTO!$AF$7)*OFFSET(ORÇAMENTO!$W$15,ROW(AX84)-ROW(AX$15),0),15-13*ORÇAMENTO!$AF$11)),
         0)</f>
        <v>0</v>
      </c>
      <c r="AY84" s="453">
        <f ca="1">IF(AND($D84="Serviço",AY$12&lt;&gt;0,$H84&gt;0,OR(AUTOEVENTO&lt;&gt;"manual",$M84&lt;&gt;$A$15)),
        IF(Import.TipoArredondamento&lt;&gt;"TransfereGOV",
              ROUND(OFFSET($P84,0,AY$13),15-13*ORÇAMENTO!$AF$7)/$H84*OFFSET(ORÇAMENTO!$X$15,ROW(AY84)-ROW(AY$15),0),
              ROUND(ROUND(OFFSET($P84,0,AY$13),15-13*ORÇAMENTO!$AF$7)*OFFSET(ORÇAMENTO!$W$15,ROW(AY84)-ROW(AY$15),0),15-13*ORÇAMENTO!$AF$11)),
         0)</f>
        <v>0</v>
      </c>
      <c r="AZ84" s="453">
        <f ca="1">IF(AND($D84="Serviço",AZ$12&lt;&gt;0,$H84&gt;0,OR(AUTOEVENTO&lt;&gt;"manual",$M84&lt;&gt;$A$15)),
        IF(Import.TipoArredondamento&lt;&gt;"TransfereGOV",
              ROUND(OFFSET($P84,0,AZ$13),15-13*ORÇAMENTO!$AF$7)/$H84*OFFSET(ORÇAMENTO!$X$15,ROW(AZ84)-ROW(AZ$15),0),
              ROUND(ROUND(OFFSET($P84,0,AZ$13),15-13*ORÇAMENTO!$AF$7)*OFFSET(ORÇAMENTO!$W$15,ROW(AZ84)-ROW(AZ$15),0),15-13*ORÇAMENTO!$AF$11)),
         0)</f>
        <v>0</v>
      </c>
      <c r="BA84" s="453">
        <f ca="1">IF(AND($D84="Serviço",BA$12&lt;&gt;0,$H84&gt;0,OR(AUTOEVENTO&lt;&gt;"manual",$M84&lt;&gt;$A$15)),
        IF(Import.TipoArredondamento&lt;&gt;"TransfereGOV",
              ROUND(OFFSET($P84,0,BA$13),15-13*ORÇAMENTO!$AF$7)/$H84*OFFSET(ORÇAMENTO!$X$15,ROW(BA84)-ROW(BA$15),0),
              ROUND(ROUND(OFFSET($P84,0,BA$13),15-13*ORÇAMENTO!$AF$7)*OFFSET(ORÇAMENTO!$W$15,ROW(BA84)-ROW(BA$15),0),15-13*ORÇAMENTO!$AF$11)),
         0)</f>
        <v>0</v>
      </c>
      <c r="BC84" s="171">
        <f ca="1">IF(OR($D84&lt;&gt;"Serviço",AND(AUTOEVENTO="Manual",$M84=$A$15)),0,
         IF(OFFSET(CRONOPLE!$F$15,$M84-$A$15,BC$13)=0,10^12,OFFSET(CRONOPLE!$F$15,$M84-$A$15,BC$13)))</f>
        <v>1000000000000</v>
      </c>
      <c r="BD84" s="171">
        <f ca="1">IF(OR($D84&lt;&gt;"Serviço",AND(AUTOEVENTO="Manual",$M84=$A$15)),0,
         IF(OFFSET(CRONOPLE!$F$15,$M84-$A$15,BD$13)=0,10^12,OFFSET(CRONOPLE!$F$15,$M84-$A$15,BD$13)))</f>
        <v>1000000000000</v>
      </c>
      <c r="BE84" s="171">
        <f ca="1">IF(OR($D84&lt;&gt;"Serviço",AND(AUTOEVENTO="Manual",$M84=$A$15)),0,
         IF(OFFSET(CRONOPLE!$F$15,$M84-$A$15,BE$13)=0,10^12,OFFSET(CRONOPLE!$F$15,$M84-$A$15,BE$13)))</f>
        <v>6</v>
      </c>
      <c r="BF84" s="171">
        <f ca="1">IF(OR($D84&lt;&gt;"Serviço",AND(AUTOEVENTO="Manual",$M84=$A$15)),0,
         IF(OFFSET(CRONOPLE!$F$15,$M84-$A$15,BF$13)=0,10^12,OFFSET(CRONOPLE!$F$15,$M84-$A$15,BF$13)))</f>
        <v>1000000000000</v>
      </c>
      <c r="BG84" s="171">
        <f ca="1">IF(OR($D84&lt;&gt;"Serviço",AND(AUTOEVENTO="Manual",$M84=$A$15)),0,
         IF(OFFSET(CRONOPLE!$F$15,$M84-$A$15,BG$13)=0,10^12,OFFSET(CRONOPLE!$F$15,$M84-$A$15,BG$13)))</f>
        <v>9</v>
      </c>
      <c r="BH84" s="171">
        <f ca="1">IF(OR($D84&lt;&gt;"Serviço",AND(AUTOEVENTO="Manual",$M84=$A$15)),0,
         IF(OFFSET(CRONOPLE!$F$15,$M84-$A$15,BH$13)=0,10^12,OFFSET(CRONOPLE!$F$15,$M84-$A$15,BH$13)))</f>
        <v>7</v>
      </c>
      <c r="BI84" s="171">
        <f ca="1">IF(OR($D84&lt;&gt;"Serviço",AND(AUTOEVENTO="Manual",$M84=$A$15)),0,
         IF(OFFSET(CRONOPLE!$F$15,$M84-$A$15,BI$13)=0,10^12,OFFSET(CRONOPLE!$F$15,$M84-$A$15,BI$13)))</f>
        <v>10</v>
      </c>
      <c r="BJ84" s="171">
        <f ca="1">IF(OR($D84&lt;&gt;"Serviço",AND(AUTOEVENTO="Manual",$M84=$A$15)),0,
         IF(OFFSET(CRONOPLE!$F$15,$M84-$A$15,BJ$13)=0,10^12,OFFSET(CRONOPLE!$F$15,$M84-$A$15,BJ$13)))</f>
        <v>1000000000000</v>
      </c>
      <c r="BK84" s="171">
        <f ca="1">IF(OR($D84&lt;&gt;"Serviço",AND(AUTOEVENTO="Manual",$M84=$A$15)),0,
         IF(OFFSET(CRONOPLE!$F$15,$M84-$A$15,BK$13)=0,10^12,OFFSET(CRONOPLE!$F$15,$M84-$A$15,BK$13)))</f>
        <v>1000000000000</v>
      </c>
      <c r="BL84" s="171">
        <f ca="1">IF(OR($D84&lt;&gt;"Serviço",AND(AUTOEVENTO="Manual",$M84=$A$15)),0,
         IF(OFFSET(CRONOPLE!$F$15,$M84-$A$15,BL$13)=0,10^12,OFFSET(CRONOPLE!$F$15,$M84-$A$15,BL$13)))</f>
        <v>1000000000000</v>
      </c>
      <c r="BM84" s="171">
        <f ca="1">IF(OR($D84&lt;&gt;"Serviço",AND(AUTOEVENTO="Manual",$M84=$A$15)),0,
         IF(OFFSET(CRONOPLE!$F$15,$M84-$A$15,BM$13)=0,10^12,OFFSET(CRONOPLE!$F$15,$M84-$A$15,BM$13)))</f>
        <v>1000000000000</v>
      </c>
      <c r="BN84" s="171">
        <f ca="1">IF(OR($D84&lt;&gt;"Serviço",AND(AUTOEVENTO="Manual",$M84=$A$15)),0,
         IF(OFFSET(CRONOPLE!$F$15,$M84-$A$15,BN$13)=0,10^12,OFFSET(CRONOPLE!$F$15,$M84-$A$15,BN$13)))</f>
        <v>1000000000000</v>
      </c>
      <c r="BO84" s="171">
        <f ca="1">IF(OR($D84&lt;&gt;"Serviço",AND(AUTOEVENTO="Manual",$M84=$A$15)),0,
         IF(OFFSET(CRONOPLE!$F$15,$M84-$A$15,BO$13)=0,10^12,OFFSET(CRONOPLE!$F$15,$M84-$A$15,BO$13)))</f>
        <v>1000000000000</v>
      </c>
      <c r="BP84" s="171">
        <f ca="1">IF(OR($D84&lt;&gt;"Serviço",AND(AUTOEVENTO="Manual",$M84=$A$15)),0,
         IF(OFFSET(CRONOPLE!$F$15,$M84-$A$15,BP$13)=0,10^12,OFFSET(CRONOPLE!$F$15,$M84-$A$15,BP$13)))</f>
        <v>1000000000000</v>
      </c>
      <c r="BQ84" s="171">
        <f ca="1">IF(OR($D84&lt;&gt;"Serviço",AND(AUTOEVENTO="Manual",$M84=$A$15)),0,
         IF(OFFSET(CRONOPLE!$F$15,$M84-$A$15,BQ$13)=0,10^12,OFFSET(CRONOPLE!$F$15,$M84-$A$15,BQ$13)))</f>
        <v>1000000000000</v>
      </c>
      <c r="BR84" s="171">
        <f ca="1">IF(OR($D84&lt;&gt;"Serviço",AND(AUTOEVENTO="Manual",$M84=$A$15)),0,
         IF(OFFSET(CRONOPLE!$F$15,$M84-$A$15,BR$13)=0,10^12,OFFSET(CRONOPLE!$F$15,$M84-$A$15,BR$13)))</f>
        <v>1000000000000</v>
      </c>
      <c r="BS84" s="171">
        <f ca="1">IF(OR($D84&lt;&gt;"Serviço",AND(AUTOEVENTO="Manual",$M84=$A$15)),0,
         IF(OFFSET(CRONOPLE!$F$15,$M84-$A$15,BS$13)=0,10^12,OFFSET(CRONOPLE!$F$15,$M84-$A$15,BS$13)))</f>
        <v>1000000000000</v>
      </c>
      <c r="BT84" s="171">
        <f ca="1">IF(OR($D84&lt;&gt;"Serviço",AND(AUTOEVENTO="Manual",$M84=$A$15)),0,
         IF(OFFSET(CRONOPLE!$F$15,$M84-$A$15,BT$13)=0,10^12,OFFSET(CRONOPLE!$F$15,$M84-$A$15,BT$13)))</f>
        <v>1000000000000</v>
      </c>
      <c r="BV84" s="172" cm="1">
        <f t="array" aca="1" ref="BV84" ca="1">IF(OR($D84&lt;&gt;"Serviço",AND(AUTOEVENTO="Manual",$M84=$A$15),$M84&gt;(ROW(PLE.lastrow)-ROW(PLE.firstrow))),0,
           IF(OFFSET(PLE!$G$15,$M84-$A$15,BV$13)="",10^12,OFFSET(PLE!$G$15,$M84-$A$15,BV$13)))</f>
        <v>1000000000000</v>
      </c>
      <c r="BW84" s="172" cm="1">
        <f t="array" aca="1" ref="BW84" ca="1">IF(OR($D84&lt;&gt;"Serviço",AND(AUTOEVENTO="Manual",$M84=$A$15),$M84&gt;(ROW(PLE.lastrow)-ROW(PLE.firstrow))),0,
           IF(OFFSET(PLE!$G$15,$M84-$A$15,BW$13)="",10^12,OFFSET(PLE!$G$15,$M84-$A$15,BW$13)))</f>
        <v>1000000000000</v>
      </c>
      <c r="BX84" s="172" cm="1">
        <f t="array" aca="1" ref="BX84" ca="1">IF(OR($D84&lt;&gt;"Serviço",AND(AUTOEVENTO="Manual",$M84=$A$15),$M84&gt;(ROW(PLE.lastrow)-ROW(PLE.firstrow))),0,
           IF(OFFSET(PLE!$G$15,$M84-$A$15,BX$13)="",10^12,OFFSET(PLE!$G$15,$M84-$A$15,BX$13)))</f>
        <v>1000000000000</v>
      </c>
      <c r="BY84" s="172" cm="1">
        <f t="array" aca="1" ref="BY84" ca="1">IF(OR($D84&lt;&gt;"Serviço",AND(AUTOEVENTO="Manual",$M84=$A$15),$M84&gt;(ROW(PLE.lastrow)-ROW(PLE.firstrow))),0,
           IF(OFFSET(PLE!$G$15,$M84-$A$15,BY$13)="",10^12,OFFSET(PLE!$G$15,$M84-$A$15,BY$13)))</f>
        <v>1000000000000</v>
      </c>
      <c r="BZ84" s="172" cm="1">
        <f t="array" aca="1" ref="BZ84" ca="1">IF(OR($D84&lt;&gt;"Serviço",AND(AUTOEVENTO="Manual",$M84=$A$15),$M84&gt;(ROW(PLE.lastrow)-ROW(PLE.firstrow))),0,
           IF(OFFSET(PLE!$G$15,$M84-$A$15,BZ$13)="",10^12,OFFSET(PLE!$G$15,$M84-$A$15,BZ$13)))</f>
        <v>1000000000000</v>
      </c>
      <c r="CA84" s="172" cm="1">
        <f t="array" aca="1" ref="CA84" ca="1">IF(OR($D84&lt;&gt;"Serviço",AND(AUTOEVENTO="Manual",$M84=$A$15),$M84&gt;(ROW(PLE.lastrow)-ROW(PLE.firstrow))),0,
           IF(OFFSET(PLE!$G$15,$M84-$A$15,CA$13)="",10^12,OFFSET(PLE!$G$15,$M84-$A$15,CA$13)))</f>
        <v>1000000000000</v>
      </c>
      <c r="CB84" s="172" cm="1">
        <f t="array" aca="1" ref="CB84" ca="1">IF(OR($D84&lt;&gt;"Serviço",AND(AUTOEVENTO="Manual",$M84=$A$15),$M84&gt;(ROW(PLE.lastrow)-ROW(PLE.firstrow))),0,
           IF(OFFSET(PLE!$G$15,$M84-$A$15,CB$13)="",10^12,OFFSET(PLE!$G$15,$M84-$A$15,CB$13)))</f>
        <v>1000000000000</v>
      </c>
      <c r="CC84" s="172" cm="1">
        <f t="array" aca="1" ref="CC84" ca="1">IF(OR($D84&lt;&gt;"Serviço",AND(AUTOEVENTO="Manual",$M84=$A$15),$M84&gt;(ROW(PLE.lastrow)-ROW(PLE.firstrow))),0,
           IF(OFFSET(PLE!$G$15,$M84-$A$15,CC$13)="",10^12,OFFSET(PLE!$G$15,$M84-$A$15,CC$13)))</f>
        <v>1000000000000</v>
      </c>
      <c r="CD84" s="172" cm="1">
        <f t="array" aca="1" ref="CD84" ca="1">IF(OR($D84&lt;&gt;"Serviço",AND(AUTOEVENTO="Manual",$M84=$A$15),$M84&gt;(ROW(PLE.lastrow)-ROW(PLE.firstrow))),0,
           IF(OFFSET(PLE!$G$15,$M84-$A$15,CD$13)="",10^12,OFFSET(PLE!$G$15,$M84-$A$15,CD$13)))</f>
        <v>1000000000000</v>
      </c>
      <c r="CE84" s="172" cm="1">
        <f t="array" aca="1" ref="CE84" ca="1">IF(OR($D84&lt;&gt;"Serviço",AND(AUTOEVENTO="Manual",$M84=$A$15),$M84&gt;(ROW(PLE.lastrow)-ROW(PLE.firstrow))),0,
           IF(OFFSET(PLE!$G$15,$M84-$A$15,CE$13)="",10^12,OFFSET(PLE!$G$15,$M84-$A$15,CE$13)))</f>
        <v>1000000000000</v>
      </c>
      <c r="CF84" s="172" cm="1">
        <f t="array" aca="1" ref="CF84" ca="1">IF(OR($D84&lt;&gt;"Serviço",AND(AUTOEVENTO="Manual",$M84=$A$15),$M84&gt;(ROW(PLE.lastrow)-ROW(PLE.firstrow))),0,
           IF(OFFSET(PLE!$G$15,$M84-$A$15,CF$13)="",10^12,OFFSET(PLE!$G$15,$M84-$A$15,CF$13)))</f>
        <v>1000000000000</v>
      </c>
      <c r="CG84" s="172" cm="1">
        <f t="array" aca="1" ref="CG84" ca="1">IF(OR($D84&lt;&gt;"Serviço",AND(AUTOEVENTO="Manual",$M84=$A$15),$M84&gt;(ROW(PLE.lastrow)-ROW(PLE.firstrow))),0,
           IF(OFFSET(PLE!$G$15,$M84-$A$15,CG$13)="",10^12,OFFSET(PLE!$G$15,$M84-$A$15,CG$13)))</f>
        <v>1000000000000</v>
      </c>
      <c r="CH84" s="172" cm="1">
        <f t="array" aca="1" ref="CH84" ca="1">IF(OR($D84&lt;&gt;"Serviço",AND(AUTOEVENTO="Manual",$M84=$A$15),$M84&gt;(ROW(PLE.lastrow)-ROW(PLE.firstrow))),0,
           IF(OFFSET(PLE!$G$15,$M84-$A$15,CH$13)="",10^12,OFFSET(PLE!$G$15,$M84-$A$15,CH$13)))</f>
        <v>1000000000000</v>
      </c>
      <c r="CI84" s="172" cm="1">
        <f t="array" aca="1" ref="CI84" ca="1">IF(OR($D84&lt;&gt;"Serviço",AND(AUTOEVENTO="Manual",$M84=$A$15),$M84&gt;(ROW(PLE.lastrow)-ROW(PLE.firstrow))),0,
           IF(OFFSET(PLE!$G$15,$M84-$A$15,CI$13)="",10^12,OFFSET(PLE!$G$15,$M84-$A$15,CI$13)))</f>
        <v>1000000000000</v>
      </c>
      <c r="CJ84" s="172" cm="1">
        <f t="array" aca="1" ref="CJ84" ca="1">IF(OR($D84&lt;&gt;"Serviço",AND(AUTOEVENTO="Manual",$M84=$A$15),$M84&gt;(ROW(PLE.lastrow)-ROW(PLE.firstrow))),0,
           IF(OFFSET(PLE!$G$15,$M84-$A$15,CJ$13)="",10^12,OFFSET(PLE!$G$15,$M84-$A$15,CJ$13)))</f>
        <v>1000000000000</v>
      </c>
      <c r="CK84" s="172" cm="1">
        <f t="array" aca="1" ref="CK84" ca="1">IF(OR($D84&lt;&gt;"Serviço",AND(AUTOEVENTO="Manual",$M84=$A$15),$M84&gt;(ROW(PLE.lastrow)-ROW(PLE.firstrow))),0,
           IF(OFFSET(PLE!$G$15,$M84-$A$15,CK$13)="",10^12,OFFSET(PLE!$G$15,$M84-$A$15,CK$13)))</f>
        <v>1000000000000</v>
      </c>
      <c r="CL84" s="172" cm="1">
        <f t="array" aca="1" ref="CL84" ca="1">IF(OR($D84&lt;&gt;"Serviço",AND(AUTOEVENTO="Manual",$M84=$A$15),$M84&gt;(ROW(PLE.lastrow)-ROW(PLE.firstrow))),0,
           IF(OFFSET(PLE!$G$15,$M84-$A$15,CL$13)="",10^12,OFFSET(PLE!$G$15,$M84-$A$15,CL$13)))</f>
        <v>1000000000000</v>
      </c>
      <c r="CM84" s="172" cm="1">
        <f t="array" aca="1" ref="CM84" ca="1">IF(OR($D84&lt;&gt;"Serviço",AND(AUTOEVENTO="Manual",$M84=$A$15),$M84&gt;(ROW(PLE.lastrow)-ROW(PLE.firstrow))),0,
           IF(OFFSET(PLE!$G$15,$M84-$A$15,CM$13)="",10^12,OFFSET(PLE!$G$15,$M84-$A$15,CM$13)))</f>
        <v>1000000000000</v>
      </c>
    </row>
    <row r="85" spans="1:91" s="680" customFormat="1" ht="25.5" x14ac:dyDescent="0.2">
      <c r="A85" s="681">
        <f ca="1">IFERROR(IF(AUTOEVENTO="Manual",IF(K85&lt;&gt;"",MIN(VALUE(LEFT(K85,FIND(".",K85)-1)),COUNTA(EVENTOS.Lista)),0),IF(OR($B85&gt;AUTOEVENTO,$B85="S",$B85=0),SUBSTITUTE(OFFSET($A85,-1,0),IF($D85="Serviço",".",""),""),$L85&amp;".")),0)</f>
        <v>12</v>
      </c>
      <c r="B85" s="681" t="str">
        <f ca="1">OFFSET(ORÇAMENTO!C$15,$L85,0)</f>
        <v>S</v>
      </c>
      <c r="C85" s="681" t="str">
        <f ca="1">OFFSET(ORÇAMENTO!L$15,$L85,0)</f>
        <v>F</v>
      </c>
      <c r="D85" s="686" t="str">
        <f ca="1">OFFSET(ORÇAMENTO!N$15,$L85,0)</f>
        <v>Serviço</v>
      </c>
      <c r="E85" s="687" t="str">
        <f ca="1">OFFSET(ORÇAMENTO!O$15,$L85,0)</f>
        <v>1.11.2.</v>
      </c>
      <c r="F85" s="699" t="str">
        <f ca="1">OFFSET(ORÇAMENTO!R$15,$L85,0)</f>
        <v>LANÇAMENTO COM USO DE BOMBA, ADENSAMENTO E ACABAMENTO DE CONCRETO EM ESTRUTURAS. AF_02/2022</v>
      </c>
      <c r="G85" s="700" t="str">
        <f ca="1">IF($D85&lt;&gt;"Serviço","",OFFSET(ORÇAMENTO!S$15,$L85,0))</f>
        <v>M3</v>
      </c>
      <c r="H85" s="692" cm="1">
        <f t="array" aca="1" ref="H85" ca="1">IF($D85&lt;&gt;"Serviço",0,IF(ACOMPANHAMENTO="BM",ROUND(OFFSET(ORÇAMENTO!AJ$15,$L85,0),15-13*ORÇAMENTO!$AF$7),IF(IFERROR(CÁLCULO.FrentesPreenchidas,0)=0,0,SUM(ROUND(OFFSET($P85,0,1,1,CÁLCULO.FrentesPreenchidas),15-13*ORÇAMENTO!$AF$7)))))</f>
        <v>17</v>
      </c>
      <c r="I85" s="720" t="s">
        <v>1223</v>
      </c>
      <c r="J85" s="724" t="str" cm="1">
        <f t="array" aca="1" ref="J85" ca="1">IF(OR(B85&lt;&gt;"S",CÁLCULO.FrentesPreenchidas=0),"",IF(AND(ACOMPANHAMENTO="PLE",AUTOEVENTO="Manual",OR(H85&gt;0,ORÇAMENTO!AC85="QUANT."),OR(K85="",M85=0,N85="")),"►E",IF(AND(ACOMPANHAMENTO="PLE",ORÇAMENTO!AC85="QUANT."),"►Q",IF(AND(ACOMPANHAMENTO="PLE",H85&lt;&gt;SUMPRODUCT(($Q$1:$AI$1=1)*ROUND(Q85:AI85,15))),"►S",IF(AND(COUNTIF($P$11:$AI$11,"▼")=0,H85&gt;0,I85=""),"◄M","")))))</f>
        <v/>
      </c>
      <c r="K85" s="652" t="s">
        <v>1339</v>
      </c>
      <c r="L85" s="701">
        <f ca="1">OFFSET(L85,-1,0)+1</f>
        <v>70</v>
      </c>
      <c r="M85" s="702">
        <f ca="1">IF($D85&lt;&gt;"Serviço","",
          IF(AUTOEVENTO="manual",$A85,
                IF(ISERROR(MATCH($A85,$A$15:OFFSET($A85,-1,0),0)),MAX($M$15:OFFSET(M85,-1,0))+1,
                      INDEX($M$15:OFFSET(M85,-1,0),MATCH($A85,$A$15:OFFSET($A85,-1,0),0)))))</f>
        <v>12</v>
      </c>
      <c r="N85" s="703" t="str">
        <f ca="1">IF($D85&lt;&gt;"Serviço","",
         IF(AUTOEVENTO="Manual",
                IF($A85=0,"&lt;-- defina o número do agrupador",
                       OFFSET(EVENTOS!$D$15,$A85-$A$15,0)),
                OFFSET($F$15,$A85,0)))</f>
        <v>Fundação - Concretagem</v>
      </c>
      <c r="O85" s="704"/>
      <c r="Q85" s="704"/>
      <c r="R85" s="705"/>
      <c r="S85" s="705"/>
      <c r="T85" s="705"/>
      <c r="U85" s="705">
        <v>17</v>
      </c>
      <c r="V85" s="705"/>
      <c r="W85" s="705"/>
      <c r="X85" s="705"/>
      <c r="Y85" s="705"/>
      <c r="Z85" s="706"/>
      <c r="AA85" s="705"/>
      <c r="AB85" s="705"/>
      <c r="AC85" s="705"/>
      <c r="AD85" s="705"/>
      <c r="AE85" s="705"/>
      <c r="AF85" s="705"/>
      <c r="AG85" s="705"/>
      <c r="AH85" s="706"/>
      <c r="AJ85" s="453">
        <f ca="1">IF(AND($D85="Serviço",AJ$12&lt;&gt;0,$H85&gt;0,OR(AUTOEVENTO&lt;&gt;"manual",$M85&lt;&gt;$A$15)),
        IF(Import.TipoArredondamento&lt;&gt;"TransfereGOV",
              ROUND(OFFSET($P85,0,AJ$13),15-13*ORÇAMENTO!$AF$7)/$H85*OFFSET(ORÇAMENTO!$X$15,ROW(AJ85)-ROW(AJ$15),0),
              ROUND(ROUND(OFFSET($P85,0,AJ$13),15-13*ORÇAMENTO!$AF$7)*OFFSET(ORÇAMENTO!$W$15,ROW(AJ85)-ROW(AJ$15),0),15-13*ORÇAMENTO!$AF$11)),
         0)</f>
        <v>0</v>
      </c>
      <c r="AK85" s="453">
        <f ca="1">IF(AND($D85="Serviço",AK$12&lt;&gt;0,$H85&gt;0,OR(AUTOEVENTO&lt;&gt;"manual",$M85&lt;&gt;$A$15)),
        IF(Import.TipoArredondamento&lt;&gt;"TransfereGOV",
              ROUND(OFFSET($P85,0,AK$13),15-13*ORÇAMENTO!$AF$7)/$H85*OFFSET(ORÇAMENTO!$X$15,ROW(AK85)-ROW(AK$15),0),
              ROUND(ROUND(OFFSET($P85,0,AK$13),15-13*ORÇAMENTO!$AF$7)*OFFSET(ORÇAMENTO!$W$15,ROW(AK85)-ROW(AK$15),0),15-13*ORÇAMENTO!$AF$11)),
         0)</f>
        <v>0</v>
      </c>
      <c r="AL85" s="453">
        <f ca="1">IF(AND($D85="Serviço",AL$12&lt;&gt;0,$H85&gt;0,OR(AUTOEVENTO&lt;&gt;"manual",$M85&lt;&gt;$A$15)),
        IF(Import.TipoArredondamento&lt;&gt;"TransfereGOV",
              ROUND(OFFSET($P85,0,AL$13),15-13*ORÇAMENTO!$AF$7)/$H85*OFFSET(ORÇAMENTO!$X$15,ROW(AL85)-ROW(AL$15),0),
              ROUND(ROUND(OFFSET($P85,0,AL$13),15-13*ORÇAMENTO!$AF$7)*OFFSET(ORÇAMENTO!$W$15,ROW(AL85)-ROW(AL$15),0),15-13*ORÇAMENTO!$AF$11)),
         0)</f>
        <v>0</v>
      </c>
      <c r="AM85" s="453">
        <f ca="1">IF(AND($D85="Serviço",AM$12&lt;&gt;0,$H85&gt;0,OR(AUTOEVENTO&lt;&gt;"manual",$M85&lt;&gt;$A$15)),
        IF(Import.TipoArredondamento&lt;&gt;"TransfereGOV",
              ROUND(OFFSET($P85,0,AM$13),15-13*ORÇAMENTO!$AF$7)/$H85*OFFSET(ORÇAMENTO!$X$15,ROW(AM85)-ROW(AM$15),0),
              ROUND(ROUND(OFFSET($P85,0,AM$13),15-13*ORÇAMENTO!$AF$7)*OFFSET(ORÇAMENTO!$W$15,ROW(AM85)-ROW(AM$15),0),15-13*ORÇAMENTO!$AF$11)),
         0)</f>
        <v>0</v>
      </c>
      <c r="AN85" s="453">
        <f ca="1">IF(AND($D85="Serviço",AN$12&lt;&gt;0,$H85&gt;0,OR(AUTOEVENTO&lt;&gt;"manual",$M85&lt;&gt;$A$15)),
        IF(Import.TipoArredondamento&lt;&gt;"TransfereGOV",
              ROUND(OFFSET($P85,0,AN$13),15-13*ORÇAMENTO!$AF$7)/$H85*OFFSET(ORÇAMENTO!$X$15,ROW(AN85)-ROW(AN$15),0),
              ROUND(ROUND(OFFSET($P85,0,AN$13),15-13*ORÇAMENTO!$AF$7)*OFFSET(ORÇAMENTO!$W$15,ROW(AN85)-ROW(AN$15),0),15-13*ORÇAMENTO!$AF$11)),
         0)</f>
        <v>1023.4</v>
      </c>
      <c r="AO85" s="453">
        <f ca="1">IF(AND($D85="Serviço",AO$12&lt;&gt;0,$H85&gt;0,OR(AUTOEVENTO&lt;&gt;"manual",$M85&lt;&gt;$A$15)),
        IF(Import.TipoArredondamento&lt;&gt;"TransfereGOV",
              ROUND(OFFSET($P85,0,AO$13),15-13*ORÇAMENTO!$AF$7)/$H85*OFFSET(ORÇAMENTO!$X$15,ROW(AO85)-ROW(AO$15),0),
              ROUND(ROUND(OFFSET($P85,0,AO$13),15-13*ORÇAMENTO!$AF$7)*OFFSET(ORÇAMENTO!$W$15,ROW(AO85)-ROW(AO$15),0),15-13*ORÇAMENTO!$AF$11)),
         0)</f>
        <v>0</v>
      </c>
      <c r="AP85" s="453">
        <f ca="1">IF(AND($D85="Serviço",AP$12&lt;&gt;0,$H85&gt;0,OR(AUTOEVENTO&lt;&gt;"manual",$M85&lt;&gt;$A$15)),
        IF(Import.TipoArredondamento&lt;&gt;"TransfereGOV",
              ROUND(OFFSET($P85,0,AP$13),15-13*ORÇAMENTO!$AF$7)/$H85*OFFSET(ORÇAMENTO!$X$15,ROW(AP85)-ROW(AP$15),0),
              ROUND(ROUND(OFFSET($P85,0,AP$13),15-13*ORÇAMENTO!$AF$7)*OFFSET(ORÇAMENTO!$W$15,ROW(AP85)-ROW(AP$15),0),15-13*ORÇAMENTO!$AF$11)),
         0)</f>
        <v>0</v>
      </c>
      <c r="AQ85" s="453">
        <f ca="1">IF(AND($D85="Serviço",AQ$12&lt;&gt;0,$H85&gt;0,OR(AUTOEVENTO&lt;&gt;"manual",$M85&lt;&gt;$A$15)),
        IF(Import.TipoArredondamento&lt;&gt;"TransfereGOV",
              ROUND(OFFSET($P85,0,AQ$13),15-13*ORÇAMENTO!$AF$7)/$H85*OFFSET(ORÇAMENTO!$X$15,ROW(AQ85)-ROW(AQ$15),0),
              ROUND(ROUND(OFFSET($P85,0,AQ$13),15-13*ORÇAMENTO!$AF$7)*OFFSET(ORÇAMENTO!$W$15,ROW(AQ85)-ROW(AQ$15),0),15-13*ORÇAMENTO!$AF$11)),
         0)</f>
        <v>0</v>
      </c>
      <c r="AR85" s="453">
        <f ca="1">IF(AND($D85="Serviço",AR$12&lt;&gt;0,$H85&gt;0,OR(AUTOEVENTO&lt;&gt;"manual",$M85&lt;&gt;$A$15)),
        IF(Import.TipoArredondamento&lt;&gt;"TransfereGOV",
              ROUND(OFFSET($P85,0,AR$13),15-13*ORÇAMENTO!$AF$7)/$H85*OFFSET(ORÇAMENTO!$X$15,ROW(AR85)-ROW(AR$15),0),
              ROUND(ROUND(OFFSET($P85,0,AR$13),15-13*ORÇAMENTO!$AF$7)*OFFSET(ORÇAMENTO!$W$15,ROW(AR85)-ROW(AR$15),0),15-13*ORÇAMENTO!$AF$11)),
         0)</f>
        <v>0</v>
      </c>
      <c r="AS85" s="453">
        <f ca="1">IF(AND($D85="Serviço",AS$12&lt;&gt;0,$H85&gt;0,OR(AUTOEVENTO&lt;&gt;"manual",$M85&lt;&gt;$A$15)),
        IF(Import.TipoArredondamento&lt;&gt;"TransfereGOV",
              ROUND(OFFSET($P85,0,AS$13),15-13*ORÇAMENTO!$AF$7)/$H85*OFFSET(ORÇAMENTO!$X$15,ROW(AS85)-ROW(AS$15),0),
              ROUND(ROUND(OFFSET($P85,0,AS$13),15-13*ORÇAMENTO!$AF$7)*OFFSET(ORÇAMENTO!$W$15,ROW(AS85)-ROW(AS$15),0),15-13*ORÇAMENTO!$AF$11)),
         0)</f>
        <v>0</v>
      </c>
      <c r="AT85" s="453">
        <f ca="1">IF(AND($D85="Serviço",AT$12&lt;&gt;0,$H85&gt;0,OR(AUTOEVENTO&lt;&gt;"manual",$M85&lt;&gt;$A$15)),
        IF(Import.TipoArredondamento&lt;&gt;"TransfereGOV",
              ROUND(OFFSET($P85,0,AT$13),15-13*ORÇAMENTO!$AF$7)/$H85*OFFSET(ORÇAMENTO!$X$15,ROW(AT85)-ROW(AT$15),0),
              ROUND(ROUND(OFFSET($P85,0,AT$13),15-13*ORÇAMENTO!$AF$7)*OFFSET(ORÇAMENTO!$W$15,ROW(AT85)-ROW(AT$15),0),15-13*ORÇAMENTO!$AF$11)),
         0)</f>
        <v>0</v>
      </c>
      <c r="AU85" s="453">
        <f ca="1">IF(AND($D85="Serviço",AU$12&lt;&gt;0,$H85&gt;0,OR(AUTOEVENTO&lt;&gt;"manual",$M85&lt;&gt;$A$15)),
        IF(Import.TipoArredondamento&lt;&gt;"TransfereGOV",
              ROUND(OFFSET($P85,0,AU$13),15-13*ORÇAMENTO!$AF$7)/$H85*OFFSET(ORÇAMENTO!$X$15,ROW(AU85)-ROW(AU$15),0),
              ROUND(ROUND(OFFSET($P85,0,AU$13),15-13*ORÇAMENTO!$AF$7)*OFFSET(ORÇAMENTO!$W$15,ROW(AU85)-ROW(AU$15),0),15-13*ORÇAMENTO!$AF$11)),
         0)</f>
        <v>0</v>
      </c>
      <c r="AV85" s="453">
        <f ca="1">IF(AND($D85="Serviço",AV$12&lt;&gt;0,$H85&gt;0,OR(AUTOEVENTO&lt;&gt;"manual",$M85&lt;&gt;$A$15)),
        IF(Import.TipoArredondamento&lt;&gt;"TransfereGOV",
              ROUND(OFFSET($P85,0,AV$13),15-13*ORÇAMENTO!$AF$7)/$H85*OFFSET(ORÇAMENTO!$X$15,ROW(AV85)-ROW(AV$15),0),
              ROUND(ROUND(OFFSET($P85,0,AV$13),15-13*ORÇAMENTO!$AF$7)*OFFSET(ORÇAMENTO!$W$15,ROW(AV85)-ROW(AV$15),0),15-13*ORÇAMENTO!$AF$11)),
         0)</f>
        <v>0</v>
      </c>
      <c r="AW85" s="453">
        <f ca="1">IF(AND($D85="Serviço",AW$12&lt;&gt;0,$H85&gt;0,OR(AUTOEVENTO&lt;&gt;"manual",$M85&lt;&gt;$A$15)),
        IF(Import.TipoArredondamento&lt;&gt;"TransfereGOV",
              ROUND(OFFSET($P85,0,AW$13),15-13*ORÇAMENTO!$AF$7)/$H85*OFFSET(ORÇAMENTO!$X$15,ROW(AW85)-ROW(AW$15),0),
              ROUND(ROUND(OFFSET($P85,0,AW$13),15-13*ORÇAMENTO!$AF$7)*OFFSET(ORÇAMENTO!$W$15,ROW(AW85)-ROW(AW$15),0),15-13*ORÇAMENTO!$AF$11)),
         0)</f>
        <v>0</v>
      </c>
      <c r="AX85" s="453">
        <f ca="1">IF(AND($D85="Serviço",AX$12&lt;&gt;0,$H85&gt;0,OR(AUTOEVENTO&lt;&gt;"manual",$M85&lt;&gt;$A$15)),
        IF(Import.TipoArredondamento&lt;&gt;"TransfereGOV",
              ROUND(OFFSET($P85,0,AX$13),15-13*ORÇAMENTO!$AF$7)/$H85*OFFSET(ORÇAMENTO!$X$15,ROW(AX85)-ROW(AX$15),0),
              ROUND(ROUND(OFFSET($P85,0,AX$13),15-13*ORÇAMENTO!$AF$7)*OFFSET(ORÇAMENTO!$W$15,ROW(AX85)-ROW(AX$15),0),15-13*ORÇAMENTO!$AF$11)),
         0)</f>
        <v>0</v>
      </c>
      <c r="AY85" s="453">
        <f ca="1">IF(AND($D85="Serviço",AY$12&lt;&gt;0,$H85&gt;0,OR(AUTOEVENTO&lt;&gt;"manual",$M85&lt;&gt;$A$15)),
        IF(Import.TipoArredondamento&lt;&gt;"TransfereGOV",
              ROUND(OFFSET($P85,0,AY$13),15-13*ORÇAMENTO!$AF$7)/$H85*OFFSET(ORÇAMENTO!$X$15,ROW(AY85)-ROW(AY$15),0),
              ROUND(ROUND(OFFSET($P85,0,AY$13),15-13*ORÇAMENTO!$AF$7)*OFFSET(ORÇAMENTO!$W$15,ROW(AY85)-ROW(AY$15),0),15-13*ORÇAMENTO!$AF$11)),
         0)</f>
        <v>0</v>
      </c>
      <c r="AZ85" s="453">
        <f ca="1">IF(AND($D85="Serviço",AZ$12&lt;&gt;0,$H85&gt;0,OR(AUTOEVENTO&lt;&gt;"manual",$M85&lt;&gt;$A$15)),
        IF(Import.TipoArredondamento&lt;&gt;"TransfereGOV",
              ROUND(OFFSET($P85,0,AZ$13),15-13*ORÇAMENTO!$AF$7)/$H85*OFFSET(ORÇAMENTO!$X$15,ROW(AZ85)-ROW(AZ$15),0),
              ROUND(ROUND(OFFSET($P85,0,AZ$13),15-13*ORÇAMENTO!$AF$7)*OFFSET(ORÇAMENTO!$W$15,ROW(AZ85)-ROW(AZ$15),0),15-13*ORÇAMENTO!$AF$11)),
         0)</f>
        <v>0</v>
      </c>
      <c r="BA85" s="453">
        <f ca="1">IF(AND($D85="Serviço",BA$12&lt;&gt;0,$H85&gt;0,OR(AUTOEVENTO&lt;&gt;"manual",$M85&lt;&gt;$A$15)),
        IF(Import.TipoArredondamento&lt;&gt;"TransfereGOV",
              ROUND(OFFSET($P85,0,BA$13),15-13*ORÇAMENTO!$AF$7)/$H85*OFFSET(ORÇAMENTO!$X$15,ROW(BA85)-ROW(BA$15),0),
              ROUND(ROUND(OFFSET($P85,0,BA$13),15-13*ORÇAMENTO!$AF$7)*OFFSET(ORÇAMENTO!$W$15,ROW(BA85)-ROW(BA$15),0),15-13*ORÇAMENTO!$AF$11)),
         0)</f>
        <v>0</v>
      </c>
      <c r="BC85" s="171">
        <f ca="1">IF(OR($D85&lt;&gt;"Serviço",AND(AUTOEVENTO="Manual",$M85=$A$15)),0,
         IF(OFFSET(CRONOPLE!$F$15,$M85-$A$15,BC$13)=0,10^12,OFFSET(CRONOPLE!$F$15,$M85-$A$15,BC$13)))</f>
        <v>1000000000000</v>
      </c>
      <c r="BD85" s="171">
        <f ca="1">IF(OR($D85&lt;&gt;"Serviço",AND(AUTOEVENTO="Manual",$M85=$A$15)),0,
         IF(OFFSET(CRONOPLE!$F$15,$M85-$A$15,BD$13)=0,10^12,OFFSET(CRONOPLE!$F$15,$M85-$A$15,BD$13)))</f>
        <v>1000000000000</v>
      </c>
      <c r="BE85" s="171">
        <f ca="1">IF(OR($D85&lt;&gt;"Serviço",AND(AUTOEVENTO="Manual",$M85=$A$15)),0,
         IF(OFFSET(CRONOPLE!$F$15,$M85-$A$15,BE$13)=0,10^12,OFFSET(CRONOPLE!$F$15,$M85-$A$15,BE$13)))</f>
        <v>6</v>
      </c>
      <c r="BF85" s="171">
        <f ca="1">IF(OR($D85&lt;&gt;"Serviço",AND(AUTOEVENTO="Manual",$M85=$A$15)),0,
         IF(OFFSET(CRONOPLE!$F$15,$M85-$A$15,BF$13)=0,10^12,OFFSET(CRONOPLE!$F$15,$M85-$A$15,BF$13)))</f>
        <v>1000000000000</v>
      </c>
      <c r="BG85" s="171">
        <f ca="1">IF(OR($D85&lt;&gt;"Serviço",AND(AUTOEVENTO="Manual",$M85=$A$15)),0,
         IF(OFFSET(CRONOPLE!$F$15,$M85-$A$15,BG$13)=0,10^12,OFFSET(CRONOPLE!$F$15,$M85-$A$15,BG$13)))</f>
        <v>9</v>
      </c>
      <c r="BH85" s="171">
        <f ca="1">IF(OR($D85&lt;&gt;"Serviço",AND(AUTOEVENTO="Manual",$M85=$A$15)),0,
         IF(OFFSET(CRONOPLE!$F$15,$M85-$A$15,BH$13)=0,10^12,OFFSET(CRONOPLE!$F$15,$M85-$A$15,BH$13)))</f>
        <v>7</v>
      </c>
      <c r="BI85" s="171">
        <f ca="1">IF(OR($D85&lt;&gt;"Serviço",AND(AUTOEVENTO="Manual",$M85=$A$15)),0,
         IF(OFFSET(CRONOPLE!$F$15,$M85-$A$15,BI$13)=0,10^12,OFFSET(CRONOPLE!$F$15,$M85-$A$15,BI$13)))</f>
        <v>10</v>
      </c>
      <c r="BJ85" s="171">
        <f ca="1">IF(OR($D85&lt;&gt;"Serviço",AND(AUTOEVENTO="Manual",$M85=$A$15)),0,
         IF(OFFSET(CRONOPLE!$F$15,$M85-$A$15,BJ$13)=0,10^12,OFFSET(CRONOPLE!$F$15,$M85-$A$15,BJ$13)))</f>
        <v>1000000000000</v>
      </c>
      <c r="BK85" s="171">
        <f ca="1">IF(OR($D85&lt;&gt;"Serviço",AND(AUTOEVENTO="Manual",$M85=$A$15)),0,
         IF(OFFSET(CRONOPLE!$F$15,$M85-$A$15,BK$13)=0,10^12,OFFSET(CRONOPLE!$F$15,$M85-$A$15,BK$13)))</f>
        <v>1000000000000</v>
      </c>
      <c r="BL85" s="171">
        <f ca="1">IF(OR($D85&lt;&gt;"Serviço",AND(AUTOEVENTO="Manual",$M85=$A$15)),0,
         IF(OFFSET(CRONOPLE!$F$15,$M85-$A$15,BL$13)=0,10^12,OFFSET(CRONOPLE!$F$15,$M85-$A$15,BL$13)))</f>
        <v>1000000000000</v>
      </c>
      <c r="BM85" s="171">
        <f ca="1">IF(OR($D85&lt;&gt;"Serviço",AND(AUTOEVENTO="Manual",$M85=$A$15)),0,
         IF(OFFSET(CRONOPLE!$F$15,$M85-$A$15,BM$13)=0,10^12,OFFSET(CRONOPLE!$F$15,$M85-$A$15,BM$13)))</f>
        <v>1000000000000</v>
      </c>
      <c r="BN85" s="171">
        <f ca="1">IF(OR($D85&lt;&gt;"Serviço",AND(AUTOEVENTO="Manual",$M85=$A$15)),0,
         IF(OFFSET(CRONOPLE!$F$15,$M85-$A$15,BN$13)=0,10^12,OFFSET(CRONOPLE!$F$15,$M85-$A$15,BN$13)))</f>
        <v>1000000000000</v>
      </c>
      <c r="BO85" s="171">
        <f ca="1">IF(OR($D85&lt;&gt;"Serviço",AND(AUTOEVENTO="Manual",$M85=$A$15)),0,
         IF(OFFSET(CRONOPLE!$F$15,$M85-$A$15,BO$13)=0,10^12,OFFSET(CRONOPLE!$F$15,$M85-$A$15,BO$13)))</f>
        <v>1000000000000</v>
      </c>
      <c r="BP85" s="171">
        <f ca="1">IF(OR($D85&lt;&gt;"Serviço",AND(AUTOEVENTO="Manual",$M85=$A$15)),0,
         IF(OFFSET(CRONOPLE!$F$15,$M85-$A$15,BP$13)=0,10^12,OFFSET(CRONOPLE!$F$15,$M85-$A$15,BP$13)))</f>
        <v>1000000000000</v>
      </c>
      <c r="BQ85" s="171">
        <f ca="1">IF(OR($D85&lt;&gt;"Serviço",AND(AUTOEVENTO="Manual",$M85=$A$15)),0,
         IF(OFFSET(CRONOPLE!$F$15,$M85-$A$15,BQ$13)=0,10^12,OFFSET(CRONOPLE!$F$15,$M85-$A$15,BQ$13)))</f>
        <v>1000000000000</v>
      </c>
      <c r="BR85" s="171">
        <f ca="1">IF(OR($D85&lt;&gt;"Serviço",AND(AUTOEVENTO="Manual",$M85=$A$15)),0,
         IF(OFFSET(CRONOPLE!$F$15,$M85-$A$15,BR$13)=0,10^12,OFFSET(CRONOPLE!$F$15,$M85-$A$15,BR$13)))</f>
        <v>1000000000000</v>
      </c>
      <c r="BS85" s="171">
        <f ca="1">IF(OR($D85&lt;&gt;"Serviço",AND(AUTOEVENTO="Manual",$M85=$A$15)),0,
         IF(OFFSET(CRONOPLE!$F$15,$M85-$A$15,BS$13)=0,10^12,OFFSET(CRONOPLE!$F$15,$M85-$A$15,BS$13)))</f>
        <v>1000000000000</v>
      </c>
      <c r="BT85" s="171">
        <f ca="1">IF(OR($D85&lt;&gt;"Serviço",AND(AUTOEVENTO="Manual",$M85=$A$15)),0,
         IF(OFFSET(CRONOPLE!$F$15,$M85-$A$15,BT$13)=0,10^12,OFFSET(CRONOPLE!$F$15,$M85-$A$15,BT$13)))</f>
        <v>1000000000000</v>
      </c>
      <c r="BV85" s="172" cm="1">
        <f t="array" aca="1" ref="BV85" ca="1">IF(OR($D85&lt;&gt;"Serviço",AND(AUTOEVENTO="Manual",$M85=$A$15),$M85&gt;(ROW(PLE.lastrow)-ROW(PLE.firstrow))),0,
           IF(OFFSET(PLE!$G$15,$M85-$A$15,BV$13)="",10^12,OFFSET(PLE!$G$15,$M85-$A$15,BV$13)))</f>
        <v>1000000000000</v>
      </c>
      <c r="BW85" s="172" cm="1">
        <f t="array" aca="1" ref="BW85" ca="1">IF(OR($D85&lt;&gt;"Serviço",AND(AUTOEVENTO="Manual",$M85=$A$15),$M85&gt;(ROW(PLE.lastrow)-ROW(PLE.firstrow))),0,
           IF(OFFSET(PLE!$G$15,$M85-$A$15,BW$13)="",10^12,OFFSET(PLE!$G$15,$M85-$A$15,BW$13)))</f>
        <v>1000000000000</v>
      </c>
      <c r="BX85" s="172" cm="1">
        <f t="array" aca="1" ref="BX85" ca="1">IF(OR($D85&lt;&gt;"Serviço",AND(AUTOEVENTO="Manual",$M85=$A$15),$M85&gt;(ROW(PLE.lastrow)-ROW(PLE.firstrow))),0,
           IF(OFFSET(PLE!$G$15,$M85-$A$15,BX$13)="",10^12,OFFSET(PLE!$G$15,$M85-$A$15,BX$13)))</f>
        <v>1000000000000</v>
      </c>
      <c r="BY85" s="172" cm="1">
        <f t="array" aca="1" ref="BY85" ca="1">IF(OR($D85&lt;&gt;"Serviço",AND(AUTOEVENTO="Manual",$M85=$A$15),$M85&gt;(ROW(PLE.lastrow)-ROW(PLE.firstrow))),0,
           IF(OFFSET(PLE!$G$15,$M85-$A$15,BY$13)="",10^12,OFFSET(PLE!$G$15,$M85-$A$15,BY$13)))</f>
        <v>1000000000000</v>
      </c>
      <c r="BZ85" s="172" cm="1">
        <f t="array" aca="1" ref="BZ85" ca="1">IF(OR($D85&lt;&gt;"Serviço",AND(AUTOEVENTO="Manual",$M85=$A$15),$M85&gt;(ROW(PLE.lastrow)-ROW(PLE.firstrow))),0,
           IF(OFFSET(PLE!$G$15,$M85-$A$15,BZ$13)="",10^12,OFFSET(PLE!$G$15,$M85-$A$15,BZ$13)))</f>
        <v>1000000000000</v>
      </c>
      <c r="CA85" s="172" cm="1">
        <f t="array" aca="1" ref="CA85" ca="1">IF(OR($D85&lt;&gt;"Serviço",AND(AUTOEVENTO="Manual",$M85=$A$15),$M85&gt;(ROW(PLE.lastrow)-ROW(PLE.firstrow))),0,
           IF(OFFSET(PLE!$G$15,$M85-$A$15,CA$13)="",10^12,OFFSET(PLE!$G$15,$M85-$A$15,CA$13)))</f>
        <v>1000000000000</v>
      </c>
      <c r="CB85" s="172" cm="1">
        <f t="array" aca="1" ref="CB85" ca="1">IF(OR($D85&lt;&gt;"Serviço",AND(AUTOEVENTO="Manual",$M85=$A$15),$M85&gt;(ROW(PLE.lastrow)-ROW(PLE.firstrow))),0,
           IF(OFFSET(PLE!$G$15,$M85-$A$15,CB$13)="",10^12,OFFSET(PLE!$G$15,$M85-$A$15,CB$13)))</f>
        <v>1000000000000</v>
      </c>
      <c r="CC85" s="172" cm="1">
        <f t="array" aca="1" ref="CC85" ca="1">IF(OR($D85&lt;&gt;"Serviço",AND(AUTOEVENTO="Manual",$M85=$A$15),$M85&gt;(ROW(PLE.lastrow)-ROW(PLE.firstrow))),0,
           IF(OFFSET(PLE!$G$15,$M85-$A$15,CC$13)="",10^12,OFFSET(PLE!$G$15,$M85-$A$15,CC$13)))</f>
        <v>1000000000000</v>
      </c>
      <c r="CD85" s="172" cm="1">
        <f t="array" aca="1" ref="CD85" ca="1">IF(OR($D85&lt;&gt;"Serviço",AND(AUTOEVENTO="Manual",$M85=$A$15),$M85&gt;(ROW(PLE.lastrow)-ROW(PLE.firstrow))),0,
           IF(OFFSET(PLE!$G$15,$M85-$A$15,CD$13)="",10^12,OFFSET(PLE!$G$15,$M85-$A$15,CD$13)))</f>
        <v>1000000000000</v>
      </c>
      <c r="CE85" s="172" cm="1">
        <f t="array" aca="1" ref="CE85" ca="1">IF(OR($D85&lt;&gt;"Serviço",AND(AUTOEVENTO="Manual",$M85=$A$15),$M85&gt;(ROW(PLE.lastrow)-ROW(PLE.firstrow))),0,
           IF(OFFSET(PLE!$G$15,$M85-$A$15,CE$13)="",10^12,OFFSET(PLE!$G$15,$M85-$A$15,CE$13)))</f>
        <v>1000000000000</v>
      </c>
      <c r="CF85" s="172" cm="1">
        <f t="array" aca="1" ref="CF85" ca="1">IF(OR($D85&lt;&gt;"Serviço",AND(AUTOEVENTO="Manual",$M85=$A$15),$M85&gt;(ROW(PLE.lastrow)-ROW(PLE.firstrow))),0,
           IF(OFFSET(PLE!$G$15,$M85-$A$15,CF$13)="",10^12,OFFSET(PLE!$G$15,$M85-$A$15,CF$13)))</f>
        <v>1000000000000</v>
      </c>
      <c r="CG85" s="172" cm="1">
        <f t="array" aca="1" ref="CG85" ca="1">IF(OR($D85&lt;&gt;"Serviço",AND(AUTOEVENTO="Manual",$M85=$A$15),$M85&gt;(ROW(PLE.lastrow)-ROW(PLE.firstrow))),0,
           IF(OFFSET(PLE!$G$15,$M85-$A$15,CG$13)="",10^12,OFFSET(PLE!$G$15,$M85-$A$15,CG$13)))</f>
        <v>1000000000000</v>
      </c>
      <c r="CH85" s="172" cm="1">
        <f t="array" aca="1" ref="CH85" ca="1">IF(OR($D85&lt;&gt;"Serviço",AND(AUTOEVENTO="Manual",$M85=$A$15),$M85&gt;(ROW(PLE.lastrow)-ROW(PLE.firstrow))),0,
           IF(OFFSET(PLE!$G$15,$M85-$A$15,CH$13)="",10^12,OFFSET(PLE!$G$15,$M85-$A$15,CH$13)))</f>
        <v>1000000000000</v>
      </c>
      <c r="CI85" s="172" cm="1">
        <f t="array" aca="1" ref="CI85" ca="1">IF(OR($D85&lt;&gt;"Serviço",AND(AUTOEVENTO="Manual",$M85=$A$15),$M85&gt;(ROW(PLE.lastrow)-ROW(PLE.firstrow))),0,
           IF(OFFSET(PLE!$G$15,$M85-$A$15,CI$13)="",10^12,OFFSET(PLE!$G$15,$M85-$A$15,CI$13)))</f>
        <v>1000000000000</v>
      </c>
      <c r="CJ85" s="172" cm="1">
        <f t="array" aca="1" ref="CJ85" ca="1">IF(OR($D85&lt;&gt;"Serviço",AND(AUTOEVENTO="Manual",$M85=$A$15),$M85&gt;(ROW(PLE.lastrow)-ROW(PLE.firstrow))),0,
           IF(OFFSET(PLE!$G$15,$M85-$A$15,CJ$13)="",10^12,OFFSET(PLE!$G$15,$M85-$A$15,CJ$13)))</f>
        <v>1000000000000</v>
      </c>
      <c r="CK85" s="172" cm="1">
        <f t="array" aca="1" ref="CK85" ca="1">IF(OR($D85&lt;&gt;"Serviço",AND(AUTOEVENTO="Manual",$M85=$A$15),$M85&gt;(ROW(PLE.lastrow)-ROW(PLE.firstrow))),0,
           IF(OFFSET(PLE!$G$15,$M85-$A$15,CK$13)="",10^12,OFFSET(PLE!$G$15,$M85-$A$15,CK$13)))</f>
        <v>1000000000000</v>
      </c>
      <c r="CL85" s="172" cm="1">
        <f t="array" aca="1" ref="CL85" ca="1">IF(OR($D85&lt;&gt;"Serviço",AND(AUTOEVENTO="Manual",$M85=$A$15),$M85&gt;(ROW(PLE.lastrow)-ROW(PLE.firstrow))),0,
           IF(OFFSET(PLE!$G$15,$M85-$A$15,CL$13)="",10^12,OFFSET(PLE!$G$15,$M85-$A$15,CL$13)))</f>
        <v>1000000000000</v>
      </c>
      <c r="CM85" s="172" cm="1">
        <f t="array" aca="1" ref="CM85" ca="1">IF(OR($D85&lt;&gt;"Serviço",AND(AUTOEVENTO="Manual",$M85=$A$15),$M85&gt;(ROW(PLE.lastrow)-ROW(PLE.firstrow))),0,
           IF(OFFSET(PLE!$G$15,$M85-$A$15,CM$13)="",10^12,OFFSET(PLE!$G$15,$M85-$A$15,CM$13)))</f>
        <v>1000000000000</v>
      </c>
    </row>
    <row r="86" spans="1:91" s="670" customFormat="1" ht="38.25" x14ac:dyDescent="0.2">
      <c r="A86" s="668">
        <f t="shared" ca="1" si="12"/>
        <v>11</v>
      </c>
      <c r="B86" s="668" t="str">
        <f ca="1">OFFSET(ORÇAMENTO!C$15,$L86,0)</f>
        <v>S</v>
      </c>
      <c r="C86" s="668" t="str">
        <f ca="1">OFFSET(ORÇAMENTO!L$15,$L86,0)</f>
        <v>F</v>
      </c>
      <c r="D86" s="116" t="str">
        <f ca="1">OFFSET(ORÇAMENTO!N$15,$L86,0)</f>
        <v>Serviço</v>
      </c>
      <c r="E86" s="117" t="str">
        <f ca="1">OFFSET(ORÇAMENTO!O$15,$L86,0)</f>
        <v>1.11.3.</v>
      </c>
      <c r="F86" s="163" t="str">
        <f ca="1">OFFSET(ORÇAMENTO!R$15,$L86,0)</f>
        <v>ARMAÇÃO DE ESTRUTURAS DIVERSAS DE CONCRETO ARMADO, EXCETO VIGAS, PILARES, LAJES E FUNDAÇÕES, UTILIZANDO AÇO CA-50 DE 10,0 MM - MONTAGEM. AF_06/2022</v>
      </c>
      <c r="G86" s="164" t="str">
        <f ca="1">IF($D86&lt;&gt;"Serviço","",OFFSET(ORÇAMENTO!S$15,$L86,0))</f>
        <v>KG</v>
      </c>
      <c r="H86" s="122" cm="1">
        <f t="array" aca="1" ref="H86" ca="1">IF($D86&lt;&gt;"Serviço",0,IF(ACOMPANHAMENTO="BM",ROUND(OFFSET(ORÇAMENTO!AJ$15,$L86,0),15-13*ORÇAMENTO!$AF$7),IF(IFERROR(CÁLCULO.FrentesPreenchidas,0)=0,0,SUM(ROUND(OFFSET($P86,0,1,1,CÁLCULO.FrentesPreenchidas),15-13*ORÇAMENTO!$AF$7)))))</f>
        <v>1200</v>
      </c>
      <c r="I86" s="468" t="s">
        <v>1162</v>
      </c>
      <c r="J86" s="651" t="str" cm="1">
        <f t="array" aca="1" ref="J86" ca="1">IF(OR(B86&lt;&gt;"S",CÁLCULO.FrentesPreenchidas=0),"",IF(AND(ACOMPANHAMENTO="PLE",AUTOEVENTO="Manual",OR(H86&gt;0,ORÇAMENTO!AC86="QUANT."),OR(K86="",M86=0,N86="")),"►E",IF(AND(ACOMPANHAMENTO="PLE",ORÇAMENTO!AC86="QUANT."),"►Q",IF(AND(ACOMPANHAMENTO="PLE",H86&lt;&gt;SUMPRODUCT(($Q$1:$AI$1=1)*ROUND(Q86:AI86,15))),"►S",IF(AND(COUNTIF($P$11:$AI$11,"▼")=0,H86&gt;0,I86=""),"◄M","")))))</f>
        <v/>
      </c>
      <c r="K86" s="652" t="s">
        <v>1340</v>
      </c>
      <c r="L86" s="165">
        <f t="shared" ca="1" si="13"/>
        <v>71</v>
      </c>
      <c r="M86" s="166">
        <f ca="1">IF($D86&lt;&gt;"Serviço","",
          IF(AUTOEVENTO="manual",$A86,
                IF(ISERROR(MATCH($A86,$A$15:OFFSET($A86,-1,0),0)),MAX($M$15:OFFSET(M86,-1,0))+1,
                      INDEX($M$15:OFFSET(M86,-1,0),MATCH($A86,$A$15:OFFSET($A86,-1,0),0)))))</f>
        <v>11</v>
      </c>
      <c r="N86" s="167" t="str">
        <f ca="1">IF($D86&lt;&gt;"Serviço","",
         IF(AUTOEVENTO="Manual",
                IF($A86=0,"&lt;-- defina o número do agrupador",
                       OFFSET(EVENTOS!$D$15,$A86-$A$15,0)),
                OFFSET($F$15,$A86,0)))</f>
        <v>Fundação - Armação</v>
      </c>
      <c r="O86" s="168"/>
      <c r="Q86" s="168"/>
      <c r="R86" s="169"/>
      <c r="S86" s="169"/>
      <c r="T86" s="169"/>
      <c r="U86" s="169">
        <v>1200</v>
      </c>
      <c r="V86" s="169"/>
      <c r="W86" s="169"/>
      <c r="X86" s="169"/>
      <c r="Y86" s="169"/>
      <c r="Z86" s="170"/>
      <c r="AA86" s="705"/>
      <c r="AB86" s="705"/>
      <c r="AC86" s="705"/>
      <c r="AD86" s="705"/>
      <c r="AE86" s="705"/>
      <c r="AF86" s="705"/>
      <c r="AG86" s="705"/>
      <c r="AH86" s="706"/>
      <c r="AJ86" s="453">
        <f ca="1">IF(AND($D86="Serviço",AJ$12&lt;&gt;0,$H86&gt;0,OR(AUTOEVENTO&lt;&gt;"manual",$M86&lt;&gt;$A$15)),
        IF(Import.TipoArredondamento&lt;&gt;"TransfereGOV",
              ROUND(OFFSET($P86,0,AJ$13),15-13*ORÇAMENTO!$AF$7)/$H86*OFFSET(ORÇAMENTO!$X$15,ROW(AJ86)-ROW(AJ$15),0),
              ROUND(ROUND(OFFSET($P86,0,AJ$13),15-13*ORÇAMENTO!$AF$7)*OFFSET(ORÇAMENTO!$W$15,ROW(AJ86)-ROW(AJ$15),0),15-13*ORÇAMENTO!$AF$11)),
         0)</f>
        <v>0</v>
      </c>
      <c r="AK86" s="453">
        <f ca="1">IF(AND($D86="Serviço",AK$12&lt;&gt;0,$H86&gt;0,OR(AUTOEVENTO&lt;&gt;"manual",$M86&lt;&gt;$A$15)),
        IF(Import.TipoArredondamento&lt;&gt;"TransfereGOV",
              ROUND(OFFSET($P86,0,AK$13),15-13*ORÇAMENTO!$AF$7)/$H86*OFFSET(ORÇAMENTO!$X$15,ROW(AK86)-ROW(AK$15),0),
              ROUND(ROUND(OFFSET($P86,0,AK$13),15-13*ORÇAMENTO!$AF$7)*OFFSET(ORÇAMENTO!$W$15,ROW(AK86)-ROW(AK$15),0),15-13*ORÇAMENTO!$AF$11)),
         0)</f>
        <v>0</v>
      </c>
      <c r="AL86" s="453">
        <f ca="1">IF(AND($D86="Serviço",AL$12&lt;&gt;0,$H86&gt;0,OR(AUTOEVENTO&lt;&gt;"manual",$M86&lt;&gt;$A$15)),
        IF(Import.TipoArredondamento&lt;&gt;"TransfereGOV",
              ROUND(OFFSET($P86,0,AL$13),15-13*ORÇAMENTO!$AF$7)/$H86*OFFSET(ORÇAMENTO!$X$15,ROW(AL86)-ROW(AL$15),0),
              ROUND(ROUND(OFFSET($P86,0,AL$13),15-13*ORÇAMENTO!$AF$7)*OFFSET(ORÇAMENTO!$W$15,ROW(AL86)-ROW(AL$15),0),15-13*ORÇAMENTO!$AF$11)),
         0)</f>
        <v>0</v>
      </c>
      <c r="AM86" s="453">
        <f ca="1">IF(AND($D86="Serviço",AM$12&lt;&gt;0,$H86&gt;0,OR(AUTOEVENTO&lt;&gt;"manual",$M86&lt;&gt;$A$15)),
        IF(Import.TipoArredondamento&lt;&gt;"TransfereGOV",
              ROUND(OFFSET($P86,0,AM$13),15-13*ORÇAMENTO!$AF$7)/$H86*OFFSET(ORÇAMENTO!$X$15,ROW(AM86)-ROW(AM$15),0),
              ROUND(ROUND(OFFSET($P86,0,AM$13),15-13*ORÇAMENTO!$AF$7)*OFFSET(ORÇAMENTO!$W$15,ROW(AM86)-ROW(AM$15),0),15-13*ORÇAMENTO!$AF$11)),
         0)</f>
        <v>0</v>
      </c>
      <c r="AN86" s="453">
        <f ca="1">IF(AND($D86="Serviço",AN$12&lt;&gt;0,$H86&gt;0,OR(AUTOEVENTO&lt;&gt;"manual",$M86&lt;&gt;$A$15)),
        IF(Import.TipoArredondamento&lt;&gt;"TransfereGOV",
              ROUND(OFFSET($P86,0,AN$13),15-13*ORÇAMENTO!$AF$7)/$H86*OFFSET(ORÇAMENTO!$X$15,ROW(AN86)-ROW(AN$15),0),
              ROUND(ROUND(OFFSET($P86,0,AN$13),15-13*ORÇAMENTO!$AF$7)*OFFSET(ORÇAMENTO!$W$15,ROW(AN86)-ROW(AN$15),0),15-13*ORÇAMENTO!$AF$11)),
         0)</f>
        <v>17412</v>
      </c>
      <c r="AO86" s="453">
        <f ca="1">IF(AND($D86="Serviço",AO$12&lt;&gt;0,$H86&gt;0,OR(AUTOEVENTO&lt;&gt;"manual",$M86&lt;&gt;$A$15)),
        IF(Import.TipoArredondamento&lt;&gt;"TransfereGOV",
              ROUND(OFFSET($P86,0,AO$13),15-13*ORÇAMENTO!$AF$7)/$H86*OFFSET(ORÇAMENTO!$X$15,ROW(AO86)-ROW(AO$15),0),
              ROUND(ROUND(OFFSET($P86,0,AO$13),15-13*ORÇAMENTO!$AF$7)*OFFSET(ORÇAMENTO!$W$15,ROW(AO86)-ROW(AO$15),0),15-13*ORÇAMENTO!$AF$11)),
         0)</f>
        <v>0</v>
      </c>
      <c r="AP86" s="453">
        <f ca="1">IF(AND($D86="Serviço",AP$12&lt;&gt;0,$H86&gt;0,OR(AUTOEVENTO&lt;&gt;"manual",$M86&lt;&gt;$A$15)),
        IF(Import.TipoArredondamento&lt;&gt;"TransfereGOV",
              ROUND(OFFSET($P86,0,AP$13),15-13*ORÇAMENTO!$AF$7)/$H86*OFFSET(ORÇAMENTO!$X$15,ROW(AP86)-ROW(AP$15),0),
              ROUND(ROUND(OFFSET($P86,0,AP$13),15-13*ORÇAMENTO!$AF$7)*OFFSET(ORÇAMENTO!$W$15,ROW(AP86)-ROW(AP$15),0),15-13*ORÇAMENTO!$AF$11)),
         0)</f>
        <v>0</v>
      </c>
      <c r="AQ86" s="453">
        <f ca="1">IF(AND($D86="Serviço",AQ$12&lt;&gt;0,$H86&gt;0,OR(AUTOEVENTO&lt;&gt;"manual",$M86&lt;&gt;$A$15)),
        IF(Import.TipoArredondamento&lt;&gt;"TransfereGOV",
              ROUND(OFFSET($P86,0,AQ$13),15-13*ORÇAMENTO!$AF$7)/$H86*OFFSET(ORÇAMENTO!$X$15,ROW(AQ86)-ROW(AQ$15),0),
              ROUND(ROUND(OFFSET($P86,0,AQ$13),15-13*ORÇAMENTO!$AF$7)*OFFSET(ORÇAMENTO!$W$15,ROW(AQ86)-ROW(AQ$15),0),15-13*ORÇAMENTO!$AF$11)),
         0)</f>
        <v>0</v>
      </c>
      <c r="AR86" s="453">
        <f ca="1">IF(AND($D86="Serviço",AR$12&lt;&gt;0,$H86&gt;0,OR(AUTOEVENTO&lt;&gt;"manual",$M86&lt;&gt;$A$15)),
        IF(Import.TipoArredondamento&lt;&gt;"TransfereGOV",
              ROUND(OFFSET($P86,0,AR$13),15-13*ORÇAMENTO!$AF$7)/$H86*OFFSET(ORÇAMENTO!$X$15,ROW(AR86)-ROW(AR$15),0),
              ROUND(ROUND(OFFSET($P86,0,AR$13),15-13*ORÇAMENTO!$AF$7)*OFFSET(ORÇAMENTO!$W$15,ROW(AR86)-ROW(AR$15),0),15-13*ORÇAMENTO!$AF$11)),
         0)</f>
        <v>0</v>
      </c>
      <c r="AS86" s="453">
        <f ca="1">IF(AND($D86="Serviço",AS$12&lt;&gt;0,$H86&gt;0,OR(AUTOEVENTO&lt;&gt;"manual",$M86&lt;&gt;$A$15)),
        IF(Import.TipoArredondamento&lt;&gt;"TransfereGOV",
              ROUND(OFFSET($P86,0,AS$13),15-13*ORÇAMENTO!$AF$7)/$H86*OFFSET(ORÇAMENTO!$X$15,ROW(AS86)-ROW(AS$15),0),
              ROUND(ROUND(OFFSET($P86,0,AS$13),15-13*ORÇAMENTO!$AF$7)*OFFSET(ORÇAMENTO!$W$15,ROW(AS86)-ROW(AS$15),0),15-13*ORÇAMENTO!$AF$11)),
         0)</f>
        <v>0</v>
      </c>
      <c r="AT86" s="453">
        <f ca="1">IF(AND($D86="Serviço",AT$12&lt;&gt;0,$H86&gt;0,OR(AUTOEVENTO&lt;&gt;"manual",$M86&lt;&gt;$A$15)),
        IF(Import.TipoArredondamento&lt;&gt;"TransfereGOV",
              ROUND(OFFSET($P86,0,AT$13),15-13*ORÇAMENTO!$AF$7)/$H86*OFFSET(ORÇAMENTO!$X$15,ROW(AT86)-ROW(AT$15),0),
              ROUND(ROUND(OFFSET($P86,0,AT$13),15-13*ORÇAMENTO!$AF$7)*OFFSET(ORÇAMENTO!$W$15,ROW(AT86)-ROW(AT$15),0),15-13*ORÇAMENTO!$AF$11)),
         0)</f>
        <v>0</v>
      </c>
      <c r="AU86" s="453">
        <f ca="1">IF(AND($D86="Serviço",AU$12&lt;&gt;0,$H86&gt;0,OR(AUTOEVENTO&lt;&gt;"manual",$M86&lt;&gt;$A$15)),
        IF(Import.TipoArredondamento&lt;&gt;"TransfereGOV",
              ROUND(OFFSET($P86,0,AU$13),15-13*ORÇAMENTO!$AF$7)/$H86*OFFSET(ORÇAMENTO!$X$15,ROW(AU86)-ROW(AU$15),0),
              ROUND(ROUND(OFFSET($P86,0,AU$13),15-13*ORÇAMENTO!$AF$7)*OFFSET(ORÇAMENTO!$W$15,ROW(AU86)-ROW(AU$15),0),15-13*ORÇAMENTO!$AF$11)),
         0)</f>
        <v>0</v>
      </c>
      <c r="AV86" s="453">
        <f ca="1">IF(AND($D86="Serviço",AV$12&lt;&gt;0,$H86&gt;0,OR(AUTOEVENTO&lt;&gt;"manual",$M86&lt;&gt;$A$15)),
        IF(Import.TipoArredondamento&lt;&gt;"TransfereGOV",
              ROUND(OFFSET($P86,0,AV$13),15-13*ORÇAMENTO!$AF$7)/$H86*OFFSET(ORÇAMENTO!$X$15,ROW(AV86)-ROW(AV$15),0),
              ROUND(ROUND(OFFSET($P86,0,AV$13),15-13*ORÇAMENTO!$AF$7)*OFFSET(ORÇAMENTO!$W$15,ROW(AV86)-ROW(AV$15),0),15-13*ORÇAMENTO!$AF$11)),
         0)</f>
        <v>0</v>
      </c>
      <c r="AW86" s="453">
        <f ca="1">IF(AND($D86="Serviço",AW$12&lt;&gt;0,$H86&gt;0,OR(AUTOEVENTO&lt;&gt;"manual",$M86&lt;&gt;$A$15)),
        IF(Import.TipoArredondamento&lt;&gt;"TransfereGOV",
              ROUND(OFFSET($P86,0,AW$13),15-13*ORÇAMENTO!$AF$7)/$H86*OFFSET(ORÇAMENTO!$X$15,ROW(AW86)-ROW(AW$15),0),
              ROUND(ROUND(OFFSET($P86,0,AW$13),15-13*ORÇAMENTO!$AF$7)*OFFSET(ORÇAMENTO!$W$15,ROW(AW86)-ROW(AW$15),0),15-13*ORÇAMENTO!$AF$11)),
         0)</f>
        <v>0</v>
      </c>
      <c r="AX86" s="453">
        <f ca="1">IF(AND($D86="Serviço",AX$12&lt;&gt;0,$H86&gt;0,OR(AUTOEVENTO&lt;&gt;"manual",$M86&lt;&gt;$A$15)),
        IF(Import.TipoArredondamento&lt;&gt;"TransfereGOV",
              ROUND(OFFSET($P86,0,AX$13),15-13*ORÇAMENTO!$AF$7)/$H86*OFFSET(ORÇAMENTO!$X$15,ROW(AX86)-ROW(AX$15),0),
              ROUND(ROUND(OFFSET($P86,0,AX$13),15-13*ORÇAMENTO!$AF$7)*OFFSET(ORÇAMENTO!$W$15,ROW(AX86)-ROW(AX$15),0),15-13*ORÇAMENTO!$AF$11)),
         0)</f>
        <v>0</v>
      </c>
      <c r="AY86" s="453">
        <f ca="1">IF(AND($D86="Serviço",AY$12&lt;&gt;0,$H86&gt;0,OR(AUTOEVENTO&lt;&gt;"manual",$M86&lt;&gt;$A$15)),
        IF(Import.TipoArredondamento&lt;&gt;"TransfereGOV",
              ROUND(OFFSET($P86,0,AY$13),15-13*ORÇAMENTO!$AF$7)/$H86*OFFSET(ORÇAMENTO!$X$15,ROW(AY86)-ROW(AY$15),0),
              ROUND(ROUND(OFFSET($P86,0,AY$13),15-13*ORÇAMENTO!$AF$7)*OFFSET(ORÇAMENTO!$W$15,ROW(AY86)-ROW(AY$15),0),15-13*ORÇAMENTO!$AF$11)),
         0)</f>
        <v>0</v>
      </c>
      <c r="AZ86" s="453">
        <f ca="1">IF(AND($D86="Serviço",AZ$12&lt;&gt;0,$H86&gt;0,OR(AUTOEVENTO&lt;&gt;"manual",$M86&lt;&gt;$A$15)),
        IF(Import.TipoArredondamento&lt;&gt;"TransfereGOV",
              ROUND(OFFSET($P86,0,AZ$13),15-13*ORÇAMENTO!$AF$7)/$H86*OFFSET(ORÇAMENTO!$X$15,ROW(AZ86)-ROW(AZ$15),0),
              ROUND(ROUND(OFFSET($P86,0,AZ$13),15-13*ORÇAMENTO!$AF$7)*OFFSET(ORÇAMENTO!$W$15,ROW(AZ86)-ROW(AZ$15),0),15-13*ORÇAMENTO!$AF$11)),
         0)</f>
        <v>0</v>
      </c>
      <c r="BA86" s="453">
        <f ca="1">IF(AND($D86="Serviço",BA$12&lt;&gt;0,$H86&gt;0,OR(AUTOEVENTO&lt;&gt;"manual",$M86&lt;&gt;$A$15)),
        IF(Import.TipoArredondamento&lt;&gt;"TransfereGOV",
              ROUND(OFFSET($P86,0,BA$13),15-13*ORÇAMENTO!$AF$7)/$H86*OFFSET(ORÇAMENTO!$X$15,ROW(BA86)-ROW(BA$15),0),
              ROUND(ROUND(OFFSET($P86,0,BA$13),15-13*ORÇAMENTO!$AF$7)*OFFSET(ORÇAMENTO!$W$15,ROW(BA86)-ROW(BA$15),0),15-13*ORÇAMENTO!$AF$11)),
         0)</f>
        <v>0</v>
      </c>
      <c r="BC86" s="171">
        <f ca="1">IF(OR($D86&lt;&gt;"Serviço",AND(AUTOEVENTO="Manual",$M86=$A$15)),0,
         IF(OFFSET(CRONOPLE!$F$15,$M86-$A$15,BC$13)=0,10^12,OFFSET(CRONOPLE!$F$15,$M86-$A$15,BC$13)))</f>
        <v>1000000000000</v>
      </c>
      <c r="BD86" s="171">
        <f ca="1">IF(OR($D86&lt;&gt;"Serviço",AND(AUTOEVENTO="Manual",$M86=$A$15)),0,
         IF(OFFSET(CRONOPLE!$F$15,$M86-$A$15,BD$13)=0,10^12,OFFSET(CRONOPLE!$F$15,$M86-$A$15,BD$13)))</f>
        <v>1000000000000</v>
      </c>
      <c r="BE86" s="171">
        <f ca="1">IF(OR($D86&lt;&gt;"Serviço",AND(AUTOEVENTO="Manual",$M86=$A$15)),0,
         IF(OFFSET(CRONOPLE!$F$15,$M86-$A$15,BE$13)=0,10^12,OFFSET(CRONOPLE!$F$15,$M86-$A$15,BE$13)))</f>
        <v>6</v>
      </c>
      <c r="BF86" s="171">
        <f ca="1">IF(OR($D86&lt;&gt;"Serviço",AND(AUTOEVENTO="Manual",$M86=$A$15)),0,
         IF(OFFSET(CRONOPLE!$F$15,$M86-$A$15,BF$13)=0,10^12,OFFSET(CRONOPLE!$F$15,$M86-$A$15,BF$13)))</f>
        <v>10</v>
      </c>
      <c r="BG86" s="171">
        <f ca="1">IF(OR($D86&lt;&gt;"Serviço",AND(AUTOEVENTO="Manual",$M86=$A$15)),0,
         IF(OFFSET(CRONOPLE!$F$15,$M86-$A$15,BG$13)=0,10^12,OFFSET(CRONOPLE!$F$15,$M86-$A$15,BG$13)))</f>
        <v>9</v>
      </c>
      <c r="BH86" s="171">
        <f ca="1">IF(OR($D86&lt;&gt;"Serviço",AND(AUTOEVENTO="Manual",$M86=$A$15)),0,
         IF(OFFSET(CRONOPLE!$F$15,$M86-$A$15,BH$13)=0,10^12,OFFSET(CRONOPLE!$F$15,$M86-$A$15,BH$13)))</f>
        <v>7</v>
      </c>
      <c r="BI86" s="171">
        <f ca="1">IF(OR($D86&lt;&gt;"Serviço",AND(AUTOEVENTO="Manual",$M86=$A$15)),0,
         IF(OFFSET(CRONOPLE!$F$15,$M86-$A$15,BI$13)=0,10^12,OFFSET(CRONOPLE!$F$15,$M86-$A$15,BI$13)))</f>
        <v>10</v>
      </c>
      <c r="BJ86" s="171">
        <f ca="1">IF(OR($D86&lt;&gt;"Serviço",AND(AUTOEVENTO="Manual",$M86=$A$15)),0,
         IF(OFFSET(CRONOPLE!$F$15,$M86-$A$15,BJ$13)=0,10^12,OFFSET(CRONOPLE!$F$15,$M86-$A$15,BJ$13)))</f>
        <v>1000000000000</v>
      </c>
      <c r="BK86" s="171">
        <f ca="1">IF(OR($D86&lt;&gt;"Serviço",AND(AUTOEVENTO="Manual",$M86=$A$15)),0,
         IF(OFFSET(CRONOPLE!$F$15,$M86-$A$15,BK$13)=0,10^12,OFFSET(CRONOPLE!$F$15,$M86-$A$15,BK$13)))</f>
        <v>1000000000000</v>
      </c>
      <c r="BL86" s="171">
        <f ca="1">IF(OR($D86&lt;&gt;"Serviço",AND(AUTOEVENTO="Manual",$M86=$A$15)),0,
         IF(OFFSET(CRONOPLE!$F$15,$M86-$A$15,BL$13)=0,10^12,OFFSET(CRONOPLE!$F$15,$M86-$A$15,BL$13)))</f>
        <v>1000000000000</v>
      </c>
      <c r="BM86" s="171">
        <f ca="1">IF(OR($D86&lt;&gt;"Serviço",AND(AUTOEVENTO="Manual",$M86=$A$15)),0,
         IF(OFFSET(CRONOPLE!$F$15,$M86-$A$15,BM$13)=0,10^12,OFFSET(CRONOPLE!$F$15,$M86-$A$15,BM$13)))</f>
        <v>1000000000000</v>
      </c>
      <c r="BN86" s="171">
        <f ca="1">IF(OR($D86&lt;&gt;"Serviço",AND(AUTOEVENTO="Manual",$M86=$A$15)),0,
         IF(OFFSET(CRONOPLE!$F$15,$M86-$A$15,BN$13)=0,10^12,OFFSET(CRONOPLE!$F$15,$M86-$A$15,BN$13)))</f>
        <v>1000000000000</v>
      </c>
      <c r="BO86" s="171">
        <f ca="1">IF(OR($D86&lt;&gt;"Serviço",AND(AUTOEVENTO="Manual",$M86=$A$15)),0,
         IF(OFFSET(CRONOPLE!$F$15,$M86-$A$15,BO$13)=0,10^12,OFFSET(CRONOPLE!$F$15,$M86-$A$15,BO$13)))</f>
        <v>1000000000000</v>
      </c>
      <c r="BP86" s="171">
        <f ca="1">IF(OR($D86&lt;&gt;"Serviço",AND(AUTOEVENTO="Manual",$M86=$A$15)),0,
         IF(OFFSET(CRONOPLE!$F$15,$M86-$A$15,BP$13)=0,10^12,OFFSET(CRONOPLE!$F$15,$M86-$A$15,BP$13)))</f>
        <v>1000000000000</v>
      </c>
      <c r="BQ86" s="171">
        <f ca="1">IF(OR($D86&lt;&gt;"Serviço",AND(AUTOEVENTO="Manual",$M86=$A$15)),0,
         IF(OFFSET(CRONOPLE!$F$15,$M86-$A$15,BQ$13)=0,10^12,OFFSET(CRONOPLE!$F$15,$M86-$A$15,BQ$13)))</f>
        <v>1000000000000</v>
      </c>
      <c r="BR86" s="171">
        <f ca="1">IF(OR($D86&lt;&gt;"Serviço",AND(AUTOEVENTO="Manual",$M86=$A$15)),0,
         IF(OFFSET(CRONOPLE!$F$15,$M86-$A$15,BR$13)=0,10^12,OFFSET(CRONOPLE!$F$15,$M86-$A$15,BR$13)))</f>
        <v>1000000000000</v>
      </c>
      <c r="BS86" s="171">
        <f ca="1">IF(OR($D86&lt;&gt;"Serviço",AND(AUTOEVENTO="Manual",$M86=$A$15)),0,
         IF(OFFSET(CRONOPLE!$F$15,$M86-$A$15,BS$13)=0,10^12,OFFSET(CRONOPLE!$F$15,$M86-$A$15,BS$13)))</f>
        <v>1000000000000</v>
      </c>
      <c r="BT86" s="171">
        <f ca="1">IF(OR($D86&lt;&gt;"Serviço",AND(AUTOEVENTO="Manual",$M86=$A$15)),0,
         IF(OFFSET(CRONOPLE!$F$15,$M86-$A$15,BT$13)=0,10^12,OFFSET(CRONOPLE!$F$15,$M86-$A$15,BT$13)))</f>
        <v>1000000000000</v>
      </c>
      <c r="BV86" s="172" cm="1">
        <f t="array" aca="1" ref="BV86" ca="1">IF(OR($D86&lt;&gt;"Serviço",AND(AUTOEVENTO="Manual",$M86=$A$15),$M86&gt;(ROW(PLE.lastrow)-ROW(PLE.firstrow))),0,
           IF(OFFSET(PLE!$G$15,$M86-$A$15,BV$13)="",10^12,OFFSET(PLE!$G$15,$M86-$A$15,BV$13)))</f>
        <v>1000000000000</v>
      </c>
      <c r="BW86" s="172" cm="1">
        <f t="array" aca="1" ref="BW86" ca="1">IF(OR($D86&lt;&gt;"Serviço",AND(AUTOEVENTO="Manual",$M86=$A$15),$M86&gt;(ROW(PLE.lastrow)-ROW(PLE.firstrow))),0,
           IF(OFFSET(PLE!$G$15,$M86-$A$15,BW$13)="",10^12,OFFSET(PLE!$G$15,$M86-$A$15,BW$13)))</f>
        <v>1000000000000</v>
      </c>
      <c r="BX86" s="172" cm="1">
        <f t="array" aca="1" ref="BX86" ca="1">IF(OR($D86&lt;&gt;"Serviço",AND(AUTOEVENTO="Manual",$M86=$A$15),$M86&gt;(ROW(PLE.lastrow)-ROW(PLE.firstrow))),0,
           IF(OFFSET(PLE!$G$15,$M86-$A$15,BX$13)="",10^12,OFFSET(PLE!$G$15,$M86-$A$15,BX$13)))</f>
        <v>1000000000000</v>
      </c>
      <c r="BY86" s="172" cm="1">
        <f t="array" aca="1" ref="BY86" ca="1">IF(OR($D86&lt;&gt;"Serviço",AND(AUTOEVENTO="Manual",$M86=$A$15),$M86&gt;(ROW(PLE.lastrow)-ROW(PLE.firstrow))),0,
           IF(OFFSET(PLE!$G$15,$M86-$A$15,BY$13)="",10^12,OFFSET(PLE!$G$15,$M86-$A$15,BY$13)))</f>
        <v>1000000000000</v>
      </c>
      <c r="BZ86" s="172" cm="1">
        <f t="array" aca="1" ref="BZ86" ca="1">IF(OR($D86&lt;&gt;"Serviço",AND(AUTOEVENTO="Manual",$M86=$A$15),$M86&gt;(ROW(PLE.lastrow)-ROW(PLE.firstrow))),0,
           IF(OFFSET(PLE!$G$15,$M86-$A$15,BZ$13)="",10^12,OFFSET(PLE!$G$15,$M86-$A$15,BZ$13)))</f>
        <v>1000000000000</v>
      </c>
      <c r="CA86" s="172" cm="1">
        <f t="array" aca="1" ref="CA86" ca="1">IF(OR($D86&lt;&gt;"Serviço",AND(AUTOEVENTO="Manual",$M86=$A$15),$M86&gt;(ROW(PLE.lastrow)-ROW(PLE.firstrow))),0,
           IF(OFFSET(PLE!$G$15,$M86-$A$15,CA$13)="",10^12,OFFSET(PLE!$G$15,$M86-$A$15,CA$13)))</f>
        <v>1000000000000</v>
      </c>
      <c r="CB86" s="172" cm="1">
        <f t="array" aca="1" ref="CB86" ca="1">IF(OR($D86&lt;&gt;"Serviço",AND(AUTOEVENTO="Manual",$M86=$A$15),$M86&gt;(ROW(PLE.lastrow)-ROW(PLE.firstrow))),0,
           IF(OFFSET(PLE!$G$15,$M86-$A$15,CB$13)="",10^12,OFFSET(PLE!$G$15,$M86-$A$15,CB$13)))</f>
        <v>1000000000000</v>
      </c>
      <c r="CC86" s="172" cm="1">
        <f t="array" aca="1" ref="CC86" ca="1">IF(OR($D86&lt;&gt;"Serviço",AND(AUTOEVENTO="Manual",$M86=$A$15),$M86&gt;(ROW(PLE.lastrow)-ROW(PLE.firstrow))),0,
           IF(OFFSET(PLE!$G$15,$M86-$A$15,CC$13)="",10^12,OFFSET(PLE!$G$15,$M86-$A$15,CC$13)))</f>
        <v>1000000000000</v>
      </c>
      <c r="CD86" s="172" cm="1">
        <f t="array" aca="1" ref="CD86" ca="1">IF(OR($D86&lt;&gt;"Serviço",AND(AUTOEVENTO="Manual",$M86=$A$15),$M86&gt;(ROW(PLE.lastrow)-ROW(PLE.firstrow))),0,
           IF(OFFSET(PLE!$G$15,$M86-$A$15,CD$13)="",10^12,OFFSET(PLE!$G$15,$M86-$A$15,CD$13)))</f>
        <v>1000000000000</v>
      </c>
      <c r="CE86" s="172" cm="1">
        <f t="array" aca="1" ref="CE86" ca="1">IF(OR($D86&lt;&gt;"Serviço",AND(AUTOEVENTO="Manual",$M86=$A$15),$M86&gt;(ROW(PLE.lastrow)-ROW(PLE.firstrow))),0,
           IF(OFFSET(PLE!$G$15,$M86-$A$15,CE$13)="",10^12,OFFSET(PLE!$G$15,$M86-$A$15,CE$13)))</f>
        <v>1000000000000</v>
      </c>
      <c r="CF86" s="172" cm="1">
        <f t="array" aca="1" ref="CF86" ca="1">IF(OR($D86&lt;&gt;"Serviço",AND(AUTOEVENTO="Manual",$M86=$A$15),$M86&gt;(ROW(PLE.lastrow)-ROW(PLE.firstrow))),0,
           IF(OFFSET(PLE!$G$15,$M86-$A$15,CF$13)="",10^12,OFFSET(PLE!$G$15,$M86-$A$15,CF$13)))</f>
        <v>1000000000000</v>
      </c>
      <c r="CG86" s="172" cm="1">
        <f t="array" aca="1" ref="CG86" ca="1">IF(OR($D86&lt;&gt;"Serviço",AND(AUTOEVENTO="Manual",$M86=$A$15),$M86&gt;(ROW(PLE.lastrow)-ROW(PLE.firstrow))),0,
           IF(OFFSET(PLE!$G$15,$M86-$A$15,CG$13)="",10^12,OFFSET(PLE!$G$15,$M86-$A$15,CG$13)))</f>
        <v>1000000000000</v>
      </c>
      <c r="CH86" s="172" cm="1">
        <f t="array" aca="1" ref="CH86" ca="1">IF(OR($D86&lt;&gt;"Serviço",AND(AUTOEVENTO="Manual",$M86=$A$15),$M86&gt;(ROW(PLE.lastrow)-ROW(PLE.firstrow))),0,
           IF(OFFSET(PLE!$G$15,$M86-$A$15,CH$13)="",10^12,OFFSET(PLE!$G$15,$M86-$A$15,CH$13)))</f>
        <v>1000000000000</v>
      </c>
      <c r="CI86" s="172" cm="1">
        <f t="array" aca="1" ref="CI86" ca="1">IF(OR($D86&lt;&gt;"Serviço",AND(AUTOEVENTO="Manual",$M86=$A$15),$M86&gt;(ROW(PLE.lastrow)-ROW(PLE.firstrow))),0,
           IF(OFFSET(PLE!$G$15,$M86-$A$15,CI$13)="",10^12,OFFSET(PLE!$G$15,$M86-$A$15,CI$13)))</f>
        <v>1000000000000</v>
      </c>
      <c r="CJ86" s="172" cm="1">
        <f t="array" aca="1" ref="CJ86" ca="1">IF(OR($D86&lt;&gt;"Serviço",AND(AUTOEVENTO="Manual",$M86=$A$15),$M86&gt;(ROW(PLE.lastrow)-ROW(PLE.firstrow))),0,
           IF(OFFSET(PLE!$G$15,$M86-$A$15,CJ$13)="",10^12,OFFSET(PLE!$G$15,$M86-$A$15,CJ$13)))</f>
        <v>1000000000000</v>
      </c>
      <c r="CK86" s="172" cm="1">
        <f t="array" aca="1" ref="CK86" ca="1">IF(OR($D86&lt;&gt;"Serviço",AND(AUTOEVENTO="Manual",$M86=$A$15),$M86&gt;(ROW(PLE.lastrow)-ROW(PLE.firstrow))),0,
           IF(OFFSET(PLE!$G$15,$M86-$A$15,CK$13)="",10^12,OFFSET(PLE!$G$15,$M86-$A$15,CK$13)))</f>
        <v>1000000000000</v>
      </c>
      <c r="CL86" s="172" cm="1">
        <f t="array" aca="1" ref="CL86" ca="1">IF(OR($D86&lt;&gt;"Serviço",AND(AUTOEVENTO="Manual",$M86=$A$15),$M86&gt;(ROW(PLE.lastrow)-ROW(PLE.firstrow))),0,
           IF(OFFSET(PLE!$G$15,$M86-$A$15,CL$13)="",10^12,OFFSET(PLE!$G$15,$M86-$A$15,CL$13)))</f>
        <v>1000000000000</v>
      </c>
      <c r="CM86" s="172" cm="1">
        <f t="array" aca="1" ref="CM86" ca="1">IF(OR($D86&lt;&gt;"Serviço",AND(AUTOEVENTO="Manual",$M86=$A$15),$M86&gt;(ROW(PLE.lastrow)-ROW(PLE.firstrow))),0,
           IF(OFFSET(PLE!$G$15,$M86-$A$15,CM$13)="",10^12,OFFSET(PLE!$G$15,$M86-$A$15,CM$13)))</f>
        <v>1000000000000</v>
      </c>
    </row>
    <row r="87" spans="1:91" s="670" customFormat="1" ht="25.5" x14ac:dyDescent="0.2">
      <c r="A87" s="668">
        <f t="shared" ca="1" si="12"/>
        <v>10</v>
      </c>
      <c r="B87" s="668" t="str">
        <f ca="1">OFFSET(ORÇAMENTO!C$15,$L87,0)</f>
        <v>S</v>
      </c>
      <c r="C87" s="668" t="str">
        <f ca="1">OFFSET(ORÇAMENTO!L$15,$L87,0)</f>
        <v>F</v>
      </c>
      <c r="D87" s="116" t="str">
        <f ca="1">OFFSET(ORÇAMENTO!N$15,$L87,0)</f>
        <v>Serviço</v>
      </c>
      <c r="E87" s="117" t="str">
        <f ca="1">OFFSET(ORÇAMENTO!O$15,$L87,0)</f>
        <v>1.11.4.</v>
      </c>
      <c r="F87" s="163" t="str">
        <f ca="1">OFFSET(ORÇAMENTO!R$15,$L87,0)</f>
        <v>FABRICAÇÃO DE FÔRMA PARA VIGAS, EM CHAPA DE MADEIRA COMPENSADA RESINADA, E = 17 MM. AF_09/2020</v>
      </c>
      <c r="G87" s="164" t="str">
        <f ca="1">IF($D87&lt;&gt;"Serviço","",OFFSET(ORÇAMENTO!S$15,$L87,0))</f>
        <v>M2</v>
      </c>
      <c r="H87" s="122" cm="1">
        <f t="array" aca="1" ref="H87" ca="1">IF($D87&lt;&gt;"Serviço",0,IF(ACOMPANHAMENTO="BM",ROUND(OFFSET(ORÇAMENTO!AJ$15,$L87,0),15-13*ORÇAMENTO!$AF$7),IF(IFERROR(CÁLCULO.FrentesPreenchidas,0)=0,0,SUM(ROUND(OFFSET($P87,0,1,1,CÁLCULO.FrentesPreenchidas),15-13*ORÇAMENTO!$AF$7)))))</f>
        <v>112</v>
      </c>
      <c r="I87" s="468" t="s">
        <v>1163</v>
      </c>
      <c r="J87" s="651" t="str" cm="1">
        <f t="array" aca="1" ref="J87" ca="1">IF(OR(B87&lt;&gt;"S",CÁLCULO.FrentesPreenchidas=0),"",IF(AND(ACOMPANHAMENTO="PLE",AUTOEVENTO="Manual",OR(H87&gt;0,ORÇAMENTO!AC87="QUANT."),OR(K87="",M87=0,N87="")),"►E",IF(AND(ACOMPANHAMENTO="PLE",ORÇAMENTO!AC87="QUANT."),"►Q",IF(AND(ACOMPANHAMENTO="PLE",H87&lt;&gt;SUMPRODUCT(($Q$1:$AI$1=1)*ROUND(Q87:AI87,15))),"►S",IF(AND(COUNTIF($P$11:$AI$11,"▼")=0,H87&gt;0,I87=""),"◄M","")))))</f>
        <v/>
      </c>
      <c r="K87" s="652" t="s">
        <v>1354</v>
      </c>
      <c r="L87" s="165">
        <f t="shared" ca="1" si="13"/>
        <v>72</v>
      </c>
      <c r="M87" s="166">
        <f ca="1">IF($D87&lt;&gt;"Serviço","",
          IF(AUTOEVENTO="manual",$A87,
                IF(ISERROR(MATCH($A87,$A$15:OFFSET($A87,-1,0),0)),MAX($M$15:OFFSET(M87,-1,0))+1,
                      INDEX($M$15:OFFSET(M87,-1,0),MATCH($A87,$A$15:OFFSET($A87,-1,0),0)))))</f>
        <v>10</v>
      </c>
      <c r="N87" s="167" t="str">
        <f ca="1">IF($D87&lt;&gt;"Serviço","",
         IF(AUTOEVENTO="Manual",
                IF($A87=0,"&lt;-- defina o número do agrupador",
                       OFFSET(EVENTOS!$D$15,$A87-$A$15,0)),
                OFFSET($F$15,$A87,0)))</f>
        <v>Fundação - Forma</v>
      </c>
      <c r="O87" s="168"/>
      <c r="Q87" s="168"/>
      <c r="R87" s="169"/>
      <c r="S87" s="169"/>
      <c r="T87" s="169"/>
      <c r="U87" s="169">
        <v>112</v>
      </c>
      <c r="V87" s="169"/>
      <c r="W87" s="169"/>
      <c r="X87" s="169"/>
      <c r="Y87" s="169"/>
      <c r="Z87" s="170"/>
      <c r="AA87" s="705"/>
      <c r="AB87" s="705"/>
      <c r="AC87" s="705"/>
      <c r="AD87" s="705"/>
      <c r="AE87" s="705"/>
      <c r="AF87" s="705"/>
      <c r="AG87" s="705"/>
      <c r="AH87" s="706"/>
      <c r="AJ87" s="453">
        <f ca="1">IF(AND($D87="Serviço",AJ$12&lt;&gt;0,$H87&gt;0,OR(AUTOEVENTO&lt;&gt;"manual",$M87&lt;&gt;$A$15)),
        IF(Import.TipoArredondamento&lt;&gt;"TransfereGOV",
              ROUND(OFFSET($P87,0,AJ$13),15-13*ORÇAMENTO!$AF$7)/$H87*OFFSET(ORÇAMENTO!$X$15,ROW(AJ87)-ROW(AJ$15),0),
              ROUND(ROUND(OFFSET($P87,0,AJ$13),15-13*ORÇAMENTO!$AF$7)*OFFSET(ORÇAMENTO!$W$15,ROW(AJ87)-ROW(AJ$15),0),15-13*ORÇAMENTO!$AF$11)),
         0)</f>
        <v>0</v>
      </c>
      <c r="AK87" s="453">
        <f ca="1">IF(AND($D87="Serviço",AK$12&lt;&gt;0,$H87&gt;0,OR(AUTOEVENTO&lt;&gt;"manual",$M87&lt;&gt;$A$15)),
        IF(Import.TipoArredondamento&lt;&gt;"TransfereGOV",
              ROUND(OFFSET($P87,0,AK$13),15-13*ORÇAMENTO!$AF$7)/$H87*OFFSET(ORÇAMENTO!$X$15,ROW(AK87)-ROW(AK$15),0),
              ROUND(ROUND(OFFSET($P87,0,AK$13),15-13*ORÇAMENTO!$AF$7)*OFFSET(ORÇAMENTO!$W$15,ROW(AK87)-ROW(AK$15),0),15-13*ORÇAMENTO!$AF$11)),
         0)</f>
        <v>0</v>
      </c>
      <c r="AL87" s="453">
        <f ca="1">IF(AND($D87="Serviço",AL$12&lt;&gt;0,$H87&gt;0,OR(AUTOEVENTO&lt;&gt;"manual",$M87&lt;&gt;$A$15)),
        IF(Import.TipoArredondamento&lt;&gt;"TransfereGOV",
              ROUND(OFFSET($P87,0,AL$13),15-13*ORÇAMENTO!$AF$7)/$H87*OFFSET(ORÇAMENTO!$X$15,ROW(AL87)-ROW(AL$15),0),
              ROUND(ROUND(OFFSET($P87,0,AL$13),15-13*ORÇAMENTO!$AF$7)*OFFSET(ORÇAMENTO!$W$15,ROW(AL87)-ROW(AL$15),0),15-13*ORÇAMENTO!$AF$11)),
         0)</f>
        <v>0</v>
      </c>
      <c r="AM87" s="453">
        <f ca="1">IF(AND($D87="Serviço",AM$12&lt;&gt;0,$H87&gt;0,OR(AUTOEVENTO&lt;&gt;"manual",$M87&lt;&gt;$A$15)),
        IF(Import.TipoArredondamento&lt;&gt;"TransfereGOV",
              ROUND(OFFSET($P87,0,AM$13),15-13*ORÇAMENTO!$AF$7)/$H87*OFFSET(ORÇAMENTO!$X$15,ROW(AM87)-ROW(AM$15),0),
              ROUND(ROUND(OFFSET($P87,0,AM$13),15-13*ORÇAMENTO!$AF$7)*OFFSET(ORÇAMENTO!$W$15,ROW(AM87)-ROW(AM$15),0),15-13*ORÇAMENTO!$AF$11)),
         0)</f>
        <v>0</v>
      </c>
      <c r="AN87" s="453">
        <f ca="1">IF(AND($D87="Serviço",AN$12&lt;&gt;0,$H87&gt;0,OR(AUTOEVENTO&lt;&gt;"manual",$M87&lt;&gt;$A$15)),
        IF(Import.TipoArredondamento&lt;&gt;"TransfereGOV",
              ROUND(OFFSET($P87,0,AN$13),15-13*ORÇAMENTO!$AF$7)/$H87*OFFSET(ORÇAMENTO!$X$15,ROW(AN87)-ROW(AN$15),0),
              ROUND(ROUND(OFFSET($P87,0,AN$13),15-13*ORÇAMENTO!$AF$7)*OFFSET(ORÇAMENTO!$W$15,ROW(AN87)-ROW(AN$15),0),15-13*ORÇAMENTO!$AF$11)),
         0)</f>
        <v>17890.88</v>
      </c>
      <c r="AO87" s="453">
        <f ca="1">IF(AND($D87="Serviço",AO$12&lt;&gt;0,$H87&gt;0,OR(AUTOEVENTO&lt;&gt;"manual",$M87&lt;&gt;$A$15)),
        IF(Import.TipoArredondamento&lt;&gt;"TransfereGOV",
              ROUND(OFFSET($P87,0,AO$13),15-13*ORÇAMENTO!$AF$7)/$H87*OFFSET(ORÇAMENTO!$X$15,ROW(AO87)-ROW(AO$15),0),
              ROUND(ROUND(OFFSET($P87,0,AO$13),15-13*ORÇAMENTO!$AF$7)*OFFSET(ORÇAMENTO!$W$15,ROW(AO87)-ROW(AO$15),0),15-13*ORÇAMENTO!$AF$11)),
         0)</f>
        <v>0</v>
      </c>
      <c r="AP87" s="453">
        <f ca="1">IF(AND($D87="Serviço",AP$12&lt;&gt;0,$H87&gt;0,OR(AUTOEVENTO&lt;&gt;"manual",$M87&lt;&gt;$A$15)),
        IF(Import.TipoArredondamento&lt;&gt;"TransfereGOV",
              ROUND(OFFSET($P87,0,AP$13),15-13*ORÇAMENTO!$AF$7)/$H87*OFFSET(ORÇAMENTO!$X$15,ROW(AP87)-ROW(AP$15),0),
              ROUND(ROUND(OFFSET($P87,0,AP$13),15-13*ORÇAMENTO!$AF$7)*OFFSET(ORÇAMENTO!$W$15,ROW(AP87)-ROW(AP$15),0),15-13*ORÇAMENTO!$AF$11)),
         0)</f>
        <v>0</v>
      </c>
      <c r="AQ87" s="453">
        <f ca="1">IF(AND($D87="Serviço",AQ$12&lt;&gt;0,$H87&gt;0,OR(AUTOEVENTO&lt;&gt;"manual",$M87&lt;&gt;$A$15)),
        IF(Import.TipoArredondamento&lt;&gt;"TransfereGOV",
              ROUND(OFFSET($P87,0,AQ$13),15-13*ORÇAMENTO!$AF$7)/$H87*OFFSET(ORÇAMENTO!$X$15,ROW(AQ87)-ROW(AQ$15),0),
              ROUND(ROUND(OFFSET($P87,0,AQ$13),15-13*ORÇAMENTO!$AF$7)*OFFSET(ORÇAMENTO!$W$15,ROW(AQ87)-ROW(AQ$15),0),15-13*ORÇAMENTO!$AF$11)),
         0)</f>
        <v>0</v>
      </c>
      <c r="AR87" s="453">
        <f ca="1">IF(AND($D87="Serviço",AR$12&lt;&gt;0,$H87&gt;0,OR(AUTOEVENTO&lt;&gt;"manual",$M87&lt;&gt;$A$15)),
        IF(Import.TipoArredondamento&lt;&gt;"TransfereGOV",
              ROUND(OFFSET($P87,0,AR$13),15-13*ORÇAMENTO!$AF$7)/$H87*OFFSET(ORÇAMENTO!$X$15,ROW(AR87)-ROW(AR$15),0),
              ROUND(ROUND(OFFSET($P87,0,AR$13),15-13*ORÇAMENTO!$AF$7)*OFFSET(ORÇAMENTO!$W$15,ROW(AR87)-ROW(AR$15),0),15-13*ORÇAMENTO!$AF$11)),
         0)</f>
        <v>0</v>
      </c>
      <c r="AS87" s="453">
        <f ca="1">IF(AND($D87="Serviço",AS$12&lt;&gt;0,$H87&gt;0,OR(AUTOEVENTO&lt;&gt;"manual",$M87&lt;&gt;$A$15)),
        IF(Import.TipoArredondamento&lt;&gt;"TransfereGOV",
              ROUND(OFFSET($P87,0,AS$13),15-13*ORÇAMENTO!$AF$7)/$H87*OFFSET(ORÇAMENTO!$X$15,ROW(AS87)-ROW(AS$15),0),
              ROUND(ROUND(OFFSET($P87,0,AS$13),15-13*ORÇAMENTO!$AF$7)*OFFSET(ORÇAMENTO!$W$15,ROW(AS87)-ROW(AS$15),0),15-13*ORÇAMENTO!$AF$11)),
         0)</f>
        <v>0</v>
      </c>
      <c r="AT87" s="453">
        <f ca="1">IF(AND($D87="Serviço",AT$12&lt;&gt;0,$H87&gt;0,OR(AUTOEVENTO&lt;&gt;"manual",$M87&lt;&gt;$A$15)),
        IF(Import.TipoArredondamento&lt;&gt;"TransfereGOV",
              ROUND(OFFSET($P87,0,AT$13),15-13*ORÇAMENTO!$AF$7)/$H87*OFFSET(ORÇAMENTO!$X$15,ROW(AT87)-ROW(AT$15),0),
              ROUND(ROUND(OFFSET($P87,0,AT$13),15-13*ORÇAMENTO!$AF$7)*OFFSET(ORÇAMENTO!$W$15,ROW(AT87)-ROW(AT$15),0),15-13*ORÇAMENTO!$AF$11)),
         0)</f>
        <v>0</v>
      </c>
      <c r="AU87" s="453">
        <f ca="1">IF(AND($D87="Serviço",AU$12&lt;&gt;0,$H87&gt;0,OR(AUTOEVENTO&lt;&gt;"manual",$M87&lt;&gt;$A$15)),
        IF(Import.TipoArredondamento&lt;&gt;"TransfereGOV",
              ROUND(OFFSET($P87,0,AU$13),15-13*ORÇAMENTO!$AF$7)/$H87*OFFSET(ORÇAMENTO!$X$15,ROW(AU87)-ROW(AU$15),0),
              ROUND(ROUND(OFFSET($P87,0,AU$13),15-13*ORÇAMENTO!$AF$7)*OFFSET(ORÇAMENTO!$W$15,ROW(AU87)-ROW(AU$15),0),15-13*ORÇAMENTO!$AF$11)),
         0)</f>
        <v>0</v>
      </c>
      <c r="AV87" s="453">
        <f ca="1">IF(AND($D87="Serviço",AV$12&lt;&gt;0,$H87&gt;0,OR(AUTOEVENTO&lt;&gt;"manual",$M87&lt;&gt;$A$15)),
        IF(Import.TipoArredondamento&lt;&gt;"TransfereGOV",
              ROUND(OFFSET($P87,0,AV$13),15-13*ORÇAMENTO!$AF$7)/$H87*OFFSET(ORÇAMENTO!$X$15,ROW(AV87)-ROW(AV$15),0),
              ROUND(ROUND(OFFSET($P87,0,AV$13),15-13*ORÇAMENTO!$AF$7)*OFFSET(ORÇAMENTO!$W$15,ROW(AV87)-ROW(AV$15),0),15-13*ORÇAMENTO!$AF$11)),
         0)</f>
        <v>0</v>
      </c>
      <c r="AW87" s="453">
        <f ca="1">IF(AND($D87="Serviço",AW$12&lt;&gt;0,$H87&gt;0,OR(AUTOEVENTO&lt;&gt;"manual",$M87&lt;&gt;$A$15)),
        IF(Import.TipoArredondamento&lt;&gt;"TransfereGOV",
              ROUND(OFFSET($P87,0,AW$13),15-13*ORÇAMENTO!$AF$7)/$H87*OFFSET(ORÇAMENTO!$X$15,ROW(AW87)-ROW(AW$15),0),
              ROUND(ROUND(OFFSET($P87,0,AW$13),15-13*ORÇAMENTO!$AF$7)*OFFSET(ORÇAMENTO!$W$15,ROW(AW87)-ROW(AW$15),0),15-13*ORÇAMENTO!$AF$11)),
         0)</f>
        <v>0</v>
      </c>
      <c r="AX87" s="453">
        <f ca="1">IF(AND($D87="Serviço",AX$12&lt;&gt;0,$H87&gt;0,OR(AUTOEVENTO&lt;&gt;"manual",$M87&lt;&gt;$A$15)),
        IF(Import.TipoArredondamento&lt;&gt;"TransfereGOV",
              ROUND(OFFSET($P87,0,AX$13),15-13*ORÇAMENTO!$AF$7)/$H87*OFFSET(ORÇAMENTO!$X$15,ROW(AX87)-ROW(AX$15),0),
              ROUND(ROUND(OFFSET($P87,0,AX$13),15-13*ORÇAMENTO!$AF$7)*OFFSET(ORÇAMENTO!$W$15,ROW(AX87)-ROW(AX$15),0),15-13*ORÇAMENTO!$AF$11)),
         0)</f>
        <v>0</v>
      </c>
      <c r="AY87" s="453">
        <f ca="1">IF(AND($D87="Serviço",AY$12&lt;&gt;0,$H87&gt;0,OR(AUTOEVENTO&lt;&gt;"manual",$M87&lt;&gt;$A$15)),
        IF(Import.TipoArredondamento&lt;&gt;"TransfereGOV",
              ROUND(OFFSET($P87,0,AY$13),15-13*ORÇAMENTO!$AF$7)/$H87*OFFSET(ORÇAMENTO!$X$15,ROW(AY87)-ROW(AY$15),0),
              ROUND(ROUND(OFFSET($P87,0,AY$13),15-13*ORÇAMENTO!$AF$7)*OFFSET(ORÇAMENTO!$W$15,ROW(AY87)-ROW(AY$15),0),15-13*ORÇAMENTO!$AF$11)),
         0)</f>
        <v>0</v>
      </c>
      <c r="AZ87" s="453">
        <f ca="1">IF(AND($D87="Serviço",AZ$12&lt;&gt;0,$H87&gt;0,OR(AUTOEVENTO&lt;&gt;"manual",$M87&lt;&gt;$A$15)),
        IF(Import.TipoArredondamento&lt;&gt;"TransfereGOV",
              ROUND(OFFSET($P87,0,AZ$13),15-13*ORÇAMENTO!$AF$7)/$H87*OFFSET(ORÇAMENTO!$X$15,ROW(AZ87)-ROW(AZ$15),0),
              ROUND(ROUND(OFFSET($P87,0,AZ$13),15-13*ORÇAMENTO!$AF$7)*OFFSET(ORÇAMENTO!$W$15,ROW(AZ87)-ROW(AZ$15),0),15-13*ORÇAMENTO!$AF$11)),
         0)</f>
        <v>0</v>
      </c>
      <c r="BA87" s="453">
        <f ca="1">IF(AND($D87="Serviço",BA$12&lt;&gt;0,$H87&gt;0,OR(AUTOEVENTO&lt;&gt;"manual",$M87&lt;&gt;$A$15)),
        IF(Import.TipoArredondamento&lt;&gt;"TransfereGOV",
              ROUND(OFFSET($P87,0,BA$13),15-13*ORÇAMENTO!$AF$7)/$H87*OFFSET(ORÇAMENTO!$X$15,ROW(BA87)-ROW(BA$15),0),
              ROUND(ROUND(OFFSET($P87,0,BA$13),15-13*ORÇAMENTO!$AF$7)*OFFSET(ORÇAMENTO!$W$15,ROW(BA87)-ROW(BA$15),0),15-13*ORÇAMENTO!$AF$11)),
         0)</f>
        <v>0</v>
      </c>
      <c r="BC87" s="171">
        <f ca="1">IF(OR($D87&lt;&gt;"Serviço",AND(AUTOEVENTO="Manual",$M87=$A$15)),0,
         IF(OFFSET(CRONOPLE!$F$15,$M87-$A$15,BC$13)=0,10^12,OFFSET(CRONOPLE!$F$15,$M87-$A$15,BC$13)))</f>
        <v>1000000000000</v>
      </c>
      <c r="BD87" s="171">
        <f ca="1">IF(OR($D87&lt;&gt;"Serviço",AND(AUTOEVENTO="Manual",$M87=$A$15)),0,
         IF(OFFSET(CRONOPLE!$F$15,$M87-$A$15,BD$13)=0,10^12,OFFSET(CRONOPLE!$F$15,$M87-$A$15,BD$13)))</f>
        <v>1000000000000</v>
      </c>
      <c r="BE87" s="171">
        <f ca="1">IF(OR($D87&lt;&gt;"Serviço",AND(AUTOEVENTO="Manual",$M87=$A$15)),0,
         IF(OFFSET(CRONOPLE!$F$15,$M87-$A$15,BE$13)=0,10^12,OFFSET(CRONOPLE!$F$15,$M87-$A$15,BE$13)))</f>
        <v>1000000000000</v>
      </c>
      <c r="BF87" s="171">
        <f ca="1">IF(OR($D87&lt;&gt;"Serviço",AND(AUTOEVENTO="Manual",$M87=$A$15)),0,
         IF(OFFSET(CRONOPLE!$F$15,$M87-$A$15,BF$13)=0,10^12,OFFSET(CRONOPLE!$F$15,$M87-$A$15,BF$13)))</f>
        <v>1000000000000</v>
      </c>
      <c r="BG87" s="171">
        <f ca="1">IF(OR($D87&lt;&gt;"Serviço",AND(AUTOEVENTO="Manual",$M87=$A$15)),0,
         IF(OFFSET(CRONOPLE!$F$15,$M87-$A$15,BG$13)=0,10^12,OFFSET(CRONOPLE!$F$15,$M87-$A$15,BG$13)))</f>
        <v>9</v>
      </c>
      <c r="BH87" s="171">
        <f ca="1">IF(OR($D87&lt;&gt;"Serviço",AND(AUTOEVENTO="Manual",$M87=$A$15)),0,
         IF(OFFSET(CRONOPLE!$F$15,$M87-$A$15,BH$13)=0,10^12,OFFSET(CRONOPLE!$F$15,$M87-$A$15,BH$13)))</f>
        <v>1000000000000</v>
      </c>
      <c r="BI87" s="171">
        <f ca="1">IF(OR($D87&lt;&gt;"Serviço",AND(AUTOEVENTO="Manual",$M87=$A$15)),0,
         IF(OFFSET(CRONOPLE!$F$15,$M87-$A$15,BI$13)=0,10^12,OFFSET(CRONOPLE!$F$15,$M87-$A$15,BI$13)))</f>
        <v>1000000000000</v>
      </c>
      <c r="BJ87" s="171">
        <f ca="1">IF(OR($D87&lt;&gt;"Serviço",AND(AUTOEVENTO="Manual",$M87=$A$15)),0,
         IF(OFFSET(CRONOPLE!$F$15,$M87-$A$15,BJ$13)=0,10^12,OFFSET(CRONOPLE!$F$15,$M87-$A$15,BJ$13)))</f>
        <v>1000000000000</v>
      </c>
      <c r="BK87" s="171">
        <f ca="1">IF(OR($D87&lt;&gt;"Serviço",AND(AUTOEVENTO="Manual",$M87=$A$15)),0,
         IF(OFFSET(CRONOPLE!$F$15,$M87-$A$15,BK$13)=0,10^12,OFFSET(CRONOPLE!$F$15,$M87-$A$15,BK$13)))</f>
        <v>1000000000000</v>
      </c>
      <c r="BL87" s="171">
        <f ca="1">IF(OR($D87&lt;&gt;"Serviço",AND(AUTOEVENTO="Manual",$M87=$A$15)),0,
         IF(OFFSET(CRONOPLE!$F$15,$M87-$A$15,BL$13)=0,10^12,OFFSET(CRONOPLE!$F$15,$M87-$A$15,BL$13)))</f>
        <v>1000000000000</v>
      </c>
      <c r="BM87" s="171">
        <f ca="1">IF(OR($D87&lt;&gt;"Serviço",AND(AUTOEVENTO="Manual",$M87=$A$15)),0,
         IF(OFFSET(CRONOPLE!$F$15,$M87-$A$15,BM$13)=0,10^12,OFFSET(CRONOPLE!$F$15,$M87-$A$15,BM$13)))</f>
        <v>1000000000000</v>
      </c>
      <c r="BN87" s="171">
        <f ca="1">IF(OR($D87&lt;&gt;"Serviço",AND(AUTOEVENTO="Manual",$M87=$A$15)),0,
         IF(OFFSET(CRONOPLE!$F$15,$M87-$A$15,BN$13)=0,10^12,OFFSET(CRONOPLE!$F$15,$M87-$A$15,BN$13)))</f>
        <v>1000000000000</v>
      </c>
      <c r="BO87" s="171">
        <f ca="1">IF(OR($D87&lt;&gt;"Serviço",AND(AUTOEVENTO="Manual",$M87=$A$15)),0,
         IF(OFFSET(CRONOPLE!$F$15,$M87-$A$15,BO$13)=0,10^12,OFFSET(CRONOPLE!$F$15,$M87-$A$15,BO$13)))</f>
        <v>1000000000000</v>
      </c>
      <c r="BP87" s="171">
        <f ca="1">IF(OR($D87&lt;&gt;"Serviço",AND(AUTOEVENTO="Manual",$M87=$A$15)),0,
         IF(OFFSET(CRONOPLE!$F$15,$M87-$A$15,BP$13)=0,10^12,OFFSET(CRONOPLE!$F$15,$M87-$A$15,BP$13)))</f>
        <v>1000000000000</v>
      </c>
      <c r="BQ87" s="171">
        <f ca="1">IF(OR($D87&lt;&gt;"Serviço",AND(AUTOEVENTO="Manual",$M87=$A$15)),0,
         IF(OFFSET(CRONOPLE!$F$15,$M87-$A$15,BQ$13)=0,10^12,OFFSET(CRONOPLE!$F$15,$M87-$A$15,BQ$13)))</f>
        <v>1000000000000</v>
      </c>
      <c r="BR87" s="171">
        <f ca="1">IF(OR($D87&lt;&gt;"Serviço",AND(AUTOEVENTO="Manual",$M87=$A$15)),0,
         IF(OFFSET(CRONOPLE!$F$15,$M87-$A$15,BR$13)=0,10^12,OFFSET(CRONOPLE!$F$15,$M87-$A$15,BR$13)))</f>
        <v>1000000000000</v>
      </c>
      <c r="BS87" s="171">
        <f ca="1">IF(OR($D87&lt;&gt;"Serviço",AND(AUTOEVENTO="Manual",$M87=$A$15)),0,
         IF(OFFSET(CRONOPLE!$F$15,$M87-$A$15,BS$13)=0,10^12,OFFSET(CRONOPLE!$F$15,$M87-$A$15,BS$13)))</f>
        <v>1000000000000</v>
      </c>
      <c r="BT87" s="171">
        <f ca="1">IF(OR($D87&lt;&gt;"Serviço",AND(AUTOEVENTO="Manual",$M87=$A$15)),0,
         IF(OFFSET(CRONOPLE!$F$15,$M87-$A$15,BT$13)=0,10^12,OFFSET(CRONOPLE!$F$15,$M87-$A$15,BT$13)))</f>
        <v>1000000000000</v>
      </c>
      <c r="BV87" s="172" cm="1">
        <f t="array" aca="1" ref="BV87" ca="1">IF(OR($D87&lt;&gt;"Serviço",AND(AUTOEVENTO="Manual",$M87=$A$15),$M87&gt;(ROW(PLE.lastrow)-ROW(PLE.firstrow))),0,
           IF(OFFSET(PLE!$G$15,$M87-$A$15,BV$13)="",10^12,OFFSET(PLE!$G$15,$M87-$A$15,BV$13)))</f>
        <v>1000000000000</v>
      </c>
      <c r="BW87" s="172" cm="1">
        <f t="array" aca="1" ref="BW87" ca="1">IF(OR($D87&lt;&gt;"Serviço",AND(AUTOEVENTO="Manual",$M87=$A$15),$M87&gt;(ROW(PLE.lastrow)-ROW(PLE.firstrow))),0,
           IF(OFFSET(PLE!$G$15,$M87-$A$15,BW$13)="",10^12,OFFSET(PLE!$G$15,$M87-$A$15,BW$13)))</f>
        <v>1000000000000</v>
      </c>
      <c r="BX87" s="172" cm="1">
        <f t="array" aca="1" ref="BX87" ca="1">IF(OR($D87&lt;&gt;"Serviço",AND(AUTOEVENTO="Manual",$M87=$A$15),$M87&gt;(ROW(PLE.lastrow)-ROW(PLE.firstrow))),0,
           IF(OFFSET(PLE!$G$15,$M87-$A$15,BX$13)="",10^12,OFFSET(PLE!$G$15,$M87-$A$15,BX$13)))</f>
        <v>1000000000000</v>
      </c>
      <c r="BY87" s="172" cm="1">
        <f t="array" aca="1" ref="BY87" ca="1">IF(OR($D87&lt;&gt;"Serviço",AND(AUTOEVENTO="Manual",$M87=$A$15),$M87&gt;(ROW(PLE.lastrow)-ROW(PLE.firstrow))),0,
           IF(OFFSET(PLE!$G$15,$M87-$A$15,BY$13)="",10^12,OFFSET(PLE!$G$15,$M87-$A$15,BY$13)))</f>
        <v>1000000000000</v>
      </c>
      <c r="BZ87" s="172" cm="1">
        <f t="array" aca="1" ref="BZ87" ca="1">IF(OR($D87&lt;&gt;"Serviço",AND(AUTOEVENTO="Manual",$M87=$A$15),$M87&gt;(ROW(PLE.lastrow)-ROW(PLE.firstrow))),0,
           IF(OFFSET(PLE!$G$15,$M87-$A$15,BZ$13)="",10^12,OFFSET(PLE!$G$15,$M87-$A$15,BZ$13)))</f>
        <v>1000000000000</v>
      </c>
      <c r="CA87" s="172" cm="1">
        <f t="array" aca="1" ref="CA87" ca="1">IF(OR($D87&lt;&gt;"Serviço",AND(AUTOEVENTO="Manual",$M87=$A$15),$M87&gt;(ROW(PLE.lastrow)-ROW(PLE.firstrow))),0,
           IF(OFFSET(PLE!$G$15,$M87-$A$15,CA$13)="",10^12,OFFSET(PLE!$G$15,$M87-$A$15,CA$13)))</f>
        <v>1000000000000</v>
      </c>
      <c r="CB87" s="172" cm="1">
        <f t="array" aca="1" ref="CB87" ca="1">IF(OR($D87&lt;&gt;"Serviço",AND(AUTOEVENTO="Manual",$M87=$A$15),$M87&gt;(ROW(PLE.lastrow)-ROW(PLE.firstrow))),0,
           IF(OFFSET(PLE!$G$15,$M87-$A$15,CB$13)="",10^12,OFFSET(PLE!$G$15,$M87-$A$15,CB$13)))</f>
        <v>1000000000000</v>
      </c>
      <c r="CC87" s="172" cm="1">
        <f t="array" aca="1" ref="CC87" ca="1">IF(OR($D87&lt;&gt;"Serviço",AND(AUTOEVENTO="Manual",$M87=$A$15),$M87&gt;(ROW(PLE.lastrow)-ROW(PLE.firstrow))),0,
           IF(OFFSET(PLE!$G$15,$M87-$A$15,CC$13)="",10^12,OFFSET(PLE!$G$15,$M87-$A$15,CC$13)))</f>
        <v>1000000000000</v>
      </c>
      <c r="CD87" s="172" cm="1">
        <f t="array" aca="1" ref="CD87" ca="1">IF(OR($D87&lt;&gt;"Serviço",AND(AUTOEVENTO="Manual",$M87=$A$15),$M87&gt;(ROW(PLE.lastrow)-ROW(PLE.firstrow))),0,
           IF(OFFSET(PLE!$G$15,$M87-$A$15,CD$13)="",10^12,OFFSET(PLE!$G$15,$M87-$A$15,CD$13)))</f>
        <v>1000000000000</v>
      </c>
      <c r="CE87" s="172" cm="1">
        <f t="array" aca="1" ref="CE87" ca="1">IF(OR($D87&lt;&gt;"Serviço",AND(AUTOEVENTO="Manual",$M87=$A$15),$M87&gt;(ROW(PLE.lastrow)-ROW(PLE.firstrow))),0,
           IF(OFFSET(PLE!$G$15,$M87-$A$15,CE$13)="",10^12,OFFSET(PLE!$G$15,$M87-$A$15,CE$13)))</f>
        <v>1000000000000</v>
      </c>
      <c r="CF87" s="172" cm="1">
        <f t="array" aca="1" ref="CF87" ca="1">IF(OR($D87&lt;&gt;"Serviço",AND(AUTOEVENTO="Manual",$M87=$A$15),$M87&gt;(ROW(PLE.lastrow)-ROW(PLE.firstrow))),0,
           IF(OFFSET(PLE!$G$15,$M87-$A$15,CF$13)="",10^12,OFFSET(PLE!$G$15,$M87-$A$15,CF$13)))</f>
        <v>1000000000000</v>
      </c>
      <c r="CG87" s="172" cm="1">
        <f t="array" aca="1" ref="CG87" ca="1">IF(OR($D87&lt;&gt;"Serviço",AND(AUTOEVENTO="Manual",$M87=$A$15),$M87&gt;(ROW(PLE.lastrow)-ROW(PLE.firstrow))),0,
           IF(OFFSET(PLE!$G$15,$M87-$A$15,CG$13)="",10^12,OFFSET(PLE!$G$15,$M87-$A$15,CG$13)))</f>
        <v>1000000000000</v>
      </c>
      <c r="CH87" s="172" cm="1">
        <f t="array" aca="1" ref="CH87" ca="1">IF(OR($D87&lt;&gt;"Serviço",AND(AUTOEVENTO="Manual",$M87=$A$15),$M87&gt;(ROW(PLE.lastrow)-ROW(PLE.firstrow))),0,
           IF(OFFSET(PLE!$G$15,$M87-$A$15,CH$13)="",10^12,OFFSET(PLE!$G$15,$M87-$A$15,CH$13)))</f>
        <v>1000000000000</v>
      </c>
      <c r="CI87" s="172" cm="1">
        <f t="array" aca="1" ref="CI87" ca="1">IF(OR($D87&lt;&gt;"Serviço",AND(AUTOEVENTO="Manual",$M87=$A$15),$M87&gt;(ROW(PLE.lastrow)-ROW(PLE.firstrow))),0,
           IF(OFFSET(PLE!$G$15,$M87-$A$15,CI$13)="",10^12,OFFSET(PLE!$G$15,$M87-$A$15,CI$13)))</f>
        <v>1000000000000</v>
      </c>
      <c r="CJ87" s="172" cm="1">
        <f t="array" aca="1" ref="CJ87" ca="1">IF(OR($D87&lt;&gt;"Serviço",AND(AUTOEVENTO="Manual",$M87=$A$15),$M87&gt;(ROW(PLE.lastrow)-ROW(PLE.firstrow))),0,
           IF(OFFSET(PLE!$G$15,$M87-$A$15,CJ$13)="",10^12,OFFSET(PLE!$G$15,$M87-$A$15,CJ$13)))</f>
        <v>1000000000000</v>
      </c>
      <c r="CK87" s="172" cm="1">
        <f t="array" aca="1" ref="CK87" ca="1">IF(OR($D87&lt;&gt;"Serviço",AND(AUTOEVENTO="Manual",$M87=$A$15),$M87&gt;(ROW(PLE.lastrow)-ROW(PLE.firstrow))),0,
           IF(OFFSET(PLE!$G$15,$M87-$A$15,CK$13)="",10^12,OFFSET(PLE!$G$15,$M87-$A$15,CK$13)))</f>
        <v>1000000000000</v>
      </c>
      <c r="CL87" s="172" cm="1">
        <f t="array" aca="1" ref="CL87" ca="1">IF(OR($D87&lt;&gt;"Serviço",AND(AUTOEVENTO="Manual",$M87=$A$15),$M87&gt;(ROW(PLE.lastrow)-ROW(PLE.firstrow))),0,
           IF(OFFSET(PLE!$G$15,$M87-$A$15,CL$13)="",10^12,OFFSET(PLE!$G$15,$M87-$A$15,CL$13)))</f>
        <v>1000000000000</v>
      </c>
      <c r="CM87" s="172" cm="1">
        <f t="array" aca="1" ref="CM87" ca="1">IF(OR($D87&lt;&gt;"Serviço",AND(AUTOEVENTO="Manual",$M87=$A$15),$M87&gt;(ROW(PLE.lastrow)-ROW(PLE.firstrow))),0,
           IF(OFFSET(PLE!$G$15,$M87-$A$15,CM$13)="",10^12,OFFSET(PLE!$G$15,$M87-$A$15,CM$13)))</f>
        <v>1000000000000</v>
      </c>
    </row>
    <row r="88" spans="1:91" s="670" customFormat="1" ht="63.75" x14ac:dyDescent="0.2">
      <c r="A88" s="668">
        <f t="shared" ca="1" si="12"/>
        <v>7</v>
      </c>
      <c r="B88" s="668" t="str">
        <f ca="1">OFFSET(ORÇAMENTO!C$15,$L88,0)</f>
        <v>S</v>
      </c>
      <c r="C88" s="668" t="str">
        <f ca="1">OFFSET(ORÇAMENTO!L$15,$L88,0)</f>
        <v>F</v>
      </c>
      <c r="D88" s="116" t="str">
        <f ca="1">OFFSET(ORÇAMENTO!N$15,$L88,0)</f>
        <v>Serviço</v>
      </c>
      <c r="E88" s="117" t="str">
        <f ca="1">OFFSET(ORÇAMENTO!O$15,$L88,0)</f>
        <v>1.11.5.</v>
      </c>
      <c r="F88" s="163" t="str">
        <f ca="1">OFFSET(ORÇAMENTO!R$15,$L88,0)</f>
        <v>ESCAVAÇÃO MECANIZADA DE VALA COM PROF. ATÉ 1,5 M (MÉDIA MONTANTE E JUSANTE/UMA COMPOSIÇÃO POR TRECHO), ESCAVADEIRA (0,8 M3),LARG. ATÉ 1,5 M, EM SOLO DE 2A CATEGORIA, EM LOCAIS COM ALTO NÍVEL DE INTERFERÊNCIA. AF_09/2024</v>
      </c>
      <c r="G88" s="164" t="str">
        <f ca="1">IF($D88&lt;&gt;"Serviço","",OFFSET(ORÇAMENTO!S$15,$L88,0))</f>
        <v>M3</v>
      </c>
      <c r="H88" s="122" cm="1">
        <f t="array" aca="1" ref="H88" ca="1">IF($D88&lt;&gt;"Serviço",0,IF(ACOMPANHAMENTO="BM",ROUND(OFFSET(ORÇAMENTO!AJ$15,$L88,0),15-13*ORÇAMENTO!$AF$7),IF(IFERROR(CÁLCULO.FrentesPreenchidas,0)=0,0,SUM(ROUND(OFFSET($P88,0,1,1,CÁLCULO.FrentesPreenchidas),15-13*ORÇAMENTO!$AF$7)))))</f>
        <v>77.3</v>
      </c>
      <c r="I88" s="468" t="s">
        <v>1164</v>
      </c>
      <c r="J88" s="651" t="str" cm="1">
        <f t="array" aca="1" ref="J88" ca="1">IF(OR(B88&lt;&gt;"S",CÁLCULO.FrentesPreenchidas=0),"",IF(AND(ACOMPANHAMENTO="PLE",AUTOEVENTO="Manual",OR(H88&gt;0,ORÇAMENTO!AC88="QUANT."),OR(K88="",M88=0,N88="")),"►E",IF(AND(ACOMPANHAMENTO="PLE",ORÇAMENTO!AC88="QUANT."),"►Q",IF(AND(ACOMPANHAMENTO="PLE",H88&lt;&gt;SUMPRODUCT(($Q$1:$AI$1=1)*ROUND(Q88:AI88,15))),"►S",IF(AND(COUNTIF($P$11:$AI$11,"▼")=0,H88&gt;0,I88=""),"◄M","")))))</f>
        <v/>
      </c>
      <c r="K88" s="652" t="s">
        <v>1346</v>
      </c>
      <c r="L88" s="165">
        <f t="shared" ca="1" si="13"/>
        <v>73</v>
      </c>
      <c r="M88" s="166">
        <f ca="1">IF($D88&lt;&gt;"Serviço","",
          IF(AUTOEVENTO="manual",$A88,
                IF(ISERROR(MATCH($A88,$A$15:OFFSET($A88,-1,0),0)),MAX($M$15:OFFSET(M88,-1,0))+1,
                      INDEX($M$15:OFFSET(M88,-1,0),MATCH($A88,$A$15:OFFSET($A88,-1,0),0)))))</f>
        <v>7</v>
      </c>
      <c r="N88" s="167" t="str">
        <f ca="1">IF($D88&lt;&gt;"Serviço","",
         IF(AUTOEVENTO="Manual",
                IF($A88=0,"&lt;-- defina o número do agrupador",
                       OFFSET(EVENTOS!$D$15,$A88-$A$15,0)),
                OFFSET($F$15,$A88,0)))</f>
        <v>Escavação - preparo de fundo de vala</v>
      </c>
      <c r="O88" s="168"/>
      <c r="Q88" s="168"/>
      <c r="R88" s="169"/>
      <c r="S88" s="169"/>
      <c r="T88" s="169"/>
      <c r="U88" s="169">
        <v>77.3</v>
      </c>
      <c r="V88" s="169"/>
      <c r="W88" s="169"/>
      <c r="X88" s="169"/>
      <c r="Y88" s="169"/>
      <c r="Z88" s="170"/>
      <c r="AA88" s="705"/>
      <c r="AB88" s="705"/>
      <c r="AC88" s="705"/>
      <c r="AD88" s="705"/>
      <c r="AE88" s="705"/>
      <c r="AF88" s="705"/>
      <c r="AG88" s="705"/>
      <c r="AH88" s="706"/>
      <c r="AJ88" s="453">
        <f ca="1">IF(AND($D88="Serviço",AJ$12&lt;&gt;0,$H88&gt;0,OR(AUTOEVENTO&lt;&gt;"manual",$M88&lt;&gt;$A$15)),
        IF(Import.TipoArredondamento&lt;&gt;"TransfereGOV",
              ROUND(OFFSET($P88,0,AJ$13),15-13*ORÇAMENTO!$AF$7)/$H88*OFFSET(ORÇAMENTO!$X$15,ROW(AJ88)-ROW(AJ$15),0),
              ROUND(ROUND(OFFSET($P88,0,AJ$13),15-13*ORÇAMENTO!$AF$7)*OFFSET(ORÇAMENTO!$W$15,ROW(AJ88)-ROW(AJ$15),0),15-13*ORÇAMENTO!$AF$11)),
         0)</f>
        <v>0</v>
      </c>
      <c r="AK88" s="453">
        <f ca="1">IF(AND($D88="Serviço",AK$12&lt;&gt;0,$H88&gt;0,OR(AUTOEVENTO&lt;&gt;"manual",$M88&lt;&gt;$A$15)),
        IF(Import.TipoArredondamento&lt;&gt;"TransfereGOV",
              ROUND(OFFSET($P88,0,AK$13),15-13*ORÇAMENTO!$AF$7)/$H88*OFFSET(ORÇAMENTO!$X$15,ROW(AK88)-ROW(AK$15),0),
              ROUND(ROUND(OFFSET($P88,0,AK$13),15-13*ORÇAMENTO!$AF$7)*OFFSET(ORÇAMENTO!$W$15,ROW(AK88)-ROW(AK$15),0),15-13*ORÇAMENTO!$AF$11)),
         0)</f>
        <v>0</v>
      </c>
      <c r="AL88" s="453">
        <f ca="1">IF(AND($D88="Serviço",AL$12&lt;&gt;0,$H88&gt;0,OR(AUTOEVENTO&lt;&gt;"manual",$M88&lt;&gt;$A$15)),
        IF(Import.TipoArredondamento&lt;&gt;"TransfereGOV",
              ROUND(OFFSET($P88,0,AL$13),15-13*ORÇAMENTO!$AF$7)/$H88*OFFSET(ORÇAMENTO!$X$15,ROW(AL88)-ROW(AL$15),0),
              ROUND(ROUND(OFFSET($P88,0,AL$13),15-13*ORÇAMENTO!$AF$7)*OFFSET(ORÇAMENTO!$W$15,ROW(AL88)-ROW(AL$15),0),15-13*ORÇAMENTO!$AF$11)),
         0)</f>
        <v>0</v>
      </c>
      <c r="AM88" s="453">
        <f ca="1">IF(AND($D88="Serviço",AM$12&lt;&gt;0,$H88&gt;0,OR(AUTOEVENTO&lt;&gt;"manual",$M88&lt;&gt;$A$15)),
        IF(Import.TipoArredondamento&lt;&gt;"TransfereGOV",
              ROUND(OFFSET($P88,0,AM$13),15-13*ORÇAMENTO!$AF$7)/$H88*OFFSET(ORÇAMENTO!$X$15,ROW(AM88)-ROW(AM$15),0),
              ROUND(ROUND(OFFSET($P88,0,AM$13),15-13*ORÇAMENTO!$AF$7)*OFFSET(ORÇAMENTO!$W$15,ROW(AM88)-ROW(AM$15),0),15-13*ORÇAMENTO!$AF$11)),
         0)</f>
        <v>0</v>
      </c>
      <c r="AN88" s="453">
        <f ca="1">IF(AND($D88="Serviço",AN$12&lt;&gt;0,$H88&gt;0,OR(AUTOEVENTO&lt;&gt;"manual",$M88&lt;&gt;$A$15)),
        IF(Import.TipoArredondamento&lt;&gt;"TransfereGOV",
              ROUND(OFFSET($P88,0,AN$13),15-13*ORÇAMENTO!$AF$7)/$H88*OFFSET(ORÇAMENTO!$X$15,ROW(AN88)-ROW(AN$15),0),
              ROUND(ROUND(OFFSET($P88,0,AN$13),15-13*ORÇAMENTO!$AF$7)*OFFSET(ORÇAMENTO!$W$15,ROW(AN88)-ROW(AN$15),0),15-13*ORÇAMENTO!$AF$11)),
         0)</f>
        <v>1349.66</v>
      </c>
      <c r="AO88" s="453">
        <f ca="1">IF(AND($D88="Serviço",AO$12&lt;&gt;0,$H88&gt;0,OR(AUTOEVENTO&lt;&gt;"manual",$M88&lt;&gt;$A$15)),
        IF(Import.TipoArredondamento&lt;&gt;"TransfereGOV",
              ROUND(OFFSET($P88,0,AO$13),15-13*ORÇAMENTO!$AF$7)/$H88*OFFSET(ORÇAMENTO!$X$15,ROW(AO88)-ROW(AO$15),0),
              ROUND(ROUND(OFFSET($P88,0,AO$13),15-13*ORÇAMENTO!$AF$7)*OFFSET(ORÇAMENTO!$W$15,ROW(AO88)-ROW(AO$15),0),15-13*ORÇAMENTO!$AF$11)),
         0)</f>
        <v>0</v>
      </c>
      <c r="AP88" s="453">
        <f ca="1">IF(AND($D88="Serviço",AP$12&lt;&gt;0,$H88&gt;0,OR(AUTOEVENTO&lt;&gt;"manual",$M88&lt;&gt;$A$15)),
        IF(Import.TipoArredondamento&lt;&gt;"TransfereGOV",
              ROUND(OFFSET($P88,0,AP$13),15-13*ORÇAMENTO!$AF$7)/$H88*OFFSET(ORÇAMENTO!$X$15,ROW(AP88)-ROW(AP$15),0),
              ROUND(ROUND(OFFSET($P88,0,AP$13),15-13*ORÇAMENTO!$AF$7)*OFFSET(ORÇAMENTO!$W$15,ROW(AP88)-ROW(AP$15),0),15-13*ORÇAMENTO!$AF$11)),
         0)</f>
        <v>0</v>
      </c>
      <c r="AQ88" s="453">
        <f ca="1">IF(AND($D88="Serviço",AQ$12&lt;&gt;0,$H88&gt;0,OR(AUTOEVENTO&lt;&gt;"manual",$M88&lt;&gt;$A$15)),
        IF(Import.TipoArredondamento&lt;&gt;"TransfereGOV",
              ROUND(OFFSET($P88,0,AQ$13),15-13*ORÇAMENTO!$AF$7)/$H88*OFFSET(ORÇAMENTO!$X$15,ROW(AQ88)-ROW(AQ$15),0),
              ROUND(ROUND(OFFSET($P88,0,AQ$13),15-13*ORÇAMENTO!$AF$7)*OFFSET(ORÇAMENTO!$W$15,ROW(AQ88)-ROW(AQ$15),0),15-13*ORÇAMENTO!$AF$11)),
         0)</f>
        <v>0</v>
      </c>
      <c r="AR88" s="453">
        <f ca="1">IF(AND($D88="Serviço",AR$12&lt;&gt;0,$H88&gt;0,OR(AUTOEVENTO&lt;&gt;"manual",$M88&lt;&gt;$A$15)),
        IF(Import.TipoArredondamento&lt;&gt;"TransfereGOV",
              ROUND(OFFSET($P88,0,AR$13),15-13*ORÇAMENTO!$AF$7)/$H88*OFFSET(ORÇAMENTO!$X$15,ROW(AR88)-ROW(AR$15),0),
              ROUND(ROUND(OFFSET($P88,0,AR$13),15-13*ORÇAMENTO!$AF$7)*OFFSET(ORÇAMENTO!$W$15,ROW(AR88)-ROW(AR$15),0),15-13*ORÇAMENTO!$AF$11)),
         0)</f>
        <v>0</v>
      </c>
      <c r="AS88" s="453">
        <f ca="1">IF(AND($D88="Serviço",AS$12&lt;&gt;0,$H88&gt;0,OR(AUTOEVENTO&lt;&gt;"manual",$M88&lt;&gt;$A$15)),
        IF(Import.TipoArredondamento&lt;&gt;"TransfereGOV",
              ROUND(OFFSET($P88,0,AS$13),15-13*ORÇAMENTO!$AF$7)/$H88*OFFSET(ORÇAMENTO!$X$15,ROW(AS88)-ROW(AS$15),0),
              ROUND(ROUND(OFFSET($P88,0,AS$13),15-13*ORÇAMENTO!$AF$7)*OFFSET(ORÇAMENTO!$W$15,ROW(AS88)-ROW(AS$15),0),15-13*ORÇAMENTO!$AF$11)),
         0)</f>
        <v>0</v>
      </c>
      <c r="AT88" s="453">
        <f ca="1">IF(AND($D88="Serviço",AT$12&lt;&gt;0,$H88&gt;0,OR(AUTOEVENTO&lt;&gt;"manual",$M88&lt;&gt;$A$15)),
        IF(Import.TipoArredondamento&lt;&gt;"TransfereGOV",
              ROUND(OFFSET($P88,0,AT$13),15-13*ORÇAMENTO!$AF$7)/$H88*OFFSET(ORÇAMENTO!$X$15,ROW(AT88)-ROW(AT$15),0),
              ROUND(ROUND(OFFSET($P88,0,AT$13),15-13*ORÇAMENTO!$AF$7)*OFFSET(ORÇAMENTO!$W$15,ROW(AT88)-ROW(AT$15),0),15-13*ORÇAMENTO!$AF$11)),
         0)</f>
        <v>0</v>
      </c>
      <c r="AU88" s="453">
        <f ca="1">IF(AND($D88="Serviço",AU$12&lt;&gt;0,$H88&gt;0,OR(AUTOEVENTO&lt;&gt;"manual",$M88&lt;&gt;$A$15)),
        IF(Import.TipoArredondamento&lt;&gt;"TransfereGOV",
              ROUND(OFFSET($P88,0,AU$13),15-13*ORÇAMENTO!$AF$7)/$H88*OFFSET(ORÇAMENTO!$X$15,ROW(AU88)-ROW(AU$15),0),
              ROUND(ROUND(OFFSET($P88,0,AU$13),15-13*ORÇAMENTO!$AF$7)*OFFSET(ORÇAMENTO!$W$15,ROW(AU88)-ROW(AU$15),0),15-13*ORÇAMENTO!$AF$11)),
         0)</f>
        <v>0</v>
      </c>
      <c r="AV88" s="453">
        <f ca="1">IF(AND($D88="Serviço",AV$12&lt;&gt;0,$H88&gt;0,OR(AUTOEVENTO&lt;&gt;"manual",$M88&lt;&gt;$A$15)),
        IF(Import.TipoArredondamento&lt;&gt;"TransfereGOV",
              ROUND(OFFSET($P88,0,AV$13),15-13*ORÇAMENTO!$AF$7)/$H88*OFFSET(ORÇAMENTO!$X$15,ROW(AV88)-ROW(AV$15),0),
              ROUND(ROUND(OFFSET($P88,0,AV$13),15-13*ORÇAMENTO!$AF$7)*OFFSET(ORÇAMENTO!$W$15,ROW(AV88)-ROW(AV$15),0),15-13*ORÇAMENTO!$AF$11)),
         0)</f>
        <v>0</v>
      </c>
      <c r="AW88" s="453">
        <f ca="1">IF(AND($D88="Serviço",AW$12&lt;&gt;0,$H88&gt;0,OR(AUTOEVENTO&lt;&gt;"manual",$M88&lt;&gt;$A$15)),
        IF(Import.TipoArredondamento&lt;&gt;"TransfereGOV",
              ROUND(OFFSET($P88,0,AW$13),15-13*ORÇAMENTO!$AF$7)/$H88*OFFSET(ORÇAMENTO!$X$15,ROW(AW88)-ROW(AW$15),0),
              ROUND(ROUND(OFFSET($P88,0,AW$13),15-13*ORÇAMENTO!$AF$7)*OFFSET(ORÇAMENTO!$W$15,ROW(AW88)-ROW(AW$15),0),15-13*ORÇAMENTO!$AF$11)),
         0)</f>
        <v>0</v>
      </c>
      <c r="AX88" s="453">
        <f ca="1">IF(AND($D88="Serviço",AX$12&lt;&gt;0,$H88&gt;0,OR(AUTOEVENTO&lt;&gt;"manual",$M88&lt;&gt;$A$15)),
        IF(Import.TipoArredondamento&lt;&gt;"TransfereGOV",
              ROUND(OFFSET($P88,0,AX$13),15-13*ORÇAMENTO!$AF$7)/$H88*OFFSET(ORÇAMENTO!$X$15,ROW(AX88)-ROW(AX$15),0),
              ROUND(ROUND(OFFSET($P88,0,AX$13),15-13*ORÇAMENTO!$AF$7)*OFFSET(ORÇAMENTO!$W$15,ROW(AX88)-ROW(AX$15),0),15-13*ORÇAMENTO!$AF$11)),
         0)</f>
        <v>0</v>
      </c>
      <c r="AY88" s="453">
        <f ca="1">IF(AND($D88="Serviço",AY$12&lt;&gt;0,$H88&gt;0,OR(AUTOEVENTO&lt;&gt;"manual",$M88&lt;&gt;$A$15)),
        IF(Import.TipoArredondamento&lt;&gt;"TransfereGOV",
              ROUND(OFFSET($P88,0,AY$13),15-13*ORÇAMENTO!$AF$7)/$H88*OFFSET(ORÇAMENTO!$X$15,ROW(AY88)-ROW(AY$15),0),
              ROUND(ROUND(OFFSET($P88,0,AY$13),15-13*ORÇAMENTO!$AF$7)*OFFSET(ORÇAMENTO!$W$15,ROW(AY88)-ROW(AY$15),0),15-13*ORÇAMENTO!$AF$11)),
         0)</f>
        <v>0</v>
      </c>
      <c r="AZ88" s="453">
        <f ca="1">IF(AND($D88="Serviço",AZ$12&lt;&gt;0,$H88&gt;0,OR(AUTOEVENTO&lt;&gt;"manual",$M88&lt;&gt;$A$15)),
        IF(Import.TipoArredondamento&lt;&gt;"TransfereGOV",
              ROUND(OFFSET($P88,0,AZ$13),15-13*ORÇAMENTO!$AF$7)/$H88*OFFSET(ORÇAMENTO!$X$15,ROW(AZ88)-ROW(AZ$15),0),
              ROUND(ROUND(OFFSET($P88,0,AZ$13),15-13*ORÇAMENTO!$AF$7)*OFFSET(ORÇAMENTO!$W$15,ROW(AZ88)-ROW(AZ$15),0),15-13*ORÇAMENTO!$AF$11)),
         0)</f>
        <v>0</v>
      </c>
      <c r="BA88" s="453">
        <f ca="1">IF(AND($D88="Serviço",BA$12&lt;&gt;0,$H88&gt;0,OR(AUTOEVENTO&lt;&gt;"manual",$M88&lt;&gt;$A$15)),
        IF(Import.TipoArredondamento&lt;&gt;"TransfereGOV",
              ROUND(OFFSET($P88,0,BA$13),15-13*ORÇAMENTO!$AF$7)/$H88*OFFSET(ORÇAMENTO!$X$15,ROW(BA88)-ROW(BA$15),0),
              ROUND(ROUND(OFFSET($P88,0,BA$13),15-13*ORÇAMENTO!$AF$7)*OFFSET(ORÇAMENTO!$W$15,ROW(BA88)-ROW(BA$15),0),15-13*ORÇAMENTO!$AF$11)),
         0)</f>
        <v>0</v>
      </c>
      <c r="BC88" s="171">
        <f ca="1">IF(OR($D88&lt;&gt;"Serviço",AND(AUTOEVENTO="Manual",$M88=$A$15)),0,
         IF(OFFSET(CRONOPLE!$F$15,$M88-$A$15,BC$13)=0,10^12,OFFSET(CRONOPLE!$F$15,$M88-$A$15,BC$13)))</f>
        <v>10</v>
      </c>
      <c r="BD88" s="171">
        <f ca="1">IF(OR($D88&lt;&gt;"Serviço",AND(AUTOEVENTO="Manual",$M88=$A$15)),0,
         IF(OFFSET(CRONOPLE!$F$15,$M88-$A$15,BD$13)=0,10^12,OFFSET(CRONOPLE!$F$15,$M88-$A$15,BD$13)))</f>
        <v>1000000000000</v>
      </c>
      <c r="BE88" s="171">
        <f ca="1">IF(OR($D88&lt;&gt;"Serviço",AND(AUTOEVENTO="Manual",$M88=$A$15)),0,
         IF(OFFSET(CRONOPLE!$F$15,$M88-$A$15,BE$13)=0,10^12,OFFSET(CRONOPLE!$F$15,$M88-$A$15,BE$13)))</f>
        <v>4</v>
      </c>
      <c r="BF88" s="171">
        <f ca="1">IF(OR($D88&lt;&gt;"Serviço",AND(AUTOEVENTO="Manual",$M88=$A$15)),0,
         IF(OFFSET(CRONOPLE!$F$15,$M88-$A$15,BF$13)=0,10^12,OFFSET(CRONOPLE!$F$15,$M88-$A$15,BF$13)))</f>
        <v>9</v>
      </c>
      <c r="BG88" s="171">
        <f ca="1">IF(OR($D88&lt;&gt;"Serviço",AND(AUTOEVENTO="Manual",$M88=$A$15)),0,
         IF(OFFSET(CRONOPLE!$F$15,$M88-$A$15,BG$13)=0,10^12,OFFSET(CRONOPLE!$F$15,$M88-$A$15,BG$13)))</f>
        <v>6</v>
      </c>
      <c r="BH88" s="171">
        <f ca="1">IF(OR($D88&lt;&gt;"Serviço",AND(AUTOEVENTO="Manual",$M88=$A$15)),0,
         IF(OFFSET(CRONOPLE!$F$15,$M88-$A$15,BH$13)=0,10^12,OFFSET(CRONOPLE!$F$15,$M88-$A$15,BH$13)))</f>
        <v>6</v>
      </c>
      <c r="BI88" s="171">
        <f ca="1">IF(OR($D88&lt;&gt;"Serviço",AND(AUTOEVENTO="Manual",$M88=$A$15)),0,
         IF(OFFSET(CRONOPLE!$F$15,$M88-$A$15,BI$13)=0,10^12,OFFSET(CRONOPLE!$F$15,$M88-$A$15,BI$13)))</f>
        <v>9</v>
      </c>
      <c r="BJ88" s="171">
        <f ca="1">IF(OR($D88&lt;&gt;"Serviço",AND(AUTOEVENTO="Manual",$M88=$A$15)),0,
         IF(OFFSET(CRONOPLE!$F$15,$M88-$A$15,BJ$13)=0,10^12,OFFSET(CRONOPLE!$F$15,$M88-$A$15,BJ$13)))</f>
        <v>1000000000000</v>
      </c>
      <c r="BK88" s="171">
        <f ca="1">IF(OR($D88&lt;&gt;"Serviço",AND(AUTOEVENTO="Manual",$M88=$A$15)),0,
         IF(OFFSET(CRONOPLE!$F$15,$M88-$A$15,BK$13)=0,10^12,OFFSET(CRONOPLE!$F$15,$M88-$A$15,BK$13)))</f>
        <v>1000000000000</v>
      </c>
      <c r="BL88" s="171">
        <f ca="1">IF(OR($D88&lt;&gt;"Serviço",AND(AUTOEVENTO="Manual",$M88=$A$15)),0,
         IF(OFFSET(CRONOPLE!$F$15,$M88-$A$15,BL$13)=0,10^12,OFFSET(CRONOPLE!$F$15,$M88-$A$15,BL$13)))</f>
        <v>1000000000000</v>
      </c>
      <c r="BM88" s="171">
        <f ca="1">IF(OR($D88&lt;&gt;"Serviço",AND(AUTOEVENTO="Manual",$M88=$A$15)),0,
         IF(OFFSET(CRONOPLE!$F$15,$M88-$A$15,BM$13)=0,10^12,OFFSET(CRONOPLE!$F$15,$M88-$A$15,BM$13)))</f>
        <v>1000000000000</v>
      </c>
      <c r="BN88" s="171">
        <f ca="1">IF(OR($D88&lt;&gt;"Serviço",AND(AUTOEVENTO="Manual",$M88=$A$15)),0,
         IF(OFFSET(CRONOPLE!$F$15,$M88-$A$15,BN$13)=0,10^12,OFFSET(CRONOPLE!$F$15,$M88-$A$15,BN$13)))</f>
        <v>1000000000000</v>
      </c>
      <c r="BO88" s="171">
        <f ca="1">IF(OR($D88&lt;&gt;"Serviço",AND(AUTOEVENTO="Manual",$M88=$A$15)),0,
         IF(OFFSET(CRONOPLE!$F$15,$M88-$A$15,BO$13)=0,10^12,OFFSET(CRONOPLE!$F$15,$M88-$A$15,BO$13)))</f>
        <v>1000000000000</v>
      </c>
      <c r="BP88" s="171">
        <f ca="1">IF(OR($D88&lt;&gt;"Serviço",AND(AUTOEVENTO="Manual",$M88=$A$15)),0,
         IF(OFFSET(CRONOPLE!$F$15,$M88-$A$15,BP$13)=0,10^12,OFFSET(CRONOPLE!$F$15,$M88-$A$15,BP$13)))</f>
        <v>1000000000000</v>
      </c>
      <c r="BQ88" s="171">
        <f ca="1">IF(OR($D88&lt;&gt;"Serviço",AND(AUTOEVENTO="Manual",$M88=$A$15)),0,
         IF(OFFSET(CRONOPLE!$F$15,$M88-$A$15,BQ$13)=0,10^12,OFFSET(CRONOPLE!$F$15,$M88-$A$15,BQ$13)))</f>
        <v>1000000000000</v>
      </c>
      <c r="BR88" s="171">
        <f ca="1">IF(OR($D88&lt;&gt;"Serviço",AND(AUTOEVENTO="Manual",$M88=$A$15)),0,
         IF(OFFSET(CRONOPLE!$F$15,$M88-$A$15,BR$13)=0,10^12,OFFSET(CRONOPLE!$F$15,$M88-$A$15,BR$13)))</f>
        <v>1000000000000</v>
      </c>
      <c r="BS88" s="171">
        <f ca="1">IF(OR($D88&lt;&gt;"Serviço",AND(AUTOEVENTO="Manual",$M88=$A$15)),0,
         IF(OFFSET(CRONOPLE!$F$15,$M88-$A$15,BS$13)=0,10^12,OFFSET(CRONOPLE!$F$15,$M88-$A$15,BS$13)))</f>
        <v>1000000000000</v>
      </c>
      <c r="BT88" s="171">
        <f ca="1">IF(OR($D88&lt;&gt;"Serviço",AND(AUTOEVENTO="Manual",$M88=$A$15)),0,
         IF(OFFSET(CRONOPLE!$F$15,$M88-$A$15,BT$13)=0,10^12,OFFSET(CRONOPLE!$F$15,$M88-$A$15,BT$13)))</f>
        <v>1000000000000</v>
      </c>
      <c r="BV88" s="172" cm="1">
        <f t="array" aca="1" ref="BV88" ca="1">IF(OR($D88&lt;&gt;"Serviço",AND(AUTOEVENTO="Manual",$M88=$A$15),$M88&gt;(ROW(PLE.lastrow)-ROW(PLE.firstrow))),0,
           IF(OFFSET(PLE!$G$15,$M88-$A$15,BV$13)="",10^12,OFFSET(PLE!$G$15,$M88-$A$15,BV$13)))</f>
        <v>1000000000000</v>
      </c>
      <c r="BW88" s="172" cm="1">
        <f t="array" aca="1" ref="BW88" ca="1">IF(OR($D88&lt;&gt;"Serviço",AND(AUTOEVENTO="Manual",$M88=$A$15),$M88&gt;(ROW(PLE.lastrow)-ROW(PLE.firstrow))),0,
           IF(OFFSET(PLE!$G$15,$M88-$A$15,BW$13)="",10^12,OFFSET(PLE!$G$15,$M88-$A$15,BW$13)))</f>
        <v>1000000000000</v>
      </c>
      <c r="BX88" s="172" cm="1">
        <f t="array" aca="1" ref="BX88" ca="1">IF(OR($D88&lt;&gt;"Serviço",AND(AUTOEVENTO="Manual",$M88=$A$15),$M88&gt;(ROW(PLE.lastrow)-ROW(PLE.firstrow))),0,
           IF(OFFSET(PLE!$G$15,$M88-$A$15,BX$13)="",10^12,OFFSET(PLE!$G$15,$M88-$A$15,BX$13)))</f>
        <v>1000000000000</v>
      </c>
      <c r="BY88" s="172" cm="1">
        <f t="array" aca="1" ref="BY88" ca="1">IF(OR($D88&lt;&gt;"Serviço",AND(AUTOEVENTO="Manual",$M88=$A$15),$M88&gt;(ROW(PLE.lastrow)-ROW(PLE.firstrow))),0,
           IF(OFFSET(PLE!$G$15,$M88-$A$15,BY$13)="",10^12,OFFSET(PLE!$G$15,$M88-$A$15,BY$13)))</f>
        <v>1000000000000</v>
      </c>
      <c r="BZ88" s="172" cm="1">
        <f t="array" aca="1" ref="BZ88" ca="1">IF(OR($D88&lt;&gt;"Serviço",AND(AUTOEVENTO="Manual",$M88=$A$15),$M88&gt;(ROW(PLE.lastrow)-ROW(PLE.firstrow))),0,
           IF(OFFSET(PLE!$G$15,$M88-$A$15,BZ$13)="",10^12,OFFSET(PLE!$G$15,$M88-$A$15,BZ$13)))</f>
        <v>1000000000000</v>
      </c>
      <c r="CA88" s="172" cm="1">
        <f t="array" aca="1" ref="CA88" ca="1">IF(OR($D88&lt;&gt;"Serviço",AND(AUTOEVENTO="Manual",$M88=$A$15),$M88&gt;(ROW(PLE.lastrow)-ROW(PLE.firstrow))),0,
           IF(OFFSET(PLE!$G$15,$M88-$A$15,CA$13)="",10^12,OFFSET(PLE!$G$15,$M88-$A$15,CA$13)))</f>
        <v>1000000000000</v>
      </c>
      <c r="CB88" s="172" cm="1">
        <f t="array" aca="1" ref="CB88" ca="1">IF(OR($D88&lt;&gt;"Serviço",AND(AUTOEVENTO="Manual",$M88=$A$15),$M88&gt;(ROW(PLE.lastrow)-ROW(PLE.firstrow))),0,
           IF(OFFSET(PLE!$G$15,$M88-$A$15,CB$13)="",10^12,OFFSET(PLE!$G$15,$M88-$A$15,CB$13)))</f>
        <v>1000000000000</v>
      </c>
      <c r="CC88" s="172" cm="1">
        <f t="array" aca="1" ref="CC88" ca="1">IF(OR($D88&lt;&gt;"Serviço",AND(AUTOEVENTO="Manual",$M88=$A$15),$M88&gt;(ROW(PLE.lastrow)-ROW(PLE.firstrow))),0,
           IF(OFFSET(PLE!$G$15,$M88-$A$15,CC$13)="",10^12,OFFSET(PLE!$G$15,$M88-$A$15,CC$13)))</f>
        <v>1000000000000</v>
      </c>
      <c r="CD88" s="172" cm="1">
        <f t="array" aca="1" ref="CD88" ca="1">IF(OR($D88&lt;&gt;"Serviço",AND(AUTOEVENTO="Manual",$M88=$A$15),$M88&gt;(ROW(PLE.lastrow)-ROW(PLE.firstrow))),0,
           IF(OFFSET(PLE!$G$15,$M88-$A$15,CD$13)="",10^12,OFFSET(PLE!$G$15,$M88-$A$15,CD$13)))</f>
        <v>1000000000000</v>
      </c>
      <c r="CE88" s="172" cm="1">
        <f t="array" aca="1" ref="CE88" ca="1">IF(OR($D88&lt;&gt;"Serviço",AND(AUTOEVENTO="Manual",$M88=$A$15),$M88&gt;(ROW(PLE.lastrow)-ROW(PLE.firstrow))),0,
           IF(OFFSET(PLE!$G$15,$M88-$A$15,CE$13)="",10^12,OFFSET(PLE!$G$15,$M88-$A$15,CE$13)))</f>
        <v>1000000000000</v>
      </c>
      <c r="CF88" s="172" cm="1">
        <f t="array" aca="1" ref="CF88" ca="1">IF(OR($D88&lt;&gt;"Serviço",AND(AUTOEVENTO="Manual",$M88=$A$15),$M88&gt;(ROW(PLE.lastrow)-ROW(PLE.firstrow))),0,
           IF(OFFSET(PLE!$G$15,$M88-$A$15,CF$13)="",10^12,OFFSET(PLE!$G$15,$M88-$A$15,CF$13)))</f>
        <v>1000000000000</v>
      </c>
      <c r="CG88" s="172" cm="1">
        <f t="array" aca="1" ref="CG88" ca="1">IF(OR($D88&lt;&gt;"Serviço",AND(AUTOEVENTO="Manual",$M88=$A$15),$M88&gt;(ROW(PLE.lastrow)-ROW(PLE.firstrow))),0,
           IF(OFFSET(PLE!$G$15,$M88-$A$15,CG$13)="",10^12,OFFSET(PLE!$G$15,$M88-$A$15,CG$13)))</f>
        <v>1000000000000</v>
      </c>
      <c r="CH88" s="172" cm="1">
        <f t="array" aca="1" ref="CH88" ca="1">IF(OR($D88&lt;&gt;"Serviço",AND(AUTOEVENTO="Manual",$M88=$A$15),$M88&gt;(ROW(PLE.lastrow)-ROW(PLE.firstrow))),0,
           IF(OFFSET(PLE!$G$15,$M88-$A$15,CH$13)="",10^12,OFFSET(PLE!$G$15,$M88-$A$15,CH$13)))</f>
        <v>1000000000000</v>
      </c>
      <c r="CI88" s="172" cm="1">
        <f t="array" aca="1" ref="CI88" ca="1">IF(OR($D88&lt;&gt;"Serviço",AND(AUTOEVENTO="Manual",$M88=$A$15),$M88&gt;(ROW(PLE.lastrow)-ROW(PLE.firstrow))),0,
           IF(OFFSET(PLE!$G$15,$M88-$A$15,CI$13)="",10^12,OFFSET(PLE!$G$15,$M88-$A$15,CI$13)))</f>
        <v>1000000000000</v>
      </c>
      <c r="CJ88" s="172" cm="1">
        <f t="array" aca="1" ref="CJ88" ca="1">IF(OR($D88&lt;&gt;"Serviço",AND(AUTOEVENTO="Manual",$M88=$A$15),$M88&gt;(ROW(PLE.lastrow)-ROW(PLE.firstrow))),0,
           IF(OFFSET(PLE!$G$15,$M88-$A$15,CJ$13)="",10^12,OFFSET(PLE!$G$15,$M88-$A$15,CJ$13)))</f>
        <v>1000000000000</v>
      </c>
      <c r="CK88" s="172" cm="1">
        <f t="array" aca="1" ref="CK88" ca="1">IF(OR($D88&lt;&gt;"Serviço",AND(AUTOEVENTO="Manual",$M88=$A$15),$M88&gt;(ROW(PLE.lastrow)-ROW(PLE.firstrow))),0,
           IF(OFFSET(PLE!$G$15,$M88-$A$15,CK$13)="",10^12,OFFSET(PLE!$G$15,$M88-$A$15,CK$13)))</f>
        <v>1000000000000</v>
      </c>
      <c r="CL88" s="172" cm="1">
        <f t="array" aca="1" ref="CL88" ca="1">IF(OR($D88&lt;&gt;"Serviço",AND(AUTOEVENTO="Manual",$M88=$A$15),$M88&gt;(ROW(PLE.lastrow)-ROW(PLE.firstrow))),0,
           IF(OFFSET(PLE!$G$15,$M88-$A$15,CL$13)="",10^12,OFFSET(PLE!$G$15,$M88-$A$15,CL$13)))</f>
        <v>1000000000000</v>
      </c>
      <c r="CM88" s="172" cm="1">
        <f t="array" aca="1" ref="CM88" ca="1">IF(OR($D88&lt;&gt;"Serviço",AND(AUTOEVENTO="Manual",$M88=$A$15),$M88&gt;(ROW(PLE.lastrow)-ROW(PLE.firstrow))),0,
           IF(OFFSET(PLE!$G$15,$M88-$A$15,CM$13)="",10^12,OFFSET(PLE!$G$15,$M88-$A$15,CM$13)))</f>
        <v>1000000000000</v>
      </c>
    </row>
    <row r="89" spans="1:91" s="670" customFormat="1" ht="38.25" x14ac:dyDescent="0.2">
      <c r="A89" s="668">
        <f t="shared" ca="1" si="12"/>
        <v>13</v>
      </c>
      <c r="B89" s="668" t="str">
        <f ca="1">OFFSET(ORÇAMENTO!C$15,$L89,0)</f>
        <v>S</v>
      </c>
      <c r="C89" s="668" t="str">
        <f ca="1">OFFSET(ORÇAMENTO!L$15,$L89,0)</f>
        <v>F</v>
      </c>
      <c r="D89" s="116" t="str">
        <f ca="1">OFFSET(ORÇAMENTO!N$15,$L89,0)</f>
        <v>Serviço</v>
      </c>
      <c r="E89" s="117" t="str">
        <f ca="1">OFFSET(ORÇAMENTO!O$15,$L89,0)</f>
        <v>1.11.6.</v>
      </c>
      <c r="F89" s="163" t="str">
        <f ca="1">OFFSET(ORÇAMENTO!R$15,$L89,0)</f>
        <v>ESTACA BROCA DE CONCRETO, DIÂMETRO DE 30CM, ESCAVAÇÃO MANUAL COM TRADO CONCHA, COM ARMADURA DE ARRANQUE. AF_05/2020</v>
      </c>
      <c r="G89" s="164" t="str">
        <f ca="1">IF($D89&lt;&gt;"Serviço","",OFFSET(ORÇAMENTO!S$15,$L89,0))</f>
        <v>M</v>
      </c>
      <c r="H89" s="122" cm="1">
        <f t="array" aca="1" ref="H89" ca="1">IF($D89&lt;&gt;"Serviço",0,IF(ACOMPANHAMENTO="BM",ROUND(OFFSET(ORÇAMENTO!AJ$15,$L89,0),15-13*ORÇAMENTO!$AF$7),IF(IFERROR(CÁLCULO.FrentesPreenchidas,0)=0,0,SUM(ROUND(OFFSET($P89,0,1,1,CÁLCULO.FrentesPreenchidas),15-13*ORÇAMENTO!$AF$7)))))</f>
        <v>8.6999999999999993</v>
      </c>
      <c r="I89" s="468" t="s">
        <v>1165</v>
      </c>
      <c r="J89" s="651" t="str" cm="1">
        <f t="array" aca="1" ref="J89" ca="1">IF(OR(B89&lt;&gt;"S",CÁLCULO.FrentesPreenchidas=0),"",IF(AND(ACOMPANHAMENTO="PLE",AUTOEVENTO="Manual",OR(H89&gt;0,ORÇAMENTO!AC89="QUANT."),OR(K89="",M89=0,N89="")),"►E",IF(AND(ACOMPANHAMENTO="PLE",ORÇAMENTO!AC89="QUANT."),"►Q",IF(AND(ACOMPANHAMENTO="PLE",H89&lt;&gt;SUMPRODUCT(($Q$1:$AI$1=1)*ROUND(Q89:AI89,15))),"►S",IF(AND(COUNTIF($P$11:$AI$11,"▼")=0,H89&gt;0,I89=""),"◄M","")))))</f>
        <v/>
      </c>
      <c r="K89" s="652" t="s">
        <v>1355</v>
      </c>
      <c r="L89" s="165">
        <f t="shared" ca="1" si="13"/>
        <v>74</v>
      </c>
      <c r="M89" s="166">
        <f ca="1">IF($D89&lt;&gt;"Serviço","",
          IF(AUTOEVENTO="manual",$A89,
                IF(ISERROR(MATCH($A89,$A$15:OFFSET($A89,-1,0),0)),MAX($M$15:OFFSET(M89,-1,0))+1,
                      INDEX($M$15:OFFSET(M89,-1,0),MATCH($A89,$A$15:OFFSET($A89,-1,0),0)))))</f>
        <v>13</v>
      </c>
      <c r="N89" s="167" t="str">
        <f ca="1">IF($D89&lt;&gt;"Serviço","",
         IF(AUTOEVENTO="Manual",
                IF($A89=0,"&lt;-- defina o número do agrupador",
                       OFFSET(EVENTOS!$D$15,$A89-$A$15,0)),
                OFFSET($F$15,$A89,0)))</f>
        <v>Fundação - Estacas / Tubulões</v>
      </c>
      <c r="O89" s="168"/>
      <c r="Q89" s="168"/>
      <c r="R89" s="169"/>
      <c r="S89" s="169"/>
      <c r="T89" s="169"/>
      <c r="U89" s="169">
        <v>8.6999999999999993</v>
      </c>
      <c r="V89" s="169"/>
      <c r="W89" s="169"/>
      <c r="X89" s="169"/>
      <c r="Y89" s="169"/>
      <c r="Z89" s="170"/>
      <c r="AA89" s="705"/>
      <c r="AB89" s="705"/>
      <c r="AC89" s="705"/>
      <c r="AD89" s="705"/>
      <c r="AE89" s="705"/>
      <c r="AF89" s="705"/>
      <c r="AG89" s="705"/>
      <c r="AH89" s="706"/>
      <c r="AJ89" s="453">
        <f ca="1">IF(AND($D89="Serviço",AJ$12&lt;&gt;0,$H89&gt;0,OR(AUTOEVENTO&lt;&gt;"manual",$M89&lt;&gt;$A$15)),
        IF(Import.TipoArredondamento&lt;&gt;"TransfereGOV",
              ROUND(OFFSET($P89,0,AJ$13),15-13*ORÇAMENTO!$AF$7)/$H89*OFFSET(ORÇAMENTO!$X$15,ROW(AJ89)-ROW(AJ$15),0),
              ROUND(ROUND(OFFSET($P89,0,AJ$13),15-13*ORÇAMENTO!$AF$7)*OFFSET(ORÇAMENTO!$W$15,ROW(AJ89)-ROW(AJ$15),0),15-13*ORÇAMENTO!$AF$11)),
         0)</f>
        <v>0</v>
      </c>
      <c r="AK89" s="453">
        <f ca="1">IF(AND($D89="Serviço",AK$12&lt;&gt;0,$H89&gt;0,OR(AUTOEVENTO&lt;&gt;"manual",$M89&lt;&gt;$A$15)),
        IF(Import.TipoArredondamento&lt;&gt;"TransfereGOV",
              ROUND(OFFSET($P89,0,AK$13),15-13*ORÇAMENTO!$AF$7)/$H89*OFFSET(ORÇAMENTO!$X$15,ROW(AK89)-ROW(AK$15),0),
              ROUND(ROUND(OFFSET($P89,0,AK$13),15-13*ORÇAMENTO!$AF$7)*OFFSET(ORÇAMENTO!$W$15,ROW(AK89)-ROW(AK$15),0),15-13*ORÇAMENTO!$AF$11)),
         0)</f>
        <v>0</v>
      </c>
      <c r="AL89" s="453">
        <f ca="1">IF(AND($D89="Serviço",AL$12&lt;&gt;0,$H89&gt;0,OR(AUTOEVENTO&lt;&gt;"manual",$M89&lt;&gt;$A$15)),
        IF(Import.TipoArredondamento&lt;&gt;"TransfereGOV",
              ROUND(OFFSET($P89,0,AL$13),15-13*ORÇAMENTO!$AF$7)/$H89*OFFSET(ORÇAMENTO!$X$15,ROW(AL89)-ROW(AL$15),0),
              ROUND(ROUND(OFFSET($P89,0,AL$13),15-13*ORÇAMENTO!$AF$7)*OFFSET(ORÇAMENTO!$W$15,ROW(AL89)-ROW(AL$15),0),15-13*ORÇAMENTO!$AF$11)),
         0)</f>
        <v>0</v>
      </c>
      <c r="AM89" s="453">
        <f ca="1">IF(AND($D89="Serviço",AM$12&lt;&gt;0,$H89&gt;0,OR(AUTOEVENTO&lt;&gt;"manual",$M89&lt;&gt;$A$15)),
        IF(Import.TipoArredondamento&lt;&gt;"TransfereGOV",
              ROUND(OFFSET($P89,0,AM$13),15-13*ORÇAMENTO!$AF$7)/$H89*OFFSET(ORÇAMENTO!$X$15,ROW(AM89)-ROW(AM$15),0),
              ROUND(ROUND(OFFSET($P89,0,AM$13),15-13*ORÇAMENTO!$AF$7)*OFFSET(ORÇAMENTO!$W$15,ROW(AM89)-ROW(AM$15),0),15-13*ORÇAMENTO!$AF$11)),
         0)</f>
        <v>0</v>
      </c>
      <c r="AN89" s="453">
        <f ca="1">IF(AND($D89="Serviço",AN$12&lt;&gt;0,$H89&gt;0,OR(AUTOEVENTO&lt;&gt;"manual",$M89&lt;&gt;$A$15)),
        IF(Import.TipoArredondamento&lt;&gt;"TransfereGOV",
              ROUND(OFFSET($P89,0,AN$13),15-13*ORÇAMENTO!$AF$7)/$H89*OFFSET(ORÇAMENTO!$X$15,ROW(AN89)-ROW(AN$15),0),
              ROUND(ROUND(OFFSET($P89,0,AN$13),15-13*ORÇAMENTO!$AF$7)*OFFSET(ORÇAMENTO!$W$15,ROW(AN89)-ROW(AN$15),0),15-13*ORÇAMENTO!$AF$11)),
         0)</f>
        <v>1435.15</v>
      </c>
      <c r="AO89" s="453">
        <f ca="1">IF(AND($D89="Serviço",AO$12&lt;&gt;0,$H89&gt;0,OR(AUTOEVENTO&lt;&gt;"manual",$M89&lt;&gt;$A$15)),
        IF(Import.TipoArredondamento&lt;&gt;"TransfereGOV",
              ROUND(OFFSET($P89,0,AO$13),15-13*ORÇAMENTO!$AF$7)/$H89*OFFSET(ORÇAMENTO!$X$15,ROW(AO89)-ROW(AO$15),0),
              ROUND(ROUND(OFFSET($P89,0,AO$13),15-13*ORÇAMENTO!$AF$7)*OFFSET(ORÇAMENTO!$W$15,ROW(AO89)-ROW(AO$15),0),15-13*ORÇAMENTO!$AF$11)),
         0)</f>
        <v>0</v>
      </c>
      <c r="AP89" s="453">
        <f ca="1">IF(AND($D89="Serviço",AP$12&lt;&gt;0,$H89&gt;0,OR(AUTOEVENTO&lt;&gt;"manual",$M89&lt;&gt;$A$15)),
        IF(Import.TipoArredondamento&lt;&gt;"TransfereGOV",
              ROUND(OFFSET($P89,0,AP$13),15-13*ORÇAMENTO!$AF$7)/$H89*OFFSET(ORÇAMENTO!$X$15,ROW(AP89)-ROW(AP$15),0),
              ROUND(ROUND(OFFSET($P89,0,AP$13),15-13*ORÇAMENTO!$AF$7)*OFFSET(ORÇAMENTO!$W$15,ROW(AP89)-ROW(AP$15),0),15-13*ORÇAMENTO!$AF$11)),
         0)</f>
        <v>0</v>
      </c>
      <c r="AQ89" s="453">
        <f ca="1">IF(AND($D89="Serviço",AQ$12&lt;&gt;0,$H89&gt;0,OR(AUTOEVENTO&lt;&gt;"manual",$M89&lt;&gt;$A$15)),
        IF(Import.TipoArredondamento&lt;&gt;"TransfereGOV",
              ROUND(OFFSET($P89,0,AQ$13),15-13*ORÇAMENTO!$AF$7)/$H89*OFFSET(ORÇAMENTO!$X$15,ROW(AQ89)-ROW(AQ$15),0),
              ROUND(ROUND(OFFSET($P89,0,AQ$13),15-13*ORÇAMENTO!$AF$7)*OFFSET(ORÇAMENTO!$W$15,ROW(AQ89)-ROW(AQ$15),0),15-13*ORÇAMENTO!$AF$11)),
         0)</f>
        <v>0</v>
      </c>
      <c r="AR89" s="453">
        <f ca="1">IF(AND($D89="Serviço",AR$12&lt;&gt;0,$H89&gt;0,OR(AUTOEVENTO&lt;&gt;"manual",$M89&lt;&gt;$A$15)),
        IF(Import.TipoArredondamento&lt;&gt;"TransfereGOV",
              ROUND(OFFSET($P89,0,AR$13),15-13*ORÇAMENTO!$AF$7)/$H89*OFFSET(ORÇAMENTO!$X$15,ROW(AR89)-ROW(AR$15),0),
              ROUND(ROUND(OFFSET($P89,0,AR$13),15-13*ORÇAMENTO!$AF$7)*OFFSET(ORÇAMENTO!$W$15,ROW(AR89)-ROW(AR$15),0),15-13*ORÇAMENTO!$AF$11)),
         0)</f>
        <v>0</v>
      </c>
      <c r="AS89" s="453">
        <f ca="1">IF(AND($D89="Serviço",AS$12&lt;&gt;0,$H89&gt;0,OR(AUTOEVENTO&lt;&gt;"manual",$M89&lt;&gt;$A$15)),
        IF(Import.TipoArredondamento&lt;&gt;"TransfereGOV",
              ROUND(OFFSET($P89,0,AS$13),15-13*ORÇAMENTO!$AF$7)/$H89*OFFSET(ORÇAMENTO!$X$15,ROW(AS89)-ROW(AS$15),0),
              ROUND(ROUND(OFFSET($P89,0,AS$13),15-13*ORÇAMENTO!$AF$7)*OFFSET(ORÇAMENTO!$W$15,ROW(AS89)-ROW(AS$15),0),15-13*ORÇAMENTO!$AF$11)),
         0)</f>
        <v>0</v>
      </c>
      <c r="AT89" s="453">
        <f ca="1">IF(AND($D89="Serviço",AT$12&lt;&gt;0,$H89&gt;0,OR(AUTOEVENTO&lt;&gt;"manual",$M89&lt;&gt;$A$15)),
        IF(Import.TipoArredondamento&lt;&gt;"TransfereGOV",
              ROUND(OFFSET($P89,0,AT$13),15-13*ORÇAMENTO!$AF$7)/$H89*OFFSET(ORÇAMENTO!$X$15,ROW(AT89)-ROW(AT$15),0),
              ROUND(ROUND(OFFSET($P89,0,AT$13),15-13*ORÇAMENTO!$AF$7)*OFFSET(ORÇAMENTO!$W$15,ROW(AT89)-ROW(AT$15),0),15-13*ORÇAMENTO!$AF$11)),
         0)</f>
        <v>0</v>
      </c>
      <c r="AU89" s="453">
        <f ca="1">IF(AND($D89="Serviço",AU$12&lt;&gt;0,$H89&gt;0,OR(AUTOEVENTO&lt;&gt;"manual",$M89&lt;&gt;$A$15)),
        IF(Import.TipoArredondamento&lt;&gt;"TransfereGOV",
              ROUND(OFFSET($P89,0,AU$13),15-13*ORÇAMENTO!$AF$7)/$H89*OFFSET(ORÇAMENTO!$X$15,ROW(AU89)-ROW(AU$15),0),
              ROUND(ROUND(OFFSET($P89,0,AU$13),15-13*ORÇAMENTO!$AF$7)*OFFSET(ORÇAMENTO!$W$15,ROW(AU89)-ROW(AU$15),0),15-13*ORÇAMENTO!$AF$11)),
         0)</f>
        <v>0</v>
      </c>
      <c r="AV89" s="453">
        <f ca="1">IF(AND($D89="Serviço",AV$12&lt;&gt;0,$H89&gt;0,OR(AUTOEVENTO&lt;&gt;"manual",$M89&lt;&gt;$A$15)),
        IF(Import.TipoArredondamento&lt;&gt;"TransfereGOV",
              ROUND(OFFSET($P89,0,AV$13),15-13*ORÇAMENTO!$AF$7)/$H89*OFFSET(ORÇAMENTO!$X$15,ROW(AV89)-ROW(AV$15),0),
              ROUND(ROUND(OFFSET($P89,0,AV$13),15-13*ORÇAMENTO!$AF$7)*OFFSET(ORÇAMENTO!$W$15,ROW(AV89)-ROW(AV$15),0),15-13*ORÇAMENTO!$AF$11)),
         0)</f>
        <v>0</v>
      </c>
      <c r="AW89" s="453">
        <f ca="1">IF(AND($D89="Serviço",AW$12&lt;&gt;0,$H89&gt;0,OR(AUTOEVENTO&lt;&gt;"manual",$M89&lt;&gt;$A$15)),
        IF(Import.TipoArredondamento&lt;&gt;"TransfereGOV",
              ROUND(OFFSET($P89,0,AW$13),15-13*ORÇAMENTO!$AF$7)/$H89*OFFSET(ORÇAMENTO!$X$15,ROW(AW89)-ROW(AW$15),0),
              ROUND(ROUND(OFFSET($P89,0,AW$13),15-13*ORÇAMENTO!$AF$7)*OFFSET(ORÇAMENTO!$W$15,ROW(AW89)-ROW(AW$15),0),15-13*ORÇAMENTO!$AF$11)),
         0)</f>
        <v>0</v>
      </c>
      <c r="AX89" s="453">
        <f ca="1">IF(AND($D89="Serviço",AX$12&lt;&gt;0,$H89&gt;0,OR(AUTOEVENTO&lt;&gt;"manual",$M89&lt;&gt;$A$15)),
        IF(Import.TipoArredondamento&lt;&gt;"TransfereGOV",
              ROUND(OFFSET($P89,0,AX$13),15-13*ORÇAMENTO!$AF$7)/$H89*OFFSET(ORÇAMENTO!$X$15,ROW(AX89)-ROW(AX$15),0),
              ROUND(ROUND(OFFSET($P89,0,AX$13),15-13*ORÇAMENTO!$AF$7)*OFFSET(ORÇAMENTO!$W$15,ROW(AX89)-ROW(AX$15),0),15-13*ORÇAMENTO!$AF$11)),
         0)</f>
        <v>0</v>
      </c>
      <c r="AY89" s="453">
        <f ca="1">IF(AND($D89="Serviço",AY$12&lt;&gt;0,$H89&gt;0,OR(AUTOEVENTO&lt;&gt;"manual",$M89&lt;&gt;$A$15)),
        IF(Import.TipoArredondamento&lt;&gt;"TransfereGOV",
              ROUND(OFFSET($P89,0,AY$13),15-13*ORÇAMENTO!$AF$7)/$H89*OFFSET(ORÇAMENTO!$X$15,ROW(AY89)-ROW(AY$15),0),
              ROUND(ROUND(OFFSET($P89,0,AY$13),15-13*ORÇAMENTO!$AF$7)*OFFSET(ORÇAMENTO!$W$15,ROW(AY89)-ROW(AY$15),0),15-13*ORÇAMENTO!$AF$11)),
         0)</f>
        <v>0</v>
      </c>
      <c r="AZ89" s="453">
        <f ca="1">IF(AND($D89="Serviço",AZ$12&lt;&gt;0,$H89&gt;0,OR(AUTOEVENTO&lt;&gt;"manual",$M89&lt;&gt;$A$15)),
        IF(Import.TipoArredondamento&lt;&gt;"TransfereGOV",
              ROUND(OFFSET($P89,0,AZ$13),15-13*ORÇAMENTO!$AF$7)/$H89*OFFSET(ORÇAMENTO!$X$15,ROW(AZ89)-ROW(AZ$15),0),
              ROUND(ROUND(OFFSET($P89,0,AZ$13),15-13*ORÇAMENTO!$AF$7)*OFFSET(ORÇAMENTO!$W$15,ROW(AZ89)-ROW(AZ$15),0),15-13*ORÇAMENTO!$AF$11)),
         0)</f>
        <v>0</v>
      </c>
      <c r="BA89" s="453">
        <f ca="1">IF(AND($D89="Serviço",BA$12&lt;&gt;0,$H89&gt;0,OR(AUTOEVENTO&lt;&gt;"manual",$M89&lt;&gt;$A$15)),
        IF(Import.TipoArredondamento&lt;&gt;"TransfereGOV",
              ROUND(OFFSET($P89,0,BA$13),15-13*ORÇAMENTO!$AF$7)/$H89*OFFSET(ORÇAMENTO!$X$15,ROW(BA89)-ROW(BA$15),0),
              ROUND(ROUND(OFFSET($P89,0,BA$13),15-13*ORÇAMENTO!$AF$7)*OFFSET(ORÇAMENTO!$W$15,ROW(BA89)-ROW(BA$15),0),15-13*ORÇAMENTO!$AF$11)),
         0)</f>
        <v>0</v>
      </c>
      <c r="BC89" s="171">
        <f ca="1">IF(OR($D89&lt;&gt;"Serviço",AND(AUTOEVENTO="Manual",$M89=$A$15)),0,
         IF(OFFSET(CRONOPLE!$F$15,$M89-$A$15,BC$13)=0,10^12,OFFSET(CRONOPLE!$F$15,$M89-$A$15,BC$13)))</f>
        <v>1000000000000</v>
      </c>
      <c r="BD89" s="171">
        <f ca="1">IF(OR($D89&lt;&gt;"Serviço",AND(AUTOEVENTO="Manual",$M89=$A$15)),0,
         IF(OFFSET(CRONOPLE!$F$15,$M89-$A$15,BD$13)=0,10^12,OFFSET(CRONOPLE!$F$15,$M89-$A$15,BD$13)))</f>
        <v>1000000000000</v>
      </c>
      <c r="BE89" s="171">
        <f ca="1">IF(OR($D89&lt;&gt;"Serviço",AND(AUTOEVENTO="Manual",$M89=$A$15)),0,
         IF(OFFSET(CRONOPLE!$F$15,$M89-$A$15,BE$13)=0,10^12,OFFSET(CRONOPLE!$F$15,$M89-$A$15,BE$13)))</f>
        <v>5</v>
      </c>
      <c r="BF89" s="171">
        <f ca="1">IF(OR($D89&lt;&gt;"Serviço",AND(AUTOEVENTO="Manual",$M89=$A$15)),0,
         IF(OFFSET(CRONOPLE!$F$15,$M89-$A$15,BF$13)=0,10^12,OFFSET(CRONOPLE!$F$15,$M89-$A$15,BF$13)))</f>
        <v>1000000000000</v>
      </c>
      <c r="BG89" s="171">
        <f ca="1">IF(OR($D89&lt;&gt;"Serviço",AND(AUTOEVENTO="Manual",$M89=$A$15)),0,
         IF(OFFSET(CRONOPLE!$F$15,$M89-$A$15,BG$13)=0,10^12,OFFSET(CRONOPLE!$F$15,$M89-$A$15,BG$13)))</f>
        <v>8</v>
      </c>
      <c r="BH89" s="171">
        <f ca="1">IF(OR($D89&lt;&gt;"Serviço",AND(AUTOEVENTO="Manual",$M89=$A$15)),0,
         IF(OFFSET(CRONOPLE!$F$15,$M89-$A$15,BH$13)=0,10^12,OFFSET(CRONOPLE!$F$15,$M89-$A$15,BH$13)))</f>
        <v>7</v>
      </c>
      <c r="BI89" s="171">
        <f ca="1">IF(OR($D89&lt;&gt;"Serviço",AND(AUTOEVENTO="Manual",$M89=$A$15)),0,
         IF(OFFSET(CRONOPLE!$F$15,$M89-$A$15,BI$13)=0,10^12,OFFSET(CRONOPLE!$F$15,$M89-$A$15,BI$13)))</f>
        <v>1000000000000</v>
      </c>
      <c r="BJ89" s="171">
        <f ca="1">IF(OR($D89&lt;&gt;"Serviço",AND(AUTOEVENTO="Manual",$M89=$A$15)),0,
         IF(OFFSET(CRONOPLE!$F$15,$M89-$A$15,BJ$13)=0,10^12,OFFSET(CRONOPLE!$F$15,$M89-$A$15,BJ$13)))</f>
        <v>1000000000000</v>
      </c>
      <c r="BK89" s="171">
        <f ca="1">IF(OR($D89&lt;&gt;"Serviço",AND(AUTOEVENTO="Manual",$M89=$A$15)),0,
         IF(OFFSET(CRONOPLE!$F$15,$M89-$A$15,BK$13)=0,10^12,OFFSET(CRONOPLE!$F$15,$M89-$A$15,BK$13)))</f>
        <v>1000000000000</v>
      </c>
      <c r="BL89" s="171">
        <f ca="1">IF(OR($D89&lt;&gt;"Serviço",AND(AUTOEVENTO="Manual",$M89=$A$15)),0,
         IF(OFFSET(CRONOPLE!$F$15,$M89-$A$15,BL$13)=0,10^12,OFFSET(CRONOPLE!$F$15,$M89-$A$15,BL$13)))</f>
        <v>1000000000000</v>
      </c>
      <c r="BM89" s="171">
        <f ca="1">IF(OR($D89&lt;&gt;"Serviço",AND(AUTOEVENTO="Manual",$M89=$A$15)),0,
         IF(OFFSET(CRONOPLE!$F$15,$M89-$A$15,BM$13)=0,10^12,OFFSET(CRONOPLE!$F$15,$M89-$A$15,BM$13)))</f>
        <v>1000000000000</v>
      </c>
      <c r="BN89" s="171">
        <f ca="1">IF(OR($D89&lt;&gt;"Serviço",AND(AUTOEVENTO="Manual",$M89=$A$15)),0,
         IF(OFFSET(CRONOPLE!$F$15,$M89-$A$15,BN$13)=0,10^12,OFFSET(CRONOPLE!$F$15,$M89-$A$15,BN$13)))</f>
        <v>1000000000000</v>
      </c>
      <c r="BO89" s="171">
        <f ca="1">IF(OR($D89&lt;&gt;"Serviço",AND(AUTOEVENTO="Manual",$M89=$A$15)),0,
         IF(OFFSET(CRONOPLE!$F$15,$M89-$A$15,BO$13)=0,10^12,OFFSET(CRONOPLE!$F$15,$M89-$A$15,BO$13)))</f>
        <v>1000000000000</v>
      </c>
      <c r="BP89" s="171">
        <f ca="1">IF(OR($D89&lt;&gt;"Serviço",AND(AUTOEVENTO="Manual",$M89=$A$15)),0,
         IF(OFFSET(CRONOPLE!$F$15,$M89-$A$15,BP$13)=0,10^12,OFFSET(CRONOPLE!$F$15,$M89-$A$15,BP$13)))</f>
        <v>1000000000000</v>
      </c>
      <c r="BQ89" s="171">
        <f ca="1">IF(OR($D89&lt;&gt;"Serviço",AND(AUTOEVENTO="Manual",$M89=$A$15)),0,
         IF(OFFSET(CRONOPLE!$F$15,$M89-$A$15,BQ$13)=0,10^12,OFFSET(CRONOPLE!$F$15,$M89-$A$15,BQ$13)))</f>
        <v>1000000000000</v>
      </c>
      <c r="BR89" s="171">
        <f ca="1">IF(OR($D89&lt;&gt;"Serviço",AND(AUTOEVENTO="Manual",$M89=$A$15)),0,
         IF(OFFSET(CRONOPLE!$F$15,$M89-$A$15,BR$13)=0,10^12,OFFSET(CRONOPLE!$F$15,$M89-$A$15,BR$13)))</f>
        <v>1000000000000</v>
      </c>
      <c r="BS89" s="171">
        <f ca="1">IF(OR($D89&lt;&gt;"Serviço",AND(AUTOEVENTO="Manual",$M89=$A$15)),0,
         IF(OFFSET(CRONOPLE!$F$15,$M89-$A$15,BS$13)=0,10^12,OFFSET(CRONOPLE!$F$15,$M89-$A$15,BS$13)))</f>
        <v>1000000000000</v>
      </c>
      <c r="BT89" s="171">
        <f ca="1">IF(OR($D89&lt;&gt;"Serviço",AND(AUTOEVENTO="Manual",$M89=$A$15)),0,
         IF(OFFSET(CRONOPLE!$F$15,$M89-$A$15,BT$13)=0,10^12,OFFSET(CRONOPLE!$F$15,$M89-$A$15,BT$13)))</f>
        <v>1000000000000</v>
      </c>
      <c r="BV89" s="172" cm="1">
        <f t="array" aca="1" ref="BV89" ca="1">IF(OR($D89&lt;&gt;"Serviço",AND(AUTOEVENTO="Manual",$M89=$A$15),$M89&gt;(ROW(PLE.lastrow)-ROW(PLE.firstrow))),0,
           IF(OFFSET(PLE!$G$15,$M89-$A$15,BV$13)="",10^12,OFFSET(PLE!$G$15,$M89-$A$15,BV$13)))</f>
        <v>1000000000000</v>
      </c>
      <c r="BW89" s="172" cm="1">
        <f t="array" aca="1" ref="BW89" ca="1">IF(OR($D89&lt;&gt;"Serviço",AND(AUTOEVENTO="Manual",$M89=$A$15),$M89&gt;(ROW(PLE.lastrow)-ROW(PLE.firstrow))),0,
           IF(OFFSET(PLE!$G$15,$M89-$A$15,BW$13)="",10^12,OFFSET(PLE!$G$15,$M89-$A$15,BW$13)))</f>
        <v>1000000000000</v>
      </c>
      <c r="BX89" s="172" cm="1">
        <f t="array" aca="1" ref="BX89" ca="1">IF(OR($D89&lt;&gt;"Serviço",AND(AUTOEVENTO="Manual",$M89=$A$15),$M89&gt;(ROW(PLE.lastrow)-ROW(PLE.firstrow))),0,
           IF(OFFSET(PLE!$G$15,$M89-$A$15,BX$13)="",10^12,OFFSET(PLE!$G$15,$M89-$A$15,BX$13)))</f>
        <v>1000000000000</v>
      </c>
      <c r="BY89" s="172" cm="1">
        <f t="array" aca="1" ref="BY89" ca="1">IF(OR($D89&lt;&gt;"Serviço",AND(AUTOEVENTO="Manual",$M89=$A$15),$M89&gt;(ROW(PLE.lastrow)-ROW(PLE.firstrow))),0,
           IF(OFFSET(PLE!$G$15,$M89-$A$15,BY$13)="",10^12,OFFSET(PLE!$G$15,$M89-$A$15,BY$13)))</f>
        <v>1000000000000</v>
      </c>
      <c r="BZ89" s="172" cm="1">
        <f t="array" aca="1" ref="BZ89" ca="1">IF(OR($D89&lt;&gt;"Serviço",AND(AUTOEVENTO="Manual",$M89=$A$15),$M89&gt;(ROW(PLE.lastrow)-ROW(PLE.firstrow))),0,
           IF(OFFSET(PLE!$G$15,$M89-$A$15,BZ$13)="",10^12,OFFSET(PLE!$G$15,$M89-$A$15,BZ$13)))</f>
        <v>1000000000000</v>
      </c>
      <c r="CA89" s="172" cm="1">
        <f t="array" aca="1" ref="CA89" ca="1">IF(OR($D89&lt;&gt;"Serviço",AND(AUTOEVENTO="Manual",$M89=$A$15),$M89&gt;(ROW(PLE.lastrow)-ROW(PLE.firstrow))),0,
           IF(OFFSET(PLE!$G$15,$M89-$A$15,CA$13)="",10^12,OFFSET(PLE!$G$15,$M89-$A$15,CA$13)))</f>
        <v>1000000000000</v>
      </c>
      <c r="CB89" s="172" cm="1">
        <f t="array" aca="1" ref="CB89" ca="1">IF(OR($D89&lt;&gt;"Serviço",AND(AUTOEVENTO="Manual",$M89=$A$15),$M89&gt;(ROW(PLE.lastrow)-ROW(PLE.firstrow))),0,
           IF(OFFSET(PLE!$G$15,$M89-$A$15,CB$13)="",10^12,OFFSET(PLE!$G$15,$M89-$A$15,CB$13)))</f>
        <v>1000000000000</v>
      </c>
      <c r="CC89" s="172" cm="1">
        <f t="array" aca="1" ref="CC89" ca="1">IF(OR($D89&lt;&gt;"Serviço",AND(AUTOEVENTO="Manual",$M89=$A$15),$M89&gt;(ROW(PLE.lastrow)-ROW(PLE.firstrow))),0,
           IF(OFFSET(PLE!$G$15,$M89-$A$15,CC$13)="",10^12,OFFSET(PLE!$G$15,$M89-$A$15,CC$13)))</f>
        <v>1000000000000</v>
      </c>
      <c r="CD89" s="172" cm="1">
        <f t="array" aca="1" ref="CD89" ca="1">IF(OR($D89&lt;&gt;"Serviço",AND(AUTOEVENTO="Manual",$M89=$A$15),$M89&gt;(ROW(PLE.lastrow)-ROW(PLE.firstrow))),0,
           IF(OFFSET(PLE!$G$15,$M89-$A$15,CD$13)="",10^12,OFFSET(PLE!$G$15,$M89-$A$15,CD$13)))</f>
        <v>1000000000000</v>
      </c>
      <c r="CE89" s="172" cm="1">
        <f t="array" aca="1" ref="CE89" ca="1">IF(OR($D89&lt;&gt;"Serviço",AND(AUTOEVENTO="Manual",$M89=$A$15),$M89&gt;(ROW(PLE.lastrow)-ROW(PLE.firstrow))),0,
           IF(OFFSET(PLE!$G$15,$M89-$A$15,CE$13)="",10^12,OFFSET(PLE!$G$15,$M89-$A$15,CE$13)))</f>
        <v>1000000000000</v>
      </c>
      <c r="CF89" s="172" cm="1">
        <f t="array" aca="1" ref="CF89" ca="1">IF(OR($D89&lt;&gt;"Serviço",AND(AUTOEVENTO="Manual",$M89=$A$15),$M89&gt;(ROW(PLE.lastrow)-ROW(PLE.firstrow))),0,
           IF(OFFSET(PLE!$G$15,$M89-$A$15,CF$13)="",10^12,OFFSET(PLE!$G$15,$M89-$A$15,CF$13)))</f>
        <v>1000000000000</v>
      </c>
      <c r="CG89" s="172" cm="1">
        <f t="array" aca="1" ref="CG89" ca="1">IF(OR($D89&lt;&gt;"Serviço",AND(AUTOEVENTO="Manual",$M89=$A$15),$M89&gt;(ROW(PLE.lastrow)-ROW(PLE.firstrow))),0,
           IF(OFFSET(PLE!$G$15,$M89-$A$15,CG$13)="",10^12,OFFSET(PLE!$G$15,$M89-$A$15,CG$13)))</f>
        <v>1000000000000</v>
      </c>
      <c r="CH89" s="172" cm="1">
        <f t="array" aca="1" ref="CH89" ca="1">IF(OR($D89&lt;&gt;"Serviço",AND(AUTOEVENTO="Manual",$M89=$A$15),$M89&gt;(ROW(PLE.lastrow)-ROW(PLE.firstrow))),0,
           IF(OFFSET(PLE!$G$15,$M89-$A$15,CH$13)="",10^12,OFFSET(PLE!$G$15,$M89-$A$15,CH$13)))</f>
        <v>1000000000000</v>
      </c>
      <c r="CI89" s="172" cm="1">
        <f t="array" aca="1" ref="CI89" ca="1">IF(OR($D89&lt;&gt;"Serviço",AND(AUTOEVENTO="Manual",$M89=$A$15),$M89&gt;(ROW(PLE.lastrow)-ROW(PLE.firstrow))),0,
           IF(OFFSET(PLE!$G$15,$M89-$A$15,CI$13)="",10^12,OFFSET(PLE!$G$15,$M89-$A$15,CI$13)))</f>
        <v>1000000000000</v>
      </c>
      <c r="CJ89" s="172" cm="1">
        <f t="array" aca="1" ref="CJ89" ca="1">IF(OR($D89&lt;&gt;"Serviço",AND(AUTOEVENTO="Manual",$M89=$A$15),$M89&gt;(ROW(PLE.lastrow)-ROW(PLE.firstrow))),0,
           IF(OFFSET(PLE!$G$15,$M89-$A$15,CJ$13)="",10^12,OFFSET(PLE!$G$15,$M89-$A$15,CJ$13)))</f>
        <v>1000000000000</v>
      </c>
      <c r="CK89" s="172" cm="1">
        <f t="array" aca="1" ref="CK89" ca="1">IF(OR($D89&lt;&gt;"Serviço",AND(AUTOEVENTO="Manual",$M89=$A$15),$M89&gt;(ROW(PLE.lastrow)-ROW(PLE.firstrow))),0,
           IF(OFFSET(PLE!$G$15,$M89-$A$15,CK$13)="",10^12,OFFSET(PLE!$G$15,$M89-$A$15,CK$13)))</f>
        <v>1000000000000</v>
      </c>
      <c r="CL89" s="172" cm="1">
        <f t="array" aca="1" ref="CL89" ca="1">IF(OR($D89&lt;&gt;"Serviço",AND(AUTOEVENTO="Manual",$M89=$A$15),$M89&gt;(ROW(PLE.lastrow)-ROW(PLE.firstrow))),0,
           IF(OFFSET(PLE!$G$15,$M89-$A$15,CL$13)="",10^12,OFFSET(PLE!$G$15,$M89-$A$15,CL$13)))</f>
        <v>1000000000000</v>
      </c>
      <c r="CM89" s="172" cm="1">
        <f t="array" aca="1" ref="CM89" ca="1">IF(OR($D89&lt;&gt;"Serviço",AND(AUTOEVENTO="Manual",$M89=$A$15),$M89&gt;(ROW(PLE.lastrow)-ROW(PLE.firstrow))),0,
           IF(OFFSET(PLE!$G$15,$M89-$A$15,CM$13)="",10^12,OFFSET(PLE!$G$15,$M89-$A$15,CM$13)))</f>
        <v>1000000000000</v>
      </c>
    </row>
    <row r="90" spans="1:91" s="670" customFormat="1" ht="38.25" x14ac:dyDescent="0.2">
      <c r="A90" s="668">
        <f t="shared" ca="1" si="12"/>
        <v>14</v>
      </c>
      <c r="B90" s="668" t="str">
        <f ca="1">OFFSET(ORÇAMENTO!C$15,$L90,0)</f>
        <v>S</v>
      </c>
      <c r="C90" s="668" t="str">
        <f ca="1">OFFSET(ORÇAMENTO!L$15,$L90,0)</f>
        <v>F</v>
      </c>
      <c r="D90" s="116" t="str">
        <f ca="1">OFFSET(ORÇAMENTO!N$15,$L90,0)</f>
        <v>Serviço</v>
      </c>
      <c r="E90" s="117" t="str">
        <f ca="1">OFFSET(ORÇAMENTO!O$15,$L90,0)</f>
        <v>1.11.7.</v>
      </c>
      <c r="F90" s="163" t="str">
        <f ca="1">OFFSET(ORÇAMENTO!R$15,$L90,0)</f>
        <v>MONTAGEM E DESMONTAGEM DE FÔRMA DE VIGA, ESCORAMENTO COM PONTALETE DE MADEIRA, PÉ-DIREITO SIMPLES, EM MADEIRA SERRADA, 1 UTILIZAÇÃO. AF_09/2020</v>
      </c>
      <c r="G90" s="164" t="str">
        <f ca="1">IF($D90&lt;&gt;"Serviço","",OFFSET(ORÇAMENTO!S$15,$L90,0))</f>
        <v>M2</v>
      </c>
      <c r="H90" s="122" cm="1">
        <f t="array" aca="1" ref="H90" ca="1">IF($D90&lt;&gt;"Serviço",0,IF(ACOMPANHAMENTO="BM",ROUND(OFFSET(ORÇAMENTO!AJ$15,$L90,0),15-13*ORÇAMENTO!$AF$7),IF(IFERROR(CÁLCULO.FrentesPreenchidas,0)=0,0,SUM(ROUND(OFFSET($P90,0,1,1,CÁLCULO.FrentesPreenchidas),15-13*ORÇAMENTO!$AF$7)))))</f>
        <v>112</v>
      </c>
      <c r="I90" s="468" t="s">
        <v>1166</v>
      </c>
      <c r="J90" s="651" t="str" cm="1">
        <f t="array" aca="1" ref="J90" ca="1">IF(OR(B90&lt;&gt;"S",CÁLCULO.FrentesPreenchidas=0),"",IF(AND(ACOMPANHAMENTO="PLE",AUTOEVENTO="Manual",OR(H90&gt;0,ORÇAMENTO!AC90="QUANT."),OR(K90="",M90=0,N90="")),"►E",IF(AND(ACOMPANHAMENTO="PLE",ORÇAMENTO!AC90="QUANT."),"►Q",IF(AND(ACOMPANHAMENTO="PLE",H90&lt;&gt;SUMPRODUCT(($Q$1:$AI$1=1)*ROUND(Q90:AI90,15))),"►S",IF(AND(COUNTIF($P$11:$AI$11,"▼")=0,H90&gt;0,I90=""),"◄M","")))))</f>
        <v/>
      </c>
      <c r="K90" s="652" t="s">
        <v>1342</v>
      </c>
      <c r="L90" s="165">
        <f t="shared" ca="1" si="13"/>
        <v>75</v>
      </c>
      <c r="M90" s="166">
        <f ca="1">IF($D90&lt;&gt;"Serviço","",
          IF(AUTOEVENTO="manual",$A90,
                IF(ISERROR(MATCH($A90,$A$15:OFFSET($A90,-1,0),0)),MAX($M$15:OFFSET(M90,-1,0))+1,
                      INDEX($M$15:OFFSET(M90,-1,0),MATCH($A90,$A$15:OFFSET($A90,-1,0),0)))))</f>
        <v>14</v>
      </c>
      <c r="N90" s="167" t="str">
        <f ca="1">IF($D90&lt;&gt;"Serviço","",
         IF(AUTOEVENTO="Manual",
                IF($A90=0,"&lt;-- defina o número do agrupador",
                       OFFSET(EVENTOS!$D$15,$A90-$A$15,0)),
                OFFSET($F$15,$A90,0)))</f>
        <v>Estrutura - Forma</v>
      </c>
      <c r="O90" s="168"/>
      <c r="Q90" s="168"/>
      <c r="R90" s="169"/>
      <c r="S90" s="169"/>
      <c r="T90" s="169"/>
      <c r="U90" s="169">
        <v>112</v>
      </c>
      <c r="V90" s="169"/>
      <c r="W90" s="169"/>
      <c r="X90" s="169"/>
      <c r="Y90" s="169"/>
      <c r="Z90" s="170"/>
      <c r="AA90" s="705"/>
      <c r="AB90" s="705"/>
      <c r="AC90" s="705"/>
      <c r="AD90" s="705"/>
      <c r="AE90" s="705"/>
      <c r="AF90" s="705"/>
      <c r="AG90" s="705"/>
      <c r="AH90" s="706"/>
      <c r="AJ90" s="453">
        <f ca="1">IF(AND($D90="Serviço",AJ$12&lt;&gt;0,$H90&gt;0,OR(AUTOEVENTO&lt;&gt;"manual",$M90&lt;&gt;$A$15)),
        IF(Import.TipoArredondamento&lt;&gt;"TransfereGOV",
              ROUND(OFFSET($P90,0,AJ$13),15-13*ORÇAMENTO!$AF$7)/$H90*OFFSET(ORÇAMENTO!$X$15,ROW(AJ90)-ROW(AJ$15),0),
              ROUND(ROUND(OFFSET($P90,0,AJ$13),15-13*ORÇAMENTO!$AF$7)*OFFSET(ORÇAMENTO!$W$15,ROW(AJ90)-ROW(AJ$15),0),15-13*ORÇAMENTO!$AF$11)),
         0)</f>
        <v>0</v>
      </c>
      <c r="AK90" s="453">
        <f ca="1">IF(AND($D90="Serviço",AK$12&lt;&gt;0,$H90&gt;0,OR(AUTOEVENTO&lt;&gt;"manual",$M90&lt;&gt;$A$15)),
        IF(Import.TipoArredondamento&lt;&gt;"TransfereGOV",
              ROUND(OFFSET($P90,0,AK$13),15-13*ORÇAMENTO!$AF$7)/$H90*OFFSET(ORÇAMENTO!$X$15,ROW(AK90)-ROW(AK$15),0),
              ROUND(ROUND(OFFSET($P90,0,AK$13),15-13*ORÇAMENTO!$AF$7)*OFFSET(ORÇAMENTO!$W$15,ROW(AK90)-ROW(AK$15),0),15-13*ORÇAMENTO!$AF$11)),
         0)</f>
        <v>0</v>
      </c>
      <c r="AL90" s="453">
        <f ca="1">IF(AND($D90="Serviço",AL$12&lt;&gt;0,$H90&gt;0,OR(AUTOEVENTO&lt;&gt;"manual",$M90&lt;&gt;$A$15)),
        IF(Import.TipoArredondamento&lt;&gt;"TransfereGOV",
              ROUND(OFFSET($P90,0,AL$13),15-13*ORÇAMENTO!$AF$7)/$H90*OFFSET(ORÇAMENTO!$X$15,ROW(AL90)-ROW(AL$15),0),
              ROUND(ROUND(OFFSET($P90,0,AL$13),15-13*ORÇAMENTO!$AF$7)*OFFSET(ORÇAMENTO!$W$15,ROW(AL90)-ROW(AL$15),0),15-13*ORÇAMENTO!$AF$11)),
         0)</f>
        <v>0</v>
      </c>
      <c r="AM90" s="453">
        <f ca="1">IF(AND($D90="Serviço",AM$12&lt;&gt;0,$H90&gt;0,OR(AUTOEVENTO&lt;&gt;"manual",$M90&lt;&gt;$A$15)),
        IF(Import.TipoArredondamento&lt;&gt;"TransfereGOV",
              ROUND(OFFSET($P90,0,AM$13),15-13*ORÇAMENTO!$AF$7)/$H90*OFFSET(ORÇAMENTO!$X$15,ROW(AM90)-ROW(AM$15),0),
              ROUND(ROUND(OFFSET($P90,0,AM$13),15-13*ORÇAMENTO!$AF$7)*OFFSET(ORÇAMENTO!$W$15,ROW(AM90)-ROW(AM$15),0),15-13*ORÇAMENTO!$AF$11)),
         0)</f>
        <v>0</v>
      </c>
      <c r="AN90" s="453">
        <f ca="1">IF(AND($D90="Serviço",AN$12&lt;&gt;0,$H90&gt;0,OR(AUTOEVENTO&lt;&gt;"manual",$M90&lt;&gt;$A$15)),
        IF(Import.TipoArredondamento&lt;&gt;"TransfereGOV",
              ROUND(OFFSET($P90,0,AN$13),15-13*ORÇAMENTO!$AF$7)/$H90*OFFSET(ORÇAMENTO!$X$15,ROW(AN90)-ROW(AN$15),0),
              ROUND(ROUND(OFFSET($P90,0,AN$13),15-13*ORÇAMENTO!$AF$7)*OFFSET(ORÇAMENTO!$W$15,ROW(AN90)-ROW(AN$15),0),15-13*ORÇAMENTO!$AF$11)),
         0)</f>
        <v>52588.480000000003</v>
      </c>
      <c r="AO90" s="453">
        <f ca="1">IF(AND($D90="Serviço",AO$12&lt;&gt;0,$H90&gt;0,OR(AUTOEVENTO&lt;&gt;"manual",$M90&lt;&gt;$A$15)),
        IF(Import.TipoArredondamento&lt;&gt;"TransfereGOV",
              ROUND(OFFSET($P90,0,AO$13),15-13*ORÇAMENTO!$AF$7)/$H90*OFFSET(ORÇAMENTO!$X$15,ROW(AO90)-ROW(AO$15),0),
              ROUND(ROUND(OFFSET($P90,0,AO$13),15-13*ORÇAMENTO!$AF$7)*OFFSET(ORÇAMENTO!$W$15,ROW(AO90)-ROW(AO$15),0),15-13*ORÇAMENTO!$AF$11)),
         0)</f>
        <v>0</v>
      </c>
      <c r="AP90" s="453">
        <f ca="1">IF(AND($D90="Serviço",AP$12&lt;&gt;0,$H90&gt;0,OR(AUTOEVENTO&lt;&gt;"manual",$M90&lt;&gt;$A$15)),
        IF(Import.TipoArredondamento&lt;&gt;"TransfereGOV",
              ROUND(OFFSET($P90,0,AP$13),15-13*ORÇAMENTO!$AF$7)/$H90*OFFSET(ORÇAMENTO!$X$15,ROW(AP90)-ROW(AP$15),0),
              ROUND(ROUND(OFFSET($P90,0,AP$13),15-13*ORÇAMENTO!$AF$7)*OFFSET(ORÇAMENTO!$W$15,ROW(AP90)-ROW(AP$15),0),15-13*ORÇAMENTO!$AF$11)),
         0)</f>
        <v>0</v>
      </c>
      <c r="AQ90" s="453">
        <f ca="1">IF(AND($D90="Serviço",AQ$12&lt;&gt;0,$H90&gt;0,OR(AUTOEVENTO&lt;&gt;"manual",$M90&lt;&gt;$A$15)),
        IF(Import.TipoArredondamento&lt;&gt;"TransfereGOV",
              ROUND(OFFSET($P90,0,AQ$13),15-13*ORÇAMENTO!$AF$7)/$H90*OFFSET(ORÇAMENTO!$X$15,ROW(AQ90)-ROW(AQ$15),0),
              ROUND(ROUND(OFFSET($P90,0,AQ$13),15-13*ORÇAMENTO!$AF$7)*OFFSET(ORÇAMENTO!$W$15,ROW(AQ90)-ROW(AQ$15),0),15-13*ORÇAMENTO!$AF$11)),
         0)</f>
        <v>0</v>
      </c>
      <c r="AR90" s="453">
        <f ca="1">IF(AND($D90="Serviço",AR$12&lt;&gt;0,$H90&gt;0,OR(AUTOEVENTO&lt;&gt;"manual",$M90&lt;&gt;$A$15)),
        IF(Import.TipoArredondamento&lt;&gt;"TransfereGOV",
              ROUND(OFFSET($P90,0,AR$13),15-13*ORÇAMENTO!$AF$7)/$H90*OFFSET(ORÇAMENTO!$X$15,ROW(AR90)-ROW(AR$15),0),
              ROUND(ROUND(OFFSET($P90,0,AR$13),15-13*ORÇAMENTO!$AF$7)*OFFSET(ORÇAMENTO!$W$15,ROW(AR90)-ROW(AR$15),0),15-13*ORÇAMENTO!$AF$11)),
         0)</f>
        <v>0</v>
      </c>
      <c r="AS90" s="453">
        <f ca="1">IF(AND($D90="Serviço",AS$12&lt;&gt;0,$H90&gt;0,OR(AUTOEVENTO&lt;&gt;"manual",$M90&lt;&gt;$A$15)),
        IF(Import.TipoArredondamento&lt;&gt;"TransfereGOV",
              ROUND(OFFSET($P90,0,AS$13),15-13*ORÇAMENTO!$AF$7)/$H90*OFFSET(ORÇAMENTO!$X$15,ROW(AS90)-ROW(AS$15),0),
              ROUND(ROUND(OFFSET($P90,0,AS$13),15-13*ORÇAMENTO!$AF$7)*OFFSET(ORÇAMENTO!$W$15,ROW(AS90)-ROW(AS$15),0),15-13*ORÇAMENTO!$AF$11)),
         0)</f>
        <v>0</v>
      </c>
      <c r="AT90" s="453">
        <f ca="1">IF(AND($D90="Serviço",AT$12&lt;&gt;0,$H90&gt;0,OR(AUTOEVENTO&lt;&gt;"manual",$M90&lt;&gt;$A$15)),
        IF(Import.TipoArredondamento&lt;&gt;"TransfereGOV",
              ROUND(OFFSET($P90,0,AT$13),15-13*ORÇAMENTO!$AF$7)/$H90*OFFSET(ORÇAMENTO!$X$15,ROW(AT90)-ROW(AT$15),0),
              ROUND(ROUND(OFFSET($P90,0,AT$13),15-13*ORÇAMENTO!$AF$7)*OFFSET(ORÇAMENTO!$W$15,ROW(AT90)-ROW(AT$15),0),15-13*ORÇAMENTO!$AF$11)),
         0)</f>
        <v>0</v>
      </c>
      <c r="AU90" s="453">
        <f ca="1">IF(AND($D90="Serviço",AU$12&lt;&gt;0,$H90&gt;0,OR(AUTOEVENTO&lt;&gt;"manual",$M90&lt;&gt;$A$15)),
        IF(Import.TipoArredondamento&lt;&gt;"TransfereGOV",
              ROUND(OFFSET($P90,0,AU$13),15-13*ORÇAMENTO!$AF$7)/$H90*OFFSET(ORÇAMENTO!$X$15,ROW(AU90)-ROW(AU$15),0),
              ROUND(ROUND(OFFSET($P90,0,AU$13),15-13*ORÇAMENTO!$AF$7)*OFFSET(ORÇAMENTO!$W$15,ROW(AU90)-ROW(AU$15),0),15-13*ORÇAMENTO!$AF$11)),
         0)</f>
        <v>0</v>
      </c>
      <c r="AV90" s="453">
        <f ca="1">IF(AND($D90="Serviço",AV$12&lt;&gt;0,$H90&gt;0,OR(AUTOEVENTO&lt;&gt;"manual",$M90&lt;&gt;$A$15)),
        IF(Import.TipoArredondamento&lt;&gt;"TransfereGOV",
              ROUND(OFFSET($P90,0,AV$13),15-13*ORÇAMENTO!$AF$7)/$H90*OFFSET(ORÇAMENTO!$X$15,ROW(AV90)-ROW(AV$15),0),
              ROUND(ROUND(OFFSET($P90,0,AV$13),15-13*ORÇAMENTO!$AF$7)*OFFSET(ORÇAMENTO!$W$15,ROW(AV90)-ROW(AV$15),0),15-13*ORÇAMENTO!$AF$11)),
         0)</f>
        <v>0</v>
      </c>
      <c r="AW90" s="453">
        <f ca="1">IF(AND($D90="Serviço",AW$12&lt;&gt;0,$H90&gt;0,OR(AUTOEVENTO&lt;&gt;"manual",$M90&lt;&gt;$A$15)),
        IF(Import.TipoArredondamento&lt;&gt;"TransfereGOV",
              ROUND(OFFSET($P90,0,AW$13),15-13*ORÇAMENTO!$AF$7)/$H90*OFFSET(ORÇAMENTO!$X$15,ROW(AW90)-ROW(AW$15),0),
              ROUND(ROUND(OFFSET($P90,0,AW$13),15-13*ORÇAMENTO!$AF$7)*OFFSET(ORÇAMENTO!$W$15,ROW(AW90)-ROW(AW$15),0),15-13*ORÇAMENTO!$AF$11)),
         0)</f>
        <v>0</v>
      </c>
      <c r="AX90" s="453">
        <f ca="1">IF(AND($D90="Serviço",AX$12&lt;&gt;0,$H90&gt;0,OR(AUTOEVENTO&lt;&gt;"manual",$M90&lt;&gt;$A$15)),
        IF(Import.TipoArredondamento&lt;&gt;"TransfereGOV",
              ROUND(OFFSET($P90,0,AX$13),15-13*ORÇAMENTO!$AF$7)/$H90*OFFSET(ORÇAMENTO!$X$15,ROW(AX90)-ROW(AX$15),0),
              ROUND(ROUND(OFFSET($P90,0,AX$13),15-13*ORÇAMENTO!$AF$7)*OFFSET(ORÇAMENTO!$W$15,ROW(AX90)-ROW(AX$15),0),15-13*ORÇAMENTO!$AF$11)),
         0)</f>
        <v>0</v>
      </c>
      <c r="AY90" s="453">
        <f ca="1">IF(AND($D90="Serviço",AY$12&lt;&gt;0,$H90&gt;0,OR(AUTOEVENTO&lt;&gt;"manual",$M90&lt;&gt;$A$15)),
        IF(Import.TipoArredondamento&lt;&gt;"TransfereGOV",
              ROUND(OFFSET($P90,0,AY$13),15-13*ORÇAMENTO!$AF$7)/$H90*OFFSET(ORÇAMENTO!$X$15,ROW(AY90)-ROW(AY$15),0),
              ROUND(ROUND(OFFSET($P90,0,AY$13),15-13*ORÇAMENTO!$AF$7)*OFFSET(ORÇAMENTO!$W$15,ROW(AY90)-ROW(AY$15),0),15-13*ORÇAMENTO!$AF$11)),
         0)</f>
        <v>0</v>
      </c>
      <c r="AZ90" s="453">
        <f ca="1">IF(AND($D90="Serviço",AZ$12&lt;&gt;0,$H90&gt;0,OR(AUTOEVENTO&lt;&gt;"manual",$M90&lt;&gt;$A$15)),
        IF(Import.TipoArredondamento&lt;&gt;"TransfereGOV",
              ROUND(OFFSET($P90,0,AZ$13),15-13*ORÇAMENTO!$AF$7)/$H90*OFFSET(ORÇAMENTO!$X$15,ROW(AZ90)-ROW(AZ$15),0),
              ROUND(ROUND(OFFSET($P90,0,AZ$13),15-13*ORÇAMENTO!$AF$7)*OFFSET(ORÇAMENTO!$W$15,ROW(AZ90)-ROW(AZ$15),0),15-13*ORÇAMENTO!$AF$11)),
         0)</f>
        <v>0</v>
      </c>
      <c r="BA90" s="453">
        <f ca="1">IF(AND($D90="Serviço",BA$12&lt;&gt;0,$H90&gt;0,OR(AUTOEVENTO&lt;&gt;"manual",$M90&lt;&gt;$A$15)),
        IF(Import.TipoArredondamento&lt;&gt;"TransfereGOV",
              ROUND(OFFSET($P90,0,BA$13),15-13*ORÇAMENTO!$AF$7)/$H90*OFFSET(ORÇAMENTO!$X$15,ROW(BA90)-ROW(BA$15),0),
              ROUND(ROUND(OFFSET($P90,0,BA$13),15-13*ORÇAMENTO!$AF$7)*OFFSET(ORÇAMENTO!$W$15,ROW(BA90)-ROW(BA$15),0),15-13*ORÇAMENTO!$AF$11)),
         0)</f>
        <v>0</v>
      </c>
      <c r="BC90" s="171">
        <f ca="1">IF(OR($D90&lt;&gt;"Serviço",AND(AUTOEVENTO="Manual",$M90=$A$15)),0,
         IF(OFFSET(CRONOPLE!$F$15,$M90-$A$15,BC$13)=0,10^12,OFFSET(CRONOPLE!$F$15,$M90-$A$15,BC$13)))</f>
        <v>1000000000000</v>
      </c>
      <c r="BD90" s="171">
        <f ca="1">IF(OR($D90&lt;&gt;"Serviço",AND(AUTOEVENTO="Manual",$M90=$A$15)),0,
         IF(OFFSET(CRONOPLE!$F$15,$M90-$A$15,BD$13)=0,10^12,OFFSET(CRONOPLE!$F$15,$M90-$A$15,BD$13)))</f>
        <v>1000000000000</v>
      </c>
      <c r="BE90" s="171">
        <f ca="1">IF(OR($D90&lt;&gt;"Serviço",AND(AUTOEVENTO="Manual",$M90=$A$15)),0,
         IF(OFFSET(CRONOPLE!$F$15,$M90-$A$15,BE$13)=0,10^12,OFFSET(CRONOPLE!$F$15,$M90-$A$15,BE$13)))</f>
        <v>6</v>
      </c>
      <c r="BF90" s="171">
        <f ca="1">IF(OR($D90&lt;&gt;"Serviço",AND(AUTOEVENTO="Manual",$M90=$A$15)),0,
         IF(OFFSET(CRONOPLE!$F$15,$M90-$A$15,BF$13)=0,10^12,OFFSET(CRONOPLE!$F$15,$M90-$A$15,BF$13)))</f>
        <v>10</v>
      </c>
      <c r="BG90" s="171">
        <f ca="1">IF(OR($D90&lt;&gt;"Serviço",AND(AUTOEVENTO="Manual",$M90=$A$15)),0,
         IF(OFFSET(CRONOPLE!$F$15,$M90-$A$15,BG$13)=0,10^12,OFFSET(CRONOPLE!$F$15,$M90-$A$15,BG$13)))</f>
        <v>10</v>
      </c>
      <c r="BH90" s="171">
        <f ca="1">IF(OR($D90&lt;&gt;"Serviço",AND(AUTOEVENTO="Manual",$M90=$A$15)),0,
         IF(OFFSET(CRONOPLE!$F$15,$M90-$A$15,BH$13)=0,10^12,OFFSET(CRONOPLE!$F$15,$M90-$A$15,BH$13)))</f>
        <v>1000000000000</v>
      </c>
      <c r="BI90" s="171">
        <f ca="1">IF(OR($D90&lt;&gt;"Serviço",AND(AUTOEVENTO="Manual",$M90=$A$15)),0,
         IF(OFFSET(CRONOPLE!$F$15,$M90-$A$15,BI$13)=0,10^12,OFFSET(CRONOPLE!$F$15,$M90-$A$15,BI$13)))</f>
        <v>1000000000000</v>
      </c>
      <c r="BJ90" s="171">
        <f ca="1">IF(OR($D90&lt;&gt;"Serviço",AND(AUTOEVENTO="Manual",$M90=$A$15)),0,
         IF(OFFSET(CRONOPLE!$F$15,$M90-$A$15,BJ$13)=0,10^12,OFFSET(CRONOPLE!$F$15,$M90-$A$15,BJ$13)))</f>
        <v>1000000000000</v>
      </c>
      <c r="BK90" s="171">
        <f ca="1">IF(OR($D90&lt;&gt;"Serviço",AND(AUTOEVENTO="Manual",$M90=$A$15)),0,
         IF(OFFSET(CRONOPLE!$F$15,$M90-$A$15,BK$13)=0,10^12,OFFSET(CRONOPLE!$F$15,$M90-$A$15,BK$13)))</f>
        <v>1000000000000</v>
      </c>
      <c r="BL90" s="171">
        <f ca="1">IF(OR($D90&lt;&gt;"Serviço",AND(AUTOEVENTO="Manual",$M90=$A$15)),0,
         IF(OFFSET(CRONOPLE!$F$15,$M90-$A$15,BL$13)=0,10^12,OFFSET(CRONOPLE!$F$15,$M90-$A$15,BL$13)))</f>
        <v>1000000000000</v>
      </c>
      <c r="BM90" s="171">
        <f ca="1">IF(OR($D90&lt;&gt;"Serviço",AND(AUTOEVENTO="Manual",$M90=$A$15)),0,
         IF(OFFSET(CRONOPLE!$F$15,$M90-$A$15,BM$13)=0,10^12,OFFSET(CRONOPLE!$F$15,$M90-$A$15,BM$13)))</f>
        <v>1000000000000</v>
      </c>
      <c r="BN90" s="171">
        <f ca="1">IF(OR($D90&lt;&gt;"Serviço",AND(AUTOEVENTO="Manual",$M90=$A$15)),0,
         IF(OFFSET(CRONOPLE!$F$15,$M90-$A$15,BN$13)=0,10^12,OFFSET(CRONOPLE!$F$15,$M90-$A$15,BN$13)))</f>
        <v>1000000000000</v>
      </c>
      <c r="BO90" s="171">
        <f ca="1">IF(OR($D90&lt;&gt;"Serviço",AND(AUTOEVENTO="Manual",$M90=$A$15)),0,
         IF(OFFSET(CRONOPLE!$F$15,$M90-$A$15,BO$13)=0,10^12,OFFSET(CRONOPLE!$F$15,$M90-$A$15,BO$13)))</f>
        <v>1000000000000</v>
      </c>
      <c r="BP90" s="171">
        <f ca="1">IF(OR($D90&lt;&gt;"Serviço",AND(AUTOEVENTO="Manual",$M90=$A$15)),0,
         IF(OFFSET(CRONOPLE!$F$15,$M90-$A$15,BP$13)=0,10^12,OFFSET(CRONOPLE!$F$15,$M90-$A$15,BP$13)))</f>
        <v>1000000000000</v>
      </c>
      <c r="BQ90" s="171">
        <f ca="1">IF(OR($D90&lt;&gt;"Serviço",AND(AUTOEVENTO="Manual",$M90=$A$15)),0,
         IF(OFFSET(CRONOPLE!$F$15,$M90-$A$15,BQ$13)=0,10^12,OFFSET(CRONOPLE!$F$15,$M90-$A$15,BQ$13)))</f>
        <v>1000000000000</v>
      </c>
      <c r="BR90" s="171">
        <f ca="1">IF(OR($D90&lt;&gt;"Serviço",AND(AUTOEVENTO="Manual",$M90=$A$15)),0,
         IF(OFFSET(CRONOPLE!$F$15,$M90-$A$15,BR$13)=0,10^12,OFFSET(CRONOPLE!$F$15,$M90-$A$15,BR$13)))</f>
        <v>1000000000000</v>
      </c>
      <c r="BS90" s="171">
        <f ca="1">IF(OR($D90&lt;&gt;"Serviço",AND(AUTOEVENTO="Manual",$M90=$A$15)),0,
         IF(OFFSET(CRONOPLE!$F$15,$M90-$A$15,BS$13)=0,10^12,OFFSET(CRONOPLE!$F$15,$M90-$A$15,BS$13)))</f>
        <v>1000000000000</v>
      </c>
      <c r="BT90" s="171">
        <f ca="1">IF(OR($D90&lt;&gt;"Serviço",AND(AUTOEVENTO="Manual",$M90=$A$15)),0,
         IF(OFFSET(CRONOPLE!$F$15,$M90-$A$15,BT$13)=0,10^12,OFFSET(CRONOPLE!$F$15,$M90-$A$15,BT$13)))</f>
        <v>1000000000000</v>
      </c>
      <c r="BV90" s="172" cm="1">
        <f t="array" aca="1" ref="BV90" ca="1">IF(OR($D90&lt;&gt;"Serviço",AND(AUTOEVENTO="Manual",$M90=$A$15),$M90&gt;(ROW(PLE.lastrow)-ROW(PLE.firstrow))),0,
           IF(OFFSET(PLE!$G$15,$M90-$A$15,BV$13)="",10^12,OFFSET(PLE!$G$15,$M90-$A$15,BV$13)))</f>
        <v>1000000000000</v>
      </c>
      <c r="BW90" s="172" cm="1">
        <f t="array" aca="1" ref="BW90" ca="1">IF(OR($D90&lt;&gt;"Serviço",AND(AUTOEVENTO="Manual",$M90=$A$15),$M90&gt;(ROW(PLE.lastrow)-ROW(PLE.firstrow))),0,
           IF(OFFSET(PLE!$G$15,$M90-$A$15,BW$13)="",10^12,OFFSET(PLE!$G$15,$M90-$A$15,BW$13)))</f>
        <v>1000000000000</v>
      </c>
      <c r="BX90" s="172" cm="1">
        <f t="array" aca="1" ref="BX90" ca="1">IF(OR($D90&lt;&gt;"Serviço",AND(AUTOEVENTO="Manual",$M90=$A$15),$M90&gt;(ROW(PLE.lastrow)-ROW(PLE.firstrow))),0,
           IF(OFFSET(PLE!$G$15,$M90-$A$15,BX$13)="",10^12,OFFSET(PLE!$G$15,$M90-$A$15,BX$13)))</f>
        <v>1000000000000</v>
      </c>
      <c r="BY90" s="172" cm="1">
        <f t="array" aca="1" ref="BY90" ca="1">IF(OR($D90&lt;&gt;"Serviço",AND(AUTOEVENTO="Manual",$M90=$A$15),$M90&gt;(ROW(PLE.lastrow)-ROW(PLE.firstrow))),0,
           IF(OFFSET(PLE!$G$15,$M90-$A$15,BY$13)="",10^12,OFFSET(PLE!$G$15,$M90-$A$15,BY$13)))</f>
        <v>1000000000000</v>
      </c>
      <c r="BZ90" s="172" cm="1">
        <f t="array" aca="1" ref="BZ90" ca="1">IF(OR($D90&lt;&gt;"Serviço",AND(AUTOEVENTO="Manual",$M90=$A$15),$M90&gt;(ROW(PLE.lastrow)-ROW(PLE.firstrow))),0,
           IF(OFFSET(PLE!$G$15,$M90-$A$15,BZ$13)="",10^12,OFFSET(PLE!$G$15,$M90-$A$15,BZ$13)))</f>
        <v>1000000000000</v>
      </c>
      <c r="CA90" s="172" cm="1">
        <f t="array" aca="1" ref="CA90" ca="1">IF(OR($D90&lt;&gt;"Serviço",AND(AUTOEVENTO="Manual",$M90=$A$15),$M90&gt;(ROW(PLE.lastrow)-ROW(PLE.firstrow))),0,
           IF(OFFSET(PLE!$G$15,$M90-$A$15,CA$13)="",10^12,OFFSET(PLE!$G$15,$M90-$A$15,CA$13)))</f>
        <v>1000000000000</v>
      </c>
      <c r="CB90" s="172" cm="1">
        <f t="array" aca="1" ref="CB90" ca="1">IF(OR($D90&lt;&gt;"Serviço",AND(AUTOEVENTO="Manual",$M90=$A$15),$M90&gt;(ROW(PLE.lastrow)-ROW(PLE.firstrow))),0,
           IF(OFFSET(PLE!$G$15,$M90-$A$15,CB$13)="",10^12,OFFSET(PLE!$G$15,$M90-$A$15,CB$13)))</f>
        <v>1000000000000</v>
      </c>
      <c r="CC90" s="172" cm="1">
        <f t="array" aca="1" ref="CC90" ca="1">IF(OR($D90&lt;&gt;"Serviço",AND(AUTOEVENTO="Manual",$M90=$A$15),$M90&gt;(ROW(PLE.lastrow)-ROW(PLE.firstrow))),0,
           IF(OFFSET(PLE!$G$15,$M90-$A$15,CC$13)="",10^12,OFFSET(PLE!$G$15,$M90-$A$15,CC$13)))</f>
        <v>1000000000000</v>
      </c>
      <c r="CD90" s="172" cm="1">
        <f t="array" aca="1" ref="CD90" ca="1">IF(OR($D90&lt;&gt;"Serviço",AND(AUTOEVENTO="Manual",$M90=$A$15),$M90&gt;(ROW(PLE.lastrow)-ROW(PLE.firstrow))),0,
           IF(OFFSET(PLE!$G$15,$M90-$A$15,CD$13)="",10^12,OFFSET(PLE!$G$15,$M90-$A$15,CD$13)))</f>
        <v>1000000000000</v>
      </c>
      <c r="CE90" s="172" cm="1">
        <f t="array" aca="1" ref="CE90" ca="1">IF(OR($D90&lt;&gt;"Serviço",AND(AUTOEVENTO="Manual",$M90=$A$15),$M90&gt;(ROW(PLE.lastrow)-ROW(PLE.firstrow))),0,
           IF(OFFSET(PLE!$G$15,$M90-$A$15,CE$13)="",10^12,OFFSET(PLE!$G$15,$M90-$A$15,CE$13)))</f>
        <v>1000000000000</v>
      </c>
      <c r="CF90" s="172" cm="1">
        <f t="array" aca="1" ref="CF90" ca="1">IF(OR($D90&lt;&gt;"Serviço",AND(AUTOEVENTO="Manual",$M90=$A$15),$M90&gt;(ROW(PLE.lastrow)-ROW(PLE.firstrow))),0,
           IF(OFFSET(PLE!$G$15,$M90-$A$15,CF$13)="",10^12,OFFSET(PLE!$G$15,$M90-$A$15,CF$13)))</f>
        <v>1000000000000</v>
      </c>
      <c r="CG90" s="172" cm="1">
        <f t="array" aca="1" ref="CG90" ca="1">IF(OR($D90&lt;&gt;"Serviço",AND(AUTOEVENTO="Manual",$M90=$A$15),$M90&gt;(ROW(PLE.lastrow)-ROW(PLE.firstrow))),0,
           IF(OFFSET(PLE!$G$15,$M90-$A$15,CG$13)="",10^12,OFFSET(PLE!$G$15,$M90-$A$15,CG$13)))</f>
        <v>1000000000000</v>
      </c>
      <c r="CH90" s="172" cm="1">
        <f t="array" aca="1" ref="CH90" ca="1">IF(OR($D90&lt;&gt;"Serviço",AND(AUTOEVENTO="Manual",$M90=$A$15),$M90&gt;(ROW(PLE.lastrow)-ROW(PLE.firstrow))),0,
           IF(OFFSET(PLE!$G$15,$M90-$A$15,CH$13)="",10^12,OFFSET(PLE!$G$15,$M90-$A$15,CH$13)))</f>
        <v>1000000000000</v>
      </c>
      <c r="CI90" s="172" cm="1">
        <f t="array" aca="1" ref="CI90" ca="1">IF(OR($D90&lt;&gt;"Serviço",AND(AUTOEVENTO="Manual",$M90=$A$15),$M90&gt;(ROW(PLE.lastrow)-ROW(PLE.firstrow))),0,
           IF(OFFSET(PLE!$G$15,$M90-$A$15,CI$13)="",10^12,OFFSET(PLE!$G$15,$M90-$A$15,CI$13)))</f>
        <v>1000000000000</v>
      </c>
      <c r="CJ90" s="172" cm="1">
        <f t="array" aca="1" ref="CJ90" ca="1">IF(OR($D90&lt;&gt;"Serviço",AND(AUTOEVENTO="Manual",$M90=$A$15),$M90&gt;(ROW(PLE.lastrow)-ROW(PLE.firstrow))),0,
           IF(OFFSET(PLE!$G$15,$M90-$A$15,CJ$13)="",10^12,OFFSET(PLE!$G$15,$M90-$A$15,CJ$13)))</f>
        <v>1000000000000</v>
      </c>
      <c r="CK90" s="172" cm="1">
        <f t="array" aca="1" ref="CK90" ca="1">IF(OR($D90&lt;&gt;"Serviço",AND(AUTOEVENTO="Manual",$M90=$A$15),$M90&gt;(ROW(PLE.lastrow)-ROW(PLE.firstrow))),0,
           IF(OFFSET(PLE!$G$15,$M90-$A$15,CK$13)="",10^12,OFFSET(PLE!$G$15,$M90-$A$15,CK$13)))</f>
        <v>1000000000000</v>
      </c>
      <c r="CL90" s="172" cm="1">
        <f t="array" aca="1" ref="CL90" ca="1">IF(OR($D90&lt;&gt;"Serviço",AND(AUTOEVENTO="Manual",$M90=$A$15),$M90&gt;(ROW(PLE.lastrow)-ROW(PLE.firstrow))),0,
           IF(OFFSET(PLE!$G$15,$M90-$A$15,CL$13)="",10^12,OFFSET(PLE!$G$15,$M90-$A$15,CL$13)))</f>
        <v>1000000000000</v>
      </c>
      <c r="CM90" s="172" cm="1">
        <f t="array" aca="1" ref="CM90" ca="1">IF(OR($D90&lt;&gt;"Serviço",AND(AUTOEVENTO="Manual",$M90=$A$15),$M90&gt;(ROW(PLE.lastrow)-ROW(PLE.firstrow))),0,
           IF(OFFSET(PLE!$G$15,$M90-$A$15,CM$13)="",10^12,OFFSET(PLE!$G$15,$M90-$A$15,CM$13)))</f>
        <v>1000000000000</v>
      </c>
    </row>
    <row r="91" spans="1:91" s="670" customFormat="1" ht="25.5" x14ac:dyDescent="0.2">
      <c r="A91" s="668">
        <f t="shared" ca="1" si="12"/>
        <v>0</v>
      </c>
      <c r="B91" s="668">
        <f ca="1">OFFSET(ORÇAMENTO!C$15,$L91,0)</f>
        <v>2</v>
      </c>
      <c r="C91" s="668" t="str">
        <f ca="1">OFFSET(ORÇAMENTO!L$15,$L91,0)</f>
        <v>F</v>
      </c>
      <c r="D91" s="116" t="str">
        <f ca="1">OFFSET(ORÇAMENTO!N$15,$L91,0)</f>
        <v>Nível 2</v>
      </c>
      <c r="E91" s="117" t="str">
        <f ca="1">OFFSET(ORÇAMENTO!O$15,$L91,0)</f>
        <v>1.12.</v>
      </c>
      <c r="F91" s="163" t="str">
        <f ca="1">OFFSET(ORÇAMENTO!R$15,$L91,0)</f>
        <v>REMOÇÃO E RECOMPOSIÇÃO DE PAVIMENTAÇÃO - Adutora de Água Tratada</v>
      </c>
      <c r="G91" s="164" t="str">
        <f ca="1">IF($D91&lt;&gt;"Serviço","",OFFSET(ORÇAMENTO!S$15,$L91,0))</f>
        <v/>
      </c>
      <c r="H91" s="122" cm="1">
        <f t="array" aca="1" ref="H91" ca="1">IF($D91&lt;&gt;"Serviço",0,IF(ACOMPANHAMENTO="BM",ROUND(OFFSET(ORÇAMENTO!AJ$15,$L91,0),15-13*ORÇAMENTO!$AF$7),IF(IFERROR(CÁLCULO.FrentesPreenchidas,0)=0,0,SUM(ROUND(OFFSET($P91,0,1,1,CÁLCULO.FrentesPreenchidas),15-13*ORÇAMENTO!$AF$7)))))</f>
        <v>0</v>
      </c>
      <c r="I91" s="468"/>
      <c r="J91" s="651" t="str" cm="1">
        <f t="array" aca="1" ref="J91" ca="1">IF(OR(B91&lt;&gt;"S",CÁLCULO.FrentesPreenchidas=0),"",IF(AND(ACOMPANHAMENTO="PLE",AUTOEVENTO="Manual",OR(H91&gt;0,ORÇAMENTO!AC91="QUANT."),OR(K91="",M91=0,N91="")),"►E",IF(AND(ACOMPANHAMENTO="PLE",ORÇAMENTO!AC91="QUANT."),"►Q",IF(AND(ACOMPANHAMENTO="PLE",H91&lt;&gt;SUMPRODUCT(($Q$1:$AI$1=1)*ROUND(Q91:AI91,15))),"►S",IF(AND(COUNTIF($P$11:$AI$11,"▼")=0,H91&gt;0,I91=""),"◄M","")))))</f>
        <v/>
      </c>
      <c r="K91" s="652"/>
      <c r="L91" s="165">
        <f t="shared" ca="1" si="13"/>
        <v>76</v>
      </c>
      <c r="M91" s="166" t="str">
        <f ca="1">IF($D91&lt;&gt;"Serviço","",
          IF(AUTOEVENTO="manual",$A91,
                IF(ISERROR(MATCH($A91,$A$15:OFFSET($A91,-1,0),0)),MAX($M$15:OFFSET(M91,-1,0))+1,
                      INDEX($M$15:OFFSET(M91,-1,0),MATCH($A91,$A$15:OFFSET($A91,-1,0),0)))))</f>
        <v/>
      </c>
      <c r="N91" s="167" t="str">
        <f ca="1">IF($D91&lt;&gt;"Serviço","",
         IF(AUTOEVENTO="Manual",
                IF($A91=0,"&lt;-- defina o número do agrupador",
                       OFFSET(EVENTOS!$D$15,$A91-$A$15,0)),
                OFFSET($F$15,$A91,0)))</f>
        <v/>
      </c>
      <c r="O91" s="168"/>
      <c r="Q91" s="168"/>
      <c r="R91" s="169"/>
      <c r="S91" s="169"/>
      <c r="T91" s="169"/>
      <c r="U91" s="169" t="s">
        <v>250</v>
      </c>
      <c r="V91" s="169"/>
      <c r="W91" s="169"/>
      <c r="X91" s="169"/>
      <c r="Y91" s="169"/>
      <c r="Z91" s="170"/>
      <c r="AA91" s="705"/>
      <c r="AB91" s="705"/>
      <c r="AC91" s="705"/>
      <c r="AD91" s="705"/>
      <c r="AE91" s="705"/>
      <c r="AF91" s="705"/>
      <c r="AG91" s="705"/>
      <c r="AH91" s="706"/>
      <c r="AJ91" s="453">
        <f ca="1">IF(AND($D91="Serviço",AJ$12&lt;&gt;0,$H91&gt;0,OR(AUTOEVENTO&lt;&gt;"manual",$M91&lt;&gt;$A$15)),
        IF(Import.TipoArredondamento&lt;&gt;"TransfereGOV",
              ROUND(OFFSET($P91,0,AJ$13),15-13*ORÇAMENTO!$AF$7)/$H91*OFFSET(ORÇAMENTO!$X$15,ROW(AJ91)-ROW(AJ$15),0),
              ROUND(ROUND(OFFSET($P91,0,AJ$13),15-13*ORÇAMENTO!$AF$7)*OFFSET(ORÇAMENTO!$W$15,ROW(AJ91)-ROW(AJ$15),0),15-13*ORÇAMENTO!$AF$11)),
         0)</f>
        <v>0</v>
      </c>
      <c r="AK91" s="453">
        <f ca="1">IF(AND($D91="Serviço",AK$12&lt;&gt;0,$H91&gt;0,OR(AUTOEVENTO&lt;&gt;"manual",$M91&lt;&gt;$A$15)),
        IF(Import.TipoArredondamento&lt;&gt;"TransfereGOV",
              ROUND(OFFSET($P91,0,AK$13),15-13*ORÇAMENTO!$AF$7)/$H91*OFFSET(ORÇAMENTO!$X$15,ROW(AK91)-ROW(AK$15),0),
              ROUND(ROUND(OFFSET($P91,0,AK$13),15-13*ORÇAMENTO!$AF$7)*OFFSET(ORÇAMENTO!$W$15,ROW(AK91)-ROW(AK$15),0),15-13*ORÇAMENTO!$AF$11)),
         0)</f>
        <v>0</v>
      </c>
      <c r="AL91" s="453">
        <f ca="1">IF(AND($D91="Serviço",AL$12&lt;&gt;0,$H91&gt;0,OR(AUTOEVENTO&lt;&gt;"manual",$M91&lt;&gt;$A$15)),
        IF(Import.TipoArredondamento&lt;&gt;"TransfereGOV",
              ROUND(OFFSET($P91,0,AL$13),15-13*ORÇAMENTO!$AF$7)/$H91*OFFSET(ORÇAMENTO!$X$15,ROW(AL91)-ROW(AL$15),0),
              ROUND(ROUND(OFFSET($P91,0,AL$13),15-13*ORÇAMENTO!$AF$7)*OFFSET(ORÇAMENTO!$W$15,ROW(AL91)-ROW(AL$15),0),15-13*ORÇAMENTO!$AF$11)),
         0)</f>
        <v>0</v>
      </c>
      <c r="AM91" s="453">
        <f ca="1">IF(AND($D91="Serviço",AM$12&lt;&gt;0,$H91&gt;0,OR(AUTOEVENTO&lt;&gt;"manual",$M91&lt;&gt;$A$15)),
        IF(Import.TipoArredondamento&lt;&gt;"TransfereGOV",
              ROUND(OFFSET($P91,0,AM$13),15-13*ORÇAMENTO!$AF$7)/$H91*OFFSET(ORÇAMENTO!$X$15,ROW(AM91)-ROW(AM$15),0),
              ROUND(ROUND(OFFSET($P91,0,AM$13),15-13*ORÇAMENTO!$AF$7)*OFFSET(ORÇAMENTO!$W$15,ROW(AM91)-ROW(AM$15),0),15-13*ORÇAMENTO!$AF$11)),
         0)</f>
        <v>0</v>
      </c>
      <c r="AN91" s="453">
        <f ca="1">IF(AND($D91="Serviço",AN$12&lt;&gt;0,$H91&gt;0,OR(AUTOEVENTO&lt;&gt;"manual",$M91&lt;&gt;$A$15)),
        IF(Import.TipoArredondamento&lt;&gt;"TransfereGOV",
              ROUND(OFFSET($P91,0,AN$13),15-13*ORÇAMENTO!$AF$7)/$H91*OFFSET(ORÇAMENTO!$X$15,ROW(AN91)-ROW(AN$15),0),
              ROUND(ROUND(OFFSET($P91,0,AN$13),15-13*ORÇAMENTO!$AF$7)*OFFSET(ORÇAMENTO!$W$15,ROW(AN91)-ROW(AN$15),0),15-13*ORÇAMENTO!$AF$11)),
         0)</f>
        <v>0</v>
      </c>
      <c r="AO91" s="453">
        <f ca="1">IF(AND($D91="Serviço",AO$12&lt;&gt;0,$H91&gt;0,OR(AUTOEVENTO&lt;&gt;"manual",$M91&lt;&gt;$A$15)),
        IF(Import.TipoArredondamento&lt;&gt;"TransfereGOV",
              ROUND(OFFSET($P91,0,AO$13),15-13*ORÇAMENTO!$AF$7)/$H91*OFFSET(ORÇAMENTO!$X$15,ROW(AO91)-ROW(AO$15),0),
              ROUND(ROUND(OFFSET($P91,0,AO$13),15-13*ORÇAMENTO!$AF$7)*OFFSET(ORÇAMENTO!$W$15,ROW(AO91)-ROW(AO$15),0),15-13*ORÇAMENTO!$AF$11)),
         0)</f>
        <v>0</v>
      </c>
      <c r="AP91" s="453">
        <f ca="1">IF(AND($D91="Serviço",AP$12&lt;&gt;0,$H91&gt;0,OR(AUTOEVENTO&lt;&gt;"manual",$M91&lt;&gt;$A$15)),
        IF(Import.TipoArredondamento&lt;&gt;"TransfereGOV",
              ROUND(OFFSET($P91,0,AP$13),15-13*ORÇAMENTO!$AF$7)/$H91*OFFSET(ORÇAMENTO!$X$15,ROW(AP91)-ROW(AP$15),0),
              ROUND(ROUND(OFFSET($P91,0,AP$13),15-13*ORÇAMENTO!$AF$7)*OFFSET(ORÇAMENTO!$W$15,ROW(AP91)-ROW(AP$15),0),15-13*ORÇAMENTO!$AF$11)),
         0)</f>
        <v>0</v>
      </c>
      <c r="AQ91" s="453">
        <f ca="1">IF(AND($D91="Serviço",AQ$12&lt;&gt;0,$H91&gt;0,OR(AUTOEVENTO&lt;&gt;"manual",$M91&lt;&gt;$A$15)),
        IF(Import.TipoArredondamento&lt;&gt;"TransfereGOV",
              ROUND(OFFSET($P91,0,AQ$13),15-13*ORÇAMENTO!$AF$7)/$H91*OFFSET(ORÇAMENTO!$X$15,ROW(AQ91)-ROW(AQ$15),0),
              ROUND(ROUND(OFFSET($P91,0,AQ$13),15-13*ORÇAMENTO!$AF$7)*OFFSET(ORÇAMENTO!$W$15,ROW(AQ91)-ROW(AQ$15),0),15-13*ORÇAMENTO!$AF$11)),
         0)</f>
        <v>0</v>
      </c>
      <c r="AR91" s="453">
        <f ca="1">IF(AND($D91="Serviço",AR$12&lt;&gt;0,$H91&gt;0,OR(AUTOEVENTO&lt;&gt;"manual",$M91&lt;&gt;$A$15)),
        IF(Import.TipoArredondamento&lt;&gt;"TransfereGOV",
              ROUND(OFFSET($P91,0,AR$13),15-13*ORÇAMENTO!$AF$7)/$H91*OFFSET(ORÇAMENTO!$X$15,ROW(AR91)-ROW(AR$15),0),
              ROUND(ROUND(OFFSET($P91,0,AR$13),15-13*ORÇAMENTO!$AF$7)*OFFSET(ORÇAMENTO!$W$15,ROW(AR91)-ROW(AR$15),0),15-13*ORÇAMENTO!$AF$11)),
         0)</f>
        <v>0</v>
      </c>
      <c r="AS91" s="453">
        <f ca="1">IF(AND($D91="Serviço",AS$12&lt;&gt;0,$H91&gt;0,OR(AUTOEVENTO&lt;&gt;"manual",$M91&lt;&gt;$A$15)),
        IF(Import.TipoArredondamento&lt;&gt;"TransfereGOV",
              ROUND(OFFSET($P91,0,AS$13),15-13*ORÇAMENTO!$AF$7)/$H91*OFFSET(ORÇAMENTO!$X$15,ROW(AS91)-ROW(AS$15),0),
              ROUND(ROUND(OFFSET($P91,0,AS$13),15-13*ORÇAMENTO!$AF$7)*OFFSET(ORÇAMENTO!$W$15,ROW(AS91)-ROW(AS$15),0),15-13*ORÇAMENTO!$AF$11)),
         0)</f>
        <v>0</v>
      </c>
      <c r="AT91" s="453">
        <f ca="1">IF(AND($D91="Serviço",AT$12&lt;&gt;0,$H91&gt;0,OR(AUTOEVENTO&lt;&gt;"manual",$M91&lt;&gt;$A$15)),
        IF(Import.TipoArredondamento&lt;&gt;"TransfereGOV",
              ROUND(OFFSET($P91,0,AT$13),15-13*ORÇAMENTO!$AF$7)/$H91*OFFSET(ORÇAMENTO!$X$15,ROW(AT91)-ROW(AT$15),0),
              ROUND(ROUND(OFFSET($P91,0,AT$13),15-13*ORÇAMENTO!$AF$7)*OFFSET(ORÇAMENTO!$W$15,ROW(AT91)-ROW(AT$15),0),15-13*ORÇAMENTO!$AF$11)),
         0)</f>
        <v>0</v>
      </c>
      <c r="AU91" s="453">
        <f ca="1">IF(AND($D91="Serviço",AU$12&lt;&gt;0,$H91&gt;0,OR(AUTOEVENTO&lt;&gt;"manual",$M91&lt;&gt;$A$15)),
        IF(Import.TipoArredondamento&lt;&gt;"TransfereGOV",
              ROUND(OFFSET($P91,0,AU$13),15-13*ORÇAMENTO!$AF$7)/$H91*OFFSET(ORÇAMENTO!$X$15,ROW(AU91)-ROW(AU$15),0),
              ROUND(ROUND(OFFSET($P91,0,AU$13),15-13*ORÇAMENTO!$AF$7)*OFFSET(ORÇAMENTO!$W$15,ROW(AU91)-ROW(AU$15),0),15-13*ORÇAMENTO!$AF$11)),
         0)</f>
        <v>0</v>
      </c>
      <c r="AV91" s="453">
        <f ca="1">IF(AND($D91="Serviço",AV$12&lt;&gt;0,$H91&gt;0,OR(AUTOEVENTO&lt;&gt;"manual",$M91&lt;&gt;$A$15)),
        IF(Import.TipoArredondamento&lt;&gt;"TransfereGOV",
              ROUND(OFFSET($P91,0,AV$13),15-13*ORÇAMENTO!$AF$7)/$H91*OFFSET(ORÇAMENTO!$X$15,ROW(AV91)-ROW(AV$15),0),
              ROUND(ROUND(OFFSET($P91,0,AV$13),15-13*ORÇAMENTO!$AF$7)*OFFSET(ORÇAMENTO!$W$15,ROW(AV91)-ROW(AV$15),0),15-13*ORÇAMENTO!$AF$11)),
         0)</f>
        <v>0</v>
      </c>
      <c r="AW91" s="453">
        <f ca="1">IF(AND($D91="Serviço",AW$12&lt;&gt;0,$H91&gt;0,OR(AUTOEVENTO&lt;&gt;"manual",$M91&lt;&gt;$A$15)),
        IF(Import.TipoArredondamento&lt;&gt;"TransfereGOV",
              ROUND(OFFSET($P91,0,AW$13),15-13*ORÇAMENTO!$AF$7)/$H91*OFFSET(ORÇAMENTO!$X$15,ROW(AW91)-ROW(AW$15),0),
              ROUND(ROUND(OFFSET($P91,0,AW$13),15-13*ORÇAMENTO!$AF$7)*OFFSET(ORÇAMENTO!$W$15,ROW(AW91)-ROW(AW$15),0),15-13*ORÇAMENTO!$AF$11)),
         0)</f>
        <v>0</v>
      </c>
      <c r="AX91" s="453">
        <f ca="1">IF(AND($D91="Serviço",AX$12&lt;&gt;0,$H91&gt;0,OR(AUTOEVENTO&lt;&gt;"manual",$M91&lt;&gt;$A$15)),
        IF(Import.TipoArredondamento&lt;&gt;"TransfereGOV",
              ROUND(OFFSET($P91,0,AX$13),15-13*ORÇAMENTO!$AF$7)/$H91*OFFSET(ORÇAMENTO!$X$15,ROW(AX91)-ROW(AX$15),0),
              ROUND(ROUND(OFFSET($P91,0,AX$13),15-13*ORÇAMENTO!$AF$7)*OFFSET(ORÇAMENTO!$W$15,ROW(AX91)-ROW(AX$15),0),15-13*ORÇAMENTO!$AF$11)),
         0)</f>
        <v>0</v>
      </c>
      <c r="AY91" s="453">
        <f ca="1">IF(AND($D91="Serviço",AY$12&lt;&gt;0,$H91&gt;0,OR(AUTOEVENTO&lt;&gt;"manual",$M91&lt;&gt;$A$15)),
        IF(Import.TipoArredondamento&lt;&gt;"TransfereGOV",
              ROUND(OFFSET($P91,0,AY$13),15-13*ORÇAMENTO!$AF$7)/$H91*OFFSET(ORÇAMENTO!$X$15,ROW(AY91)-ROW(AY$15),0),
              ROUND(ROUND(OFFSET($P91,0,AY$13),15-13*ORÇAMENTO!$AF$7)*OFFSET(ORÇAMENTO!$W$15,ROW(AY91)-ROW(AY$15),0),15-13*ORÇAMENTO!$AF$11)),
         0)</f>
        <v>0</v>
      </c>
      <c r="AZ91" s="453">
        <f ca="1">IF(AND($D91="Serviço",AZ$12&lt;&gt;0,$H91&gt;0,OR(AUTOEVENTO&lt;&gt;"manual",$M91&lt;&gt;$A$15)),
        IF(Import.TipoArredondamento&lt;&gt;"TransfereGOV",
              ROUND(OFFSET($P91,0,AZ$13),15-13*ORÇAMENTO!$AF$7)/$H91*OFFSET(ORÇAMENTO!$X$15,ROW(AZ91)-ROW(AZ$15),0),
              ROUND(ROUND(OFFSET($P91,0,AZ$13),15-13*ORÇAMENTO!$AF$7)*OFFSET(ORÇAMENTO!$W$15,ROW(AZ91)-ROW(AZ$15),0),15-13*ORÇAMENTO!$AF$11)),
         0)</f>
        <v>0</v>
      </c>
      <c r="BA91" s="453">
        <f ca="1">IF(AND($D91="Serviço",BA$12&lt;&gt;0,$H91&gt;0,OR(AUTOEVENTO&lt;&gt;"manual",$M91&lt;&gt;$A$15)),
        IF(Import.TipoArredondamento&lt;&gt;"TransfereGOV",
              ROUND(OFFSET($P91,0,BA$13),15-13*ORÇAMENTO!$AF$7)/$H91*OFFSET(ORÇAMENTO!$X$15,ROW(BA91)-ROW(BA$15),0),
              ROUND(ROUND(OFFSET($P91,0,BA$13),15-13*ORÇAMENTO!$AF$7)*OFFSET(ORÇAMENTO!$W$15,ROW(BA91)-ROW(BA$15),0),15-13*ORÇAMENTO!$AF$11)),
         0)</f>
        <v>0</v>
      </c>
      <c r="BC91" s="171">
        <f ca="1">IF(OR($D91&lt;&gt;"Serviço",AND(AUTOEVENTO="Manual",$M91=$A$15)),0,
         IF(OFFSET(CRONOPLE!$F$15,$M91-$A$15,BC$13)=0,10^12,OFFSET(CRONOPLE!$F$15,$M91-$A$15,BC$13)))</f>
        <v>0</v>
      </c>
      <c r="BD91" s="171">
        <f ca="1">IF(OR($D91&lt;&gt;"Serviço",AND(AUTOEVENTO="Manual",$M91=$A$15)),0,
         IF(OFFSET(CRONOPLE!$F$15,$M91-$A$15,BD$13)=0,10^12,OFFSET(CRONOPLE!$F$15,$M91-$A$15,BD$13)))</f>
        <v>0</v>
      </c>
      <c r="BE91" s="171">
        <f ca="1">IF(OR($D91&lt;&gt;"Serviço",AND(AUTOEVENTO="Manual",$M91=$A$15)),0,
         IF(OFFSET(CRONOPLE!$F$15,$M91-$A$15,BE$13)=0,10^12,OFFSET(CRONOPLE!$F$15,$M91-$A$15,BE$13)))</f>
        <v>0</v>
      </c>
      <c r="BF91" s="171">
        <f ca="1">IF(OR($D91&lt;&gt;"Serviço",AND(AUTOEVENTO="Manual",$M91=$A$15)),0,
         IF(OFFSET(CRONOPLE!$F$15,$M91-$A$15,BF$13)=0,10^12,OFFSET(CRONOPLE!$F$15,$M91-$A$15,BF$13)))</f>
        <v>0</v>
      </c>
      <c r="BG91" s="171">
        <f ca="1">IF(OR($D91&lt;&gt;"Serviço",AND(AUTOEVENTO="Manual",$M91=$A$15)),0,
         IF(OFFSET(CRONOPLE!$F$15,$M91-$A$15,BG$13)=0,10^12,OFFSET(CRONOPLE!$F$15,$M91-$A$15,BG$13)))</f>
        <v>0</v>
      </c>
      <c r="BH91" s="171">
        <f ca="1">IF(OR($D91&lt;&gt;"Serviço",AND(AUTOEVENTO="Manual",$M91=$A$15)),0,
         IF(OFFSET(CRONOPLE!$F$15,$M91-$A$15,BH$13)=0,10^12,OFFSET(CRONOPLE!$F$15,$M91-$A$15,BH$13)))</f>
        <v>0</v>
      </c>
      <c r="BI91" s="171">
        <f ca="1">IF(OR($D91&lt;&gt;"Serviço",AND(AUTOEVENTO="Manual",$M91=$A$15)),0,
         IF(OFFSET(CRONOPLE!$F$15,$M91-$A$15,BI$13)=0,10^12,OFFSET(CRONOPLE!$F$15,$M91-$A$15,BI$13)))</f>
        <v>0</v>
      </c>
      <c r="BJ91" s="171">
        <f ca="1">IF(OR($D91&lt;&gt;"Serviço",AND(AUTOEVENTO="Manual",$M91=$A$15)),0,
         IF(OFFSET(CRONOPLE!$F$15,$M91-$A$15,BJ$13)=0,10^12,OFFSET(CRONOPLE!$F$15,$M91-$A$15,BJ$13)))</f>
        <v>0</v>
      </c>
      <c r="BK91" s="171">
        <f ca="1">IF(OR($D91&lt;&gt;"Serviço",AND(AUTOEVENTO="Manual",$M91=$A$15)),0,
         IF(OFFSET(CRONOPLE!$F$15,$M91-$A$15,BK$13)=0,10^12,OFFSET(CRONOPLE!$F$15,$M91-$A$15,BK$13)))</f>
        <v>0</v>
      </c>
      <c r="BL91" s="171">
        <f ca="1">IF(OR($D91&lt;&gt;"Serviço",AND(AUTOEVENTO="Manual",$M91=$A$15)),0,
         IF(OFFSET(CRONOPLE!$F$15,$M91-$A$15,BL$13)=0,10^12,OFFSET(CRONOPLE!$F$15,$M91-$A$15,BL$13)))</f>
        <v>0</v>
      </c>
      <c r="BM91" s="171">
        <f ca="1">IF(OR($D91&lt;&gt;"Serviço",AND(AUTOEVENTO="Manual",$M91=$A$15)),0,
         IF(OFFSET(CRONOPLE!$F$15,$M91-$A$15,BM$13)=0,10^12,OFFSET(CRONOPLE!$F$15,$M91-$A$15,BM$13)))</f>
        <v>0</v>
      </c>
      <c r="BN91" s="171">
        <f ca="1">IF(OR($D91&lt;&gt;"Serviço",AND(AUTOEVENTO="Manual",$M91=$A$15)),0,
         IF(OFFSET(CRONOPLE!$F$15,$M91-$A$15,BN$13)=0,10^12,OFFSET(CRONOPLE!$F$15,$M91-$A$15,BN$13)))</f>
        <v>0</v>
      </c>
      <c r="BO91" s="171">
        <f ca="1">IF(OR($D91&lt;&gt;"Serviço",AND(AUTOEVENTO="Manual",$M91=$A$15)),0,
         IF(OFFSET(CRONOPLE!$F$15,$M91-$A$15,BO$13)=0,10^12,OFFSET(CRONOPLE!$F$15,$M91-$A$15,BO$13)))</f>
        <v>0</v>
      </c>
      <c r="BP91" s="171">
        <f ca="1">IF(OR($D91&lt;&gt;"Serviço",AND(AUTOEVENTO="Manual",$M91=$A$15)),0,
         IF(OFFSET(CRONOPLE!$F$15,$M91-$A$15,BP$13)=0,10^12,OFFSET(CRONOPLE!$F$15,$M91-$A$15,BP$13)))</f>
        <v>0</v>
      </c>
      <c r="BQ91" s="171">
        <f ca="1">IF(OR($D91&lt;&gt;"Serviço",AND(AUTOEVENTO="Manual",$M91=$A$15)),0,
         IF(OFFSET(CRONOPLE!$F$15,$M91-$A$15,BQ$13)=0,10^12,OFFSET(CRONOPLE!$F$15,$M91-$A$15,BQ$13)))</f>
        <v>0</v>
      </c>
      <c r="BR91" s="171">
        <f ca="1">IF(OR($D91&lt;&gt;"Serviço",AND(AUTOEVENTO="Manual",$M91=$A$15)),0,
         IF(OFFSET(CRONOPLE!$F$15,$M91-$A$15,BR$13)=0,10^12,OFFSET(CRONOPLE!$F$15,$M91-$A$15,BR$13)))</f>
        <v>0</v>
      </c>
      <c r="BS91" s="171">
        <f ca="1">IF(OR($D91&lt;&gt;"Serviço",AND(AUTOEVENTO="Manual",$M91=$A$15)),0,
         IF(OFFSET(CRONOPLE!$F$15,$M91-$A$15,BS$13)=0,10^12,OFFSET(CRONOPLE!$F$15,$M91-$A$15,BS$13)))</f>
        <v>0</v>
      </c>
      <c r="BT91" s="171">
        <f ca="1">IF(OR($D91&lt;&gt;"Serviço",AND(AUTOEVENTO="Manual",$M91=$A$15)),0,
         IF(OFFSET(CRONOPLE!$F$15,$M91-$A$15,BT$13)=0,10^12,OFFSET(CRONOPLE!$F$15,$M91-$A$15,BT$13)))</f>
        <v>0</v>
      </c>
      <c r="BV91" s="172" cm="1">
        <f t="array" aca="1" ref="BV91" ca="1">IF(OR($D91&lt;&gt;"Serviço",AND(AUTOEVENTO="Manual",$M91=$A$15),$M91&gt;(ROW(PLE.lastrow)-ROW(PLE.firstrow))),0,
           IF(OFFSET(PLE!$G$15,$M91-$A$15,BV$13)="",10^12,OFFSET(PLE!$G$15,$M91-$A$15,BV$13)))</f>
        <v>0</v>
      </c>
      <c r="BW91" s="172" cm="1">
        <f t="array" aca="1" ref="BW91" ca="1">IF(OR($D91&lt;&gt;"Serviço",AND(AUTOEVENTO="Manual",$M91=$A$15),$M91&gt;(ROW(PLE.lastrow)-ROW(PLE.firstrow))),0,
           IF(OFFSET(PLE!$G$15,$M91-$A$15,BW$13)="",10^12,OFFSET(PLE!$G$15,$M91-$A$15,BW$13)))</f>
        <v>0</v>
      </c>
      <c r="BX91" s="172" cm="1">
        <f t="array" aca="1" ref="BX91" ca="1">IF(OR($D91&lt;&gt;"Serviço",AND(AUTOEVENTO="Manual",$M91=$A$15),$M91&gt;(ROW(PLE.lastrow)-ROW(PLE.firstrow))),0,
           IF(OFFSET(PLE!$G$15,$M91-$A$15,BX$13)="",10^12,OFFSET(PLE!$G$15,$M91-$A$15,BX$13)))</f>
        <v>0</v>
      </c>
      <c r="BY91" s="172" cm="1">
        <f t="array" aca="1" ref="BY91" ca="1">IF(OR($D91&lt;&gt;"Serviço",AND(AUTOEVENTO="Manual",$M91=$A$15),$M91&gt;(ROW(PLE.lastrow)-ROW(PLE.firstrow))),0,
           IF(OFFSET(PLE!$G$15,$M91-$A$15,BY$13)="",10^12,OFFSET(PLE!$G$15,$M91-$A$15,BY$13)))</f>
        <v>0</v>
      </c>
      <c r="BZ91" s="172" cm="1">
        <f t="array" aca="1" ref="BZ91" ca="1">IF(OR($D91&lt;&gt;"Serviço",AND(AUTOEVENTO="Manual",$M91=$A$15),$M91&gt;(ROW(PLE.lastrow)-ROW(PLE.firstrow))),0,
           IF(OFFSET(PLE!$G$15,$M91-$A$15,BZ$13)="",10^12,OFFSET(PLE!$G$15,$M91-$A$15,BZ$13)))</f>
        <v>0</v>
      </c>
      <c r="CA91" s="172" cm="1">
        <f t="array" aca="1" ref="CA91" ca="1">IF(OR($D91&lt;&gt;"Serviço",AND(AUTOEVENTO="Manual",$M91=$A$15),$M91&gt;(ROW(PLE.lastrow)-ROW(PLE.firstrow))),0,
           IF(OFFSET(PLE!$G$15,$M91-$A$15,CA$13)="",10^12,OFFSET(PLE!$G$15,$M91-$A$15,CA$13)))</f>
        <v>0</v>
      </c>
      <c r="CB91" s="172" cm="1">
        <f t="array" aca="1" ref="CB91" ca="1">IF(OR($D91&lt;&gt;"Serviço",AND(AUTOEVENTO="Manual",$M91=$A$15),$M91&gt;(ROW(PLE.lastrow)-ROW(PLE.firstrow))),0,
           IF(OFFSET(PLE!$G$15,$M91-$A$15,CB$13)="",10^12,OFFSET(PLE!$G$15,$M91-$A$15,CB$13)))</f>
        <v>0</v>
      </c>
      <c r="CC91" s="172" cm="1">
        <f t="array" aca="1" ref="CC91" ca="1">IF(OR($D91&lt;&gt;"Serviço",AND(AUTOEVENTO="Manual",$M91=$A$15),$M91&gt;(ROW(PLE.lastrow)-ROW(PLE.firstrow))),0,
           IF(OFFSET(PLE!$G$15,$M91-$A$15,CC$13)="",10^12,OFFSET(PLE!$G$15,$M91-$A$15,CC$13)))</f>
        <v>0</v>
      </c>
      <c r="CD91" s="172" cm="1">
        <f t="array" aca="1" ref="CD91" ca="1">IF(OR($D91&lt;&gt;"Serviço",AND(AUTOEVENTO="Manual",$M91=$A$15),$M91&gt;(ROW(PLE.lastrow)-ROW(PLE.firstrow))),0,
           IF(OFFSET(PLE!$G$15,$M91-$A$15,CD$13)="",10^12,OFFSET(PLE!$G$15,$M91-$A$15,CD$13)))</f>
        <v>0</v>
      </c>
      <c r="CE91" s="172" cm="1">
        <f t="array" aca="1" ref="CE91" ca="1">IF(OR($D91&lt;&gt;"Serviço",AND(AUTOEVENTO="Manual",$M91=$A$15),$M91&gt;(ROW(PLE.lastrow)-ROW(PLE.firstrow))),0,
           IF(OFFSET(PLE!$G$15,$M91-$A$15,CE$13)="",10^12,OFFSET(PLE!$G$15,$M91-$A$15,CE$13)))</f>
        <v>0</v>
      </c>
      <c r="CF91" s="172" cm="1">
        <f t="array" aca="1" ref="CF91" ca="1">IF(OR($D91&lt;&gt;"Serviço",AND(AUTOEVENTO="Manual",$M91=$A$15),$M91&gt;(ROW(PLE.lastrow)-ROW(PLE.firstrow))),0,
           IF(OFFSET(PLE!$G$15,$M91-$A$15,CF$13)="",10^12,OFFSET(PLE!$G$15,$M91-$A$15,CF$13)))</f>
        <v>0</v>
      </c>
      <c r="CG91" s="172" cm="1">
        <f t="array" aca="1" ref="CG91" ca="1">IF(OR($D91&lt;&gt;"Serviço",AND(AUTOEVENTO="Manual",$M91=$A$15),$M91&gt;(ROW(PLE.lastrow)-ROW(PLE.firstrow))),0,
           IF(OFFSET(PLE!$G$15,$M91-$A$15,CG$13)="",10^12,OFFSET(PLE!$G$15,$M91-$A$15,CG$13)))</f>
        <v>0</v>
      </c>
      <c r="CH91" s="172" cm="1">
        <f t="array" aca="1" ref="CH91" ca="1">IF(OR($D91&lt;&gt;"Serviço",AND(AUTOEVENTO="Manual",$M91=$A$15),$M91&gt;(ROW(PLE.lastrow)-ROW(PLE.firstrow))),0,
           IF(OFFSET(PLE!$G$15,$M91-$A$15,CH$13)="",10^12,OFFSET(PLE!$G$15,$M91-$A$15,CH$13)))</f>
        <v>0</v>
      </c>
      <c r="CI91" s="172" cm="1">
        <f t="array" aca="1" ref="CI91" ca="1">IF(OR($D91&lt;&gt;"Serviço",AND(AUTOEVENTO="Manual",$M91=$A$15),$M91&gt;(ROW(PLE.lastrow)-ROW(PLE.firstrow))),0,
           IF(OFFSET(PLE!$G$15,$M91-$A$15,CI$13)="",10^12,OFFSET(PLE!$G$15,$M91-$A$15,CI$13)))</f>
        <v>0</v>
      </c>
      <c r="CJ91" s="172" cm="1">
        <f t="array" aca="1" ref="CJ91" ca="1">IF(OR($D91&lt;&gt;"Serviço",AND(AUTOEVENTO="Manual",$M91=$A$15),$M91&gt;(ROW(PLE.lastrow)-ROW(PLE.firstrow))),0,
           IF(OFFSET(PLE!$G$15,$M91-$A$15,CJ$13)="",10^12,OFFSET(PLE!$G$15,$M91-$A$15,CJ$13)))</f>
        <v>0</v>
      </c>
      <c r="CK91" s="172" cm="1">
        <f t="array" aca="1" ref="CK91" ca="1">IF(OR($D91&lt;&gt;"Serviço",AND(AUTOEVENTO="Manual",$M91=$A$15),$M91&gt;(ROW(PLE.lastrow)-ROW(PLE.firstrow))),0,
           IF(OFFSET(PLE!$G$15,$M91-$A$15,CK$13)="",10^12,OFFSET(PLE!$G$15,$M91-$A$15,CK$13)))</f>
        <v>0</v>
      </c>
      <c r="CL91" s="172" cm="1">
        <f t="array" aca="1" ref="CL91" ca="1">IF(OR($D91&lt;&gt;"Serviço",AND(AUTOEVENTO="Manual",$M91=$A$15),$M91&gt;(ROW(PLE.lastrow)-ROW(PLE.firstrow))),0,
           IF(OFFSET(PLE!$G$15,$M91-$A$15,CL$13)="",10^12,OFFSET(PLE!$G$15,$M91-$A$15,CL$13)))</f>
        <v>0</v>
      </c>
      <c r="CM91" s="172" cm="1">
        <f t="array" aca="1" ref="CM91" ca="1">IF(OR($D91&lt;&gt;"Serviço",AND(AUTOEVENTO="Manual",$M91=$A$15),$M91&gt;(ROW(PLE.lastrow)-ROW(PLE.firstrow))),0,
           IF(OFFSET(PLE!$G$15,$M91-$A$15,CM$13)="",10^12,OFFSET(PLE!$G$15,$M91-$A$15,CM$13)))</f>
        <v>0</v>
      </c>
    </row>
    <row r="92" spans="1:91" s="670" customFormat="1" ht="51" x14ac:dyDescent="0.2">
      <c r="A92" s="668">
        <f t="shared" ca="1" si="12"/>
        <v>28</v>
      </c>
      <c r="B92" s="668" t="str">
        <f ca="1">OFFSET(ORÇAMENTO!C$15,$L92,0)</f>
        <v>S</v>
      </c>
      <c r="C92" s="668" t="str">
        <f ca="1">OFFSET(ORÇAMENTO!L$15,$L92,0)</f>
        <v>F</v>
      </c>
      <c r="D92" s="116" t="str">
        <f ca="1">OFFSET(ORÇAMENTO!N$15,$L92,0)</f>
        <v>Serviço</v>
      </c>
      <c r="E92" s="117" t="str">
        <f ca="1">OFFSET(ORÇAMENTO!O$15,$L92,0)</f>
        <v>1.12.1.</v>
      </c>
      <c r="F92" s="163" t="str">
        <f ca="1">OFFSET(ORÇAMENTO!R$15,$L92,0)</f>
        <v>CARGA, MANOBRA E DESCARGA DE SOLOS E MATERIAIS GRANULARES EM CAMINHÃO BASCULANTE 14 M³ - CARGA COM PÁ CARREGADEIRA (CAÇAMBA DE 1,7 A 2,8 M³ / 128 HP) E DESCARGA LIVRE (UNIDADE: M3). AF_07/2020</v>
      </c>
      <c r="G92" s="164" t="str">
        <f ca="1">IF($D92&lt;&gt;"Serviço","",OFFSET(ORÇAMENTO!S$15,$L92,0))</f>
        <v>M3</v>
      </c>
      <c r="H92" s="122" cm="1">
        <f t="array" aca="1" ref="H92" ca="1">IF($D92&lt;&gt;"Serviço",0,IF(ACOMPANHAMENTO="BM",ROUND(OFFSET(ORÇAMENTO!AJ$15,$L92,0),15-13*ORÇAMENTO!$AF$7),IF(IFERROR(CÁLCULO.FrentesPreenchidas,0)=0,0,SUM(ROUND(OFFSET($P92,0,1,1,CÁLCULO.FrentesPreenchidas),15-13*ORÇAMENTO!$AF$7)))))</f>
        <v>1881.45</v>
      </c>
      <c r="I92" s="468" t="s">
        <v>1322</v>
      </c>
      <c r="J92" s="651" t="str" cm="1">
        <f t="array" aca="1" ref="J92" ca="1">IF(OR(B92&lt;&gt;"S",CÁLCULO.FrentesPreenchidas=0),"",IF(AND(ACOMPANHAMENTO="PLE",AUTOEVENTO="Manual",OR(H92&gt;0,ORÇAMENTO!AC92="QUANT."),OR(K92="",M92=0,N92="")),"►E",IF(AND(ACOMPANHAMENTO="PLE",ORÇAMENTO!AC92="QUANT."),"►Q",IF(AND(ACOMPANHAMENTO="PLE",H92&lt;&gt;SUMPRODUCT(($Q$1:$AI$1=1)*ROUND(Q92:AI92,15))),"►S",IF(AND(COUNTIF($P$11:$AI$11,"▼")=0,H92&gt;0,I92=""),"◄M","")))))</f>
        <v/>
      </c>
      <c r="K92" s="652" t="s">
        <v>1353</v>
      </c>
      <c r="L92" s="165">
        <f t="shared" ca="1" si="13"/>
        <v>77</v>
      </c>
      <c r="M92" s="166">
        <f ca="1">IF($D92&lt;&gt;"Serviço","",
          IF(AUTOEVENTO="manual",$A92,
                IF(ISERROR(MATCH($A92,$A$15:OFFSET($A92,-1,0),0)),MAX($M$15:OFFSET(M92,-1,0))+1,
                      INDEX($M$15:OFFSET(M92,-1,0),MATCH($A92,$A$15:OFFSET($A92,-1,0),0)))))</f>
        <v>28</v>
      </c>
      <c r="N92" s="167" t="str">
        <f ca="1">IF($D92&lt;&gt;"Serviço","",
         IF(AUTOEVENTO="Manual",
                IF($A92=0,"&lt;-- defina o número do agrupador",
                       OFFSET(EVENTOS!$D$15,$A92-$A$15,0)),
                OFFSET($F$15,$A92,0)))</f>
        <v>Pavimentação</v>
      </c>
      <c r="O92" s="168"/>
      <c r="Q92" s="168"/>
      <c r="R92" s="169"/>
      <c r="S92" s="169"/>
      <c r="T92" s="169"/>
      <c r="U92" s="169">
        <v>1881.45</v>
      </c>
      <c r="V92" s="169"/>
      <c r="W92" s="169"/>
      <c r="X92" s="169"/>
      <c r="Y92" s="169"/>
      <c r="Z92" s="170"/>
      <c r="AA92" s="705"/>
      <c r="AB92" s="705"/>
      <c r="AC92" s="705"/>
      <c r="AD92" s="705"/>
      <c r="AE92" s="705"/>
      <c r="AF92" s="705"/>
      <c r="AG92" s="705"/>
      <c r="AH92" s="706"/>
      <c r="AJ92" s="453">
        <f ca="1">IF(AND($D92="Serviço",AJ$12&lt;&gt;0,$H92&gt;0,OR(AUTOEVENTO&lt;&gt;"manual",$M92&lt;&gt;$A$15)),
        IF(Import.TipoArredondamento&lt;&gt;"TransfereGOV",
              ROUND(OFFSET($P92,0,AJ$13),15-13*ORÇAMENTO!$AF$7)/$H92*OFFSET(ORÇAMENTO!$X$15,ROW(AJ92)-ROW(AJ$15),0),
              ROUND(ROUND(OFFSET($P92,0,AJ$13),15-13*ORÇAMENTO!$AF$7)*OFFSET(ORÇAMENTO!$W$15,ROW(AJ92)-ROW(AJ$15),0),15-13*ORÇAMENTO!$AF$11)),
         0)</f>
        <v>0</v>
      </c>
      <c r="AK92" s="453">
        <f ca="1">IF(AND($D92="Serviço",AK$12&lt;&gt;0,$H92&gt;0,OR(AUTOEVENTO&lt;&gt;"manual",$M92&lt;&gt;$A$15)),
        IF(Import.TipoArredondamento&lt;&gt;"TransfereGOV",
              ROUND(OFFSET($P92,0,AK$13),15-13*ORÇAMENTO!$AF$7)/$H92*OFFSET(ORÇAMENTO!$X$15,ROW(AK92)-ROW(AK$15),0),
              ROUND(ROUND(OFFSET($P92,0,AK$13),15-13*ORÇAMENTO!$AF$7)*OFFSET(ORÇAMENTO!$W$15,ROW(AK92)-ROW(AK$15),0),15-13*ORÇAMENTO!$AF$11)),
         0)</f>
        <v>0</v>
      </c>
      <c r="AL92" s="453">
        <f ca="1">IF(AND($D92="Serviço",AL$12&lt;&gt;0,$H92&gt;0,OR(AUTOEVENTO&lt;&gt;"manual",$M92&lt;&gt;$A$15)),
        IF(Import.TipoArredondamento&lt;&gt;"TransfereGOV",
              ROUND(OFFSET($P92,0,AL$13),15-13*ORÇAMENTO!$AF$7)/$H92*OFFSET(ORÇAMENTO!$X$15,ROW(AL92)-ROW(AL$15),0),
              ROUND(ROUND(OFFSET($P92,0,AL$13),15-13*ORÇAMENTO!$AF$7)*OFFSET(ORÇAMENTO!$W$15,ROW(AL92)-ROW(AL$15),0),15-13*ORÇAMENTO!$AF$11)),
         0)</f>
        <v>0</v>
      </c>
      <c r="AM92" s="453">
        <f ca="1">IF(AND($D92="Serviço",AM$12&lt;&gt;0,$H92&gt;0,OR(AUTOEVENTO&lt;&gt;"manual",$M92&lt;&gt;$A$15)),
        IF(Import.TipoArredondamento&lt;&gt;"TransfereGOV",
              ROUND(OFFSET($P92,0,AM$13),15-13*ORÇAMENTO!$AF$7)/$H92*OFFSET(ORÇAMENTO!$X$15,ROW(AM92)-ROW(AM$15),0),
              ROUND(ROUND(OFFSET($P92,0,AM$13),15-13*ORÇAMENTO!$AF$7)*OFFSET(ORÇAMENTO!$W$15,ROW(AM92)-ROW(AM$15),0),15-13*ORÇAMENTO!$AF$11)),
         0)</f>
        <v>0</v>
      </c>
      <c r="AN92" s="453">
        <f ca="1">IF(AND($D92="Serviço",AN$12&lt;&gt;0,$H92&gt;0,OR(AUTOEVENTO&lt;&gt;"manual",$M92&lt;&gt;$A$15)),
        IF(Import.TipoArredondamento&lt;&gt;"TransfereGOV",
              ROUND(OFFSET($P92,0,AN$13),15-13*ORÇAMENTO!$AF$7)/$H92*OFFSET(ORÇAMENTO!$X$15,ROW(AN92)-ROW(AN$15),0),
              ROUND(ROUND(OFFSET($P92,0,AN$13),15-13*ORÇAMENTO!$AF$7)*OFFSET(ORÇAMENTO!$W$15,ROW(AN92)-ROW(AN$15),0),15-13*ORÇAMENTO!$AF$11)),
         0)</f>
        <v>20790.02</v>
      </c>
      <c r="AO92" s="453">
        <f ca="1">IF(AND($D92="Serviço",AO$12&lt;&gt;0,$H92&gt;0,OR(AUTOEVENTO&lt;&gt;"manual",$M92&lt;&gt;$A$15)),
        IF(Import.TipoArredondamento&lt;&gt;"TransfereGOV",
              ROUND(OFFSET($P92,0,AO$13),15-13*ORÇAMENTO!$AF$7)/$H92*OFFSET(ORÇAMENTO!$X$15,ROW(AO92)-ROW(AO$15),0),
              ROUND(ROUND(OFFSET($P92,0,AO$13),15-13*ORÇAMENTO!$AF$7)*OFFSET(ORÇAMENTO!$W$15,ROW(AO92)-ROW(AO$15),0),15-13*ORÇAMENTO!$AF$11)),
         0)</f>
        <v>0</v>
      </c>
      <c r="AP92" s="453">
        <f ca="1">IF(AND($D92="Serviço",AP$12&lt;&gt;0,$H92&gt;0,OR(AUTOEVENTO&lt;&gt;"manual",$M92&lt;&gt;$A$15)),
        IF(Import.TipoArredondamento&lt;&gt;"TransfereGOV",
              ROUND(OFFSET($P92,0,AP$13),15-13*ORÇAMENTO!$AF$7)/$H92*OFFSET(ORÇAMENTO!$X$15,ROW(AP92)-ROW(AP$15),0),
              ROUND(ROUND(OFFSET($P92,0,AP$13),15-13*ORÇAMENTO!$AF$7)*OFFSET(ORÇAMENTO!$W$15,ROW(AP92)-ROW(AP$15),0),15-13*ORÇAMENTO!$AF$11)),
         0)</f>
        <v>0</v>
      </c>
      <c r="AQ92" s="453">
        <f ca="1">IF(AND($D92="Serviço",AQ$12&lt;&gt;0,$H92&gt;0,OR(AUTOEVENTO&lt;&gt;"manual",$M92&lt;&gt;$A$15)),
        IF(Import.TipoArredondamento&lt;&gt;"TransfereGOV",
              ROUND(OFFSET($P92,0,AQ$13),15-13*ORÇAMENTO!$AF$7)/$H92*OFFSET(ORÇAMENTO!$X$15,ROW(AQ92)-ROW(AQ$15),0),
              ROUND(ROUND(OFFSET($P92,0,AQ$13),15-13*ORÇAMENTO!$AF$7)*OFFSET(ORÇAMENTO!$W$15,ROW(AQ92)-ROW(AQ$15),0),15-13*ORÇAMENTO!$AF$11)),
         0)</f>
        <v>0</v>
      </c>
      <c r="AR92" s="453">
        <f ca="1">IF(AND($D92="Serviço",AR$12&lt;&gt;0,$H92&gt;0,OR(AUTOEVENTO&lt;&gt;"manual",$M92&lt;&gt;$A$15)),
        IF(Import.TipoArredondamento&lt;&gt;"TransfereGOV",
              ROUND(OFFSET($P92,0,AR$13),15-13*ORÇAMENTO!$AF$7)/$H92*OFFSET(ORÇAMENTO!$X$15,ROW(AR92)-ROW(AR$15),0),
              ROUND(ROUND(OFFSET($P92,0,AR$13),15-13*ORÇAMENTO!$AF$7)*OFFSET(ORÇAMENTO!$W$15,ROW(AR92)-ROW(AR$15),0),15-13*ORÇAMENTO!$AF$11)),
         0)</f>
        <v>0</v>
      </c>
      <c r="AS92" s="453">
        <f ca="1">IF(AND($D92="Serviço",AS$12&lt;&gt;0,$H92&gt;0,OR(AUTOEVENTO&lt;&gt;"manual",$M92&lt;&gt;$A$15)),
        IF(Import.TipoArredondamento&lt;&gt;"TransfereGOV",
              ROUND(OFFSET($P92,0,AS$13),15-13*ORÇAMENTO!$AF$7)/$H92*OFFSET(ORÇAMENTO!$X$15,ROW(AS92)-ROW(AS$15),0),
              ROUND(ROUND(OFFSET($P92,0,AS$13),15-13*ORÇAMENTO!$AF$7)*OFFSET(ORÇAMENTO!$W$15,ROW(AS92)-ROW(AS$15),0),15-13*ORÇAMENTO!$AF$11)),
         0)</f>
        <v>0</v>
      </c>
      <c r="AT92" s="453">
        <f ca="1">IF(AND($D92="Serviço",AT$12&lt;&gt;0,$H92&gt;0,OR(AUTOEVENTO&lt;&gt;"manual",$M92&lt;&gt;$A$15)),
        IF(Import.TipoArredondamento&lt;&gt;"TransfereGOV",
              ROUND(OFFSET($P92,0,AT$13),15-13*ORÇAMENTO!$AF$7)/$H92*OFFSET(ORÇAMENTO!$X$15,ROW(AT92)-ROW(AT$15),0),
              ROUND(ROUND(OFFSET($P92,0,AT$13),15-13*ORÇAMENTO!$AF$7)*OFFSET(ORÇAMENTO!$W$15,ROW(AT92)-ROW(AT$15),0),15-13*ORÇAMENTO!$AF$11)),
         0)</f>
        <v>0</v>
      </c>
      <c r="AU92" s="453">
        <f ca="1">IF(AND($D92="Serviço",AU$12&lt;&gt;0,$H92&gt;0,OR(AUTOEVENTO&lt;&gt;"manual",$M92&lt;&gt;$A$15)),
        IF(Import.TipoArredondamento&lt;&gt;"TransfereGOV",
              ROUND(OFFSET($P92,0,AU$13),15-13*ORÇAMENTO!$AF$7)/$H92*OFFSET(ORÇAMENTO!$X$15,ROW(AU92)-ROW(AU$15),0),
              ROUND(ROUND(OFFSET($P92,0,AU$13),15-13*ORÇAMENTO!$AF$7)*OFFSET(ORÇAMENTO!$W$15,ROW(AU92)-ROW(AU$15),0),15-13*ORÇAMENTO!$AF$11)),
         0)</f>
        <v>0</v>
      </c>
      <c r="AV92" s="453">
        <f ca="1">IF(AND($D92="Serviço",AV$12&lt;&gt;0,$H92&gt;0,OR(AUTOEVENTO&lt;&gt;"manual",$M92&lt;&gt;$A$15)),
        IF(Import.TipoArredondamento&lt;&gt;"TransfereGOV",
              ROUND(OFFSET($P92,0,AV$13),15-13*ORÇAMENTO!$AF$7)/$H92*OFFSET(ORÇAMENTO!$X$15,ROW(AV92)-ROW(AV$15),0),
              ROUND(ROUND(OFFSET($P92,0,AV$13),15-13*ORÇAMENTO!$AF$7)*OFFSET(ORÇAMENTO!$W$15,ROW(AV92)-ROW(AV$15),0),15-13*ORÇAMENTO!$AF$11)),
         0)</f>
        <v>0</v>
      </c>
      <c r="AW92" s="453">
        <f ca="1">IF(AND($D92="Serviço",AW$12&lt;&gt;0,$H92&gt;0,OR(AUTOEVENTO&lt;&gt;"manual",$M92&lt;&gt;$A$15)),
        IF(Import.TipoArredondamento&lt;&gt;"TransfereGOV",
              ROUND(OFFSET($P92,0,AW$13),15-13*ORÇAMENTO!$AF$7)/$H92*OFFSET(ORÇAMENTO!$X$15,ROW(AW92)-ROW(AW$15),0),
              ROUND(ROUND(OFFSET($P92,0,AW$13),15-13*ORÇAMENTO!$AF$7)*OFFSET(ORÇAMENTO!$W$15,ROW(AW92)-ROW(AW$15),0),15-13*ORÇAMENTO!$AF$11)),
         0)</f>
        <v>0</v>
      </c>
      <c r="AX92" s="453">
        <f ca="1">IF(AND($D92="Serviço",AX$12&lt;&gt;0,$H92&gt;0,OR(AUTOEVENTO&lt;&gt;"manual",$M92&lt;&gt;$A$15)),
        IF(Import.TipoArredondamento&lt;&gt;"TransfereGOV",
              ROUND(OFFSET($P92,0,AX$13),15-13*ORÇAMENTO!$AF$7)/$H92*OFFSET(ORÇAMENTO!$X$15,ROW(AX92)-ROW(AX$15),0),
              ROUND(ROUND(OFFSET($P92,0,AX$13),15-13*ORÇAMENTO!$AF$7)*OFFSET(ORÇAMENTO!$W$15,ROW(AX92)-ROW(AX$15),0),15-13*ORÇAMENTO!$AF$11)),
         0)</f>
        <v>0</v>
      </c>
      <c r="AY92" s="453">
        <f ca="1">IF(AND($D92="Serviço",AY$12&lt;&gt;0,$H92&gt;0,OR(AUTOEVENTO&lt;&gt;"manual",$M92&lt;&gt;$A$15)),
        IF(Import.TipoArredondamento&lt;&gt;"TransfereGOV",
              ROUND(OFFSET($P92,0,AY$13),15-13*ORÇAMENTO!$AF$7)/$H92*OFFSET(ORÇAMENTO!$X$15,ROW(AY92)-ROW(AY$15),0),
              ROUND(ROUND(OFFSET($P92,0,AY$13),15-13*ORÇAMENTO!$AF$7)*OFFSET(ORÇAMENTO!$W$15,ROW(AY92)-ROW(AY$15),0),15-13*ORÇAMENTO!$AF$11)),
         0)</f>
        <v>0</v>
      </c>
      <c r="AZ92" s="453">
        <f ca="1">IF(AND($D92="Serviço",AZ$12&lt;&gt;0,$H92&gt;0,OR(AUTOEVENTO&lt;&gt;"manual",$M92&lt;&gt;$A$15)),
        IF(Import.TipoArredondamento&lt;&gt;"TransfereGOV",
              ROUND(OFFSET($P92,0,AZ$13),15-13*ORÇAMENTO!$AF$7)/$H92*OFFSET(ORÇAMENTO!$X$15,ROW(AZ92)-ROW(AZ$15),0),
              ROUND(ROUND(OFFSET($P92,0,AZ$13),15-13*ORÇAMENTO!$AF$7)*OFFSET(ORÇAMENTO!$W$15,ROW(AZ92)-ROW(AZ$15),0),15-13*ORÇAMENTO!$AF$11)),
         0)</f>
        <v>0</v>
      </c>
      <c r="BA92" s="453">
        <f ca="1">IF(AND($D92="Serviço",BA$12&lt;&gt;0,$H92&gt;0,OR(AUTOEVENTO&lt;&gt;"manual",$M92&lt;&gt;$A$15)),
        IF(Import.TipoArredondamento&lt;&gt;"TransfereGOV",
              ROUND(OFFSET($P92,0,BA$13),15-13*ORÇAMENTO!$AF$7)/$H92*OFFSET(ORÇAMENTO!$X$15,ROW(BA92)-ROW(BA$15),0),
              ROUND(ROUND(OFFSET($P92,0,BA$13),15-13*ORÇAMENTO!$AF$7)*OFFSET(ORÇAMENTO!$W$15,ROW(BA92)-ROW(BA$15),0),15-13*ORÇAMENTO!$AF$11)),
         0)</f>
        <v>0</v>
      </c>
      <c r="BC92" s="171">
        <f ca="1">IF(OR($D92&lt;&gt;"Serviço",AND(AUTOEVENTO="Manual",$M92=$A$15)),0,
         IF(OFFSET(CRONOPLE!$F$15,$M92-$A$15,BC$13)=0,10^12,OFFSET(CRONOPLE!$F$15,$M92-$A$15,BC$13)))</f>
        <v>1000000000000</v>
      </c>
      <c r="BD92" s="171">
        <f ca="1">IF(OR($D92&lt;&gt;"Serviço",AND(AUTOEVENTO="Manual",$M92=$A$15)),0,
         IF(OFFSET(CRONOPLE!$F$15,$M92-$A$15,BD$13)=0,10^12,OFFSET(CRONOPLE!$F$15,$M92-$A$15,BD$13)))</f>
        <v>1000000000000</v>
      </c>
      <c r="BE92" s="171">
        <f ca="1">IF(OR($D92&lt;&gt;"Serviço",AND(AUTOEVENTO="Manual",$M92=$A$15)),0,
         IF(OFFSET(CRONOPLE!$F$15,$M92-$A$15,BE$13)=0,10^12,OFFSET(CRONOPLE!$F$15,$M92-$A$15,BE$13)))</f>
        <v>1000000000000</v>
      </c>
      <c r="BF92" s="171">
        <f ca="1">IF(OR($D92&lt;&gt;"Serviço",AND(AUTOEVENTO="Manual",$M92=$A$15)),0,
         IF(OFFSET(CRONOPLE!$F$15,$M92-$A$15,BF$13)=0,10^12,OFFSET(CRONOPLE!$F$15,$M92-$A$15,BF$13)))</f>
        <v>1000000000000</v>
      </c>
      <c r="BG92" s="171">
        <f ca="1">IF(OR($D92&lt;&gt;"Serviço",AND(AUTOEVENTO="Manual",$M92=$A$15)),0,
         IF(OFFSET(CRONOPLE!$F$15,$M92-$A$15,BG$13)=0,10^12,OFFSET(CRONOPLE!$F$15,$M92-$A$15,BG$13)))</f>
        <v>5</v>
      </c>
      <c r="BH92" s="171">
        <f ca="1">IF(OR($D92&lt;&gt;"Serviço",AND(AUTOEVENTO="Manual",$M92=$A$15)),0,
         IF(OFFSET(CRONOPLE!$F$15,$M92-$A$15,BH$13)=0,10^12,OFFSET(CRONOPLE!$F$15,$M92-$A$15,BH$13)))</f>
        <v>11</v>
      </c>
      <c r="BI92" s="171">
        <f ca="1">IF(OR($D92&lt;&gt;"Serviço",AND(AUTOEVENTO="Manual",$M92=$A$15)),0,
         IF(OFFSET(CRONOPLE!$F$15,$M92-$A$15,BI$13)=0,10^12,OFFSET(CRONOPLE!$F$15,$M92-$A$15,BI$13)))</f>
        <v>1000000000000</v>
      </c>
      <c r="BJ92" s="171">
        <f ca="1">IF(OR($D92&lt;&gt;"Serviço",AND(AUTOEVENTO="Manual",$M92=$A$15)),0,
         IF(OFFSET(CRONOPLE!$F$15,$M92-$A$15,BJ$13)=0,10^12,OFFSET(CRONOPLE!$F$15,$M92-$A$15,BJ$13)))</f>
        <v>1000000000000</v>
      </c>
      <c r="BK92" s="171">
        <f ca="1">IF(OR($D92&lt;&gt;"Serviço",AND(AUTOEVENTO="Manual",$M92=$A$15)),0,
         IF(OFFSET(CRONOPLE!$F$15,$M92-$A$15,BK$13)=0,10^12,OFFSET(CRONOPLE!$F$15,$M92-$A$15,BK$13)))</f>
        <v>1000000000000</v>
      </c>
      <c r="BL92" s="171">
        <f ca="1">IF(OR($D92&lt;&gt;"Serviço",AND(AUTOEVENTO="Manual",$M92=$A$15)),0,
         IF(OFFSET(CRONOPLE!$F$15,$M92-$A$15,BL$13)=0,10^12,OFFSET(CRONOPLE!$F$15,$M92-$A$15,BL$13)))</f>
        <v>1000000000000</v>
      </c>
      <c r="BM92" s="171">
        <f ca="1">IF(OR($D92&lt;&gt;"Serviço",AND(AUTOEVENTO="Manual",$M92=$A$15)),0,
         IF(OFFSET(CRONOPLE!$F$15,$M92-$A$15,BM$13)=0,10^12,OFFSET(CRONOPLE!$F$15,$M92-$A$15,BM$13)))</f>
        <v>1000000000000</v>
      </c>
      <c r="BN92" s="171">
        <f ca="1">IF(OR($D92&lt;&gt;"Serviço",AND(AUTOEVENTO="Manual",$M92=$A$15)),0,
         IF(OFFSET(CRONOPLE!$F$15,$M92-$A$15,BN$13)=0,10^12,OFFSET(CRONOPLE!$F$15,$M92-$A$15,BN$13)))</f>
        <v>1000000000000</v>
      </c>
      <c r="BO92" s="171">
        <f ca="1">IF(OR($D92&lt;&gt;"Serviço",AND(AUTOEVENTO="Manual",$M92=$A$15)),0,
         IF(OFFSET(CRONOPLE!$F$15,$M92-$A$15,BO$13)=0,10^12,OFFSET(CRONOPLE!$F$15,$M92-$A$15,BO$13)))</f>
        <v>1000000000000</v>
      </c>
      <c r="BP92" s="171">
        <f ca="1">IF(OR($D92&lt;&gt;"Serviço",AND(AUTOEVENTO="Manual",$M92=$A$15)),0,
         IF(OFFSET(CRONOPLE!$F$15,$M92-$A$15,BP$13)=0,10^12,OFFSET(CRONOPLE!$F$15,$M92-$A$15,BP$13)))</f>
        <v>1000000000000</v>
      </c>
      <c r="BQ92" s="171">
        <f ca="1">IF(OR($D92&lt;&gt;"Serviço",AND(AUTOEVENTO="Manual",$M92=$A$15)),0,
         IF(OFFSET(CRONOPLE!$F$15,$M92-$A$15,BQ$13)=0,10^12,OFFSET(CRONOPLE!$F$15,$M92-$A$15,BQ$13)))</f>
        <v>1000000000000</v>
      </c>
      <c r="BR92" s="171">
        <f ca="1">IF(OR($D92&lt;&gt;"Serviço",AND(AUTOEVENTO="Manual",$M92=$A$15)),0,
         IF(OFFSET(CRONOPLE!$F$15,$M92-$A$15,BR$13)=0,10^12,OFFSET(CRONOPLE!$F$15,$M92-$A$15,BR$13)))</f>
        <v>1000000000000</v>
      </c>
      <c r="BS92" s="171">
        <f ca="1">IF(OR($D92&lt;&gt;"Serviço",AND(AUTOEVENTO="Manual",$M92=$A$15)),0,
         IF(OFFSET(CRONOPLE!$F$15,$M92-$A$15,BS$13)=0,10^12,OFFSET(CRONOPLE!$F$15,$M92-$A$15,BS$13)))</f>
        <v>1000000000000</v>
      </c>
      <c r="BT92" s="171">
        <f ca="1">IF(OR($D92&lt;&gt;"Serviço",AND(AUTOEVENTO="Manual",$M92=$A$15)),0,
         IF(OFFSET(CRONOPLE!$F$15,$M92-$A$15,BT$13)=0,10^12,OFFSET(CRONOPLE!$F$15,$M92-$A$15,BT$13)))</f>
        <v>1000000000000</v>
      </c>
      <c r="BV92" s="172" cm="1">
        <f t="array" aca="1" ref="BV92" ca="1">IF(OR($D92&lt;&gt;"Serviço",AND(AUTOEVENTO="Manual",$M92=$A$15),$M92&gt;(ROW(PLE.lastrow)-ROW(PLE.firstrow))),0,
           IF(OFFSET(PLE!$G$15,$M92-$A$15,BV$13)="",10^12,OFFSET(PLE!$G$15,$M92-$A$15,BV$13)))</f>
        <v>1000000000000</v>
      </c>
      <c r="BW92" s="172" cm="1">
        <f t="array" aca="1" ref="BW92" ca="1">IF(OR($D92&lt;&gt;"Serviço",AND(AUTOEVENTO="Manual",$M92=$A$15),$M92&gt;(ROW(PLE.lastrow)-ROW(PLE.firstrow))),0,
           IF(OFFSET(PLE!$G$15,$M92-$A$15,BW$13)="",10^12,OFFSET(PLE!$G$15,$M92-$A$15,BW$13)))</f>
        <v>1000000000000</v>
      </c>
      <c r="BX92" s="172" cm="1">
        <f t="array" aca="1" ref="BX92" ca="1">IF(OR($D92&lt;&gt;"Serviço",AND(AUTOEVENTO="Manual",$M92=$A$15),$M92&gt;(ROW(PLE.lastrow)-ROW(PLE.firstrow))),0,
           IF(OFFSET(PLE!$G$15,$M92-$A$15,BX$13)="",10^12,OFFSET(PLE!$G$15,$M92-$A$15,BX$13)))</f>
        <v>1000000000000</v>
      </c>
      <c r="BY92" s="172" cm="1">
        <f t="array" aca="1" ref="BY92" ca="1">IF(OR($D92&lt;&gt;"Serviço",AND(AUTOEVENTO="Manual",$M92=$A$15),$M92&gt;(ROW(PLE.lastrow)-ROW(PLE.firstrow))),0,
           IF(OFFSET(PLE!$G$15,$M92-$A$15,BY$13)="",10^12,OFFSET(PLE!$G$15,$M92-$A$15,BY$13)))</f>
        <v>1000000000000</v>
      </c>
      <c r="BZ92" s="172" cm="1">
        <f t="array" aca="1" ref="BZ92" ca="1">IF(OR($D92&lt;&gt;"Serviço",AND(AUTOEVENTO="Manual",$M92=$A$15),$M92&gt;(ROW(PLE.lastrow)-ROW(PLE.firstrow))),0,
           IF(OFFSET(PLE!$G$15,$M92-$A$15,BZ$13)="",10^12,OFFSET(PLE!$G$15,$M92-$A$15,BZ$13)))</f>
        <v>1000000000000</v>
      </c>
      <c r="CA92" s="172" cm="1">
        <f t="array" aca="1" ref="CA92" ca="1">IF(OR($D92&lt;&gt;"Serviço",AND(AUTOEVENTO="Manual",$M92=$A$15),$M92&gt;(ROW(PLE.lastrow)-ROW(PLE.firstrow))),0,
           IF(OFFSET(PLE!$G$15,$M92-$A$15,CA$13)="",10^12,OFFSET(PLE!$G$15,$M92-$A$15,CA$13)))</f>
        <v>1000000000000</v>
      </c>
      <c r="CB92" s="172" cm="1">
        <f t="array" aca="1" ref="CB92" ca="1">IF(OR($D92&lt;&gt;"Serviço",AND(AUTOEVENTO="Manual",$M92=$A$15),$M92&gt;(ROW(PLE.lastrow)-ROW(PLE.firstrow))),0,
           IF(OFFSET(PLE!$G$15,$M92-$A$15,CB$13)="",10^12,OFFSET(PLE!$G$15,$M92-$A$15,CB$13)))</f>
        <v>1000000000000</v>
      </c>
      <c r="CC92" s="172" cm="1">
        <f t="array" aca="1" ref="CC92" ca="1">IF(OR($D92&lt;&gt;"Serviço",AND(AUTOEVENTO="Manual",$M92=$A$15),$M92&gt;(ROW(PLE.lastrow)-ROW(PLE.firstrow))),0,
           IF(OFFSET(PLE!$G$15,$M92-$A$15,CC$13)="",10^12,OFFSET(PLE!$G$15,$M92-$A$15,CC$13)))</f>
        <v>1000000000000</v>
      </c>
      <c r="CD92" s="172" cm="1">
        <f t="array" aca="1" ref="CD92" ca="1">IF(OR($D92&lt;&gt;"Serviço",AND(AUTOEVENTO="Manual",$M92=$A$15),$M92&gt;(ROW(PLE.lastrow)-ROW(PLE.firstrow))),0,
           IF(OFFSET(PLE!$G$15,$M92-$A$15,CD$13)="",10^12,OFFSET(PLE!$G$15,$M92-$A$15,CD$13)))</f>
        <v>1000000000000</v>
      </c>
      <c r="CE92" s="172" cm="1">
        <f t="array" aca="1" ref="CE92" ca="1">IF(OR($D92&lt;&gt;"Serviço",AND(AUTOEVENTO="Manual",$M92=$A$15),$M92&gt;(ROW(PLE.lastrow)-ROW(PLE.firstrow))),0,
           IF(OFFSET(PLE!$G$15,$M92-$A$15,CE$13)="",10^12,OFFSET(PLE!$G$15,$M92-$A$15,CE$13)))</f>
        <v>1000000000000</v>
      </c>
      <c r="CF92" s="172" cm="1">
        <f t="array" aca="1" ref="CF92" ca="1">IF(OR($D92&lt;&gt;"Serviço",AND(AUTOEVENTO="Manual",$M92=$A$15),$M92&gt;(ROW(PLE.lastrow)-ROW(PLE.firstrow))),0,
           IF(OFFSET(PLE!$G$15,$M92-$A$15,CF$13)="",10^12,OFFSET(PLE!$G$15,$M92-$A$15,CF$13)))</f>
        <v>1000000000000</v>
      </c>
      <c r="CG92" s="172" cm="1">
        <f t="array" aca="1" ref="CG92" ca="1">IF(OR($D92&lt;&gt;"Serviço",AND(AUTOEVENTO="Manual",$M92=$A$15),$M92&gt;(ROW(PLE.lastrow)-ROW(PLE.firstrow))),0,
           IF(OFFSET(PLE!$G$15,$M92-$A$15,CG$13)="",10^12,OFFSET(PLE!$G$15,$M92-$A$15,CG$13)))</f>
        <v>1000000000000</v>
      </c>
      <c r="CH92" s="172" cm="1">
        <f t="array" aca="1" ref="CH92" ca="1">IF(OR($D92&lt;&gt;"Serviço",AND(AUTOEVENTO="Manual",$M92=$A$15),$M92&gt;(ROW(PLE.lastrow)-ROW(PLE.firstrow))),0,
           IF(OFFSET(PLE!$G$15,$M92-$A$15,CH$13)="",10^12,OFFSET(PLE!$G$15,$M92-$A$15,CH$13)))</f>
        <v>1000000000000</v>
      </c>
      <c r="CI92" s="172" cm="1">
        <f t="array" aca="1" ref="CI92" ca="1">IF(OR($D92&lt;&gt;"Serviço",AND(AUTOEVENTO="Manual",$M92=$A$15),$M92&gt;(ROW(PLE.lastrow)-ROW(PLE.firstrow))),0,
           IF(OFFSET(PLE!$G$15,$M92-$A$15,CI$13)="",10^12,OFFSET(PLE!$G$15,$M92-$A$15,CI$13)))</f>
        <v>1000000000000</v>
      </c>
      <c r="CJ92" s="172" cm="1">
        <f t="array" aca="1" ref="CJ92" ca="1">IF(OR($D92&lt;&gt;"Serviço",AND(AUTOEVENTO="Manual",$M92=$A$15),$M92&gt;(ROW(PLE.lastrow)-ROW(PLE.firstrow))),0,
           IF(OFFSET(PLE!$G$15,$M92-$A$15,CJ$13)="",10^12,OFFSET(PLE!$G$15,$M92-$A$15,CJ$13)))</f>
        <v>1000000000000</v>
      </c>
      <c r="CK92" s="172" cm="1">
        <f t="array" aca="1" ref="CK92" ca="1">IF(OR($D92&lt;&gt;"Serviço",AND(AUTOEVENTO="Manual",$M92=$A$15),$M92&gt;(ROW(PLE.lastrow)-ROW(PLE.firstrow))),0,
           IF(OFFSET(PLE!$G$15,$M92-$A$15,CK$13)="",10^12,OFFSET(PLE!$G$15,$M92-$A$15,CK$13)))</f>
        <v>1000000000000</v>
      </c>
      <c r="CL92" s="172" cm="1">
        <f t="array" aca="1" ref="CL92" ca="1">IF(OR($D92&lt;&gt;"Serviço",AND(AUTOEVENTO="Manual",$M92=$A$15),$M92&gt;(ROW(PLE.lastrow)-ROW(PLE.firstrow))),0,
           IF(OFFSET(PLE!$G$15,$M92-$A$15,CL$13)="",10^12,OFFSET(PLE!$G$15,$M92-$A$15,CL$13)))</f>
        <v>1000000000000</v>
      </c>
      <c r="CM92" s="172" cm="1">
        <f t="array" aca="1" ref="CM92" ca="1">IF(OR($D92&lt;&gt;"Serviço",AND(AUTOEVENTO="Manual",$M92=$A$15),$M92&gt;(ROW(PLE.lastrow)-ROW(PLE.firstrow))),0,
           IF(OFFSET(PLE!$G$15,$M92-$A$15,CM$13)="",10^12,OFFSET(PLE!$G$15,$M92-$A$15,CM$13)))</f>
        <v>1000000000000</v>
      </c>
    </row>
    <row r="93" spans="1:91" s="670" customFormat="1" ht="38.25" x14ac:dyDescent="0.2">
      <c r="A93" s="668">
        <f t="shared" ca="1" si="12"/>
        <v>28</v>
      </c>
      <c r="B93" s="668" t="str">
        <f ca="1">OFFSET(ORÇAMENTO!C$15,$L93,0)</f>
        <v>S</v>
      </c>
      <c r="C93" s="668" t="str">
        <f ca="1">OFFSET(ORÇAMENTO!L$15,$L93,0)</f>
        <v>F</v>
      </c>
      <c r="D93" s="116" t="str">
        <f ca="1">OFFSET(ORÇAMENTO!N$15,$L93,0)</f>
        <v>Serviço</v>
      </c>
      <c r="E93" s="117" t="str">
        <f ca="1">OFFSET(ORÇAMENTO!O$15,$L93,0)</f>
        <v>1.12.2.</v>
      </c>
      <c r="F93" s="163" t="str">
        <f ca="1">OFFSET(ORÇAMENTO!R$15,$L93,0)</f>
        <v>TRANSPORTE COM CAMINHÃO BASCULANTE DE 10 M³, EM VIA URBANA PAVIMENTADA, ADICIONAL PARA DMT EXCEDENTE A 30 KM (UNIDADE: M3XKM). AF_07/2020</v>
      </c>
      <c r="G93" s="164" t="str">
        <f ca="1">IF($D93&lt;&gt;"Serviço","",OFFSET(ORÇAMENTO!S$15,$L93,0))</f>
        <v>M3XKM</v>
      </c>
      <c r="H93" s="122" cm="1">
        <f t="array" aca="1" ref="H93" ca="1">IF($D93&lt;&gt;"Serviço",0,IF(ACOMPANHAMENTO="BM",ROUND(OFFSET(ORÇAMENTO!AJ$15,$L93,0),15-13*ORÇAMENTO!$AF$7),IF(IFERROR(CÁLCULO.FrentesPreenchidas,0)=0,0,SUM(ROUND(OFFSET($P93,0,1,1,CÁLCULO.FrentesPreenchidas),15-13*ORÇAMENTO!$AF$7)))))</f>
        <v>824.07</v>
      </c>
      <c r="I93" s="468" t="s">
        <v>1234</v>
      </c>
      <c r="J93" s="651" t="str" cm="1">
        <f t="array" aca="1" ref="J93" ca="1">IF(OR(B93&lt;&gt;"S",CÁLCULO.FrentesPreenchidas=0),"",IF(AND(ACOMPANHAMENTO="PLE",AUTOEVENTO="Manual",OR(H93&gt;0,ORÇAMENTO!AC93="QUANT."),OR(K93="",M93=0,N93="")),"►E",IF(AND(ACOMPANHAMENTO="PLE",ORÇAMENTO!AC93="QUANT."),"►Q",IF(AND(ACOMPANHAMENTO="PLE",H93&lt;&gt;SUMPRODUCT(($Q$1:$AI$1=1)*ROUND(Q93:AI93,15))),"►S",IF(AND(COUNTIF($P$11:$AI$11,"▼")=0,H93&gt;0,I93=""),"◄M","")))))</f>
        <v/>
      </c>
      <c r="K93" s="652" t="s">
        <v>1353</v>
      </c>
      <c r="L93" s="165">
        <f t="shared" ca="1" si="13"/>
        <v>78</v>
      </c>
      <c r="M93" s="166">
        <f ca="1">IF($D93&lt;&gt;"Serviço","",
          IF(AUTOEVENTO="manual",$A93,
                IF(ISERROR(MATCH($A93,$A$15:OFFSET($A93,-1,0),0)),MAX($M$15:OFFSET(M93,-1,0))+1,
                      INDEX($M$15:OFFSET(M93,-1,0),MATCH($A93,$A$15:OFFSET($A93,-1,0),0)))))</f>
        <v>28</v>
      </c>
      <c r="N93" s="167" t="str">
        <f ca="1">IF($D93&lt;&gt;"Serviço","",
         IF(AUTOEVENTO="Manual",
                IF($A93=0,"&lt;-- defina o número do agrupador",
                       OFFSET(EVENTOS!$D$15,$A93-$A$15,0)),
                OFFSET($F$15,$A93,0)))</f>
        <v>Pavimentação</v>
      </c>
      <c r="O93" s="168"/>
      <c r="Q93" s="168"/>
      <c r="R93" s="169"/>
      <c r="S93" s="169"/>
      <c r="T93" s="169"/>
      <c r="U93" s="169">
        <v>824.07</v>
      </c>
      <c r="V93" s="169"/>
      <c r="W93" s="169"/>
      <c r="X93" s="169"/>
      <c r="Y93" s="169"/>
      <c r="Z93" s="170"/>
      <c r="AA93" s="705"/>
      <c r="AB93" s="705"/>
      <c r="AC93" s="705"/>
      <c r="AD93" s="705"/>
      <c r="AE93" s="705"/>
      <c r="AF93" s="705"/>
      <c r="AG93" s="705"/>
      <c r="AH93" s="706"/>
      <c r="AJ93" s="453">
        <f ca="1">IF(AND($D93="Serviço",AJ$12&lt;&gt;0,$H93&gt;0,OR(AUTOEVENTO&lt;&gt;"manual",$M93&lt;&gt;$A$15)),
        IF(Import.TipoArredondamento&lt;&gt;"TransfereGOV",
              ROUND(OFFSET($P93,0,AJ$13),15-13*ORÇAMENTO!$AF$7)/$H93*OFFSET(ORÇAMENTO!$X$15,ROW(AJ93)-ROW(AJ$15),0),
              ROUND(ROUND(OFFSET($P93,0,AJ$13),15-13*ORÇAMENTO!$AF$7)*OFFSET(ORÇAMENTO!$W$15,ROW(AJ93)-ROW(AJ$15),0),15-13*ORÇAMENTO!$AF$11)),
         0)</f>
        <v>0</v>
      </c>
      <c r="AK93" s="453">
        <f ca="1">IF(AND($D93="Serviço",AK$12&lt;&gt;0,$H93&gt;0,OR(AUTOEVENTO&lt;&gt;"manual",$M93&lt;&gt;$A$15)),
        IF(Import.TipoArredondamento&lt;&gt;"TransfereGOV",
              ROUND(OFFSET($P93,0,AK$13),15-13*ORÇAMENTO!$AF$7)/$H93*OFFSET(ORÇAMENTO!$X$15,ROW(AK93)-ROW(AK$15),0),
              ROUND(ROUND(OFFSET($P93,0,AK$13),15-13*ORÇAMENTO!$AF$7)*OFFSET(ORÇAMENTO!$W$15,ROW(AK93)-ROW(AK$15),0),15-13*ORÇAMENTO!$AF$11)),
         0)</f>
        <v>0</v>
      </c>
      <c r="AL93" s="453">
        <f ca="1">IF(AND($D93="Serviço",AL$12&lt;&gt;0,$H93&gt;0,OR(AUTOEVENTO&lt;&gt;"manual",$M93&lt;&gt;$A$15)),
        IF(Import.TipoArredondamento&lt;&gt;"TransfereGOV",
              ROUND(OFFSET($P93,0,AL$13),15-13*ORÇAMENTO!$AF$7)/$H93*OFFSET(ORÇAMENTO!$X$15,ROW(AL93)-ROW(AL$15),0),
              ROUND(ROUND(OFFSET($P93,0,AL$13),15-13*ORÇAMENTO!$AF$7)*OFFSET(ORÇAMENTO!$W$15,ROW(AL93)-ROW(AL$15),0),15-13*ORÇAMENTO!$AF$11)),
         0)</f>
        <v>0</v>
      </c>
      <c r="AM93" s="453">
        <f ca="1">IF(AND($D93="Serviço",AM$12&lt;&gt;0,$H93&gt;0,OR(AUTOEVENTO&lt;&gt;"manual",$M93&lt;&gt;$A$15)),
        IF(Import.TipoArredondamento&lt;&gt;"TransfereGOV",
              ROUND(OFFSET($P93,0,AM$13),15-13*ORÇAMENTO!$AF$7)/$H93*OFFSET(ORÇAMENTO!$X$15,ROW(AM93)-ROW(AM$15),0),
              ROUND(ROUND(OFFSET($P93,0,AM$13),15-13*ORÇAMENTO!$AF$7)*OFFSET(ORÇAMENTO!$W$15,ROW(AM93)-ROW(AM$15),0),15-13*ORÇAMENTO!$AF$11)),
         0)</f>
        <v>0</v>
      </c>
      <c r="AN93" s="453">
        <f ca="1">IF(AND($D93="Serviço",AN$12&lt;&gt;0,$H93&gt;0,OR(AUTOEVENTO&lt;&gt;"manual",$M93&lt;&gt;$A$15)),
        IF(Import.TipoArredondamento&lt;&gt;"TransfereGOV",
              ROUND(OFFSET($P93,0,AN$13),15-13*ORÇAMENTO!$AF$7)/$H93*OFFSET(ORÇAMENTO!$X$15,ROW(AN93)-ROW(AN$15),0),
              ROUND(ROUND(OFFSET($P93,0,AN$13),15-13*ORÇAMENTO!$AF$7)*OFFSET(ORÇAMENTO!$W$15,ROW(AN93)-ROW(AN$15),0),15-13*ORÇAMENTO!$AF$11)),
         0)</f>
        <v>1030.0899999999999</v>
      </c>
      <c r="AO93" s="453">
        <f ca="1">IF(AND($D93="Serviço",AO$12&lt;&gt;0,$H93&gt;0,OR(AUTOEVENTO&lt;&gt;"manual",$M93&lt;&gt;$A$15)),
        IF(Import.TipoArredondamento&lt;&gt;"TransfereGOV",
              ROUND(OFFSET($P93,0,AO$13),15-13*ORÇAMENTO!$AF$7)/$H93*OFFSET(ORÇAMENTO!$X$15,ROW(AO93)-ROW(AO$15),0),
              ROUND(ROUND(OFFSET($P93,0,AO$13),15-13*ORÇAMENTO!$AF$7)*OFFSET(ORÇAMENTO!$W$15,ROW(AO93)-ROW(AO$15),0),15-13*ORÇAMENTO!$AF$11)),
         0)</f>
        <v>0</v>
      </c>
      <c r="AP93" s="453">
        <f ca="1">IF(AND($D93="Serviço",AP$12&lt;&gt;0,$H93&gt;0,OR(AUTOEVENTO&lt;&gt;"manual",$M93&lt;&gt;$A$15)),
        IF(Import.TipoArredondamento&lt;&gt;"TransfereGOV",
              ROUND(OFFSET($P93,0,AP$13),15-13*ORÇAMENTO!$AF$7)/$H93*OFFSET(ORÇAMENTO!$X$15,ROW(AP93)-ROW(AP$15),0),
              ROUND(ROUND(OFFSET($P93,0,AP$13),15-13*ORÇAMENTO!$AF$7)*OFFSET(ORÇAMENTO!$W$15,ROW(AP93)-ROW(AP$15),0),15-13*ORÇAMENTO!$AF$11)),
         0)</f>
        <v>0</v>
      </c>
      <c r="AQ93" s="453">
        <f ca="1">IF(AND($D93="Serviço",AQ$12&lt;&gt;0,$H93&gt;0,OR(AUTOEVENTO&lt;&gt;"manual",$M93&lt;&gt;$A$15)),
        IF(Import.TipoArredondamento&lt;&gt;"TransfereGOV",
              ROUND(OFFSET($P93,0,AQ$13),15-13*ORÇAMENTO!$AF$7)/$H93*OFFSET(ORÇAMENTO!$X$15,ROW(AQ93)-ROW(AQ$15),0),
              ROUND(ROUND(OFFSET($P93,0,AQ$13),15-13*ORÇAMENTO!$AF$7)*OFFSET(ORÇAMENTO!$W$15,ROW(AQ93)-ROW(AQ$15),0),15-13*ORÇAMENTO!$AF$11)),
         0)</f>
        <v>0</v>
      </c>
      <c r="AR93" s="453">
        <f ca="1">IF(AND($D93="Serviço",AR$12&lt;&gt;0,$H93&gt;0,OR(AUTOEVENTO&lt;&gt;"manual",$M93&lt;&gt;$A$15)),
        IF(Import.TipoArredondamento&lt;&gt;"TransfereGOV",
              ROUND(OFFSET($P93,0,AR$13),15-13*ORÇAMENTO!$AF$7)/$H93*OFFSET(ORÇAMENTO!$X$15,ROW(AR93)-ROW(AR$15),0),
              ROUND(ROUND(OFFSET($P93,0,AR$13),15-13*ORÇAMENTO!$AF$7)*OFFSET(ORÇAMENTO!$W$15,ROW(AR93)-ROW(AR$15),0),15-13*ORÇAMENTO!$AF$11)),
         0)</f>
        <v>0</v>
      </c>
      <c r="AS93" s="453">
        <f ca="1">IF(AND($D93="Serviço",AS$12&lt;&gt;0,$H93&gt;0,OR(AUTOEVENTO&lt;&gt;"manual",$M93&lt;&gt;$A$15)),
        IF(Import.TipoArredondamento&lt;&gt;"TransfereGOV",
              ROUND(OFFSET($P93,0,AS$13),15-13*ORÇAMENTO!$AF$7)/$H93*OFFSET(ORÇAMENTO!$X$15,ROW(AS93)-ROW(AS$15),0),
              ROUND(ROUND(OFFSET($P93,0,AS$13),15-13*ORÇAMENTO!$AF$7)*OFFSET(ORÇAMENTO!$W$15,ROW(AS93)-ROW(AS$15),0),15-13*ORÇAMENTO!$AF$11)),
         0)</f>
        <v>0</v>
      </c>
      <c r="AT93" s="453">
        <f ca="1">IF(AND($D93="Serviço",AT$12&lt;&gt;0,$H93&gt;0,OR(AUTOEVENTO&lt;&gt;"manual",$M93&lt;&gt;$A$15)),
        IF(Import.TipoArredondamento&lt;&gt;"TransfereGOV",
              ROUND(OFFSET($P93,0,AT$13),15-13*ORÇAMENTO!$AF$7)/$H93*OFFSET(ORÇAMENTO!$X$15,ROW(AT93)-ROW(AT$15),0),
              ROUND(ROUND(OFFSET($P93,0,AT$13),15-13*ORÇAMENTO!$AF$7)*OFFSET(ORÇAMENTO!$W$15,ROW(AT93)-ROW(AT$15),0),15-13*ORÇAMENTO!$AF$11)),
         0)</f>
        <v>0</v>
      </c>
      <c r="AU93" s="453">
        <f ca="1">IF(AND($D93="Serviço",AU$12&lt;&gt;0,$H93&gt;0,OR(AUTOEVENTO&lt;&gt;"manual",$M93&lt;&gt;$A$15)),
        IF(Import.TipoArredondamento&lt;&gt;"TransfereGOV",
              ROUND(OFFSET($P93,0,AU$13),15-13*ORÇAMENTO!$AF$7)/$H93*OFFSET(ORÇAMENTO!$X$15,ROW(AU93)-ROW(AU$15),0),
              ROUND(ROUND(OFFSET($P93,0,AU$13),15-13*ORÇAMENTO!$AF$7)*OFFSET(ORÇAMENTO!$W$15,ROW(AU93)-ROW(AU$15),0),15-13*ORÇAMENTO!$AF$11)),
         0)</f>
        <v>0</v>
      </c>
      <c r="AV93" s="453">
        <f ca="1">IF(AND($D93="Serviço",AV$12&lt;&gt;0,$H93&gt;0,OR(AUTOEVENTO&lt;&gt;"manual",$M93&lt;&gt;$A$15)),
        IF(Import.TipoArredondamento&lt;&gt;"TransfereGOV",
              ROUND(OFFSET($P93,0,AV$13),15-13*ORÇAMENTO!$AF$7)/$H93*OFFSET(ORÇAMENTO!$X$15,ROW(AV93)-ROW(AV$15),0),
              ROUND(ROUND(OFFSET($P93,0,AV$13),15-13*ORÇAMENTO!$AF$7)*OFFSET(ORÇAMENTO!$W$15,ROW(AV93)-ROW(AV$15),0),15-13*ORÇAMENTO!$AF$11)),
         0)</f>
        <v>0</v>
      </c>
      <c r="AW93" s="453">
        <f ca="1">IF(AND($D93="Serviço",AW$12&lt;&gt;0,$H93&gt;0,OR(AUTOEVENTO&lt;&gt;"manual",$M93&lt;&gt;$A$15)),
        IF(Import.TipoArredondamento&lt;&gt;"TransfereGOV",
              ROUND(OFFSET($P93,0,AW$13),15-13*ORÇAMENTO!$AF$7)/$H93*OFFSET(ORÇAMENTO!$X$15,ROW(AW93)-ROW(AW$15),0),
              ROUND(ROUND(OFFSET($P93,0,AW$13),15-13*ORÇAMENTO!$AF$7)*OFFSET(ORÇAMENTO!$W$15,ROW(AW93)-ROW(AW$15),0),15-13*ORÇAMENTO!$AF$11)),
         0)</f>
        <v>0</v>
      </c>
      <c r="AX93" s="453">
        <f ca="1">IF(AND($D93="Serviço",AX$12&lt;&gt;0,$H93&gt;0,OR(AUTOEVENTO&lt;&gt;"manual",$M93&lt;&gt;$A$15)),
        IF(Import.TipoArredondamento&lt;&gt;"TransfereGOV",
              ROUND(OFFSET($P93,0,AX$13),15-13*ORÇAMENTO!$AF$7)/$H93*OFFSET(ORÇAMENTO!$X$15,ROW(AX93)-ROW(AX$15),0),
              ROUND(ROUND(OFFSET($P93,0,AX$13),15-13*ORÇAMENTO!$AF$7)*OFFSET(ORÇAMENTO!$W$15,ROW(AX93)-ROW(AX$15),0),15-13*ORÇAMENTO!$AF$11)),
         0)</f>
        <v>0</v>
      </c>
      <c r="AY93" s="453">
        <f ca="1">IF(AND($D93="Serviço",AY$12&lt;&gt;0,$H93&gt;0,OR(AUTOEVENTO&lt;&gt;"manual",$M93&lt;&gt;$A$15)),
        IF(Import.TipoArredondamento&lt;&gt;"TransfereGOV",
              ROUND(OFFSET($P93,0,AY$13),15-13*ORÇAMENTO!$AF$7)/$H93*OFFSET(ORÇAMENTO!$X$15,ROW(AY93)-ROW(AY$15),0),
              ROUND(ROUND(OFFSET($P93,0,AY$13),15-13*ORÇAMENTO!$AF$7)*OFFSET(ORÇAMENTO!$W$15,ROW(AY93)-ROW(AY$15),0),15-13*ORÇAMENTO!$AF$11)),
         0)</f>
        <v>0</v>
      </c>
      <c r="AZ93" s="453">
        <f ca="1">IF(AND($D93="Serviço",AZ$12&lt;&gt;0,$H93&gt;0,OR(AUTOEVENTO&lt;&gt;"manual",$M93&lt;&gt;$A$15)),
        IF(Import.TipoArredondamento&lt;&gt;"TransfereGOV",
              ROUND(OFFSET($P93,0,AZ$13),15-13*ORÇAMENTO!$AF$7)/$H93*OFFSET(ORÇAMENTO!$X$15,ROW(AZ93)-ROW(AZ$15),0),
              ROUND(ROUND(OFFSET($P93,0,AZ$13),15-13*ORÇAMENTO!$AF$7)*OFFSET(ORÇAMENTO!$W$15,ROW(AZ93)-ROW(AZ$15),0),15-13*ORÇAMENTO!$AF$11)),
         0)</f>
        <v>0</v>
      </c>
      <c r="BA93" s="453">
        <f ca="1">IF(AND($D93="Serviço",BA$12&lt;&gt;0,$H93&gt;0,OR(AUTOEVENTO&lt;&gt;"manual",$M93&lt;&gt;$A$15)),
        IF(Import.TipoArredondamento&lt;&gt;"TransfereGOV",
              ROUND(OFFSET($P93,0,BA$13),15-13*ORÇAMENTO!$AF$7)/$H93*OFFSET(ORÇAMENTO!$X$15,ROW(BA93)-ROW(BA$15),0),
              ROUND(ROUND(OFFSET($P93,0,BA$13),15-13*ORÇAMENTO!$AF$7)*OFFSET(ORÇAMENTO!$W$15,ROW(BA93)-ROW(BA$15),0),15-13*ORÇAMENTO!$AF$11)),
         0)</f>
        <v>0</v>
      </c>
      <c r="BC93" s="171">
        <f ca="1">IF(OR($D93&lt;&gt;"Serviço",AND(AUTOEVENTO="Manual",$M93=$A$15)),0,
         IF(OFFSET(CRONOPLE!$F$15,$M93-$A$15,BC$13)=0,10^12,OFFSET(CRONOPLE!$F$15,$M93-$A$15,BC$13)))</f>
        <v>1000000000000</v>
      </c>
      <c r="BD93" s="171">
        <f ca="1">IF(OR($D93&lt;&gt;"Serviço",AND(AUTOEVENTO="Manual",$M93=$A$15)),0,
         IF(OFFSET(CRONOPLE!$F$15,$M93-$A$15,BD$13)=0,10^12,OFFSET(CRONOPLE!$F$15,$M93-$A$15,BD$13)))</f>
        <v>1000000000000</v>
      </c>
      <c r="BE93" s="171">
        <f ca="1">IF(OR($D93&lt;&gt;"Serviço",AND(AUTOEVENTO="Manual",$M93=$A$15)),0,
         IF(OFFSET(CRONOPLE!$F$15,$M93-$A$15,BE$13)=0,10^12,OFFSET(CRONOPLE!$F$15,$M93-$A$15,BE$13)))</f>
        <v>1000000000000</v>
      </c>
      <c r="BF93" s="171">
        <f ca="1">IF(OR($D93&lt;&gt;"Serviço",AND(AUTOEVENTO="Manual",$M93=$A$15)),0,
         IF(OFFSET(CRONOPLE!$F$15,$M93-$A$15,BF$13)=0,10^12,OFFSET(CRONOPLE!$F$15,$M93-$A$15,BF$13)))</f>
        <v>1000000000000</v>
      </c>
      <c r="BG93" s="171">
        <f ca="1">IF(OR($D93&lt;&gt;"Serviço",AND(AUTOEVENTO="Manual",$M93=$A$15)),0,
         IF(OFFSET(CRONOPLE!$F$15,$M93-$A$15,BG$13)=0,10^12,OFFSET(CRONOPLE!$F$15,$M93-$A$15,BG$13)))</f>
        <v>5</v>
      </c>
      <c r="BH93" s="171">
        <f ca="1">IF(OR($D93&lt;&gt;"Serviço",AND(AUTOEVENTO="Manual",$M93=$A$15)),0,
         IF(OFFSET(CRONOPLE!$F$15,$M93-$A$15,BH$13)=0,10^12,OFFSET(CRONOPLE!$F$15,$M93-$A$15,BH$13)))</f>
        <v>11</v>
      </c>
      <c r="BI93" s="171">
        <f ca="1">IF(OR($D93&lt;&gt;"Serviço",AND(AUTOEVENTO="Manual",$M93=$A$15)),0,
         IF(OFFSET(CRONOPLE!$F$15,$M93-$A$15,BI$13)=0,10^12,OFFSET(CRONOPLE!$F$15,$M93-$A$15,BI$13)))</f>
        <v>1000000000000</v>
      </c>
      <c r="BJ93" s="171">
        <f ca="1">IF(OR($D93&lt;&gt;"Serviço",AND(AUTOEVENTO="Manual",$M93=$A$15)),0,
         IF(OFFSET(CRONOPLE!$F$15,$M93-$A$15,BJ$13)=0,10^12,OFFSET(CRONOPLE!$F$15,$M93-$A$15,BJ$13)))</f>
        <v>1000000000000</v>
      </c>
      <c r="BK93" s="171">
        <f ca="1">IF(OR($D93&lt;&gt;"Serviço",AND(AUTOEVENTO="Manual",$M93=$A$15)),0,
         IF(OFFSET(CRONOPLE!$F$15,$M93-$A$15,BK$13)=0,10^12,OFFSET(CRONOPLE!$F$15,$M93-$A$15,BK$13)))</f>
        <v>1000000000000</v>
      </c>
      <c r="BL93" s="171">
        <f ca="1">IF(OR($D93&lt;&gt;"Serviço",AND(AUTOEVENTO="Manual",$M93=$A$15)),0,
         IF(OFFSET(CRONOPLE!$F$15,$M93-$A$15,BL$13)=0,10^12,OFFSET(CRONOPLE!$F$15,$M93-$A$15,BL$13)))</f>
        <v>1000000000000</v>
      </c>
      <c r="BM93" s="171">
        <f ca="1">IF(OR($D93&lt;&gt;"Serviço",AND(AUTOEVENTO="Manual",$M93=$A$15)),0,
         IF(OFFSET(CRONOPLE!$F$15,$M93-$A$15,BM$13)=0,10^12,OFFSET(CRONOPLE!$F$15,$M93-$A$15,BM$13)))</f>
        <v>1000000000000</v>
      </c>
      <c r="BN93" s="171">
        <f ca="1">IF(OR($D93&lt;&gt;"Serviço",AND(AUTOEVENTO="Manual",$M93=$A$15)),0,
         IF(OFFSET(CRONOPLE!$F$15,$M93-$A$15,BN$13)=0,10^12,OFFSET(CRONOPLE!$F$15,$M93-$A$15,BN$13)))</f>
        <v>1000000000000</v>
      </c>
      <c r="BO93" s="171">
        <f ca="1">IF(OR($D93&lt;&gt;"Serviço",AND(AUTOEVENTO="Manual",$M93=$A$15)),0,
         IF(OFFSET(CRONOPLE!$F$15,$M93-$A$15,BO$13)=0,10^12,OFFSET(CRONOPLE!$F$15,$M93-$A$15,BO$13)))</f>
        <v>1000000000000</v>
      </c>
      <c r="BP93" s="171">
        <f ca="1">IF(OR($D93&lt;&gt;"Serviço",AND(AUTOEVENTO="Manual",$M93=$A$15)),0,
         IF(OFFSET(CRONOPLE!$F$15,$M93-$A$15,BP$13)=0,10^12,OFFSET(CRONOPLE!$F$15,$M93-$A$15,BP$13)))</f>
        <v>1000000000000</v>
      </c>
      <c r="BQ93" s="171">
        <f ca="1">IF(OR($D93&lt;&gt;"Serviço",AND(AUTOEVENTO="Manual",$M93=$A$15)),0,
         IF(OFFSET(CRONOPLE!$F$15,$M93-$A$15,BQ$13)=0,10^12,OFFSET(CRONOPLE!$F$15,$M93-$A$15,BQ$13)))</f>
        <v>1000000000000</v>
      </c>
      <c r="BR93" s="171">
        <f ca="1">IF(OR($D93&lt;&gt;"Serviço",AND(AUTOEVENTO="Manual",$M93=$A$15)),0,
         IF(OFFSET(CRONOPLE!$F$15,$M93-$A$15,BR$13)=0,10^12,OFFSET(CRONOPLE!$F$15,$M93-$A$15,BR$13)))</f>
        <v>1000000000000</v>
      </c>
      <c r="BS93" s="171">
        <f ca="1">IF(OR($D93&lt;&gt;"Serviço",AND(AUTOEVENTO="Manual",$M93=$A$15)),0,
         IF(OFFSET(CRONOPLE!$F$15,$M93-$A$15,BS$13)=0,10^12,OFFSET(CRONOPLE!$F$15,$M93-$A$15,BS$13)))</f>
        <v>1000000000000</v>
      </c>
      <c r="BT93" s="171">
        <f ca="1">IF(OR($D93&lt;&gt;"Serviço",AND(AUTOEVENTO="Manual",$M93=$A$15)),0,
         IF(OFFSET(CRONOPLE!$F$15,$M93-$A$15,BT$13)=0,10^12,OFFSET(CRONOPLE!$F$15,$M93-$A$15,BT$13)))</f>
        <v>1000000000000</v>
      </c>
      <c r="BV93" s="172" cm="1">
        <f t="array" aca="1" ref="BV93" ca="1">IF(OR($D93&lt;&gt;"Serviço",AND(AUTOEVENTO="Manual",$M93=$A$15),$M93&gt;(ROW(PLE.lastrow)-ROW(PLE.firstrow))),0,
           IF(OFFSET(PLE!$G$15,$M93-$A$15,BV$13)="",10^12,OFFSET(PLE!$G$15,$M93-$A$15,BV$13)))</f>
        <v>1000000000000</v>
      </c>
      <c r="BW93" s="172" cm="1">
        <f t="array" aca="1" ref="BW93" ca="1">IF(OR($D93&lt;&gt;"Serviço",AND(AUTOEVENTO="Manual",$M93=$A$15),$M93&gt;(ROW(PLE.lastrow)-ROW(PLE.firstrow))),0,
           IF(OFFSET(PLE!$G$15,$M93-$A$15,BW$13)="",10^12,OFFSET(PLE!$G$15,$M93-$A$15,BW$13)))</f>
        <v>1000000000000</v>
      </c>
      <c r="BX93" s="172" cm="1">
        <f t="array" aca="1" ref="BX93" ca="1">IF(OR($D93&lt;&gt;"Serviço",AND(AUTOEVENTO="Manual",$M93=$A$15),$M93&gt;(ROW(PLE.lastrow)-ROW(PLE.firstrow))),0,
           IF(OFFSET(PLE!$G$15,$M93-$A$15,BX$13)="",10^12,OFFSET(PLE!$G$15,$M93-$A$15,BX$13)))</f>
        <v>1000000000000</v>
      </c>
      <c r="BY93" s="172" cm="1">
        <f t="array" aca="1" ref="BY93" ca="1">IF(OR($D93&lt;&gt;"Serviço",AND(AUTOEVENTO="Manual",$M93=$A$15),$M93&gt;(ROW(PLE.lastrow)-ROW(PLE.firstrow))),0,
           IF(OFFSET(PLE!$G$15,$M93-$A$15,BY$13)="",10^12,OFFSET(PLE!$G$15,$M93-$A$15,BY$13)))</f>
        <v>1000000000000</v>
      </c>
      <c r="BZ93" s="172" cm="1">
        <f t="array" aca="1" ref="BZ93" ca="1">IF(OR($D93&lt;&gt;"Serviço",AND(AUTOEVENTO="Manual",$M93=$A$15),$M93&gt;(ROW(PLE.lastrow)-ROW(PLE.firstrow))),0,
           IF(OFFSET(PLE!$G$15,$M93-$A$15,BZ$13)="",10^12,OFFSET(PLE!$G$15,$M93-$A$15,BZ$13)))</f>
        <v>1000000000000</v>
      </c>
      <c r="CA93" s="172" cm="1">
        <f t="array" aca="1" ref="CA93" ca="1">IF(OR($D93&lt;&gt;"Serviço",AND(AUTOEVENTO="Manual",$M93=$A$15),$M93&gt;(ROW(PLE.lastrow)-ROW(PLE.firstrow))),0,
           IF(OFFSET(PLE!$G$15,$M93-$A$15,CA$13)="",10^12,OFFSET(PLE!$G$15,$M93-$A$15,CA$13)))</f>
        <v>1000000000000</v>
      </c>
      <c r="CB93" s="172" cm="1">
        <f t="array" aca="1" ref="CB93" ca="1">IF(OR($D93&lt;&gt;"Serviço",AND(AUTOEVENTO="Manual",$M93=$A$15),$M93&gt;(ROW(PLE.lastrow)-ROW(PLE.firstrow))),0,
           IF(OFFSET(PLE!$G$15,$M93-$A$15,CB$13)="",10^12,OFFSET(PLE!$G$15,$M93-$A$15,CB$13)))</f>
        <v>1000000000000</v>
      </c>
      <c r="CC93" s="172" cm="1">
        <f t="array" aca="1" ref="CC93" ca="1">IF(OR($D93&lt;&gt;"Serviço",AND(AUTOEVENTO="Manual",$M93=$A$15),$M93&gt;(ROW(PLE.lastrow)-ROW(PLE.firstrow))),0,
           IF(OFFSET(PLE!$G$15,$M93-$A$15,CC$13)="",10^12,OFFSET(PLE!$G$15,$M93-$A$15,CC$13)))</f>
        <v>1000000000000</v>
      </c>
      <c r="CD93" s="172" cm="1">
        <f t="array" aca="1" ref="CD93" ca="1">IF(OR($D93&lt;&gt;"Serviço",AND(AUTOEVENTO="Manual",$M93=$A$15),$M93&gt;(ROW(PLE.lastrow)-ROW(PLE.firstrow))),0,
           IF(OFFSET(PLE!$G$15,$M93-$A$15,CD$13)="",10^12,OFFSET(PLE!$G$15,$M93-$A$15,CD$13)))</f>
        <v>1000000000000</v>
      </c>
      <c r="CE93" s="172" cm="1">
        <f t="array" aca="1" ref="CE93" ca="1">IF(OR($D93&lt;&gt;"Serviço",AND(AUTOEVENTO="Manual",$M93=$A$15),$M93&gt;(ROW(PLE.lastrow)-ROW(PLE.firstrow))),0,
           IF(OFFSET(PLE!$G$15,$M93-$A$15,CE$13)="",10^12,OFFSET(PLE!$G$15,$M93-$A$15,CE$13)))</f>
        <v>1000000000000</v>
      </c>
      <c r="CF93" s="172" cm="1">
        <f t="array" aca="1" ref="CF93" ca="1">IF(OR($D93&lt;&gt;"Serviço",AND(AUTOEVENTO="Manual",$M93=$A$15),$M93&gt;(ROW(PLE.lastrow)-ROW(PLE.firstrow))),0,
           IF(OFFSET(PLE!$G$15,$M93-$A$15,CF$13)="",10^12,OFFSET(PLE!$G$15,$M93-$A$15,CF$13)))</f>
        <v>1000000000000</v>
      </c>
      <c r="CG93" s="172" cm="1">
        <f t="array" aca="1" ref="CG93" ca="1">IF(OR($D93&lt;&gt;"Serviço",AND(AUTOEVENTO="Manual",$M93=$A$15),$M93&gt;(ROW(PLE.lastrow)-ROW(PLE.firstrow))),0,
           IF(OFFSET(PLE!$G$15,$M93-$A$15,CG$13)="",10^12,OFFSET(PLE!$G$15,$M93-$A$15,CG$13)))</f>
        <v>1000000000000</v>
      </c>
      <c r="CH93" s="172" cm="1">
        <f t="array" aca="1" ref="CH93" ca="1">IF(OR($D93&lt;&gt;"Serviço",AND(AUTOEVENTO="Manual",$M93=$A$15),$M93&gt;(ROW(PLE.lastrow)-ROW(PLE.firstrow))),0,
           IF(OFFSET(PLE!$G$15,$M93-$A$15,CH$13)="",10^12,OFFSET(PLE!$G$15,$M93-$A$15,CH$13)))</f>
        <v>1000000000000</v>
      </c>
      <c r="CI93" s="172" cm="1">
        <f t="array" aca="1" ref="CI93" ca="1">IF(OR($D93&lt;&gt;"Serviço",AND(AUTOEVENTO="Manual",$M93=$A$15),$M93&gt;(ROW(PLE.lastrow)-ROW(PLE.firstrow))),0,
           IF(OFFSET(PLE!$G$15,$M93-$A$15,CI$13)="",10^12,OFFSET(PLE!$G$15,$M93-$A$15,CI$13)))</f>
        <v>1000000000000</v>
      </c>
      <c r="CJ93" s="172" cm="1">
        <f t="array" aca="1" ref="CJ93" ca="1">IF(OR($D93&lt;&gt;"Serviço",AND(AUTOEVENTO="Manual",$M93=$A$15),$M93&gt;(ROW(PLE.lastrow)-ROW(PLE.firstrow))),0,
           IF(OFFSET(PLE!$G$15,$M93-$A$15,CJ$13)="",10^12,OFFSET(PLE!$G$15,$M93-$A$15,CJ$13)))</f>
        <v>1000000000000</v>
      </c>
      <c r="CK93" s="172" cm="1">
        <f t="array" aca="1" ref="CK93" ca="1">IF(OR($D93&lt;&gt;"Serviço",AND(AUTOEVENTO="Manual",$M93=$A$15),$M93&gt;(ROW(PLE.lastrow)-ROW(PLE.firstrow))),0,
           IF(OFFSET(PLE!$G$15,$M93-$A$15,CK$13)="",10^12,OFFSET(PLE!$G$15,$M93-$A$15,CK$13)))</f>
        <v>1000000000000</v>
      </c>
      <c r="CL93" s="172" cm="1">
        <f t="array" aca="1" ref="CL93" ca="1">IF(OR($D93&lt;&gt;"Serviço",AND(AUTOEVENTO="Manual",$M93=$A$15),$M93&gt;(ROW(PLE.lastrow)-ROW(PLE.firstrow))),0,
           IF(OFFSET(PLE!$G$15,$M93-$A$15,CL$13)="",10^12,OFFSET(PLE!$G$15,$M93-$A$15,CL$13)))</f>
        <v>1000000000000</v>
      </c>
      <c r="CM93" s="172" cm="1">
        <f t="array" aca="1" ref="CM93" ca="1">IF(OR($D93&lt;&gt;"Serviço",AND(AUTOEVENTO="Manual",$M93=$A$15),$M93&gt;(ROW(PLE.lastrow)-ROW(PLE.firstrow))),0,
           IF(OFFSET(PLE!$G$15,$M93-$A$15,CM$13)="",10^12,OFFSET(PLE!$G$15,$M93-$A$15,CM$13)))</f>
        <v>1000000000000</v>
      </c>
    </row>
    <row r="94" spans="1:91" s="670" customFormat="1" ht="25.5" x14ac:dyDescent="0.2">
      <c r="A94" s="668">
        <f t="shared" ca="1" si="12"/>
        <v>28</v>
      </c>
      <c r="B94" s="668" t="str">
        <f ca="1">OFFSET(ORÇAMENTO!C$15,$L94,0)</f>
        <v>S</v>
      </c>
      <c r="C94" s="668" t="str">
        <f ca="1">OFFSET(ORÇAMENTO!L$15,$L94,0)</f>
        <v>F</v>
      </c>
      <c r="D94" s="116" t="str">
        <f ca="1">OFFSET(ORÇAMENTO!N$15,$L94,0)</f>
        <v>Serviço</v>
      </c>
      <c r="E94" s="117" t="str">
        <f ca="1">OFFSET(ORÇAMENTO!O$15,$L94,0)</f>
        <v>1.12.3.</v>
      </c>
      <c r="F94" s="163" t="str">
        <f ca="1">OFFSET(ORÇAMENTO!R$15,$L94,0)</f>
        <v>ESPALHAMENTO DE MATERIAL COM TRATOR DE ESTEIRAS. AF_09/2024</v>
      </c>
      <c r="G94" s="164" t="str">
        <f ca="1">IF($D94&lt;&gt;"Serviço","",OFFSET(ORÇAMENTO!S$15,$L94,0))</f>
        <v>M3</v>
      </c>
      <c r="H94" s="122" cm="1">
        <f t="array" aca="1" ref="H94" ca="1">IF($D94&lt;&gt;"Serviço",0,IF(ACOMPANHAMENTO="BM",ROUND(OFFSET(ORÇAMENTO!AJ$15,$L94,0),15-13*ORÇAMENTO!$AF$7),IF(IFERROR(CÁLCULO.FrentesPreenchidas,0)=0,0,SUM(ROUND(OFFSET($P94,0,1,1,CÁLCULO.FrentesPreenchidas),15-13*ORÇAMENTO!$AF$7)))))</f>
        <v>824.07</v>
      </c>
      <c r="I94" s="468" t="s">
        <v>1235</v>
      </c>
      <c r="J94" s="651" t="str" cm="1">
        <f t="array" aca="1" ref="J94" ca="1">IF(OR(B94&lt;&gt;"S",CÁLCULO.FrentesPreenchidas=0),"",IF(AND(ACOMPANHAMENTO="PLE",AUTOEVENTO="Manual",OR(H94&gt;0,ORÇAMENTO!AC94="QUANT."),OR(K94="",M94=0,N94="")),"►E",IF(AND(ACOMPANHAMENTO="PLE",ORÇAMENTO!AC94="QUANT."),"►Q",IF(AND(ACOMPANHAMENTO="PLE",H94&lt;&gt;SUMPRODUCT(($Q$1:$AI$1=1)*ROUND(Q94:AI94,15))),"►S",IF(AND(COUNTIF($P$11:$AI$11,"▼")=0,H94&gt;0,I94=""),"◄M","")))))</f>
        <v/>
      </c>
      <c r="K94" s="652" t="s">
        <v>1353</v>
      </c>
      <c r="L94" s="165">
        <f t="shared" ca="1" si="13"/>
        <v>79</v>
      </c>
      <c r="M94" s="166">
        <f ca="1">IF($D94&lt;&gt;"Serviço","",
          IF(AUTOEVENTO="manual",$A94,
                IF(ISERROR(MATCH($A94,$A$15:OFFSET($A94,-1,0),0)),MAX($M$15:OFFSET(M94,-1,0))+1,
                      INDEX($M$15:OFFSET(M94,-1,0),MATCH($A94,$A$15:OFFSET($A94,-1,0),0)))))</f>
        <v>28</v>
      </c>
      <c r="N94" s="167" t="str">
        <f ca="1">IF($D94&lt;&gt;"Serviço","",
         IF(AUTOEVENTO="Manual",
                IF($A94=0,"&lt;-- defina o número do agrupador",
                       OFFSET(EVENTOS!$D$15,$A94-$A$15,0)),
                OFFSET($F$15,$A94,0)))</f>
        <v>Pavimentação</v>
      </c>
      <c r="O94" s="168"/>
      <c r="Q94" s="168"/>
      <c r="R94" s="169"/>
      <c r="S94" s="169"/>
      <c r="T94" s="169"/>
      <c r="U94" s="169">
        <v>824.07</v>
      </c>
      <c r="V94" s="169"/>
      <c r="W94" s="169"/>
      <c r="X94" s="169"/>
      <c r="Y94" s="169"/>
      <c r="Z94" s="170"/>
      <c r="AA94" s="705"/>
      <c r="AB94" s="705"/>
      <c r="AC94" s="705"/>
      <c r="AD94" s="705"/>
      <c r="AE94" s="705"/>
      <c r="AF94" s="705"/>
      <c r="AG94" s="705"/>
      <c r="AH94" s="706"/>
      <c r="AJ94" s="453">
        <f ca="1">IF(AND($D94="Serviço",AJ$12&lt;&gt;0,$H94&gt;0,OR(AUTOEVENTO&lt;&gt;"manual",$M94&lt;&gt;$A$15)),
        IF(Import.TipoArredondamento&lt;&gt;"TransfereGOV",
              ROUND(OFFSET($P94,0,AJ$13),15-13*ORÇAMENTO!$AF$7)/$H94*OFFSET(ORÇAMENTO!$X$15,ROW(AJ94)-ROW(AJ$15),0),
              ROUND(ROUND(OFFSET($P94,0,AJ$13),15-13*ORÇAMENTO!$AF$7)*OFFSET(ORÇAMENTO!$W$15,ROW(AJ94)-ROW(AJ$15),0),15-13*ORÇAMENTO!$AF$11)),
         0)</f>
        <v>0</v>
      </c>
      <c r="AK94" s="453">
        <f ca="1">IF(AND($D94="Serviço",AK$12&lt;&gt;0,$H94&gt;0,OR(AUTOEVENTO&lt;&gt;"manual",$M94&lt;&gt;$A$15)),
        IF(Import.TipoArredondamento&lt;&gt;"TransfereGOV",
              ROUND(OFFSET($P94,0,AK$13),15-13*ORÇAMENTO!$AF$7)/$H94*OFFSET(ORÇAMENTO!$X$15,ROW(AK94)-ROW(AK$15),0),
              ROUND(ROUND(OFFSET($P94,0,AK$13),15-13*ORÇAMENTO!$AF$7)*OFFSET(ORÇAMENTO!$W$15,ROW(AK94)-ROW(AK$15),0),15-13*ORÇAMENTO!$AF$11)),
         0)</f>
        <v>0</v>
      </c>
      <c r="AL94" s="453">
        <f ca="1">IF(AND($D94="Serviço",AL$12&lt;&gt;0,$H94&gt;0,OR(AUTOEVENTO&lt;&gt;"manual",$M94&lt;&gt;$A$15)),
        IF(Import.TipoArredondamento&lt;&gt;"TransfereGOV",
              ROUND(OFFSET($P94,0,AL$13),15-13*ORÇAMENTO!$AF$7)/$H94*OFFSET(ORÇAMENTO!$X$15,ROW(AL94)-ROW(AL$15),0),
              ROUND(ROUND(OFFSET($P94,0,AL$13),15-13*ORÇAMENTO!$AF$7)*OFFSET(ORÇAMENTO!$W$15,ROW(AL94)-ROW(AL$15),0),15-13*ORÇAMENTO!$AF$11)),
         0)</f>
        <v>0</v>
      </c>
      <c r="AM94" s="453">
        <f ca="1">IF(AND($D94="Serviço",AM$12&lt;&gt;0,$H94&gt;0,OR(AUTOEVENTO&lt;&gt;"manual",$M94&lt;&gt;$A$15)),
        IF(Import.TipoArredondamento&lt;&gt;"TransfereGOV",
              ROUND(OFFSET($P94,0,AM$13),15-13*ORÇAMENTO!$AF$7)/$H94*OFFSET(ORÇAMENTO!$X$15,ROW(AM94)-ROW(AM$15),0),
              ROUND(ROUND(OFFSET($P94,0,AM$13),15-13*ORÇAMENTO!$AF$7)*OFFSET(ORÇAMENTO!$W$15,ROW(AM94)-ROW(AM$15),0),15-13*ORÇAMENTO!$AF$11)),
         0)</f>
        <v>0</v>
      </c>
      <c r="AN94" s="453">
        <f ca="1">IF(AND($D94="Serviço",AN$12&lt;&gt;0,$H94&gt;0,OR(AUTOEVENTO&lt;&gt;"manual",$M94&lt;&gt;$A$15)),
        IF(Import.TipoArredondamento&lt;&gt;"TransfereGOV",
              ROUND(OFFSET($P94,0,AN$13),15-13*ORÇAMENTO!$AF$7)/$H94*OFFSET(ORÇAMENTO!$X$15,ROW(AN94)-ROW(AN$15),0),
              ROUND(ROUND(OFFSET($P94,0,AN$13),15-13*ORÇAMENTO!$AF$7)*OFFSET(ORÇAMENTO!$W$15,ROW(AN94)-ROW(AN$15),0),15-13*ORÇAMENTO!$AF$11)),
         0)</f>
        <v>1541.01</v>
      </c>
      <c r="AO94" s="453">
        <f ca="1">IF(AND($D94="Serviço",AO$12&lt;&gt;0,$H94&gt;0,OR(AUTOEVENTO&lt;&gt;"manual",$M94&lt;&gt;$A$15)),
        IF(Import.TipoArredondamento&lt;&gt;"TransfereGOV",
              ROUND(OFFSET($P94,0,AO$13),15-13*ORÇAMENTO!$AF$7)/$H94*OFFSET(ORÇAMENTO!$X$15,ROW(AO94)-ROW(AO$15),0),
              ROUND(ROUND(OFFSET($P94,0,AO$13),15-13*ORÇAMENTO!$AF$7)*OFFSET(ORÇAMENTO!$W$15,ROW(AO94)-ROW(AO$15),0),15-13*ORÇAMENTO!$AF$11)),
         0)</f>
        <v>0</v>
      </c>
      <c r="AP94" s="453">
        <f ca="1">IF(AND($D94="Serviço",AP$12&lt;&gt;0,$H94&gt;0,OR(AUTOEVENTO&lt;&gt;"manual",$M94&lt;&gt;$A$15)),
        IF(Import.TipoArredondamento&lt;&gt;"TransfereGOV",
              ROUND(OFFSET($P94,0,AP$13),15-13*ORÇAMENTO!$AF$7)/$H94*OFFSET(ORÇAMENTO!$X$15,ROW(AP94)-ROW(AP$15),0),
              ROUND(ROUND(OFFSET($P94,0,AP$13),15-13*ORÇAMENTO!$AF$7)*OFFSET(ORÇAMENTO!$W$15,ROW(AP94)-ROW(AP$15),0),15-13*ORÇAMENTO!$AF$11)),
         0)</f>
        <v>0</v>
      </c>
      <c r="AQ94" s="453">
        <f ca="1">IF(AND($D94="Serviço",AQ$12&lt;&gt;0,$H94&gt;0,OR(AUTOEVENTO&lt;&gt;"manual",$M94&lt;&gt;$A$15)),
        IF(Import.TipoArredondamento&lt;&gt;"TransfereGOV",
              ROUND(OFFSET($P94,0,AQ$13),15-13*ORÇAMENTO!$AF$7)/$H94*OFFSET(ORÇAMENTO!$X$15,ROW(AQ94)-ROW(AQ$15),0),
              ROUND(ROUND(OFFSET($P94,0,AQ$13),15-13*ORÇAMENTO!$AF$7)*OFFSET(ORÇAMENTO!$W$15,ROW(AQ94)-ROW(AQ$15),0),15-13*ORÇAMENTO!$AF$11)),
         0)</f>
        <v>0</v>
      </c>
      <c r="AR94" s="453">
        <f ca="1">IF(AND($D94="Serviço",AR$12&lt;&gt;0,$H94&gt;0,OR(AUTOEVENTO&lt;&gt;"manual",$M94&lt;&gt;$A$15)),
        IF(Import.TipoArredondamento&lt;&gt;"TransfereGOV",
              ROUND(OFFSET($P94,0,AR$13),15-13*ORÇAMENTO!$AF$7)/$H94*OFFSET(ORÇAMENTO!$X$15,ROW(AR94)-ROW(AR$15),0),
              ROUND(ROUND(OFFSET($P94,0,AR$13),15-13*ORÇAMENTO!$AF$7)*OFFSET(ORÇAMENTO!$W$15,ROW(AR94)-ROW(AR$15),0),15-13*ORÇAMENTO!$AF$11)),
         0)</f>
        <v>0</v>
      </c>
      <c r="AS94" s="453">
        <f ca="1">IF(AND($D94="Serviço",AS$12&lt;&gt;0,$H94&gt;0,OR(AUTOEVENTO&lt;&gt;"manual",$M94&lt;&gt;$A$15)),
        IF(Import.TipoArredondamento&lt;&gt;"TransfereGOV",
              ROUND(OFFSET($P94,0,AS$13),15-13*ORÇAMENTO!$AF$7)/$H94*OFFSET(ORÇAMENTO!$X$15,ROW(AS94)-ROW(AS$15),0),
              ROUND(ROUND(OFFSET($P94,0,AS$13),15-13*ORÇAMENTO!$AF$7)*OFFSET(ORÇAMENTO!$W$15,ROW(AS94)-ROW(AS$15),0),15-13*ORÇAMENTO!$AF$11)),
         0)</f>
        <v>0</v>
      </c>
      <c r="AT94" s="453">
        <f ca="1">IF(AND($D94="Serviço",AT$12&lt;&gt;0,$H94&gt;0,OR(AUTOEVENTO&lt;&gt;"manual",$M94&lt;&gt;$A$15)),
        IF(Import.TipoArredondamento&lt;&gt;"TransfereGOV",
              ROUND(OFFSET($P94,0,AT$13),15-13*ORÇAMENTO!$AF$7)/$H94*OFFSET(ORÇAMENTO!$X$15,ROW(AT94)-ROW(AT$15),0),
              ROUND(ROUND(OFFSET($P94,0,AT$13),15-13*ORÇAMENTO!$AF$7)*OFFSET(ORÇAMENTO!$W$15,ROW(AT94)-ROW(AT$15),0),15-13*ORÇAMENTO!$AF$11)),
         0)</f>
        <v>0</v>
      </c>
      <c r="AU94" s="453">
        <f ca="1">IF(AND($D94="Serviço",AU$12&lt;&gt;0,$H94&gt;0,OR(AUTOEVENTO&lt;&gt;"manual",$M94&lt;&gt;$A$15)),
        IF(Import.TipoArredondamento&lt;&gt;"TransfereGOV",
              ROUND(OFFSET($P94,0,AU$13),15-13*ORÇAMENTO!$AF$7)/$H94*OFFSET(ORÇAMENTO!$X$15,ROW(AU94)-ROW(AU$15),0),
              ROUND(ROUND(OFFSET($P94,0,AU$13),15-13*ORÇAMENTO!$AF$7)*OFFSET(ORÇAMENTO!$W$15,ROW(AU94)-ROW(AU$15),0),15-13*ORÇAMENTO!$AF$11)),
         0)</f>
        <v>0</v>
      </c>
      <c r="AV94" s="453">
        <f ca="1">IF(AND($D94="Serviço",AV$12&lt;&gt;0,$H94&gt;0,OR(AUTOEVENTO&lt;&gt;"manual",$M94&lt;&gt;$A$15)),
        IF(Import.TipoArredondamento&lt;&gt;"TransfereGOV",
              ROUND(OFFSET($P94,0,AV$13),15-13*ORÇAMENTO!$AF$7)/$H94*OFFSET(ORÇAMENTO!$X$15,ROW(AV94)-ROW(AV$15),0),
              ROUND(ROUND(OFFSET($P94,0,AV$13),15-13*ORÇAMENTO!$AF$7)*OFFSET(ORÇAMENTO!$W$15,ROW(AV94)-ROW(AV$15),0),15-13*ORÇAMENTO!$AF$11)),
         0)</f>
        <v>0</v>
      </c>
      <c r="AW94" s="453">
        <f ca="1">IF(AND($D94="Serviço",AW$12&lt;&gt;0,$H94&gt;0,OR(AUTOEVENTO&lt;&gt;"manual",$M94&lt;&gt;$A$15)),
        IF(Import.TipoArredondamento&lt;&gt;"TransfereGOV",
              ROUND(OFFSET($P94,0,AW$13),15-13*ORÇAMENTO!$AF$7)/$H94*OFFSET(ORÇAMENTO!$X$15,ROW(AW94)-ROW(AW$15),0),
              ROUND(ROUND(OFFSET($P94,0,AW$13),15-13*ORÇAMENTO!$AF$7)*OFFSET(ORÇAMENTO!$W$15,ROW(AW94)-ROW(AW$15),0),15-13*ORÇAMENTO!$AF$11)),
         0)</f>
        <v>0</v>
      </c>
      <c r="AX94" s="453">
        <f ca="1">IF(AND($D94="Serviço",AX$12&lt;&gt;0,$H94&gt;0,OR(AUTOEVENTO&lt;&gt;"manual",$M94&lt;&gt;$A$15)),
        IF(Import.TipoArredondamento&lt;&gt;"TransfereGOV",
              ROUND(OFFSET($P94,0,AX$13),15-13*ORÇAMENTO!$AF$7)/$H94*OFFSET(ORÇAMENTO!$X$15,ROW(AX94)-ROW(AX$15),0),
              ROUND(ROUND(OFFSET($P94,0,AX$13),15-13*ORÇAMENTO!$AF$7)*OFFSET(ORÇAMENTO!$W$15,ROW(AX94)-ROW(AX$15),0),15-13*ORÇAMENTO!$AF$11)),
         0)</f>
        <v>0</v>
      </c>
      <c r="AY94" s="453">
        <f ca="1">IF(AND($D94="Serviço",AY$12&lt;&gt;0,$H94&gt;0,OR(AUTOEVENTO&lt;&gt;"manual",$M94&lt;&gt;$A$15)),
        IF(Import.TipoArredondamento&lt;&gt;"TransfereGOV",
              ROUND(OFFSET($P94,0,AY$13),15-13*ORÇAMENTO!$AF$7)/$H94*OFFSET(ORÇAMENTO!$X$15,ROW(AY94)-ROW(AY$15),0),
              ROUND(ROUND(OFFSET($P94,0,AY$13),15-13*ORÇAMENTO!$AF$7)*OFFSET(ORÇAMENTO!$W$15,ROW(AY94)-ROW(AY$15),0),15-13*ORÇAMENTO!$AF$11)),
         0)</f>
        <v>0</v>
      </c>
      <c r="AZ94" s="453">
        <f ca="1">IF(AND($D94="Serviço",AZ$12&lt;&gt;0,$H94&gt;0,OR(AUTOEVENTO&lt;&gt;"manual",$M94&lt;&gt;$A$15)),
        IF(Import.TipoArredondamento&lt;&gt;"TransfereGOV",
              ROUND(OFFSET($P94,0,AZ$13),15-13*ORÇAMENTO!$AF$7)/$H94*OFFSET(ORÇAMENTO!$X$15,ROW(AZ94)-ROW(AZ$15),0),
              ROUND(ROUND(OFFSET($P94,0,AZ$13),15-13*ORÇAMENTO!$AF$7)*OFFSET(ORÇAMENTO!$W$15,ROW(AZ94)-ROW(AZ$15),0),15-13*ORÇAMENTO!$AF$11)),
         0)</f>
        <v>0</v>
      </c>
      <c r="BA94" s="453">
        <f ca="1">IF(AND($D94="Serviço",BA$12&lt;&gt;0,$H94&gt;0,OR(AUTOEVENTO&lt;&gt;"manual",$M94&lt;&gt;$A$15)),
        IF(Import.TipoArredondamento&lt;&gt;"TransfereGOV",
              ROUND(OFFSET($P94,0,BA$13),15-13*ORÇAMENTO!$AF$7)/$H94*OFFSET(ORÇAMENTO!$X$15,ROW(BA94)-ROW(BA$15),0),
              ROUND(ROUND(OFFSET($P94,0,BA$13),15-13*ORÇAMENTO!$AF$7)*OFFSET(ORÇAMENTO!$W$15,ROW(BA94)-ROW(BA$15),0),15-13*ORÇAMENTO!$AF$11)),
         0)</f>
        <v>0</v>
      </c>
      <c r="BC94" s="171">
        <f ca="1">IF(OR($D94&lt;&gt;"Serviço",AND(AUTOEVENTO="Manual",$M94=$A$15)),0,
         IF(OFFSET(CRONOPLE!$F$15,$M94-$A$15,BC$13)=0,10^12,OFFSET(CRONOPLE!$F$15,$M94-$A$15,BC$13)))</f>
        <v>1000000000000</v>
      </c>
      <c r="BD94" s="171">
        <f ca="1">IF(OR($D94&lt;&gt;"Serviço",AND(AUTOEVENTO="Manual",$M94=$A$15)),0,
         IF(OFFSET(CRONOPLE!$F$15,$M94-$A$15,BD$13)=0,10^12,OFFSET(CRONOPLE!$F$15,$M94-$A$15,BD$13)))</f>
        <v>1000000000000</v>
      </c>
      <c r="BE94" s="171">
        <f ca="1">IF(OR($D94&lt;&gt;"Serviço",AND(AUTOEVENTO="Manual",$M94=$A$15)),0,
         IF(OFFSET(CRONOPLE!$F$15,$M94-$A$15,BE$13)=0,10^12,OFFSET(CRONOPLE!$F$15,$M94-$A$15,BE$13)))</f>
        <v>1000000000000</v>
      </c>
      <c r="BF94" s="171">
        <f ca="1">IF(OR($D94&lt;&gt;"Serviço",AND(AUTOEVENTO="Manual",$M94=$A$15)),0,
         IF(OFFSET(CRONOPLE!$F$15,$M94-$A$15,BF$13)=0,10^12,OFFSET(CRONOPLE!$F$15,$M94-$A$15,BF$13)))</f>
        <v>1000000000000</v>
      </c>
      <c r="BG94" s="171">
        <f ca="1">IF(OR($D94&lt;&gt;"Serviço",AND(AUTOEVENTO="Manual",$M94=$A$15)),0,
         IF(OFFSET(CRONOPLE!$F$15,$M94-$A$15,BG$13)=0,10^12,OFFSET(CRONOPLE!$F$15,$M94-$A$15,BG$13)))</f>
        <v>5</v>
      </c>
      <c r="BH94" s="171">
        <f ca="1">IF(OR($D94&lt;&gt;"Serviço",AND(AUTOEVENTO="Manual",$M94=$A$15)),0,
         IF(OFFSET(CRONOPLE!$F$15,$M94-$A$15,BH$13)=0,10^12,OFFSET(CRONOPLE!$F$15,$M94-$A$15,BH$13)))</f>
        <v>11</v>
      </c>
      <c r="BI94" s="171">
        <f ca="1">IF(OR($D94&lt;&gt;"Serviço",AND(AUTOEVENTO="Manual",$M94=$A$15)),0,
         IF(OFFSET(CRONOPLE!$F$15,$M94-$A$15,BI$13)=0,10^12,OFFSET(CRONOPLE!$F$15,$M94-$A$15,BI$13)))</f>
        <v>1000000000000</v>
      </c>
      <c r="BJ94" s="171">
        <f ca="1">IF(OR($D94&lt;&gt;"Serviço",AND(AUTOEVENTO="Manual",$M94=$A$15)),0,
         IF(OFFSET(CRONOPLE!$F$15,$M94-$A$15,BJ$13)=0,10^12,OFFSET(CRONOPLE!$F$15,$M94-$A$15,BJ$13)))</f>
        <v>1000000000000</v>
      </c>
      <c r="BK94" s="171">
        <f ca="1">IF(OR($D94&lt;&gt;"Serviço",AND(AUTOEVENTO="Manual",$M94=$A$15)),0,
         IF(OFFSET(CRONOPLE!$F$15,$M94-$A$15,BK$13)=0,10^12,OFFSET(CRONOPLE!$F$15,$M94-$A$15,BK$13)))</f>
        <v>1000000000000</v>
      </c>
      <c r="BL94" s="171">
        <f ca="1">IF(OR($D94&lt;&gt;"Serviço",AND(AUTOEVENTO="Manual",$M94=$A$15)),0,
         IF(OFFSET(CRONOPLE!$F$15,$M94-$A$15,BL$13)=0,10^12,OFFSET(CRONOPLE!$F$15,$M94-$A$15,BL$13)))</f>
        <v>1000000000000</v>
      </c>
      <c r="BM94" s="171">
        <f ca="1">IF(OR($D94&lt;&gt;"Serviço",AND(AUTOEVENTO="Manual",$M94=$A$15)),0,
         IF(OFFSET(CRONOPLE!$F$15,$M94-$A$15,BM$13)=0,10^12,OFFSET(CRONOPLE!$F$15,$M94-$A$15,BM$13)))</f>
        <v>1000000000000</v>
      </c>
      <c r="BN94" s="171">
        <f ca="1">IF(OR($D94&lt;&gt;"Serviço",AND(AUTOEVENTO="Manual",$M94=$A$15)),0,
         IF(OFFSET(CRONOPLE!$F$15,$M94-$A$15,BN$13)=0,10^12,OFFSET(CRONOPLE!$F$15,$M94-$A$15,BN$13)))</f>
        <v>1000000000000</v>
      </c>
      <c r="BO94" s="171">
        <f ca="1">IF(OR($D94&lt;&gt;"Serviço",AND(AUTOEVENTO="Manual",$M94=$A$15)),0,
         IF(OFFSET(CRONOPLE!$F$15,$M94-$A$15,BO$13)=0,10^12,OFFSET(CRONOPLE!$F$15,$M94-$A$15,BO$13)))</f>
        <v>1000000000000</v>
      </c>
      <c r="BP94" s="171">
        <f ca="1">IF(OR($D94&lt;&gt;"Serviço",AND(AUTOEVENTO="Manual",$M94=$A$15)),0,
         IF(OFFSET(CRONOPLE!$F$15,$M94-$A$15,BP$13)=0,10^12,OFFSET(CRONOPLE!$F$15,$M94-$A$15,BP$13)))</f>
        <v>1000000000000</v>
      </c>
      <c r="BQ94" s="171">
        <f ca="1">IF(OR($D94&lt;&gt;"Serviço",AND(AUTOEVENTO="Manual",$M94=$A$15)),0,
         IF(OFFSET(CRONOPLE!$F$15,$M94-$A$15,BQ$13)=0,10^12,OFFSET(CRONOPLE!$F$15,$M94-$A$15,BQ$13)))</f>
        <v>1000000000000</v>
      </c>
      <c r="BR94" s="171">
        <f ca="1">IF(OR($D94&lt;&gt;"Serviço",AND(AUTOEVENTO="Manual",$M94=$A$15)),0,
         IF(OFFSET(CRONOPLE!$F$15,$M94-$A$15,BR$13)=0,10^12,OFFSET(CRONOPLE!$F$15,$M94-$A$15,BR$13)))</f>
        <v>1000000000000</v>
      </c>
      <c r="BS94" s="171">
        <f ca="1">IF(OR($D94&lt;&gt;"Serviço",AND(AUTOEVENTO="Manual",$M94=$A$15)),0,
         IF(OFFSET(CRONOPLE!$F$15,$M94-$A$15,BS$13)=0,10^12,OFFSET(CRONOPLE!$F$15,$M94-$A$15,BS$13)))</f>
        <v>1000000000000</v>
      </c>
      <c r="BT94" s="171">
        <f ca="1">IF(OR($D94&lt;&gt;"Serviço",AND(AUTOEVENTO="Manual",$M94=$A$15)),0,
         IF(OFFSET(CRONOPLE!$F$15,$M94-$A$15,BT$13)=0,10^12,OFFSET(CRONOPLE!$F$15,$M94-$A$15,BT$13)))</f>
        <v>1000000000000</v>
      </c>
      <c r="BV94" s="172" cm="1">
        <f t="array" aca="1" ref="BV94" ca="1">IF(OR($D94&lt;&gt;"Serviço",AND(AUTOEVENTO="Manual",$M94=$A$15),$M94&gt;(ROW(PLE.lastrow)-ROW(PLE.firstrow))),0,
           IF(OFFSET(PLE!$G$15,$M94-$A$15,BV$13)="",10^12,OFFSET(PLE!$G$15,$M94-$A$15,BV$13)))</f>
        <v>1000000000000</v>
      </c>
      <c r="BW94" s="172" cm="1">
        <f t="array" aca="1" ref="BW94" ca="1">IF(OR($D94&lt;&gt;"Serviço",AND(AUTOEVENTO="Manual",$M94=$A$15),$M94&gt;(ROW(PLE.lastrow)-ROW(PLE.firstrow))),0,
           IF(OFFSET(PLE!$G$15,$M94-$A$15,BW$13)="",10^12,OFFSET(PLE!$G$15,$M94-$A$15,BW$13)))</f>
        <v>1000000000000</v>
      </c>
      <c r="BX94" s="172" cm="1">
        <f t="array" aca="1" ref="BX94" ca="1">IF(OR($D94&lt;&gt;"Serviço",AND(AUTOEVENTO="Manual",$M94=$A$15),$M94&gt;(ROW(PLE.lastrow)-ROW(PLE.firstrow))),0,
           IF(OFFSET(PLE!$G$15,$M94-$A$15,BX$13)="",10^12,OFFSET(PLE!$G$15,$M94-$A$15,BX$13)))</f>
        <v>1000000000000</v>
      </c>
      <c r="BY94" s="172" cm="1">
        <f t="array" aca="1" ref="BY94" ca="1">IF(OR($D94&lt;&gt;"Serviço",AND(AUTOEVENTO="Manual",$M94=$A$15),$M94&gt;(ROW(PLE.lastrow)-ROW(PLE.firstrow))),0,
           IF(OFFSET(PLE!$G$15,$M94-$A$15,BY$13)="",10^12,OFFSET(PLE!$G$15,$M94-$A$15,BY$13)))</f>
        <v>1000000000000</v>
      </c>
      <c r="BZ94" s="172" cm="1">
        <f t="array" aca="1" ref="BZ94" ca="1">IF(OR($D94&lt;&gt;"Serviço",AND(AUTOEVENTO="Manual",$M94=$A$15),$M94&gt;(ROW(PLE.lastrow)-ROW(PLE.firstrow))),0,
           IF(OFFSET(PLE!$G$15,$M94-$A$15,BZ$13)="",10^12,OFFSET(PLE!$G$15,$M94-$A$15,BZ$13)))</f>
        <v>1000000000000</v>
      </c>
      <c r="CA94" s="172" cm="1">
        <f t="array" aca="1" ref="CA94" ca="1">IF(OR($D94&lt;&gt;"Serviço",AND(AUTOEVENTO="Manual",$M94=$A$15),$M94&gt;(ROW(PLE.lastrow)-ROW(PLE.firstrow))),0,
           IF(OFFSET(PLE!$G$15,$M94-$A$15,CA$13)="",10^12,OFFSET(PLE!$G$15,$M94-$A$15,CA$13)))</f>
        <v>1000000000000</v>
      </c>
      <c r="CB94" s="172" cm="1">
        <f t="array" aca="1" ref="CB94" ca="1">IF(OR($D94&lt;&gt;"Serviço",AND(AUTOEVENTO="Manual",$M94=$A$15),$M94&gt;(ROW(PLE.lastrow)-ROW(PLE.firstrow))),0,
           IF(OFFSET(PLE!$G$15,$M94-$A$15,CB$13)="",10^12,OFFSET(PLE!$G$15,$M94-$A$15,CB$13)))</f>
        <v>1000000000000</v>
      </c>
      <c r="CC94" s="172" cm="1">
        <f t="array" aca="1" ref="CC94" ca="1">IF(OR($D94&lt;&gt;"Serviço",AND(AUTOEVENTO="Manual",$M94=$A$15),$M94&gt;(ROW(PLE.lastrow)-ROW(PLE.firstrow))),0,
           IF(OFFSET(PLE!$G$15,$M94-$A$15,CC$13)="",10^12,OFFSET(PLE!$G$15,$M94-$A$15,CC$13)))</f>
        <v>1000000000000</v>
      </c>
      <c r="CD94" s="172" cm="1">
        <f t="array" aca="1" ref="CD94" ca="1">IF(OR($D94&lt;&gt;"Serviço",AND(AUTOEVENTO="Manual",$M94=$A$15),$M94&gt;(ROW(PLE.lastrow)-ROW(PLE.firstrow))),0,
           IF(OFFSET(PLE!$G$15,$M94-$A$15,CD$13)="",10^12,OFFSET(PLE!$G$15,$M94-$A$15,CD$13)))</f>
        <v>1000000000000</v>
      </c>
      <c r="CE94" s="172" cm="1">
        <f t="array" aca="1" ref="CE94" ca="1">IF(OR($D94&lt;&gt;"Serviço",AND(AUTOEVENTO="Manual",$M94=$A$15),$M94&gt;(ROW(PLE.lastrow)-ROW(PLE.firstrow))),0,
           IF(OFFSET(PLE!$G$15,$M94-$A$15,CE$13)="",10^12,OFFSET(PLE!$G$15,$M94-$A$15,CE$13)))</f>
        <v>1000000000000</v>
      </c>
      <c r="CF94" s="172" cm="1">
        <f t="array" aca="1" ref="CF94" ca="1">IF(OR($D94&lt;&gt;"Serviço",AND(AUTOEVENTO="Manual",$M94=$A$15),$M94&gt;(ROW(PLE.lastrow)-ROW(PLE.firstrow))),0,
           IF(OFFSET(PLE!$G$15,$M94-$A$15,CF$13)="",10^12,OFFSET(PLE!$G$15,$M94-$A$15,CF$13)))</f>
        <v>1000000000000</v>
      </c>
      <c r="CG94" s="172" cm="1">
        <f t="array" aca="1" ref="CG94" ca="1">IF(OR($D94&lt;&gt;"Serviço",AND(AUTOEVENTO="Manual",$M94=$A$15),$M94&gt;(ROW(PLE.lastrow)-ROW(PLE.firstrow))),0,
           IF(OFFSET(PLE!$G$15,$M94-$A$15,CG$13)="",10^12,OFFSET(PLE!$G$15,$M94-$A$15,CG$13)))</f>
        <v>1000000000000</v>
      </c>
      <c r="CH94" s="172" cm="1">
        <f t="array" aca="1" ref="CH94" ca="1">IF(OR($D94&lt;&gt;"Serviço",AND(AUTOEVENTO="Manual",$M94=$A$15),$M94&gt;(ROW(PLE.lastrow)-ROW(PLE.firstrow))),0,
           IF(OFFSET(PLE!$G$15,$M94-$A$15,CH$13)="",10^12,OFFSET(PLE!$G$15,$M94-$A$15,CH$13)))</f>
        <v>1000000000000</v>
      </c>
      <c r="CI94" s="172" cm="1">
        <f t="array" aca="1" ref="CI94" ca="1">IF(OR($D94&lt;&gt;"Serviço",AND(AUTOEVENTO="Manual",$M94=$A$15),$M94&gt;(ROW(PLE.lastrow)-ROW(PLE.firstrow))),0,
           IF(OFFSET(PLE!$G$15,$M94-$A$15,CI$13)="",10^12,OFFSET(PLE!$G$15,$M94-$A$15,CI$13)))</f>
        <v>1000000000000</v>
      </c>
      <c r="CJ94" s="172" cm="1">
        <f t="array" aca="1" ref="CJ94" ca="1">IF(OR($D94&lt;&gt;"Serviço",AND(AUTOEVENTO="Manual",$M94=$A$15),$M94&gt;(ROW(PLE.lastrow)-ROW(PLE.firstrow))),0,
           IF(OFFSET(PLE!$G$15,$M94-$A$15,CJ$13)="",10^12,OFFSET(PLE!$G$15,$M94-$A$15,CJ$13)))</f>
        <v>1000000000000</v>
      </c>
      <c r="CK94" s="172" cm="1">
        <f t="array" aca="1" ref="CK94" ca="1">IF(OR($D94&lt;&gt;"Serviço",AND(AUTOEVENTO="Manual",$M94=$A$15),$M94&gt;(ROW(PLE.lastrow)-ROW(PLE.firstrow))),0,
           IF(OFFSET(PLE!$G$15,$M94-$A$15,CK$13)="",10^12,OFFSET(PLE!$G$15,$M94-$A$15,CK$13)))</f>
        <v>1000000000000</v>
      </c>
      <c r="CL94" s="172" cm="1">
        <f t="array" aca="1" ref="CL94" ca="1">IF(OR($D94&lt;&gt;"Serviço",AND(AUTOEVENTO="Manual",$M94=$A$15),$M94&gt;(ROW(PLE.lastrow)-ROW(PLE.firstrow))),0,
           IF(OFFSET(PLE!$G$15,$M94-$A$15,CL$13)="",10^12,OFFSET(PLE!$G$15,$M94-$A$15,CL$13)))</f>
        <v>1000000000000</v>
      </c>
      <c r="CM94" s="172" cm="1">
        <f t="array" aca="1" ref="CM94" ca="1">IF(OR($D94&lt;&gt;"Serviço",AND(AUTOEVENTO="Manual",$M94=$A$15),$M94&gt;(ROW(PLE.lastrow)-ROW(PLE.firstrow))),0,
           IF(OFFSET(PLE!$G$15,$M94-$A$15,CM$13)="",10^12,OFFSET(PLE!$G$15,$M94-$A$15,CM$13)))</f>
        <v>1000000000000</v>
      </c>
    </row>
    <row r="95" spans="1:91" s="670" customFormat="1" ht="38.25" x14ac:dyDescent="0.2">
      <c r="A95" s="668">
        <f t="shared" ca="1" si="12"/>
        <v>28</v>
      </c>
      <c r="B95" s="668" t="str">
        <f ca="1">OFFSET(ORÇAMENTO!C$15,$L95,0)</f>
        <v>S</v>
      </c>
      <c r="C95" s="668" t="str">
        <f ca="1">OFFSET(ORÇAMENTO!L$15,$L95,0)</f>
        <v>F</v>
      </c>
      <c r="D95" s="116" t="str">
        <f ca="1">OFFSET(ORÇAMENTO!N$15,$L95,0)</f>
        <v>Serviço</v>
      </c>
      <c r="E95" s="117" t="str">
        <f ca="1">OFFSET(ORÇAMENTO!O$15,$L95,0)</f>
        <v>1.12.4.</v>
      </c>
      <c r="F95" s="163" t="str">
        <f ca="1">OFFSET(ORÇAMENTO!R$15,$L95,0)</f>
        <v>RECOMPOSIÇÃO DE BASE E OU SUB-BASE PARA FECHAMENTO DE VALAS DE SOLO COM CIMENTO (TEOR DE 6%) - INCLUSO RETIRADA E COLOCAÇÃO DO MATERIAL. AF_12/2020</v>
      </c>
      <c r="G95" s="164" t="str">
        <f ca="1">IF($D95&lt;&gt;"Serviço","",OFFSET(ORÇAMENTO!S$15,$L95,0))</f>
        <v>M3</v>
      </c>
      <c r="H95" s="122" cm="1">
        <f t="array" aca="1" ref="H95" ca="1">IF($D95&lt;&gt;"Serviço",0,IF(ACOMPANHAMENTO="BM",ROUND(OFFSET(ORÇAMENTO!AJ$15,$L95,0),15-13*ORÇAMENTO!$AF$7),IF(IFERROR(CÁLCULO.FrentesPreenchidas,0)=0,0,SUM(ROUND(OFFSET($P95,0,1,1,CÁLCULO.FrentesPreenchidas),15-13*ORÇAMENTO!$AF$7)))))</f>
        <v>1220.4000000000001</v>
      </c>
      <c r="I95" s="468" t="s">
        <v>1323</v>
      </c>
      <c r="J95" s="651" t="str" cm="1">
        <f t="array" aca="1" ref="J95" ca="1">IF(OR(B95&lt;&gt;"S",CÁLCULO.FrentesPreenchidas=0),"",IF(AND(ACOMPANHAMENTO="PLE",AUTOEVENTO="Manual",OR(H95&gt;0,ORÇAMENTO!AC95="QUANT."),OR(K95="",M95=0,N95="")),"►E",IF(AND(ACOMPANHAMENTO="PLE",ORÇAMENTO!AC95="QUANT."),"►Q",IF(AND(ACOMPANHAMENTO="PLE",H95&lt;&gt;SUMPRODUCT(($Q$1:$AI$1=1)*ROUND(Q95:AI95,15))),"►S",IF(AND(COUNTIF($P$11:$AI$11,"▼")=0,H95&gt;0,I95=""),"◄M","")))))</f>
        <v/>
      </c>
      <c r="K95" s="652" t="s">
        <v>1353</v>
      </c>
      <c r="L95" s="165">
        <f t="shared" ca="1" si="13"/>
        <v>80</v>
      </c>
      <c r="M95" s="166">
        <f ca="1">IF($D95&lt;&gt;"Serviço","",
          IF(AUTOEVENTO="manual",$A95,
                IF(ISERROR(MATCH($A95,$A$15:OFFSET($A95,-1,0),0)),MAX($M$15:OFFSET(M95,-1,0))+1,
                      INDEX($M$15:OFFSET(M95,-1,0),MATCH($A95,$A$15:OFFSET($A95,-1,0),0)))))</f>
        <v>28</v>
      </c>
      <c r="N95" s="167" t="str">
        <f ca="1">IF($D95&lt;&gt;"Serviço","",
         IF(AUTOEVENTO="Manual",
                IF($A95=0,"&lt;-- defina o número do agrupador",
                       OFFSET(EVENTOS!$D$15,$A95-$A$15,0)),
                OFFSET($F$15,$A95,0)))</f>
        <v>Pavimentação</v>
      </c>
      <c r="O95" s="168"/>
      <c r="Q95" s="168"/>
      <c r="R95" s="169"/>
      <c r="S95" s="169"/>
      <c r="T95" s="169"/>
      <c r="U95" s="169">
        <v>1220.4000000000001</v>
      </c>
      <c r="V95" s="169"/>
      <c r="W95" s="169"/>
      <c r="X95" s="169"/>
      <c r="Y95" s="169"/>
      <c r="Z95" s="170"/>
      <c r="AA95" s="705"/>
      <c r="AB95" s="705"/>
      <c r="AC95" s="705"/>
      <c r="AD95" s="705"/>
      <c r="AE95" s="705"/>
      <c r="AF95" s="705"/>
      <c r="AG95" s="705"/>
      <c r="AH95" s="706"/>
      <c r="AJ95" s="453">
        <f ca="1">IF(AND($D95="Serviço",AJ$12&lt;&gt;0,$H95&gt;0,OR(AUTOEVENTO&lt;&gt;"manual",$M95&lt;&gt;$A$15)),
        IF(Import.TipoArredondamento&lt;&gt;"TransfereGOV",
              ROUND(OFFSET($P95,0,AJ$13),15-13*ORÇAMENTO!$AF$7)/$H95*OFFSET(ORÇAMENTO!$X$15,ROW(AJ95)-ROW(AJ$15),0),
              ROUND(ROUND(OFFSET($P95,0,AJ$13),15-13*ORÇAMENTO!$AF$7)*OFFSET(ORÇAMENTO!$W$15,ROW(AJ95)-ROW(AJ$15),0),15-13*ORÇAMENTO!$AF$11)),
         0)</f>
        <v>0</v>
      </c>
      <c r="AK95" s="453">
        <f ca="1">IF(AND($D95="Serviço",AK$12&lt;&gt;0,$H95&gt;0,OR(AUTOEVENTO&lt;&gt;"manual",$M95&lt;&gt;$A$15)),
        IF(Import.TipoArredondamento&lt;&gt;"TransfereGOV",
              ROUND(OFFSET($P95,0,AK$13),15-13*ORÇAMENTO!$AF$7)/$H95*OFFSET(ORÇAMENTO!$X$15,ROW(AK95)-ROW(AK$15),0),
              ROUND(ROUND(OFFSET($P95,0,AK$13),15-13*ORÇAMENTO!$AF$7)*OFFSET(ORÇAMENTO!$W$15,ROW(AK95)-ROW(AK$15),0),15-13*ORÇAMENTO!$AF$11)),
         0)</f>
        <v>0</v>
      </c>
      <c r="AL95" s="453">
        <f ca="1">IF(AND($D95="Serviço",AL$12&lt;&gt;0,$H95&gt;0,OR(AUTOEVENTO&lt;&gt;"manual",$M95&lt;&gt;$A$15)),
        IF(Import.TipoArredondamento&lt;&gt;"TransfereGOV",
              ROUND(OFFSET($P95,0,AL$13),15-13*ORÇAMENTO!$AF$7)/$H95*OFFSET(ORÇAMENTO!$X$15,ROW(AL95)-ROW(AL$15),0),
              ROUND(ROUND(OFFSET($P95,0,AL$13),15-13*ORÇAMENTO!$AF$7)*OFFSET(ORÇAMENTO!$W$15,ROW(AL95)-ROW(AL$15),0),15-13*ORÇAMENTO!$AF$11)),
         0)</f>
        <v>0</v>
      </c>
      <c r="AM95" s="453">
        <f ca="1">IF(AND($D95="Serviço",AM$12&lt;&gt;0,$H95&gt;0,OR(AUTOEVENTO&lt;&gt;"manual",$M95&lt;&gt;$A$15)),
        IF(Import.TipoArredondamento&lt;&gt;"TransfereGOV",
              ROUND(OFFSET($P95,0,AM$13),15-13*ORÇAMENTO!$AF$7)/$H95*OFFSET(ORÇAMENTO!$X$15,ROW(AM95)-ROW(AM$15),0),
              ROUND(ROUND(OFFSET($P95,0,AM$13),15-13*ORÇAMENTO!$AF$7)*OFFSET(ORÇAMENTO!$W$15,ROW(AM95)-ROW(AM$15),0),15-13*ORÇAMENTO!$AF$11)),
         0)</f>
        <v>0</v>
      </c>
      <c r="AN95" s="453">
        <f ca="1">IF(AND($D95="Serviço",AN$12&lt;&gt;0,$H95&gt;0,OR(AUTOEVENTO&lt;&gt;"manual",$M95&lt;&gt;$A$15)),
        IF(Import.TipoArredondamento&lt;&gt;"TransfereGOV",
              ROUND(OFFSET($P95,0,AN$13),15-13*ORÇAMENTO!$AF$7)/$H95*OFFSET(ORÇAMENTO!$X$15,ROW(AN95)-ROW(AN$15),0),
              ROUND(ROUND(OFFSET($P95,0,AN$13),15-13*ORÇAMENTO!$AF$7)*OFFSET(ORÇAMENTO!$W$15,ROW(AN95)-ROW(AN$15),0),15-13*ORÇAMENTO!$AF$11)),
         0)</f>
        <v>203330.84</v>
      </c>
      <c r="AO95" s="453">
        <f ca="1">IF(AND($D95="Serviço",AO$12&lt;&gt;0,$H95&gt;0,OR(AUTOEVENTO&lt;&gt;"manual",$M95&lt;&gt;$A$15)),
        IF(Import.TipoArredondamento&lt;&gt;"TransfereGOV",
              ROUND(OFFSET($P95,0,AO$13),15-13*ORÇAMENTO!$AF$7)/$H95*OFFSET(ORÇAMENTO!$X$15,ROW(AO95)-ROW(AO$15),0),
              ROUND(ROUND(OFFSET($P95,0,AO$13),15-13*ORÇAMENTO!$AF$7)*OFFSET(ORÇAMENTO!$W$15,ROW(AO95)-ROW(AO$15),0),15-13*ORÇAMENTO!$AF$11)),
         0)</f>
        <v>0</v>
      </c>
      <c r="AP95" s="453">
        <f ca="1">IF(AND($D95="Serviço",AP$12&lt;&gt;0,$H95&gt;0,OR(AUTOEVENTO&lt;&gt;"manual",$M95&lt;&gt;$A$15)),
        IF(Import.TipoArredondamento&lt;&gt;"TransfereGOV",
              ROUND(OFFSET($P95,0,AP$13),15-13*ORÇAMENTO!$AF$7)/$H95*OFFSET(ORÇAMENTO!$X$15,ROW(AP95)-ROW(AP$15),0),
              ROUND(ROUND(OFFSET($P95,0,AP$13),15-13*ORÇAMENTO!$AF$7)*OFFSET(ORÇAMENTO!$W$15,ROW(AP95)-ROW(AP$15),0),15-13*ORÇAMENTO!$AF$11)),
         0)</f>
        <v>0</v>
      </c>
      <c r="AQ95" s="453">
        <f ca="1">IF(AND($D95="Serviço",AQ$12&lt;&gt;0,$H95&gt;0,OR(AUTOEVENTO&lt;&gt;"manual",$M95&lt;&gt;$A$15)),
        IF(Import.TipoArredondamento&lt;&gt;"TransfereGOV",
              ROUND(OFFSET($P95,0,AQ$13),15-13*ORÇAMENTO!$AF$7)/$H95*OFFSET(ORÇAMENTO!$X$15,ROW(AQ95)-ROW(AQ$15),0),
              ROUND(ROUND(OFFSET($P95,0,AQ$13),15-13*ORÇAMENTO!$AF$7)*OFFSET(ORÇAMENTO!$W$15,ROW(AQ95)-ROW(AQ$15),0),15-13*ORÇAMENTO!$AF$11)),
         0)</f>
        <v>0</v>
      </c>
      <c r="AR95" s="453">
        <f ca="1">IF(AND($D95="Serviço",AR$12&lt;&gt;0,$H95&gt;0,OR(AUTOEVENTO&lt;&gt;"manual",$M95&lt;&gt;$A$15)),
        IF(Import.TipoArredondamento&lt;&gt;"TransfereGOV",
              ROUND(OFFSET($P95,0,AR$13),15-13*ORÇAMENTO!$AF$7)/$H95*OFFSET(ORÇAMENTO!$X$15,ROW(AR95)-ROW(AR$15),0),
              ROUND(ROUND(OFFSET($P95,0,AR$13),15-13*ORÇAMENTO!$AF$7)*OFFSET(ORÇAMENTO!$W$15,ROW(AR95)-ROW(AR$15),0),15-13*ORÇAMENTO!$AF$11)),
         0)</f>
        <v>0</v>
      </c>
      <c r="AS95" s="453">
        <f ca="1">IF(AND($D95="Serviço",AS$12&lt;&gt;0,$H95&gt;0,OR(AUTOEVENTO&lt;&gt;"manual",$M95&lt;&gt;$A$15)),
        IF(Import.TipoArredondamento&lt;&gt;"TransfereGOV",
              ROUND(OFFSET($P95,0,AS$13),15-13*ORÇAMENTO!$AF$7)/$H95*OFFSET(ORÇAMENTO!$X$15,ROW(AS95)-ROW(AS$15),0),
              ROUND(ROUND(OFFSET($P95,0,AS$13),15-13*ORÇAMENTO!$AF$7)*OFFSET(ORÇAMENTO!$W$15,ROW(AS95)-ROW(AS$15),0),15-13*ORÇAMENTO!$AF$11)),
         0)</f>
        <v>0</v>
      </c>
      <c r="AT95" s="453">
        <f ca="1">IF(AND($D95="Serviço",AT$12&lt;&gt;0,$H95&gt;0,OR(AUTOEVENTO&lt;&gt;"manual",$M95&lt;&gt;$A$15)),
        IF(Import.TipoArredondamento&lt;&gt;"TransfereGOV",
              ROUND(OFFSET($P95,0,AT$13),15-13*ORÇAMENTO!$AF$7)/$H95*OFFSET(ORÇAMENTO!$X$15,ROW(AT95)-ROW(AT$15),0),
              ROUND(ROUND(OFFSET($P95,0,AT$13),15-13*ORÇAMENTO!$AF$7)*OFFSET(ORÇAMENTO!$W$15,ROW(AT95)-ROW(AT$15),0),15-13*ORÇAMENTO!$AF$11)),
         0)</f>
        <v>0</v>
      </c>
      <c r="AU95" s="453">
        <f ca="1">IF(AND($D95="Serviço",AU$12&lt;&gt;0,$H95&gt;0,OR(AUTOEVENTO&lt;&gt;"manual",$M95&lt;&gt;$A$15)),
        IF(Import.TipoArredondamento&lt;&gt;"TransfereGOV",
              ROUND(OFFSET($P95,0,AU$13),15-13*ORÇAMENTO!$AF$7)/$H95*OFFSET(ORÇAMENTO!$X$15,ROW(AU95)-ROW(AU$15),0),
              ROUND(ROUND(OFFSET($P95,0,AU$13),15-13*ORÇAMENTO!$AF$7)*OFFSET(ORÇAMENTO!$W$15,ROW(AU95)-ROW(AU$15),0),15-13*ORÇAMENTO!$AF$11)),
         0)</f>
        <v>0</v>
      </c>
      <c r="AV95" s="453">
        <f ca="1">IF(AND($D95="Serviço",AV$12&lt;&gt;0,$H95&gt;0,OR(AUTOEVENTO&lt;&gt;"manual",$M95&lt;&gt;$A$15)),
        IF(Import.TipoArredondamento&lt;&gt;"TransfereGOV",
              ROUND(OFFSET($P95,0,AV$13),15-13*ORÇAMENTO!$AF$7)/$H95*OFFSET(ORÇAMENTO!$X$15,ROW(AV95)-ROW(AV$15),0),
              ROUND(ROUND(OFFSET($P95,0,AV$13),15-13*ORÇAMENTO!$AF$7)*OFFSET(ORÇAMENTO!$W$15,ROW(AV95)-ROW(AV$15),0),15-13*ORÇAMENTO!$AF$11)),
         0)</f>
        <v>0</v>
      </c>
      <c r="AW95" s="453">
        <f ca="1">IF(AND($D95="Serviço",AW$12&lt;&gt;0,$H95&gt;0,OR(AUTOEVENTO&lt;&gt;"manual",$M95&lt;&gt;$A$15)),
        IF(Import.TipoArredondamento&lt;&gt;"TransfereGOV",
              ROUND(OFFSET($P95,0,AW$13),15-13*ORÇAMENTO!$AF$7)/$H95*OFFSET(ORÇAMENTO!$X$15,ROW(AW95)-ROW(AW$15),0),
              ROUND(ROUND(OFFSET($P95,0,AW$13),15-13*ORÇAMENTO!$AF$7)*OFFSET(ORÇAMENTO!$W$15,ROW(AW95)-ROW(AW$15),0),15-13*ORÇAMENTO!$AF$11)),
         0)</f>
        <v>0</v>
      </c>
      <c r="AX95" s="453">
        <f ca="1">IF(AND($D95="Serviço",AX$12&lt;&gt;0,$H95&gt;0,OR(AUTOEVENTO&lt;&gt;"manual",$M95&lt;&gt;$A$15)),
        IF(Import.TipoArredondamento&lt;&gt;"TransfereGOV",
              ROUND(OFFSET($P95,0,AX$13),15-13*ORÇAMENTO!$AF$7)/$H95*OFFSET(ORÇAMENTO!$X$15,ROW(AX95)-ROW(AX$15),0),
              ROUND(ROUND(OFFSET($P95,0,AX$13),15-13*ORÇAMENTO!$AF$7)*OFFSET(ORÇAMENTO!$W$15,ROW(AX95)-ROW(AX$15),0),15-13*ORÇAMENTO!$AF$11)),
         0)</f>
        <v>0</v>
      </c>
      <c r="AY95" s="453">
        <f ca="1">IF(AND($D95="Serviço",AY$12&lt;&gt;0,$H95&gt;0,OR(AUTOEVENTO&lt;&gt;"manual",$M95&lt;&gt;$A$15)),
        IF(Import.TipoArredondamento&lt;&gt;"TransfereGOV",
              ROUND(OFFSET($P95,0,AY$13),15-13*ORÇAMENTO!$AF$7)/$H95*OFFSET(ORÇAMENTO!$X$15,ROW(AY95)-ROW(AY$15),0),
              ROUND(ROUND(OFFSET($P95,0,AY$13),15-13*ORÇAMENTO!$AF$7)*OFFSET(ORÇAMENTO!$W$15,ROW(AY95)-ROW(AY$15),0),15-13*ORÇAMENTO!$AF$11)),
         0)</f>
        <v>0</v>
      </c>
      <c r="AZ95" s="453">
        <f ca="1">IF(AND($D95="Serviço",AZ$12&lt;&gt;0,$H95&gt;0,OR(AUTOEVENTO&lt;&gt;"manual",$M95&lt;&gt;$A$15)),
        IF(Import.TipoArredondamento&lt;&gt;"TransfereGOV",
              ROUND(OFFSET($P95,0,AZ$13),15-13*ORÇAMENTO!$AF$7)/$H95*OFFSET(ORÇAMENTO!$X$15,ROW(AZ95)-ROW(AZ$15),0),
              ROUND(ROUND(OFFSET($P95,0,AZ$13),15-13*ORÇAMENTO!$AF$7)*OFFSET(ORÇAMENTO!$W$15,ROW(AZ95)-ROW(AZ$15),0),15-13*ORÇAMENTO!$AF$11)),
         0)</f>
        <v>0</v>
      </c>
      <c r="BA95" s="453">
        <f ca="1">IF(AND($D95="Serviço",BA$12&lt;&gt;0,$H95&gt;0,OR(AUTOEVENTO&lt;&gt;"manual",$M95&lt;&gt;$A$15)),
        IF(Import.TipoArredondamento&lt;&gt;"TransfereGOV",
              ROUND(OFFSET($P95,0,BA$13),15-13*ORÇAMENTO!$AF$7)/$H95*OFFSET(ORÇAMENTO!$X$15,ROW(BA95)-ROW(BA$15),0),
              ROUND(ROUND(OFFSET($P95,0,BA$13),15-13*ORÇAMENTO!$AF$7)*OFFSET(ORÇAMENTO!$W$15,ROW(BA95)-ROW(BA$15),0),15-13*ORÇAMENTO!$AF$11)),
         0)</f>
        <v>0</v>
      </c>
      <c r="BC95" s="171">
        <f ca="1">IF(OR($D95&lt;&gt;"Serviço",AND(AUTOEVENTO="Manual",$M95=$A$15)),0,
         IF(OFFSET(CRONOPLE!$F$15,$M95-$A$15,BC$13)=0,10^12,OFFSET(CRONOPLE!$F$15,$M95-$A$15,BC$13)))</f>
        <v>1000000000000</v>
      </c>
      <c r="BD95" s="171">
        <f ca="1">IF(OR($D95&lt;&gt;"Serviço",AND(AUTOEVENTO="Manual",$M95=$A$15)),0,
         IF(OFFSET(CRONOPLE!$F$15,$M95-$A$15,BD$13)=0,10^12,OFFSET(CRONOPLE!$F$15,$M95-$A$15,BD$13)))</f>
        <v>1000000000000</v>
      </c>
      <c r="BE95" s="171">
        <f ca="1">IF(OR($D95&lt;&gt;"Serviço",AND(AUTOEVENTO="Manual",$M95=$A$15)),0,
         IF(OFFSET(CRONOPLE!$F$15,$M95-$A$15,BE$13)=0,10^12,OFFSET(CRONOPLE!$F$15,$M95-$A$15,BE$13)))</f>
        <v>1000000000000</v>
      </c>
      <c r="BF95" s="171">
        <f ca="1">IF(OR($D95&lt;&gt;"Serviço",AND(AUTOEVENTO="Manual",$M95=$A$15)),0,
         IF(OFFSET(CRONOPLE!$F$15,$M95-$A$15,BF$13)=0,10^12,OFFSET(CRONOPLE!$F$15,$M95-$A$15,BF$13)))</f>
        <v>1000000000000</v>
      </c>
      <c r="BG95" s="171">
        <f ca="1">IF(OR($D95&lt;&gt;"Serviço",AND(AUTOEVENTO="Manual",$M95=$A$15)),0,
         IF(OFFSET(CRONOPLE!$F$15,$M95-$A$15,BG$13)=0,10^12,OFFSET(CRONOPLE!$F$15,$M95-$A$15,BG$13)))</f>
        <v>5</v>
      </c>
      <c r="BH95" s="171">
        <f ca="1">IF(OR($D95&lt;&gt;"Serviço",AND(AUTOEVENTO="Manual",$M95=$A$15)),0,
         IF(OFFSET(CRONOPLE!$F$15,$M95-$A$15,BH$13)=0,10^12,OFFSET(CRONOPLE!$F$15,$M95-$A$15,BH$13)))</f>
        <v>11</v>
      </c>
      <c r="BI95" s="171">
        <f ca="1">IF(OR($D95&lt;&gt;"Serviço",AND(AUTOEVENTO="Manual",$M95=$A$15)),0,
         IF(OFFSET(CRONOPLE!$F$15,$M95-$A$15,BI$13)=0,10^12,OFFSET(CRONOPLE!$F$15,$M95-$A$15,BI$13)))</f>
        <v>1000000000000</v>
      </c>
      <c r="BJ95" s="171">
        <f ca="1">IF(OR($D95&lt;&gt;"Serviço",AND(AUTOEVENTO="Manual",$M95=$A$15)),0,
         IF(OFFSET(CRONOPLE!$F$15,$M95-$A$15,BJ$13)=0,10^12,OFFSET(CRONOPLE!$F$15,$M95-$A$15,BJ$13)))</f>
        <v>1000000000000</v>
      </c>
      <c r="BK95" s="171">
        <f ca="1">IF(OR($D95&lt;&gt;"Serviço",AND(AUTOEVENTO="Manual",$M95=$A$15)),0,
         IF(OFFSET(CRONOPLE!$F$15,$M95-$A$15,BK$13)=0,10^12,OFFSET(CRONOPLE!$F$15,$M95-$A$15,BK$13)))</f>
        <v>1000000000000</v>
      </c>
      <c r="BL95" s="171">
        <f ca="1">IF(OR($D95&lt;&gt;"Serviço",AND(AUTOEVENTO="Manual",$M95=$A$15)),0,
         IF(OFFSET(CRONOPLE!$F$15,$M95-$A$15,BL$13)=0,10^12,OFFSET(CRONOPLE!$F$15,$M95-$A$15,BL$13)))</f>
        <v>1000000000000</v>
      </c>
      <c r="BM95" s="171">
        <f ca="1">IF(OR($D95&lt;&gt;"Serviço",AND(AUTOEVENTO="Manual",$M95=$A$15)),0,
         IF(OFFSET(CRONOPLE!$F$15,$M95-$A$15,BM$13)=0,10^12,OFFSET(CRONOPLE!$F$15,$M95-$A$15,BM$13)))</f>
        <v>1000000000000</v>
      </c>
      <c r="BN95" s="171">
        <f ca="1">IF(OR($D95&lt;&gt;"Serviço",AND(AUTOEVENTO="Manual",$M95=$A$15)),0,
         IF(OFFSET(CRONOPLE!$F$15,$M95-$A$15,BN$13)=0,10^12,OFFSET(CRONOPLE!$F$15,$M95-$A$15,BN$13)))</f>
        <v>1000000000000</v>
      </c>
      <c r="BO95" s="171">
        <f ca="1">IF(OR($D95&lt;&gt;"Serviço",AND(AUTOEVENTO="Manual",$M95=$A$15)),0,
         IF(OFFSET(CRONOPLE!$F$15,$M95-$A$15,BO$13)=0,10^12,OFFSET(CRONOPLE!$F$15,$M95-$A$15,BO$13)))</f>
        <v>1000000000000</v>
      </c>
      <c r="BP95" s="171">
        <f ca="1">IF(OR($D95&lt;&gt;"Serviço",AND(AUTOEVENTO="Manual",$M95=$A$15)),0,
         IF(OFFSET(CRONOPLE!$F$15,$M95-$A$15,BP$13)=0,10^12,OFFSET(CRONOPLE!$F$15,$M95-$A$15,BP$13)))</f>
        <v>1000000000000</v>
      </c>
      <c r="BQ95" s="171">
        <f ca="1">IF(OR($D95&lt;&gt;"Serviço",AND(AUTOEVENTO="Manual",$M95=$A$15)),0,
         IF(OFFSET(CRONOPLE!$F$15,$M95-$A$15,BQ$13)=0,10^12,OFFSET(CRONOPLE!$F$15,$M95-$A$15,BQ$13)))</f>
        <v>1000000000000</v>
      </c>
      <c r="BR95" s="171">
        <f ca="1">IF(OR($D95&lt;&gt;"Serviço",AND(AUTOEVENTO="Manual",$M95=$A$15)),0,
         IF(OFFSET(CRONOPLE!$F$15,$M95-$A$15,BR$13)=0,10^12,OFFSET(CRONOPLE!$F$15,$M95-$A$15,BR$13)))</f>
        <v>1000000000000</v>
      </c>
      <c r="BS95" s="171">
        <f ca="1">IF(OR($D95&lt;&gt;"Serviço",AND(AUTOEVENTO="Manual",$M95=$A$15)),0,
         IF(OFFSET(CRONOPLE!$F$15,$M95-$A$15,BS$13)=0,10^12,OFFSET(CRONOPLE!$F$15,$M95-$A$15,BS$13)))</f>
        <v>1000000000000</v>
      </c>
      <c r="BT95" s="171">
        <f ca="1">IF(OR($D95&lt;&gt;"Serviço",AND(AUTOEVENTO="Manual",$M95=$A$15)),0,
         IF(OFFSET(CRONOPLE!$F$15,$M95-$A$15,BT$13)=0,10^12,OFFSET(CRONOPLE!$F$15,$M95-$A$15,BT$13)))</f>
        <v>1000000000000</v>
      </c>
      <c r="BV95" s="172" cm="1">
        <f t="array" aca="1" ref="BV95" ca="1">IF(OR($D95&lt;&gt;"Serviço",AND(AUTOEVENTO="Manual",$M95=$A$15),$M95&gt;(ROW(PLE.lastrow)-ROW(PLE.firstrow))),0,
           IF(OFFSET(PLE!$G$15,$M95-$A$15,BV$13)="",10^12,OFFSET(PLE!$G$15,$M95-$A$15,BV$13)))</f>
        <v>1000000000000</v>
      </c>
      <c r="BW95" s="172" cm="1">
        <f t="array" aca="1" ref="BW95" ca="1">IF(OR($D95&lt;&gt;"Serviço",AND(AUTOEVENTO="Manual",$M95=$A$15),$M95&gt;(ROW(PLE.lastrow)-ROW(PLE.firstrow))),0,
           IF(OFFSET(PLE!$G$15,$M95-$A$15,BW$13)="",10^12,OFFSET(PLE!$G$15,$M95-$A$15,BW$13)))</f>
        <v>1000000000000</v>
      </c>
      <c r="BX95" s="172" cm="1">
        <f t="array" aca="1" ref="BX95" ca="1">IF(OR($D95&lt;&gt;"Serviço",AND(AUTOEVENTO="Manual",$M95=$A$15),$M95&gt;(ROW(PLE.lastrow)-ROW(PLE.firstrow))),0,
           IF(OFFSET(PLE!$G$15,$M95-$A$15,BX$13)="",10^12,OFFSET(PLE!$G$15,$M95-$A$15,BX$13)))</f>
        <v>1000000000000</v>
      </c>
      <c r="BY95" s="172" cm="1">
        <f t="array" aca="1" ref="BY95" ca="1">IF(OR($D95&lt;&gt;"Serviço",AND(AUTOEVENTO="Manual",$M95=$A$15),$M95&gt;(ROW(PLE.lastrow)-ROW(PLE.firstrow))),0,
           IF(OFFSET(PLE!$G$15,$M95-$A$15,BY$13)="",10^12,OFFSET(PLE!$G$15,$M95-$A$15,BY$13)))</f>
        <v>1000000000000</v>
      </c>
      <c r="BZ95" s="172" cm="1">
        <f t="array" aca="1" ref="BZ95" ca="1">IF(OR($D95&lt;&gt;"Serviço",AND(AUTOEVENTO="Manual",$M95=$A$15),$M95&gt;(ROW(PLE.lastrow)-ROW(PLE.firstrow))),0,
           IF(OFFSET(PLE!$G$15,$M95-$A$15,BZ$13)="",10^12,OFFSET(PLE!$G$15,$M95-$A$15,BZ$13)))</f>
        <v>1000000000000</v>
      </c>
      <c r="CA95" s="172" cm="1">
        <f t="array" aca="1" ref="CA95" ca="1">IF(OR($D95&lt;&gt;"Serviço",AND(AUTOEVENTO="Manual",$M95=$A$15),$M95&gt;(ROW(PLE.lastrow)-ROW(PLE.firstrow))),0,
           IF(OFFSET(PLE!$G$15,$M95-$A$15,CA$13)="",10^12,OFFSET(PLE!$G$15,$M95-$A$15,CA$13)))</f>
        <v>1000000000000</v>
      </c>
      <c r="CB95" s="172" cm="1">
        <f t="array" aca="1" ref="CB95" ca="1">IF(OR($D95&lt;&gt;"Serviço",AND(AUTOEVENTO="Manual",$M95=$A$15),$M95&gt;(ROW(PLE.lastrow)-ROW(PLE.firstrow))),0,
           IF(OFFSET(PLE!$G$15,$M95-$A$15,CB$13)="",10^12,OFFSET(PLE!$G$15,$M95-$A$15,CB$13)))</f>
        <v>1000000000000</v>
      </c>
      <c r="CC95" s="172" cm="1">
        <f t="array" aca="1" ref="CC95" ca="1">IF(OR($D95&lt;&gt;"Serviço",AND(AUTOEVENTO="Manual",$M95=$A$15),$M95&gt;(ROW(PLE.lastrow)-ROW(PLE.firstrow))),0,
           IF(OFFSET(PLE!$G$15,$M95-$A$15,CC$13)="",10^12,OFFSET(PLE!$G$15,$M95-$A$15,CC$13)))</f>
        <v>1000000000000</v>
      </c>
      <c r="CD95" s="172" cm="1">
        <f t="array" aca="1" ref="CD95" ca="1">IF(OR($D95&lt;&gt;"Serviço",AND(AUTOEVENTO="Manual",$M95=$A$15),$M95&gt;(ROW(PLE.lastrow)-ROW(PLE.firstrow))),0,
           IF(OFFSET(PLE!$G$15,$M95-$A$15,CD$13)="",10^12,OFFSET(PLE!$G$15,$M95-$A$15,CD$13)))</f>
        <v>1000000000000</v>
      </c>
      <c r="CE95" s="172" cm="1">
        <f t="array" aca="1" ref="CE95" ca="1">IF(OR($D95&lt;&gt;"Serviço",AND(AUTOEVENTO="Manual",$M95=$A$15),$M95&gt;(ROW(PLE.lastrow)-ROW(PLE.firstrow))),0,
           IF(OFFSET(PLE!$G$15,$M95-$A$15,CE$13)="",10^12,OFFSET(PLE!$G$15,$M95-$A$15,CE$13)))</f>
        <v>1000000000000</v>
      </c>
      <c r="CF95" s="172" cm="1">
        <f t="array" aca="1" ref="CF95" ca="1">IF(OR($D95&lt;&gt;"Serviço",AND(AUTOEVENTO="Manual",$M95=$A$15),$M95&gt;(ROW(PLE.lastrow)-ROW(PLE.firstrow))),0,
           IF(OFFSET(PLE!$G$15,$M95-$A$15,CF$13)="",10^12,OFFSET(PLE!$G$15,$M95-$A$15,CF$13)))</f>
        <v>1000000000000</v>
      </c>
      <c r="CG95" s="172" cm="1">
        <f t="array" aca="1" ref="CG95" ca="1">IF(OR($D95&lt;&gt;"Serviço",AND(AUTOEVENTO="Manual",$M95=$A$15),$M95&gt;(ROW(PLE.lastrow)-ROW(PLE.firstrow))),0,
           IF(OFFSET(PLE!$G$15,$M95-$A$15,CG$13)="",10^12,OFFSET(PLE!$G$15,$M95-$A$15,CG$13)))</f>
        <v>1000000000000</v>
      </c>
      <c r="CH95" s="172" cm="1">
        <f t="array" aca="1" ref="CH95" ca="1">IF(OR($D95&lt;&gt;"Serviço",AND(AUTOEVENTO="Manual",$M95=$A$15),$M95&gt;(ROW(PLE.lastrow)-ROW(PLE.firstrow))),0,
           IF(OFFSET(PLE!$G$15,$M95-$A$15,CH$13)="",10^12,OFFSET(PLE!$G$15,$M95-$A$15,CH$13)))</f>
        <v>1000000000000</v>
      </c>
      <c r="CI95" s="172" cm="1">
        <f t="array" aca="1" ref="CI95" ca="1">IF(OR($D95&lt;&gt;"Serviço",AND(AUTOEVENTO="Manual",$M95=$A$15),$M95&gt;(ROW(PLE.lastrow)-ROW(PLE.firstrow))),0,
           IF(OFFSET(PLE!$G$15,$M95-$A$15,CI$13)="",10^12,OFFSET(PLE!$G$15,$M95-$A$15,CI$13)))</f>
        <v>1000000000000</v>
      </c>
      <c r="CJ95" s="172" cm="1">
        <f t="array" aca="1" ref="CJ95" ca="1">IF(OR($D95&lt;&gt;"Serviço",AND(AUTOEVENTO="Manual",$M95=$A$15),$M95&gt;(ROW(PLE.lastrow)-ROW(PLE.firstrow))),0,
           IF(OFFSET(PLE!$G$15,$M95-$A$15,CJ$13)="",10^12,OFFSET(PLE!$G$15,$M95-$A$15,CJ$13)))</f>
        <v>1000000000000</v>
      </c>
      <c r="CK95" s="172" cm="1">
        <f t="array" aca="1" ref="CK95" ca="1">IF(OR($D95&lt;&gt;"Serviço",AND(AUTOEVENTO="Manual",$M95=$A$15),$M95&gt;(ROW(PLE.lastrow)-ROW(PLE.firstrow))),0,
           IF(OFFSET(PLE!$G$15,$M95-$A$15,CK$13)="",10^12,OFFSET(PLE!$G$15,$M95-$A$15,CK$13)))</f>
        <v>1000000000000</v>
      </c>
      <c r="CL95" s="172" cm="1">
        <f t="array" aca="1" ref="CL95" ca="1">IF(OR($D95&lt;&gt;"Serviço",AND(AUTOEVENTO="Manual",$M95=$A$15),$M95&gt;(ROW(PLE.lastrow)-ROW(PLE.firstrow))),0,
           IF(OFFSET(PLE!$G$15,$M95-$A$15,CL$13)="",10^12,OFFSET(PLE!$G$15,$M95-$A$15,CL$13)))</f>
        <v>1000000000000</v>
      </c>
      <c r="CM95" s="172" cm="1">
        <f t="array" aca="1" ref="CM95" ca="1">IF(OR($D95&lt;&gt;"Serviço",AND(AUTOEVENTO="Manual",$M95=$A$15),$M95&gt;(ROW(PLE.lastrow)-ROW(PLE.firstrow))),0,
           IF(OFFSET(PLE!$G$15,$M95-$A$15,CM$13)="",10^12,OFFSET(PLE!$G$15,$M95-$A$15,CM$13)))</f>
        <v>1000000000000</v>
      </c>
    </row>
    <row r="96" spans="1:91" s="670" customFormat="1" ht="12.75" x14ac:dyDescent="0.2">
      <c r="A96" s="668">
        <f t="shared" ca="1" si="12"/>
        <v>28</v>
      </c>
      <c r="B96" s="668" t="str">
        <f ca="1">OFFSET(ORÇAMENTO!C$15,$L96,0)</f>
        <v>S</v>
      </c>
      <c r="C96" s="668" t="str">
        <f ca="1">OFFSET(ORÇAMENTO!L$15,$L96,0)</f>
        <v>F</v>
      </c>
      <c r="D96" s="116" t="str">
        <f ca="1">OFFSET(ORÇAMENTO!N$15,$L96,0)</f>
        <v>Serviço</v>
      </c>
      <c r="E96" s="117" t="str">
        <f ca="1">OFFSET(ORÇAMENTO!O$15,$L96,0)</f>
        <v>1.12.5.</v>
      </c>
      <c r="F96" s="163" t="str">
        <f ca="1">OFFSET(ORÇAMENTO!R$15,$L96,0)</f>
        <v>PINTURA DE LIGAÇÃO COM RR-1C</v>
      </c>
      <c r="G96" s="164" t="str">
        <f ca="1">IF($D96&lt;&gt;"Serviço","",OFFSET(ORÇAMENTO!S$15,$L96,0))</f>
        <v>M2</v>
      </c>
      <c r="H96" s="122" cm="1">
        <f t="array" aca="1" ref="H96" ca="1">IF($D96&lt;&gt;"Serviço",0,IF(ACOMPANHAMENTO="BM",ROUND(OFFSET(ORÇAMENTO!AJ$15,$L96,0),15-13*ORÇAMENTO!$AF$7),IF(IFERROR(CÁLCULO.FrentesPreenchidas,0)=0,0,SUM(ROUND(OFFSET($P96,0,1,1,CÁLCULO.FrentesPreenchidas),15-13*ORÇAMENTO!$AF$7)))))</f>
        <v>15255</v>
      </c>
      <c r="I96" s="468" t="s">
        <v>1324</v>
      </c>
      <c r="J96" s="651" t="str" cm="1">
        <f t="array" aca="1" ref="J96" ca="1">IF(OR(B96&lt;&gt;"S",CÁLCULO.FrentesPreenchidas=0),"",IF(AND(ACOMPANHAMENTO="PLE",AUTOEVENTO="Manual",OR(H96&gt;0,ORÇAMENTO!AC96="QUANT."),OR(K96="",M96=0,N96="")),"►E",IF(AND(ACOMPANHAMENTO="PLE",ORÇAMENTO!AC96="QUANT."),"►Q",IF(AND(ACOMPANHAMENTO="PLE",H96&lt;&gt;SUMPRODUCT(($Q$1:$AI$1=1)*ROUND(Q96:AI96,15))),"►S",IF(AND(COUNTIF($P$11:$AI$11,"▼")=0,H96&gt;0,I96=""),"◄M","")))))</f>
        <v/>
      </c>
      <c r="K96" s="652" t="s">
        <v>1353</v>
      </c>
      <c r="L96" s="165">
        <f t="shared" ca="1" si="13"/>
        <v>81</v>
      </c>
      <c r="M96" s="166">
        <f ca="1">IF($D96&lt;&gt;"Serviço","",
          IF(AUTOEVENTO="manual",$A96,
                IF(ISERROR(MATCH($A96,$A$15:OFFSET($A96,-1,0),0)),MAX($M$15:OFFSET(M96,-1,0))+1,
                      INDEX($M$15:OFFSET(M96,-1,0),MATCH($A96,$A$15:OFFSET($A96,-1,0),0)))))</f>
        <v>28</v>
      </c>
      <c r="N96" s="167" t="str">
        <f ca="1">IF($D96&lt;&gt;"Serviço","",
         IF(AUTOEVENTO="Manual",
                IF($A96=0,"&lt;-- defina o número do agrupador",
                       OFFSET(EVENTOS!$D$15,$A96-$A$15,0)),
                OFFSET($F$15,$A96,0)))</f>
        <v>Pavimentação</v>
      </c>
      <c r="O96" s="168"/>
      <c r="Q96" s="168"/>
      <c r="R96" s="169"/>
      <c r="S96" s="169"/>
      <c r="T96" s="169"/>
      <c r="U96" s="169">
        <v>15255</v>
      </c>
      <c r="V96" s="169"/>
      <c r="W96" s="169"/>
      <c r="X96" s="169"/>
      <c r="Y96" s="169"/>
      <c r="Z96" s="170"/>
      <c r="AA96" s="705"/>
      <c r="AB96" s="705"/>
      <c r="AC96" s="705"/>
      <c r="AD96" s="705"/>
      <c r="AE96" s="705"/>
      <c r="AF96" s="705"/>
      <c r="AG96" s="705"/>
      <c r="AH96" s="706"/>
      <c r="AJ96" s="453">
        <f ca="1">IF(AND($D96="Serviço",AJ$12&lt;&gt;0,$H96&gt;0,OR(AUTOEVENTO&lt;&gt;"manual",$M96&lt;&gt;$A$15)),
        IF(Import.TipoArredondamento&lt;&gt;"TransfereGOV",
              ROUND(OFFSET($P96,0,AJ$13),15-13*ORÇAMENTO!$AF$7)/$H96*OFFSET(ORÇAMENTO!$X$15,ROW(AJ96)-ROW(AJ$15),0),
              ROUND(ROUND(OFFSET($P96,0,AJ$13),15-13*ORÇAMENTO!$AF$7)*OFFSET(ORÇAMENTO!$W$15,ROW(AJ96)-ROW(AJ$15),0),15-13*ORÇAMENTO!$AF$11)),
         0)</f>
        <v>0</v>
      </c>
      <c r="AK96" s="453">
        <f ca="1">IF(AND($D96="Serviço",AK$12&lt;&gt;0,$H96&gt;0,OR(AUTOEVENTO&lt;&gt;"manual",$M96&lt;&gt;$A$15)),
        IF(Import.TipoArredondamento&lt;&gt;"TransfereGOV",
              ROUND(OFFSET($P96,0,AK$13),15-13*ORÇAMENTO!$AF$7)/$H96*OFFSET(ORÇAMENTO!$X$15,ROW(AK96)-ROW(AK$15),0),
              ROUND(ROUND(OFFSET($P96,0,AK$13),15-13*ORÇAMENTO!$AF$7)*OFFSET(ORÇAMENTO!$W$15,ROW(AK96)-ROW(AK$15),0),15-13*ORÇAMENTO!$AF$11)),
         0)</f>
        <v>0</v>
      </c>
      <c r="AL96" s="453">
        <f ca="1">IF(AND($D96="Serviço",AL$12&lt;&gt;0,$H96&gt;0,OR(AUTOEVENTO&lt;&gt;"manual",$M96&lt;&gt;$A$15)),
        IF(Import.TipoArredondamento&lt;&gt;"TransfereGOV",
              ROUND(OFFSET($P96,0,AL$13),15-13*ORÇAMENTO!$AF$7)/$H96*OFFSET(ORÇAMENTO!$X$15,ROW(AL96)-ROW(AL$15),0),
              ROUND(ROUND(OFFSET($P96,0,AL$13),15-13*ORÇAMENTO!$AF$7)*OFFSET(ORÇAMENTO!$W$15,ROW(AL96)-ROW(AL$15),0),15-13*ORÇAMENTO!$AF$11)),
         0)</f>
        <v>0</v>
      </c>
      <c r="AM96" s="453">
        <f ca="1">IF(AND($D96="Serviço",AM$12&lt;&gt;0,$H96&gt;0,OR(AUTOEVENTO&lt;&gt;"manual",$M96&lt;&gt;$A$15)),
        IF(Import.TipoArredondamento&lt;&gt;"TransfereGOV",
              ROUND(OFFSET($P96,0,AM$13),15-13*ORÇAMENTO!$AF$7)/$H96*OFFSET(ORÇAMENTO!$X$15,ROW(AM96)-ROW(AM$15),0),
              ROUND(ROUND(OFFSET($P96,0,AM$13),15-13*ORÇAMENTO!$AF$7)*OFFSET(ORÇAMENTO!$W$15,ROW(AM96)-ROW(AM$15),0),15-13*ORÇAMENTO!$AF$11)),
         0)</f>
        <v>0</v>
      </c>
      <c r="AN96" s="453">
        <f ca="1">IF(AND($D96="Serviço",AN$12&lt;&gt;0,$H96&gt;0,OR(AUTOEVENTO&lt;&gt;"manual",$M96&lt;&gt;$A$15)),
        IF(Import.TipoArredondamento&lt;&gt;"TransfereGOV",
              ROUND(OFFSET($P96,0,AN$13),15-13*ORÇAMENTO!$AF$7)/$H96*OFFSET(ORÇAMENTO!$X$15,ROW(AN96)-ROW(AN$15),0),
              ROUND(ROUND(OFFSET($P96,0,AN$13),15-13*ORÇAMENTO!$AF$7)*OFFSET(ORÇAMENTO!$W$15,ROW(AN96)-ROW(AN$15),0),15-13*ORÇAMENTO!$AF$11)),
         0)</f>
        <v>43171.65</v>
      </c>
      <c r="AO96" s="453">
        <f ca="1">IF(AND($D96="Serviço",AO$12&lt;&gt;0,$H96&gt;0,OR(AUTOEVENTO&lt;&gt;"manual",$M96&lt;&gt;$A$15)),
        IF(Import.TipoArredondamento&lt;&gt;"TransfereGOV",
              ROUND(OFFSET($P96,0,AO$13),15-13*ORÇAMENTO!$AF$7)/$H96*OFFSET(ORÇAMENTO!$X$15,ROW(AO96)-ROW(AO$15),0),
              ROUND(ROUND(OFFSET($P96,0,AO$13),15-13*ORÇAMENTO!$AF$7)*OFFSET(ORÇAMENTO!$W$15,ROW(AO96)-ROW(AO$15),0),15-13*ORÇAMENTO!$AF$11)),
         0)</f>
        <v>0</v>
      </c>
      <c r="AP96" s="453">
        <f ca="1">IF(AND($D96="Serviço",AP$12&lt;&gt;0,$H96&gt;0,OR(AUTOEVENTO&lt;&gt;"manual",$M96&lt;&gt;$A$15)),
        IF(Import.TipoArredondamento&lt;&gt;"TransfereGOV",
              ROUND(OFFSET($P96,0,AP$13),15-13*ORÇAMENTO!$AF$7)/$H96*OFFSET(ORÇAMENTO!$X$15,ROW(AP96)-ROW(AP$15),0),
              ROUND(ROUND(OFFSET($P96,0,AP$13),15-13*ORÇAMENTO!$AF$7)*OFFSET(ORÇAMENTO!$W$15,ROW(AP96)-ROW(AP$15),0),15-13*ORÇAMENTO!$AF$11)),
         0)</f>
        <v>0</v>
      </c>
      <c r="AQ96" s="453">
        <f ca="1">IF(AND($D96="Serviço",AQ$12&lt;&gt;0,$H96&gt;0,OR(AUTOEVENTO&lt;&gt;"manual",$M96&lt;&gt;$A$15)),
        IF(Import.TipoArredondamento&lt;&gt;"TransfereGOV",
              ROUND(OFFSET($P96,0,AQ$13),15-13*ORÇAMENTO!$AF$7)/$H96*OFFSET(ORÇAMENTO!$X$15,ROW(AQ96)-ROW(AQ$15),0),
              ROUND(ROUND(OFFSET($P96,0,AQ$13),15-13*ORÇAMENTO!$AF$7)*OFFSET(ORÇAMENTO!$W$15,ROW(AQ96)-ROW(AQ$15),0),15-13*ORÇAMENTO!$AF$11)),
         0)</f>
        <v>0</v>
      </c>
      <c r="AR96" s="453">
        <f ca="1">IF(AND($D96="Serviço",AR$12&lt;&gt;0,$H96&gt;0,OR(AUTOEVENTO&lt;&gt;"manual",$M96&lt;&gt;$A$15)),
        IF(Import.TipoArredondamento&lt;&gt;"TransfereGOV",
              ROUND(OFFSET($P96,0,AR$13),15-13*ORÇAMENTO!$AF$7)/$H96*OFFSET(ORÇAMENTO!$X$15,ROW(AR96)-ROW(AR$15),0),
              ROUND(ROUND(OFFSET($P96,0,AR$13),15-13*ORÇAMENTO!$AF$7)*OFFSET(ORÇAMENTO!$W$15,ROW(AR96)-ROW(AR$15),0),15-13*ORÇAMENTO!$AF$11)),
         0)</f>
        <v>0</v>
      </c>
      <c r="AS96" s="453">
        <f ca="1">IF(AND($D96="Serviço",AS$12&lt;&gt;0,$H96&gt;0,OR(AUTOEVENTO&lt;&gt;"manual",$M96&lt;&gt;$A$15)),
        IF(Import.TipoArredondamento&lt;&gt;"TransfereGOV",
              ROUND(OFFSET($P96,0,AS$13),15-13*ORÇAMENTO!$AF$7)/$H96*OFFSET(ORÇAMENTO!$X$15,ROW(AS96)-ROW(AS$15),0),
              ROUND(ROUND(OFFSET($P96,0,AS$13),15-13*ORÇAMENTO!$AF$7)*OFFSET(ORÇAMENTO!$W$15,ROW(AS96)-ROW(AS$15),0),15-13*ORÇAMENTO!$AF$11)),
         0)</f>
        <v>0</v>
      </c>
      <c r="AT96" s="453">
        <f ca="1">IF(AND($D96="Serviço",AT$12&lt;&gt;0,$H96&gt;0,OR(AUTOEVENTO&lt;&gt;"manual",$M96&lt;&gt;$A$15)),
        IF(Import.TipoArredondamento&lt;&gt;"TransfereGOV",
              ROUND(OFFSET($P96,0,AT$13),15-13*ORÇAMENTO!$AF$7)/$H96*OFFSET(ORÇAMENTO!$X$15,ROW(AT96)-ROW(AT$15),0),
              ROUND(ROUND(OFFSET($P96,0,AT$13),15-13*ORÇAMENTO!$AF$7)*OFFSET(ORÇAMENTO!$W$15,ROW(AT96)-ROW(AT$15),0),15-13*ORÇAMENTO!$AF$11)),
         0)</f>
        <v>0</v>
      </c>
      <c r="AU96" s="453">
        <f ca="1">IF(AND($D96="Serviço",AU$12&lt;&gt;0,$H96&gt;0,OR(AUTOEVENTO&lt;&gt;"manual",$M96&lt;&gt;$A$15)),
        IF(Import.TipoArredondamento&lt;&gt;"TransfereGOV",
              ROUND(OFFSET($P96,0,AU$13),15-13*ORÇAMENTO!$AF$7)/$H96*OFFSET(ORÇAMENTO!$X$15,ROW(AU96)-ROW(AU$15),0),
              ROUND(ROUND(OFFSET($P96,0,AU$13),15-13*ORÇAMENTO!$AF$7)*OFFSET(ORÇAMENTO!$W$15,ROW(AU96)-ROW(AU$15),0),15-13*ORÇAMENTO!$AF$11)),
         0)</f>
        <v>0</v>
      </c>
      <c r="AV96" s="453">
        <f ca="1">IF(AND($D96="Serviço",AV$12&lt;&gt;0,$H96&gt;0,OR(AUTOEVENTO&lt;&gt;"manual",$M96&lt;&gt;$A$15)),
        IF(Import.TipoArredondamento&lt;&gt;"TransfereGOV",
              ROUND(OFFSET($P96,0,AV$13),15-13*ORÇAMENTO!$AF$7)/$H96*OFFSET(ORÇAMENTO!$X$15,ROW(AV96)-ROW(AV$15),0),
              ROUND(ROUND(OFFSET($P96,0,AV$13),15-13*ORÇAMENTO!$AF$7)*OFFSET(ORÇAMENTO!$W$15,ROW(AV96)-ROW(AV$15),0),15-13*ORÇAMENTO!$AF$11)),
         0)</f>
        <v>0</v>
      </c>
      <c r="AW96" s="453">
        <f ca="1">IF(AND($D96="Serviço",AW$12&lt;&gt;0,$H96&gt;0,OR(AUTOEVENTO&lt;&gt;"manual",$M96&lt;&gt;$A$15)),
        IF(Import.TipoArredondamento&lt;&gt;"TransfereGOV",
              ROUND(OFFSET($P96,0,AW$13),15-13*ORÇAMENTO!$AF$7)/$H96*OFFSET(ORÇAMENTO!$X$15,ROW(AW96)-ROW(AW$15),0),
              ROUND(ROUND(OFFSET($P96,0,AW$13),15-13*ORÇAMENTO!$AF$7)*OFFSET(ORÇAMENTO!$W$15,ROW(AW96)-ROW(AW$15),0),15-13*ORÇAMENTO!$AF$11)),
         0)</f>
        <v>0</v>
      </c>
      <c r="AX96" s="453">
        <f ca="1">IF(AND($D96="Serviço",AX$12&lt;&gt;0,$H96&gt;0,OR(AUTOEVENTO&lt;&gt;"manual",$M96&lt;&gt;$A$15)),
        IF(Import.TipoArredondamento&lt;&gt;"TransfereGOV",
              ROUND(OFFSET($P96,0,AX$13),15-13*ORÇAMENTO!$AF$7)/$H96*OFFSET(ORÇAMENTO!$X$15,ROW(AX96)-ROW(AX$15),0),
              ROUND(ROUND(OFFSET($P96,0,AX$13),15-13*ORÇAMENTO!$AF$7)*OFFSET(ORÇAMENTO!$W$15,ROW(AX96)-ROW(AX$15),0),15-13*ORÇAMENTO!$AF$11)),
         0)</f>
        <v>0</v>
      </c>
      <c r="AY96" s="453">
        <f ca="1">IF(AND($D96="Serviço",AY$12&lt;&gt;0,$H96&gt;0,OR(AUTOEVENTO&lt;&gt;"manual",$M96&lt;&gt;$A$15)),
        IF(Import.TipoArredondamento&lt;&gt;"TransfereGOV",
              ROUND(OFFSET($P96,0,AY$13),15-13*ORÇAMENTO!$AF$7)/$H96*OFFSET(ORÇAMENTO!$X$15,ROW(AY96)-ROW(AY$15),0),
              ROUND(ROUND(OFFSET($P96,0,AY$13),15-13*ORÇAMENTO!$AF$7)*OFFSET(ORÇAMENTO!$W$15,ROW(AY96)-ROW(AY$15),0),15-13*ORÇAMENTO!$AF$11)),
         0)</f>
        <v>0</v>
      </c>
      <c r="AZ96" s="453">
        <f ca="1">IF(AND($D96="Serviço",AZ$12&lt;&gt;0,$H96&gt;0,OR(AUTOEVENTO&lt;&gt;"manual",$M96&lt;&gt;$A$15)),
        IF(Import.TipoArredondamento&lt;&gt;"TransfereGOV",
              ROUND(OFFSET($P96,0,AZ$13),15-13*ORÇAMENTO!$AF$7)/$H96*OFFSET(ORÇAMENTO!$X$15,ROW(AZ96)-ROW(AZ$15),0),
              ROUND(ROUND(OFFSET($P96,0,AZ$13),15-13*ORÇAMENTO!$AF$7)*OFFSET(ORÇAMENTO!$W$15,ROW(AZ96)-ROW(AZ$15),0),15-13*ORÇAMENTO!$AF$11)),
         0)</f>
        <v>0</v>
      </c>
      <c r="BA96" s="453">
        <f ca="1">IF(AND($D96="Serviço",BA$12&lt;&gt;0,$H96&gt;0,OR(AUTOEVENTO&lt;&gt;"manual",$M96&lt;&gt;$A$15)),
        IF(Import.TipoArredondamento&lt;&gt;"TransfereGOV",
              ROUND(OFFSET($P96,0,BA$13),15-13*ORÇAMENTO!$AF$7)/$H96*OFFSET(ORÇAMENTO!$X$15,ROW(BA96)-ROW(BA$15),0),
              ROUND(ROUND(OFFSET($P96,0,BA$13),15-13*ORÇAMENTO!$AF$7)*OFFSET(ORÇAMENTO!$W$15,ROW(BA96)-ROW(BA$15),0),15-13*ORÇAMENTO!$AF$11)),
         0)</f>
        <v>0</v>
      </c>
      <c r="BC96" s="171">
        <f ca="1">IF(OR($D96&lt;&gt;"Serviço",AND(AUTOEVENTO="Manual",$M96=$A$15)),0,
         IF(OFFSET(CRONOPLE!$F$15,$M96-$A$15,BC$13)=0,10^12,OFFSET(CRONOPLE!$F$15,$M96-$A$15,BC$13)))</f>
        <v>1000000000000</v>
      </c>
      <c r="BD96" s="171">
        <f ca="1">IF(OR($D96&lt;&gt;"Serviço",AND(AUTOEVENTO="Manual",$M96=$A$15)),0,
         IF(OFFSET(CRONOPLE!$F$15,$M96-$A$15,BD$13)=0,10^12,OFFSET(CRONOPLE!$F$15,$M96-$A$15,BD$13)))</f>
        <v>1000000000000</v>
      </c>
      <c r="BE96" s="171">
        <f ca="1">IF(OR($D96&lt;&gt;"Serviço",AND(AUTOEVENTO="Manual",$M96=$A$15)),0,
         IF(OFFSET(CRONOPLE!$F$15,$M96-$A$15,BE$13)=0,10^12,OFFSET(CRONOPLE!$F$15,$M96-$A$15,BE$13)))</f>
        <v>1000000000000</v>
      </c>
      <c r="BF96" s="171">
        <f ca="1">IF(OR($D96&lt;&gt;"Serviço",AND(AUTOEVENTO="Manual",$M96=$A$15)),0,
         IF(OFFSET(CRONOPLE!$F$15,$M96-$A$15,BF$13)=0,10^12,OFFSET(CRONOPLE!$F$15,$M96-$A$15,BF$13)))</f>
        <v>1000000000000</v>
      </c>
      <c r="BG96" s="171">
        <f ca="1">IF(OR($D96&lt;&gt;"Serviço",AND(AUTOEVENTO="Manual",$M96=$A$15)),0,
         IF(OFFSET(CRONOPLE!$F$15,$M96-$A$15,BG$13)=0,10^12,OFFSET(CRONOPLE!$F$15,$M96-$A$15,BG$13)))</f>
        <v>5</v>
      </c>
      <c r="BH96" s="171">
        <f ca="1">IF(OR($D96&lt;&gt;"Serviço",AND(AUTOEVENTO="Manual",$M96=$A$15)),0,
         IF(OFFSET(CRONOPLE!$F$15,$M96-$A$15,BH$13)=0,10^12,OFFSET(CRONOPLE!$F$15,$M96-$A$15,BH$13)))</f>
        <v>11</v>
      </c>
      <c r="BI96" s="171">
        <f ca="1">IF(OR($D96&lt;&gt;"Serviço",AND(AUTOEVENTO="Manual",$M96=$A$15)),0,
         IF(OFFSET(CRONOPLE!$F$15,$M96-$A$15,BI$13)=0,10^12,OFFSET(CRONOPLE!$F$15,$M96-$A$15,BI$13)))</f>
        <v>1000000000000</v>
      </c>
      <c r="BJ96" s="171">
        <f ca="1">IF(OR($D96&lt;&gt;"Serviço",AND(AUTOEVENTO="Manual",$M96=$A$15)),0,
         IF(OFFSET(CRONOPLE!$F$15,$M96-$A$15,BJ$13)=0,10^12,OFFSET(CRONOPLE!$F$15,$M96-$A$15,BJ$13)))</f>
        <v>1000000000000</v>
      </c>
      <c r="BK96" s="171">
        <f ca="1">IF(OR($D96&lt;&gt;"Serviço",AND(AUTOEVENTO="Manual",$M96=$A$15)),0,
         IF(OFFSET(CRONOPLE!$F$15,$M96-$A$15,BK$13)=0,10^12,OFFSET(CRONOPLE!$F$15,$M96-$A$15,BK$13)))</f>
        <v>1000000000000</v>
      </c>
      <c r="BL96" s="171">
        <f ca="1">IF(OR($D96&lt;&gt;"Serviço",AND(AUTOEVENTO="Manual",$M96=$A$15)),0,
         IF(OFFSET(CRONOPLE!$F$15,$M96-$A$15,BL$13)=0,10^12,OFFSET(CRONOPLE!$F$15,$M96-$A$15,BL$13)))</f>
        <v>1000000000000</v>
      </c>
      <c r="BM96" s="171">
        <f ca="1">IF(OR($D96&lt;&gt;"Serviço",AND(AUTOEVENTO="Manual",$M96=$A$15)),0,
         IF(OFFSET(CRONOPLE!$F$15,$M96-$A$15,BM$13)=0,10^12,OFFSET(CRONOPLE!$F$15,$M96-$A$15,BM$13)))</f>
        <v>1000000000000</v>
      </c>
      <c r="BN96" s="171">
        <f ca="1">IF(OR($D96&lt;&gt;"Serviço",AND(AUTOEVENTO="Manual",$M96=$A$15)),0,
         IF(OFFSET(CRONOPLE!$F$15,$M96-$A$15,BN$13)=0,10^12,OFFSET(CRONOPLE!$F$15,$M96-$A$15,BN$13)))</f>
        <v>1000000000000</v>
      </c>
      <c r="BO96" s="171">
        <f ca="1">IF(OR($D96&lt;&gt;"Serviço",AND(AUTOEVENTO="Manual",$M96=$A$15)),0,
         IF(OFFSET(CRONOPLE!$F$15,$M96-$A$15,BO$13)=0,10^12,OFFSET(CRONOPLE!$F$15,$M96-$A$15,BO$13)))</f>
        <v>1000000000000</v>
      </c>
      <c r="BP96" s="171">
        <f ca="1">IF(OR($D96&lt;&gt;"Serviço",AND(AUTOEVENTO="Manual",$M96=$A$15)),0,
         IF(OFFSET(CRONOPLE!$F$15,$M96-$A$15,BP$13)=0,10^12,OFFSET(CRONOPLE!$F$15,$M96-$A$15,BP$13)))</f>
        <v>1000000000000</v>
      </c>
      <c r="BQ96" s="171">
        <f ca="1">IF(OR($D96&lt;&gt;"Serviço",AND(AUTOEVENTO="Manual",$M96=$A$15)),0,
         IF(OFFSET(CRONOPLE!$F$15,$M96-$A$15,BQ$13)=0,10^12,OFFSET(CRONOPLE!$F$15,$M96-$A$15,BQ$13)))</f>
        <v>1000000000000</v>
      </c>
      <c r="BR96" s="171">
        <f ca="1">IF(OR($D96&lt;&gt;"Serviço",AND(AUTOEVENTO="Manual",$M96=$A$15)),0,
         IF(OFFSET(CRONOPLE!$F$15,$M96-$A$15,BR$13)=0,10^12,OFFSET(CRONOPLE!$F$15,$M96-$A$15,BR$13)))</f>
        <v>1000000000000</v>
      </c>
      <c r="BS96" s="171">
        <f ca="1">IF(OR($D96&lt;&gt;"Serviço",AND(AUTOEVENTO="Manual",$M96=$A$15)),0,
         IF(OFFSET(CRONOPLE!$F$15,$M96-$A$15,BS$13)=0,10^12,OFFSET(CRONOPLE!$F$15,$M96-$A$15,BS$13)))</f>
        <v>1000000000000</v>
      </c>
      <c r="BT96" s="171">
        <f ca="1">IF(OR($D96&lt;&gt;"Serviço",AND(AUTOEVENTO="Manual",$M96=$A$15)),0,
         IF(OFFSET(CRONOPLE!$F$15,$M96-$A$15,BT$13)=0,10^12,OFFSET(CRONOPLE!$F$15,$M96-$A$15,BT$13)))</f>
        <v>1000000000000</v>
      </c>
      <c r="BV96" s="172" cm="1">
        <f t="array" aca="1" ref="BV96" ca="1">IF(OR($D96&lt;&gt;"Serviço",AND(AUTOEVENTO="Manual",$M96=$A$15),$M96&gt;(ROW(PLE.lastrow)-ROW(PLE.firstrow))),0,
           IF(OFFSET(PLE!$G$15,$M96-$A$15,BV$13)="",10^12,OFFSET(PLE!$G$15,$M96-$A$15,BV$13)))</f>
        <v>1000000000000</v>
      </c>
      <c r="BW96" s="172" cm="1">
        <f t="array" aca="1" ref="BW96" ca="1">IF(OR($D96&lt;&gt;"Serviço",AND(AUTOEVENTO="Manual",$M96=$A$15),$M96&gt;(ROW(PLE.lastrow)-ROW(PLE.firstrow))),0,
           IF(OFFSET(PLE!$G$15,$M96-$A$15,BW$13)="",10^12,OFFSET(PLE!$G$15,$M96-$A$15,BW$13)))</f>
        <v>1000000000000</v>
      </c>
      <c r="BX96" s="172" cm="1">
        <f t="array" aca="1" ref="BX96" ca="1">IF(OR($D96&lt;&gt;"Serviço",AND(AUTOEVENTO="Manual",$M96=$A$15),$M96&gt;(ROW(PLE.lastrow)-ROW(PLE.firstrow))),0,
           IF(OFFSET(PLE!$G$15,$M96-$A$15,BX$13)="",10^12,OFFSET(PLE!$G$15,$M96-$A$15,BX$13)))</f>
        <v>1000000000000</v>
      </c>
      <c r="BY96" s="172" cm="1">
        <f t="array" aca="1" ref="BY96" ca="1">IF(OR($D96&lt;&gt;"Serviço",AND(AUTOEVENTO="Manual",$M96=$A$15),$M96&gt;(ROW(PLE.lastrow)-ROW(PLE.firstrow))),0,
           IF(OFFSET(PLE!$G$15,$M96-$A$15,BY$13)="",10^12,OFFSET(PLE!$G$15,$M96-$A$15,BY$13)))</f>
        <v>1000000000000</v>
      </c>
      <c r="BZ96" s="172" cm="1">
        <f t="array" aca="1" ref="BZ96" ca="1">IF(OR($D96&lt;&gt;"Serviço",AND(AUTOEVENTO="Manual",$M96=$A$15),$M96&gt;(ROW(PLE.lastrow)-ROW(PLE.firstrow))),0,
           IF(OFFSET(PLE!$G$15,$M96-$A$15,BZ$13)="",10^12,OFFSET(PLE!$G$15,$M96-$A$15,BZ$13)))</f>
        <v>1000000000000</v>
      </c>
      <c r="CA96" s="172" cm="1">
        <f t="array" aca="1" ref="CA96" ca="1">IF(OR($D96&lt;&gt;"Serviço",AND(AUTOEVENTO="Manual",$M96=$A$15),$M96&gt;(ROW(PLE.lastrow)-ROW(PLE.firstrow))),0,
           IF(OFFSET(PLE!$G$15,$M96-$A$15,CA$13)="",10^12,OFFSET(PLE!$G$15,$M96-$A$15,CA$13)))</f>
        <v>1000000000000</v>
      </c>
      <c r="CB96" s="172" cm="1">
        <f t="array" aca="1" ref="CB96" ca="1">IF(OR($D96&lt;&gt;"Serviço",AND(AUTOEVENTO="Manual",$M96=$A$15),$M96&gt;(ROW(PLE.lastrow)-ROW(PLE.firstrow))),0,
           IF(OFFSET(PLE!$G$15,$M96-$A$15,CB$13)="",10^12,OFFSET(PLE!$G$15,$M96-$A$15,CB$13)))</f>
        <v>1000000000000</v>
      </c>
      <c r="CC96" s="172" cm="1">
        <f t="array" aca="1" ref="CC96" ca="1">IF(OR($D96&lt;&gt;"Serviço",AND(AUTOEVENTO="Manual",$M96=$A$15),$M96&gt;(ROW(PLE.lastrow)-ROW(PLE.firstrow))),0,
           IF(OFFSET(PLE!$G$15,$M96-$A$15,CC$13)="",10^12,OFFSET(PLE!$G$15,$M96-$A$15,CC$13)))</f>
        <v>1000000000000</v>
      </c>
      <c r="CD96" s="172" cm="1">
        <f t="array" aca="1" ref="CD96" ca="1">IF(OR($D96&lt;&gt;"Serviço",AND(AUTOEVENTO="Manual",$M96=$A$15),$M96&gt;(ROW(PLE.lastrow)-ROW(PLE.firstrow))),0,
           IF(OFFSET(PLE!$G$15,$M96-$A$15,CD$13)="",10^12,OFFSET(PLE!$G$15,$M96-$A$15,CD$13)))</f>
        <v>1000000000000</v>
      </c>
      <c r="CE96" s="172" cm="1">
        <f t="array" aca="1" ref="CE96" ca="1">IF(OR($D96&lt;&gt;"Serviço",AND(AUTOEVENTO="Manual",$M96=$A$15),$M96&gt;(ROW(PLE.lastrow)-ROW(PLE.firstrow))),0,
           IF(OFFSET(PLE!$G$15,$M96-$A$15,CE$13)="",10^12,OFFSET(PLE!$G$15,$M96-$A$15,CE$13)))</f>
        <v>1000000000000</v>
      </c>
      <c r="CF96" s="172" cm="1">
        <f t="array" aca="1" ref="CF96" ca="1">IF(OR($D96&lt;&gt;"Serviço",AND(AUTOEVENTO="Manual",$M96=$A$15),$M96&gt;(ROW(PLE.lastrow)-ROW(PLE.firstrow))),0,
           IF(OFFSET(PLE!$G$15,$M96-$A$15,CF$13)="",10^12,OFFSET(PLE!$G$15,$M96-$A$15,CF$13)))</f>
        <v>1000000000000</v>
      </c>
      <c r="CG96" s="172" cm="1">
        <f t="array" aca="1" ref="CG96" ca="1">IF(OR($D96&lt;&gt;"Serviço",AND(AUTOEVENTO="Manual",$M96=$A$15),$M96&gt;(ROW(PLE.lastrow)-ROW(PLE.firstrow))),0,
           IF(OFFSET(PLE!$G$15,$M96-$A$15,CG$13)="",10^12,OFFSET(PLE!$G$15,$M96-$A$15,CG$13)))</f>
        <v>1000000000000</v>
      </c>
      <c r="CH96" s="172" cm="1">
        <f t="array" aca="1" ref="CH96" ca="1">IF(OR($D96&lt;&gt;"Serviço",AND(AUTOEVENTO="Manual",$M96=$A$15),$M96&gt;(ROW(PLE.lastrow)-ROW(PLE.firstrow))),0,
           IF(OFFSET(PLE!$G$15,$M96-$A$15,CH$13)="",10^12,OFFSET(PLE!$G$15,$M96-$A$15,CH$13)))</f>
        <v>1000000000000</v>
      </c>
      <c r="CI96" s="172" cm="1">
        <f t="array" aca="1" ref="CI96" ca="1">IF(OR($D96&lt;&gt;"Serviço",AND(AUTOEVENTO="Manual",$M96=$A$15),$M96&gt;(ROW(PLE.lastrow)-ROW(PLE.firstrow))),0,
           IF(OFFSET(PLE!$G$15,$M96-$A$15,CI$13)="",10^12,OFFSET(PLE!$G$15,$M96-$A$15,CI$13)))</f>
        <v>1000000000000</v>
      </c>
      <c r="CJ96" s="172" cm="1">
        <f t="array" aca="1" ref="CJ96" ca="1">IF(OR($D96&lt;&gt;"Serviço",AND(AUTOEVENTO="Manual",$M96=$A$15),$M96&gt;(ROW(PLE.lastrow)-ROW(PLE.firstrow))),0,
           IF(OFFSET(PLE!$G$15,$M96-$A$15,CJ$13)="",10^12,OFFSET(PLE!$G$15,$M96-$A$15,CJ$13)))</f>
        <v>1000000000000</v>
      </c>
      <c r="CK96" s="172" cm="1">
        <f t="array" aca="1" ref="CK96" ca="1">IF(OR($D96&lt;&gt;"Serviço",AND(AUTOEVENTO="Manual",$M96=$A$15),$M96&gt;(ROW(PLE.lastrow)-ROW(PLE.firstrow))),0,
           IF(OFFSET(PLE!$G$15,$M96-$A$15,CK$13)="",10^12,OFFSET(PLE!$G$15,$M96-$A$15,CK$13)))</f>
        <v>1000000000000</v>
      </c>
      <c r="CL96" s="172" cm="1">
        <f t="array" aca="1" ref="CL96" ca="1">IF(OR($D96&lt;&gt;"Serviço",AND(AUTOEVENTO="Manual",$M96=$A$15),$M96&gt;(ROW(PLE.lastrow)-ROW(PLE.firstrow))),0,
           IF(OFFSET(PLE!$G$15,$M96-$A$15,CL$13)="",10^12,OFFSET(PLE!$G$15,$M96-$A$15,CL$13)))</f>
        <v>1000000000000</v>
      </c>
      <c r="CM96" s="172" cm="1">
        <f t="array" aca="1" ref="CM96" ca="1">IF(OR($D96&lt;&gt;"Serviço",AND(AUTOEVENTO="Manual",$M96=$A$15),$M96&gt;(ROW(PLE.lastrow)-ROW(PLE.firstrow))),0,
           IF(OFFSET(PLE!$G$15,$M96-$A$15,CM$13)="",10^12,OFFSET(PLE!$G$15,$M96-$A$15,CM$13)))</f>
        <v>1000000000000</v>
      </c>
    </row>
    <row r="97" spans="1:91" s="670" customFormat="1" ht="51" x14ac:dyDescent="0.2">
      <c r="A97" s="668">
        <f t="shared" ca="1" si="12"/>
        <v>28</v>
      </c>
      <c r="B97" s="668" t="str">
        <f ca="1">OFFSET(ORÇAMENTO!C$15,$L97,0)</f>
        <v>S</v>
      </c>
      <c r="C97" s="668" t="str">
        <f ca="1">OFFSET(ORÇAMENTO!L$15,$L97,0)</f>
        <v>F</v>
      </c>
      <c r="D97" s="116" t="str">
        <f ca="1">OFFSET(ORÇAMENTO!N$15,$L97,0)</f>
        <v>Serviço</v>
      </c>
      <c r="E97" s="117" t="str">
        <f ca="1">OFFSET(ORÇAMENTO!O$15,$L97,0)</f>
        <v>1.12.6.</v>
      </c>
      <c r="F97" s="163" t="str">
        <f ca="1">OFFSET(ORÇAMENTO!R$15,$L97,0)</f>
        <v>Imprimação com asfalto diluído</v>
      </c>
      <c r="G97" s="164" t="str">
        <f ca="1">IF($D97&lt;&gt;"Serviço","",OFFSET(ORÇAMENTO!S$15,$L97,0))</f>
        <v>M2</v>
      </c>
      <c r="H97" s="122" cm="1">
        <f t="array" aca="1" ref="H97" ca="1">IF($D97&lt;&gt;"Serviço",0,IF(ACOMPANHAMENTO="BM",ROUND(OFFSET(ORÇAMENTO!AJ$15,$L97,0),15-13*ORÇAMENTO!$AF$7),IF(IFERROR(CÁLCULO.FrentesPreenchidas,0)=0,0,SUM(ROUND(OFFSET($P97,0,1,1,CÁLCULO.FrentesPreenchidas),15-13*ORÇAMENTO!$AF$7)))))</f>
        <v>15255</v>
      </c>
      <c r="I97" s="468" t="s">
        <v>1325</v>
      </c>
      <c r="J97" s="651" t="str" cm="1">
        <f t="array" aca="1" ref="J97" ca="1">IF(OR(B97&lt;&gt;"S",CÁLCULO.FrentesPreenchidas=0),"",IF(AND(ACOMPANHAMENTO="PLE",AUTOEVENTO="Manual",OR(H97&gt;0,ORÇAMENTO!AC97="QUANT."),OR(K97="",M97=0,N97="")),"►E",IF(AND(ACOMPANHAMENTO="PLE",ORÇAMENTO!AC97="QUANT."),"►Q",IF(AND(ACOMPANHAMENTO="PLE",H97&lt;&gt;SUMPRODUCT(($Q$1:$AI$1=1)*ROUND(Q97:AI97,15))),"►S",IF(AND(COUNTIF($P$11:$AI$11,"▼")=0,H97&gt;0,I97=""),"◄M","")))))</f>
        <v/>
      </c>
      <c r="K97" s="652" t="s">
        <v>1353</v>
      </c>
      <c r="L97" s="165">
        <f t="shared" ca="1" si="13"/>
        <v>82</v>
      </c>
      <c r="M97" s="166">
        <f ca="1">IF($D97&lt;&gt;"Serviço","",
          IF(AUTOEVENTO="manual",$A97,
                IF(ISERROR(MATCH($A97,$A$15:OFFSET($A97,-1,0),0)),MAX($M$15:OFFSET(M97,-1,0))+1,
                      INDEX($M$15:OFFSET(M97,-1,0),MATCH($A97,$A$15:OFFSET($A97,-1,0),0)))))</f>
        <v>28</v>
      </c>
      <c r="N97" s="167" t="str">
        <f ca="1">IF($D97&lt;&gt;"Serviço","",
         IF(AUTOEVENTO="Manual",
                IF($A97=0,"&lt;-- defina o número do agrupador",
                       OFFSET(EVENTOS!$D$15,$A97-$A$15,0)),
                OFFSET($F$15,$A97,0)))</f>
        <v>Pavimentação</v>
      </c>
      <c r="O97" s="168"/>
      <c r="Q97" s="168"/>
      <c r="R97" s="169"/>
      <c r="S97" s="169"/>
      <c r="T97" s="169"/>
      <c r="U97" s="169">
        <v>15255</v>
      </c>
      <c r="V97" s="169"/>
      <c r="W97" s="169"/>
      <c r="X97" s="169"/>
      <c r="Y97" s="169"/>
      <c r="Z97" s="170"/>
      <c r="AA97" s="705"/>
      <c r="AB97" s="705"/>
      <c r="AC97" s="705"/>
      <c r="AD97" s="705"/>
      <c r="AE97" s="705"/>
      <c r="AF97" s="705"/>
      <c r="AG97" s="705"/>
      <c r="AH97" s="706"/>
      <c r="AJ97" s="453">
        <f ca="1">IF(AND($D97="Serviço",AJ$12&lt;&gt;0,$H97&gt;0,OR(AUTOEVENTO&lt;&gt;"manual",$M97&lt;&gt;$A$15)),
        IF(Import.TipoArredondamento&lt;&gt;"TransfereGOV",
              ROUND(OFFSET($P97,0,AJ$13),15-13*ORÇAMENTO!$AF$7)/$H97*OFFSET(ORÇAMENTO!$X$15,ROW(AJ97)-ROW(AJ$15),0),
              ROUND(ROUND(OFFSET($P97,0,AJ$13),15-13*ORÇAMENTO!$AF$7)*OFFSET(ORÇAMENTO!$W$15,ROW(AJ97)-ROW(AJ$15),0),15-13*ORÇAMENTO!$AF$11)),
         0)</f>
        <v>0</v>
      </c>
      <c r="AK97" s="453">
        <f ca="1">IF(AND($D97="Serviço",AK$12&lt;&gt;0,$H97&gt;0,OR(AUTOEVENTO&lt;&gt;"manual",$M97&lt;&gt;$A$15)),
        IF(Import.TipoArredondamento&lt;&gt;"TransfereGOV",
              ROUND(OFFSET($P97,0,AK$13),15-13*ORÇAMENTO!$AF$7)/$H97*OFFSET(ORÇAMENTO!$X$15,ROW(AK97)-ROW(AK$15),0),
              ROUND(ROUND(OFFSET($P97,0,AK$13),15-13*ORÇAMENTO!$AF$7)*OFFSET(ORÇAMENTO!$W$15,ROW(AK97)-ROW(AK$15),0),15-13*ORÇAMENTO!$AF$11)),
         0)</f>
        <v>0</v>
      </c>
      <c r="AL97" s="453">
        <f ca="1">IF(AND($D97="Serviço",AL$12&lt;&gt;0,$H97&gt;0,OR(AUTOEVENTO&lt;&gt;"manual",$M97&lt;&gt;$A$15)),
        IF(Import.TipoArredondamento&lt;&gt;"TransfereGOV",
              ROUND(OFFSET($P97,0,AL$13),15-13*ORÇAMENTO!$AF$7)/$H97*OFFSET(ORÇAMENTO!$X$15,ROW(AL97)-ROW(AL$15),0),
              ROUND(ROUND(OFFSET($P97,0,AL$13),15-13*ORÇAMENTO!$AF$7)*OFFSET(ORÇAMENTO!$W$15,ROW(AL97)-ROW(AL$15),0),15-13*ORÇAMENTO!$AF$11)),
         0)</f>
        <v>0</v>
      </c>
      <c r="AM97" s="453">
        <f ca="1">IF(AND($D97="Serviço",AM$12&lt;&gt;0,$H97&gt;0,OR(AUTOEVENTO&lt;&gt;"manual",$M97&lt;&gt;$A$15)),
        IF(Import.TipoArredondamento&lt;&gt;"TransfereGOV",
              ROUND(OFFSET($P97,0,AM$13),15-13*ORÇAMENTO!$AF$7)/$H97*OFFSET(ORÇAMENTO!$X$15,ROW(AM97)-ROW(AM$15),0),
              ROUND(ROUND(OFFSET($P97,0,AM$13),15-13*ORÇAMENTO!$AF$7)*OFFSET(ORÇAMENTO!$W$15,ROW(AM97)-ROW(AM$15),0),15-13*ORÇAMENTO!$AF$11)),
         0)</f>
        <v>0</v>
      </c>
      <c r="AN97" s="453">
        <f ca="1">IF(AND($D97="Serviço",AN$12&lt;&gt;0,$H97&gt;0,OR(AUTOEVENTO&lt;&gt;"manual",$M97&lt;&gt;$A$15)),
        IF(Import.TipoArredondamento&lt;&gt;"TransfereGOV",
              ROUND(OFFSET($P97,0,AN$13),15-13*ORÇAMENTO!$AF$7)/$H97*OFFSET(ORÇAMENTO!$X$15,ROW(AN97)-ROW(AN$15),0),
              ROUND(ROUND(OFFSET($P97,0,AN$13),15-13*ORÇAMENTO!$AF$7)*OFFSET(ORÇAMENTO!$W$15,ROW(AN97)-ROW(AN$15),0),15-13*ORÇAMENTO!$AF$11)),
         0)</f>
        <v>11593.8</v>
      </c>
      <c r="AO97" s="453">
        <f ca="1">IF(AND($D97="Serviço",AO$12&lt;&gt;0,$H97&gt;0,OR(AUTOEVENTO&lt;&gt;"manual",$M97&lt;&gt;$A$15)),
        IF(Import.TipoArredondamento&lt;&gt;"TransfereGOV",
              ROUND(OFFSET($P97,0,AO$13),15-13*ORÇAMENTO!$AF$7)/$H97*OFFSET(ORÇAMENTO!$X$15,ROW(AO97)-ROW(AO$15),0),
              ROUND(ROUND(OFFSET($P97,0,AO$13),15-13*ORÇAMENTO!$AF$7)*OFFSET(ORÇAMENTO!$W$15,ROW(AO97)-ROW(AO$15),0),15-13*ORÇAMENTO!$AF$11)),
         0)</f>
        <v>0</v>
      </c>
      <c r="AP97" s="453">
        <f ca="1">IF(AND($D97="Serviço",AP$12&lt;&gt;0,$H97&gt;0,OR(AUTOEVENTO&lt;&gt;"manual",$M97&lt;&gt;$A$15)),
        IF(Import.TipoArredondamento&lt;&gt;"TransfereGOV",
              ROUND(OFFSET($P97,0,AP$13),15-13*ORÇAMENTO!$AF$7)/$H97*OFFSET(ORÇAMENTO!$X$15,ROW(AP97)-ROW(AP$15),0),
              ROUND(ROUND(OFFSET($P97,0,AP$13),15-13*ORÇAMENTO!$AF$7)*OFFSET(ORÇAMENTO!$W$15,ROW(AP97)-ROW(AP$15),0),15-13*ORÇAMENTO!$AF$11)),
         0)</f>
        <v>0</v>
      </c>
      <c r="AQ97" s="453">
        <f ca="1">IF(AND($D97="Serviço",AQ$12&lt;&gt;0,$H97&gt;0,OR(AUTOEVENTO&lt;&gt;"manual",$M97&lt;&gt;$A$15)),
        IF(Import.TipoArredondamento&lt;&gt;"TransfereGOV",
              ROUND(OFFSET($P97,0,AQ$13),15-13*ORÇAMENTO!$AF$7)/$H97*OFFSET(ORÇAMENTO!$X$15,ROW(AQ97)-ROW(AQ$15),0),
              ROUND(ROUND(OFFSET($P97,0,AQ$13),15-13*ORÇAMENTO!$AF$7)*OFFSET(ORÇAMENTO!$W$15,ROW(AQ97)-ROW(AQ$15),0),15-13*ORÇAMENTO!$AF$11)),
         0)</f>
        <v>0</v>
      </c>
      <c r="AR97" s="453">
        <f ca="1">IF(AND($D97="Serviço",AR$12&lt;&gt;0,$H97&gt;0,OR(AUTOEVENTO&lt;&gt;"manual",$M97&lt;&gt;$A$15)),
        IF(Import.TipoArredondamento&lt;&gt;"TransfereGOV",
              ROUND(OFFSET($P97,0,AR$13),15-13*ORÇAMENTO!$AF$7)/$H97*OFFSET(ORÇAMENTO!$X$15,ROW(AR97)-ROW(AR$15),0),
              ROUND(ROUND(OFFSET($P97,0,AR$13),15-13*ORÇAMENTO!$AF$7)*OFFSET(ORÇAMENTO!$W$15,ROW(AR97)-ROW(AR$15),0),15-13*ORÇAMENTO!$AF$11)),
         0)</f>
        <v>0</v>
      </c>
      <c r="AS97" s="453">
        <f ca="1">IF(AND($D97="Serviço",AS$12&lt;&gt;0,$H97&gt;0,OR(AUTOEVENTO&lt;&gt;"manual",$M97&lt;&gt;$A$15)),
        IF(Import.TipoArredondamento&lt;&gt;"TransfereGOV",
              ROUND(OFFSET($P97,0,AS$13),15-13*ORÇAMENTO!$AF$7)/$H97*OFFSET(ORÇAMENTO!$X$15,ROW(AS97)-ROW(AS$15),0),
              ROUND(ROUND(OFFSET($P97,0,AS$13),15-13*ORÇAMENTO!$AF$7)*OFFSET(ORÇAMENTO!$W$15,ROW(AS97)-ROW(AS$15),0),15-13*ORÇAMENTO!$AF$11)),
         0)</f>
        <v>0</v>
      </c>
      <c r="AT97" s="453">
        <f ca="1">IF(AND($D97="Serviço",AT$12&lt;&gt;0,$H97&gt;0,OR(AUTOEVENTO&lt;&gt;"manual",$M97&lt;&gt;$A$15)),
        IF(Import.TipoArredondamento&lt;&gt;"TransfereGOV",
              ROUND(OFFSET($P97,0,AT$13),15-13*ORÇAMENTO!$AF$7)/$H97*OFFSET(ORÇAMENTO!$X$15,ROW(AT97)-ROW(AT$15),0),
              ROUND(ROUND(OFFSET($P97,0,AT$13),15-13*ORÇAMENTO!$AF$7)*OFFSET(ORÇAMENTO!$W$15,ROW(AT97)-ROW(AT$15),0),15-13*ORÇAMENTO!$AF$11)),
         0)</f>
        <v>0</v>
      </c>
      <c r="AU97" s="453">
        <f ca="1">IF(AND($D97="Serviço",AU$12&lt;&gt;0,$H97&gt;0,OR(AUTOEVENTO&lt;&gt;"manual",$M97&lt;&gt;$A$15)),
        IF(Import.TipoArredondamento&lt;&gt;"TransfereGOV",
              ROUND(OFFSET($P97,0,AU$13),15-13*ORÇAMENTO!$AF$7)/$H97*OFFSET(ORÇAMENTO!$X$15,ROW(AU97)-ROW(AU$15),0),
              ROUND(ROUND(OFFSET($P97,0,AU$13),15-13*ORÇAMENTO!$AF$7)*OFFSET(ORÇAMENTO!$W$15,ROW(AU97)-ROW(AU$15),0),15-13*ORÇAMENTO!$AF$11)),
         0)</f>
        <v>0</v>
      </c>
      <c r="AV97" s="453">
        <f ca="1">IF(AND($D97="Serviço",AV$12&lt;&gt;0,$H97&gt;0,OR(AUTOEVENTO&lt;&gt;"manual",$M97&lt;&gt;$A$15)),
        IF(Import.TipoArredondamento&lt;&gt;"TransfereGOV",
              ROUND(OFFSET($P97,0,AV$13),15-13*ORÇAMENTO!$AF$7)/$H97*OFFSET(ORÇAMENTO!$X$15,ROW(AV97)-ROW(AV$15),0),
              ROUND(ROUND(OFFSET($P97,0,AV$13),15-13*ORÇAMENTO!$AF$7)*OFFSET(ORÇAMENTO!$W$15,ROW(AV97)-ROW(AV$15),0),15-13*ORÇAMENTO!$AF$11)),
         0)</f>
        <v>0</v>
      </c>
      <c r="AW97" s="453">
        <f ca="1">IF(AND($D97="Serviço",AW$12&lt;&gt;0,$H97&gt;0,OR(AUTOEVENTO&lt;&gt;"manual",$M97&lt;&gt;$A$15)),
        IF(Import.TipoArredondamento&lt;&gt;"TransfereGOV",
              ROUND(OFFSET($P97,0,AW$13),15-13*ORÇAMENTO!$AF$7)/$H97*OFFSET(ORÇAMENTO!$X$15,ROW(AW97)-ROW(AW$15),0),
              ROUND(ROUND(OFFSET($P97,0,AW$13),15-13*ORÇAMENTO!$AF$7)*OFFSET(ORÇAMENTO!$W$15,ROW(AW97)-ROW(AW$15),0),15-13*ORÇAMENTO!$AF$11)),
         0)</f>
        <v>0</v>
      </c>
      <c r="AX97" s="453">
        <f ca="1">IF(AND($D97="Serviço",AX$12&lt;&gt;0,$H97&gt;0,OR(AUTOEVENTO&lt;&gt;"manual",$M97&lt;&gt;$A$15)),
        IF(Import.TipoArredondamento&lt;&gt;"TransfereGOV",
              ROUND(OFFSET($P97,0,AX$13),15-13*ORÇAMENTO!$AF$7)/$H97*OFFSET(ORÇAMENTO!$X$15,ROW(AX97)-ROW(AX$15),0),
              ROUND(ROUND(OFFSET($P97,0,AX$13),15-13*ORÇAMENTO!$AF$7)*OFFSET(ORÇAMENTO!$W$15,ROW(AX97)-ROW(AX$15),0),15-13*ORÇAMENTO!$AF$11)),
         0)</f>
        <v>0</v>
      </c>
      <c r="AY97" s="453">
        <f ca="1">IF(AND($D97="Serviço",AY$12&lt;&gt;0,$H97&gt;0,OR(AUTOEVENTO&lt;&gt;"manual",$M97&lt;&gt;$A$15)),
        IF(Import.TipoArredondamento&lt;&gt;"TransfereGOV",
              ROUND(OFFSET($P97,0,AY$13),15-13*ORÇAMENTO!$AF$7)/$H97*OFFSET(ORÇAMENTO!$X$15,ROW(AY97)-ROW(AY$15),0),
              ROUND(ROUND(OFFSET($P97,0,AY$13),15-13*ORÇAMENTO!$AF$7)*OFFSET(ORÇAMENTO!$W$15,ROW(AY97)-ROW(AY$15),0),15-13*ORÇAMENTO!$AF$11)),
         0)</f>
        <v>0</v>
      </c>
      <c r="AZ97" s="453">
        <f ca="1">IF(AND($D97="Serviço",AZ$12&lt;&gt;0,$H97&gt;0,OR(AUTOEVENTO&lt;&gt;"manual",$M97&lt;&gt;$A$15)),
        IF(Import.TipoArredondamento&lt;&gt;"TransfereGOV",
              ROUND(OFFSET($P97,0,AZ$13),15-13*ORÇAMENTO!$AF$7)/$H97*OFFSET(ORÇAMENTO!$X$15,ROW(AZ97)-ROW(AZ$15),0),
              ROUND(ROUND(OFFSET($P97,0,AZ$13),15-13*ORÇAMENTO!$AF$7)*OFFSET(ORÇAMENTO!$W$15,ROW(AZ97)-ROW(AZ$15),0),15-13*ORÇAMENTO!$AF$11)),
         0)</f>
        <v>0</v>
      </c>
      <c r="BA97" s="453">
        <f ca="1">IF(AND($D97="Serviço",BA$12&lt;&gt;0,$H97&gt;0,OR(AUTOEVENTO&lt;&gt;"manual",$M97&lt;&gt;$A$15)),
        IF(Import.TipoArredondamento&lt;&gt;"TransfereGOV",
              ROUND(OFFSET($P97,0,BA$13),15-13*ORÇAMENTO!$AF$7)/$H97*OFFSET(ORÇAMENTO!$X$15,ROW(BA97)-ROW(BA$15),0),
              ROUND(ROUND(OFFSET($P97,0,BA$13),15-13*ORÇAMENTO!$AF$7)*OFFSET(ORÇAMENTO!$W$15,ROW(BA97)-ROW(BA$15),0),15-13*ORÇAMENTO!$AF$11)),
         0)</f>
        <v>0</v>
      </c>
      <c r="BC97" s="171">
        <f ca="1">IF(OR($D97&lt;&gt;"Serviço",AND(AUTOEVENTO="Manual",$M97=$A$15)),0,
         IF(OFFSET(CRONOPLE!$F$15,$M97-$A$15,BC$13)=0,10^12,OFFSET(CRONOPLE!$F$15,$M97-$A$15,BC$13)))</f>
        <v>1000000000000</v>
      </c>
      <c r="BD97" s="171">
        <f ca="1">IF(OR($D97&lt;&gt;"Serviço",AND(AUTOEVENTO="Manual",$M97=$A$15)),0,
         IF(OFFSET(CRONOPLE!$F$15,$M97-$A$15,BD$13)=0,10^12,OFFSET(CRONOPLE!$F$15,$M97-$A$15,BD$13)))</f>
        <v>1000000000000</v>
      </c>
      <c r="BE97" s="171">
        <f ca="1">IF(OR($D97&lt;&gt;"Serviço",AND(AUTOEVENTO="Manual",$M97=$A$15)),0,
         IF(OFFSET(CRONOPLE!$F$15,$M97-$A$15,BE$13)=0,10^12,OFFSET(CRONOPLE!$F$15,$M97-$A$15,BE$13)))</f>
        <v>1000000000000</v>
      </c>
      <c r="BF97" s="171">
        <f ca="1">IF(OR($D97&lt;&gt;"Serviço",AND(AUTOEVENTO="Manual",$M97=$A$15)),0,
         IF(OFFSET(CRONOPLE!$F$15,$M97-$A$15,BF$13)=0,10^12,OFFSET(CRONOPLE!$F$15,$M97-$A$15,BF$13)))</f>
        <v>1000000000000</v>
      </c>
      <c r="BG97" s="171">
        <f ca="1">IF(OR($D97&lt;&gt;"Serviço",AND(AUTOEVENTO="Manual",$M97=$A$15)),0,
         IF(OFFSET(CRONOPLE!$F$15,$M97-$A$15,BG$13)=0,10^12,OFFSET(CRONOPLE!$F$15,$M97-$A$15,BG$13)))</f>
        <v>5</v>
      </c>
      <c r="BH97" s="171">
        <f ca="1">IF(OR($D97&lt;&gt;"Serviço",AND(AUTOEVENTO="Manual",$M97=$A$15)),0,
         IF(OFFSET(CRONOPLE!$F$15,$M97-$A$15,BH$13)=0,10^12,OFFSET(CRONOPLE!$F$15,$M97-$A$15,BH$13)))</f>
        <v>11</v>
      </c>
      <c r="BI97" s="171">
        <f ca="1">IF(OR($D97&lt;&gt;"Serviço",AND(AUTOEVENTO="Manual",$M97=$A$15)),0,
         IF(OFFSET(CRONOPLE!$F$15,$M97-$A$15,BI$13)=0,10^12,OFFSET(CRONOPLE!$F$15,$M97-$A$15,BI$13)))</f>
        <v>1000000000000</v>
      </c>
      <c r="BJ97" s="171">
        <f ca="1">IF(OR($D97&lt;&gt;"Serviço",AND(AUTOEVENTO="Manual",$M97=$A$15)),0,
         IF(OFFSET(CRONOPLE!$F$15,$M97-$A$15,BJ$13)=0,10^12,OFFSET(CRONOPLE!$F$15,$M97-$A$15,BJ$13)))</f>
        <v>1000000000000</v>
      </c>
      <c r="BK97" s="171">
        <f ca="1">IF(OR($D97&lt;&gt;"Serviço",AND(AUTOEVENTO="Manual",$M97=$A$15)),0,
         IF(OFFSET(CRONOPLE!$F$15,$M97-$A$15,BK$13)=0,10^12,OFFSET(CRONOPLE!$F$15,$M97-$A$15,BK$13)))</f>
        <v>1000000000000</v>
      </c>
      <c r="BL97" s="171">
        <f ca="1">IF(OR($D97&lt;&gt;"Serviço",AND(AUTOEVENTO="Manual",$M97=$A$15)),0,
         IF(OFFSET(CRONOPLE!$F$15,$M97-$A$15,BL$13)=0,10^12,OFFSET(CRONOPLE!$F$15,$M97-$A$15,BL$13)))</f>
        <v>1000000000000</v>
      </c>
      <c r="BM97" s="171">
        <f ca="1">IF(OR($D97&lt;&gt;"Serviço",AND(AUTOEVENTO="Manual",$M97=$A$15)),0,
         IF(OFFSET(CRONOPLE!$F$15,$M97-$A$15,BM$13)=0,10^12,OFFSET(CRONOPLE!$F$15,$M97-$A$15,BM$13)))</f>
        <v>1000000000000</v>
      </c>
      <c r="BN97" s="171">
        <f ca="1">IF(OR($D97&lt;&gt;"Serviço",AND(AUTOEVENTO="Manual",$M97=$A$15)),0,
         IF(OFFSET(CRONOPLE!$F$15,$M97-$A$15,BN$13)=0,10^12,OFFSET(CRONOPLE!$F$15,$M97-$A$15,BN$13)))</f>
        <v>1000000000000</v>
      </c>
      <c r="BO97" s="171">
        <f ca="1">IF(OR($D97&lt;&gt;"Serviço",AND(AUTOEVENTO="Manual",$M97=$A$15)),0,
         IF(OFFSET(CRONOPLE!$F$15,$M97-$A$15,BO$13)=0,10^12,OFFSET(CRONOPLE!$F$15,$M97-$A$15,BO$13)))</f>
        <v>1000000000000</v>
      </c>
      <c r="BP97" s="171">
        <f ca="1">IF(OR($D97&lt;&gt;"Serviço",AND(AUTOEVENTO="Manual",$M97=$A$15)),0,
         IF(OFFSET(CRONOPLE!$F$15,$M97-$A$15,BP$13)=0,10^12,OFFSET(CRONOPLE!$F$15,$M97-$A$15,BP$13)))</f>
        <v>1000000000000</v>
      </c>
      <c r="BQ97" s="171">
        <f ca="1">IF(OR($D97&lt;&gt;"Serviço",AND(AUTOEVENTO="Manual",$M97=$A$15)),0,
         IF(OFFSET(CRONOPLE!$F$15,$M97-$A$15,BQ$13)=0,10^12,OFFSET(CRONOPLE!$F$15,$M97-$A$15,BQ$13)))</f>
        <v>1000000000000</v>
      </c>
      <c r="BR97" s="171">
        <f ca="1">IF(OR($D97&lt;&gt;"Serviço",AND(AUTOEVENTO="Manual",$M97=$A$15)),0,
         IF(OFFSET(CRONOPLE!$F$15,$M97-$A$15,BR$13)=0,10^12,OFFSET(CRONOPLE!$F$15,$M97-$A$15,BR$13)))</f>
        <v>1000000000000</v>
      </c>
      <c r="BS97" s="171">
        <f ca="1">IF(OR($D97&lt;&gt;"Serviço",AND(AUTOEVENTO="Manual",$M97=$A$15)),0,
         IF(OFFSET(CRONOPLE!$F$15,$M97-$A$15,BS$13)=0,10^12,OFFSET(CRONOPLE!$F$15,$M97-$A$15,BS$13)))</f>
        <v>1000000000000</v>
      </c>
      <c r="BT97" s="171">
        <f ca="1">IF(OR($D97&lt;&gt;"Serviço",AND(AUTOEVENTO="Manual",$M97=$A$15)),0,
         IF(OFFSET(CRONOPLE!$F$15,$M97-$A$15,BT$13)=0,10^12,OFFSET(CRONOPLE!$F$15,$M97-$A$15,BT$13)))</f>
        <v>1000000000000</v>
      </c>
      <c r="BV97" s="172" cm="1">
        <f t="array" aca="1" ref="BV97" ca="1">IF(OR($D97&lt;&gt;"Serviço",AND(AUTOEVENTO="Manual",$M97=$A$15),$M97&gt;(ROW(PLE.lastrow)-ROW(PLE.firstrow))),0,
           IF(OFFSET(PLE!$G$15,$M97-$A$15,BV$13)="",10^12,OFFSET(PLE!$G$15,$M97-$A$15,BV$13)))</f>
        <v>1000000000000</v>
      </c>
      <c r="BW97" s="172" cm="1">
        <f t="array" aca="1" ref="BW97" ca="1">IF(OR($D97&lt;&gt;"Serviço",AND(AUTOEVENTO="Manual",$M97=$A$15),$M97&gt;(ROW(PLE.lastrow)-ROW(PLE.firstrow))),0,
           IF(OFFSET(PLE!$G$15,$M97-$A$15,BW$13)="",10^12,OFFSET(PLE!$G$15,$M97-$A$15,BW$13)))</f>
        <v>1000000000000</v>
      </c>
      <c r="BX97" s="172" cm="1">
        <f t="array" aca="1" ref="BX97" ca="1">IF(OR($D97&lt;&gt;"Serviço",AND(AUTOEVENTO="Manual",$M97=$A$15),$M97&gt;(ROW(PLE.lastrow)-ROW(PLE.firstrow))),0,
           IF(OFFSET(PLE!$G$15,$M97-$A$15,BX$13)="",10^12,OFFSET(PLE!$G$15,$M97-$A$15,BX$13)))</f>
        <v>1000000000000</v>
      </c>
      <c r="BY97" s="172" cm="1">
        <f t="array" aca="1" ref="BY97" ca="1">IF(OR($D97&lt;&gt;"Serviço",AND(AUTOEVENTO="Manual",$M97=$A$15),$M97&gt;(ROW(PLE.lastrow)-ROW(PLE.firstrow))),0,
           IF(OFFSET(PLE!$G$15,$M97-$A$15,BY$13)="",10^12,OFFSET(PLE!$G$15,$M97-$A$15,BY$13)))</f>
        <v>1000000000000</v>
      </c>
      <c r="BZ97" s="172" cm="1">
        <f t="array" aca="1" ref="BZ97" ca="1">IF(OR($D97&lt;&gt;"Serviço",AND(AUTOEVENTO="Manual",$M97=$A$15),$M97&gt;(ROW(PLE.lastrow)-ROW(PLE.firstrow))),0,
           IF(OFFSET(PLE!$G$15,$M97-$A$15,BZ$13)="",10^12,OFFSET(PLE!$G$15,$M97-$A$15,BZ$13)))</f>
        <v>1000000000000</v>
      </c>
      <c r="CA97" s="172" cm="1">
        <f t="array" aca="1" ref="CA97" ca="1">IF(OR($D97&lt;&gt;"Serviço",AND(AUTOEVENTO="Manual",$M97=$A$15),$M97&gt;(ROW(PLE.lastrow)-ROW(PLE.firstrow))),0,
           IF(OFFSET(PLE!$G$15,$M97-$A$15,CA$13)="",10^12,OFFSET(PLE!$G$15,$M97-$A$15,CA$13)))</f>
        <v>1000000000000</v>
      </c>
      <c r="CB97" s="172" cm="1">
        <f t="array" aca="1" ref="CB97" ca="1">IF(OR($D97&lt;&gt;"Serviço",AND(AUTOEVENTO="Manual",$M97=$A$15),$M97&gt;(ROW(PLE.lastrow)-ROW(PLE.firstrow))),0,
           IF(OFFSET(PLE!$G$15,$M97-$A$15,CB$13)="",10^12,OFFSET(PLE!$G$15,$M97-$A$15,CB$13)))</f>
        <v>1000000000000</v>
      </c>
      <c r="CC97" s="172" cm="1">
        <f t="array" aca="1" ref="CC97" ca="1">IF(OR($D97&lt;&gt;"Serviço",AND(AUTOEVENTO="Manual",$M97=$A$15),$M97&gt;(ROW(PLE.lastrow)-ROW(PLE.firstrow))),0,
           IF(OFFSET(PLE!$G$15,$M97-$A$15,CC$13)="",10^12,OFFSET(PLE!$G$15,$M97-$A$15,CC$13)))</f>
        <v>1000000000000</v>
      </c>
      <c r="CD97" s="172" cm="1">
        <f t="array" aca="1" ref="CD97" ca="1">IF(OR($D97&lt;&gt;"Serviço",AND(AUTOEVENTO="Manual",$M97=$A$15),$M97&gt;(ROW(PLE.lastrow)-ROW(PLE.firstrow))),0,
           IF(OFFSET(PLE!$G$15,$M97-$A$15,CD$13)="",10^12,OFFSET(PLE!$G$15,$M97-$A$15,CD$13)))</f>
        <v>1000000000000</v>
      </c>
      <c r="CE97" s="172" cm="1">
        <f t="array" aca="1" ref="CE97" ca="1">IF(OR($D97&lt;&gt;"Serviço",AND(AUTOEVENTO="Manual",$M97=$A$15),$M97&gt;(ROW(PLE.lastrow)-ROW(PLE.firstrow))),0,
           IF(OFFSET(PLE!$G$15,$M97-$A$15,CE$13)="",10^12,OFFSET(PLE!$G$15,$M97-$A$15,CE$13)))</f>
        <v>1000000000000</v>
      </c>
      <c r="CF97" s="172" cm="1">
        <f t="array" aca="1" ref="CF97" ca="1">IF(OR($D97&lt;&gt;"Serviço",AND(AUTOEVENTO="Manual",$M97=$A$15),$M97&gt;(ROW(PLE.lastrow)-ROW(PLE.firstrow))),0,
           IF(OFFSET(PLE!$G$15,$M97-$A$15,CF$13)="",10^12,OFFSET(PLE!$G$15,$M97-$A$15,CF$13)))</f>
        <v>1000000000000</v>
      </c>
      <c r="CG97" s="172" cm="1">
        <f t="array" aca="1" ref="CG97" ca="1">IF(OR($D97&lt;&gt;"Serviço",AND(AUTOEVENTO="Manual",$M97=$A$15),$M97&gt;(ROW(PLE.lastrow)-ROW(PLE.firstrow))),0,
           IF(OFFSET(PLE!$G$15,$M97-$A$15,CG$13)="",10^12,OFFSET(PLE!$G$15,$M97-$A$15,CG$13)))</f>
        <v>1000000000000</v>
      </c>
      <c r="CH97" s="172" cm="1">
        <f t="array" aca="1" ref="CH97" ca="1">IF(OR($D97&lt;&gt;"Serviço",AND(AUTOEVENTO="Manual",$M97=$A$15),$M97&gt;(ROW(PLE.lastrow)-ROW(PLE.firstrow))),0,
           IF(OFFSET(PLE!$G$15,$M97-$A$15,CH$13)="",10^12,OFFSET(PLE!$G$15,$M97-$A$15,CH$13)))</f>
        <v>1000000000000</v>
      </c>
      <c r="CI97" s="172" cm="1">
        <f t="array" aca="1" ref="CI97" ca="1">IF(OR($D97&lt;&gt;"Serviço",AND(AUTOEVENTO="Manual",$M97=$A$15),$M97&gt;(ROW(PLE.lastrow)-ROW(PLE.firstrow))),0,
           IF(OFFSET(PLE!$G$15,$M97-$A$15,CI$13)="",10^12,OFFSET(PLE!$G$15,$M97-$A$15,CI$13)))</f>
        <v>1000000000000</v>
      </c>
      <c r="CJ97" s="172" cm="1">
        <f t="array" aca="1" ref="CJ97" ca="1">IF(OR($D97&lt;&gt;"Serviço",AND(AUTOEVENTO="Manual",$M97=$A$15),$M97&gt;(ROW(PLE.lastrow)-ROW(PLE.firstrow))),0,
           IF(OFFSET(PLE!$G$15,$M97-$A$15,CJ$13)="",10^12,OFFSET(PLE!$G$15,$M97-$A$15,CJ$13)))</f>
        <v>1000000000000</v>
      </c>
      <c r="CK97" s="172" cm="1">
        <f t="array" aca="1" ref="CK97" ca="1">IF(OR($D97&lt;&gt;"Serviço",AND(AUTOEVENTO="Manual",$M97=$A$15),$M97&gt;(ROW(PLE.lastrow)-ROW(PLE.firstrow))),0,
           IF(OFFSET(PLE!$G$15,$M97-$A$15,CK$13)="",10^12,OFFSET(PLE!$G$15,$M97-$A$15,CK$13)))</f>
        <v>1000000000000</v>
      </c>
      <c r="CL97" s="172" cm="1">
        <f t="array" aca="1" ref="CL97" ca="1">IF(OR($D97&lt;&gt;"Serviço",AND(AUTOEVENTO="Manual",$M97=$A$15),$M97&gt;(ROW(PLE.lastrow)-ROW(PLE.firstrow))),0,
           IF(OFFSET(PLE!$G$15,$M97-$A$15,CL$13)="",10^12,OFFSET(PLE!$G$15,$M97-$A$15,CL$13)))</f>
        <v>1000000000000</v>
      </c>
      <c r="CM97" s="172" cm="1">
        <f t="array" aca="1" ref="CM97" ca="1">IF(OR($D97&lt;&gt;"Serviço",AND(AUTOEVENTO="Manual",$M97=$A$15),$M97&gt;(ROW(PLE.lastrow)-ROW(PLE.firstrow))),0,
           IF(OFFSET(PLE!$G$15,$M97-$A$15,CM$13)="",10^12,OFFSET(PLE!$G$15,$M97-$A$15,CM$13)))</f>
        <v>1000000000000</v>
      </c>
    </row>
    <row r="98" spans="1:91" s="670" customFormat="1" ht="12.75" x14ac:dyDescent="0.2">
      <c r="A98" s="668">
        <f t="shared" ca="1" si="12"/>
        <v>0</v>
      </c>
      <c r="B98" s="668">
        <f ca="1">OFFSET(ORÇAMENTO!C$15,$L98,0)</f>
        <v>2</v>
      </c>
      <c r="C98" s="668" t="str">
        <f ca="1">OFFSET(ORÇAMENTO!L$15,$L98,0)</f>
        <v>F</v>
      </c>
      <c r="D98" s="116" t="str">
        <f ca="1">OFFSET(ORÇAMENTO!N$15,$L98,0)</f>
        <v>Nível 2</v>
      </c>
      <c r="E98" s="117" t="str">
        <f ca="1">OFFSET(ORÇAMENTO!O$15,$L98,0)</f>
        <v>1.13.</v>
      </c>
      <c r="F98" s="163" t="str">
        <f ca="1">OFFSET(ORÇAMENTO!R$15,$L98,0)</f>
        <v>MOVIMENTAÇÃO DE TERRA - Estação Elevatória de Água Tratada</v>
      </c>
      <c r="G98" s="164" t="str">
        <f ca="1">IF($D98&lt;&gt;"Serviço","",OFFSET(ORÇAMENTO!S$15,$L98,0))</f>
        <v/>
      </c>
      <c r="H98" s="122" cm="1">
        <f t="array" aca="1" ref="H98" ca="1">IF($D98&lt;&gt;"Serviço",0,IF(ACOMPANHAMENTO="BM",ROUND(OFFSET(ORÇAMENTO!AJ$15,$L98,0),15-13*ORÇAMENTO!$AF$7),IF(IFERROR(CÁLCULO.FrentesPreenchidas,0)=0,0,SUM(ROUND(OFFSET($P98,0,1,1,CÁLCULO.FrentesPreenchidas),15-13*ORÇAMENTO!$AF$7)))))</f>
        <v>0</v>
      </c>
      <c r="I98" s="468"/>
      <c r="J98" s="651" t="str" cm="1">
        <f t="array" aca="1" ref="J98" ca="1">IF(OR(B98&lt;&gt;"S",CÁLCULO.FrentesPreenchidas=0),"",IF(AND(ACOMPANHAMENTO="PLE",AUTOEVENTO="Manual",OR(H98&gt;0,ORÇAMENTO!AC98="QUANT."),OR(K98="",M98=0,N98="")),"►E",IF(AND(ACOMPANHAMENTO="PLE",ORÇAMENTO!AC98="QUANT."),"►Q",IF(AND(ACOMPANHAMENTO="PLE",H98&lt;&gt;SUMPRODUCT(($Q$1:$AI$1=1)*ROUND(Q98:AI98,15))),"►S",IF(AND(COUNTIF($P$11:$AI$11,"▼")=0,H98&gt;0,I98=""),"◄M","")))))</f>
        <v/>
      </c>
      <c r="K98" s="652"/>
      <c r="L98" s="165">
        <f t="shared" ca="1" si="13"/>
        <v>83</v>
      </c>
      <c r="M98" s="166" t="str">
        <f ca="1">IF($D98&lt;&gt;"Serviço","",
          IF(AUTOEVENTO="manual",$A98,
                IF(ISERROR(MATCH($A98,$A$15:OFFSET($A98,-1,0),0)),MAX($M$15:OFFSET(M98,-1,0))+1,
                      INDEX($M$15:OFFSET(M98,-1,0),MATCH($A98,$A$15:OFFSET($A98,-1,0),0)))))</f>
        <v/>
      </c>
      <c r="N98" s="167" t="str">
        <f ca="1">IF($D98&lt;&gt;"Serviço","",
         IF(AUTOEVENTO="Manual",
                IF($A98=0,"&lt;-- defina o número do agrupador",
                       OFFSET(EVENTOS!$D$15,$A98-$A$15,0)),
                OFFSET($F$15,$A98,0)))</f>
        <v/>
      </c>
      <c r="O98" s="168"/>
      <c r="Q98" s="168" t="s">
        <v>250</v>
      </c>
      <c r="R98" s="169"/>
      <c r="S98" s="169"/>
      <c r="T98" s="169"/>
      <c r="U98" s="169"/>
      <c r="V98" s="169"/>
      <c r="W98" s="169"/>
      <c r="X98" s="169"/>
      <c r="Y98" s="169"/>
      <c r="Z98" s="170"/>
      <c r="AA98" s="705"/>
      <c r="AB98" s="705"/>
      <c r="AC98" s="705"/>
      <c r="AD98" s="705"/>
      <c r="AE98" s="705"/>
      <c r="AF98" s="705"/>
      <c r="AG98" s="705"/>
      <c r="AH98" s="706"/>
      <c r="AJ98" s="453">
        <f ca="1">IF(AND($D98="Serviço",AJ$12&lt;&gt;0,$H98&gt;0,OR(AUTOEVENTO&lt;&gt;"manual",$M98&lt;&gt;$A$15)),
        IF(Import.TipoArredondamento&lt;&gt;"TransfereGOV",
              ROUND(OFFSET($P98,0,AJ$13),15-13*ORÇAMENTO!$AF$7)/$H98*OFFSET(ORÇAMENTO!$X$15,ROW(AJ98)-ROW(AJ$15),0),
              ROUND(ROUND(OFFSET($P98,0,AJ$13),15-13*ORÇAMENTO!$AF$7)*OFFSET(ORÇAMENTO!$W$15,ROW(AJ98)-ROW(AJ$15),0),15-13*ORÇAMENTO!$AF$11)),
         0)</f>
        <v>0</v>
      </c>
      <c r="AK98" s="453">
        <f ca="1">IF(AND($D98="Serviço",AK$12&lt;&gt;0,$H98&gt;0,OR(AUTOEVENTO&lt;&gt;"manual",$M98&lt;&gt;$A$15)),
        IF(Import.TipoArredondamento&lt;&gt;"TransfereGOV",
              ROUND(OFFSET($P98,0,AK$13),15-13*ORÇAMENTO!$AF$7)/$H98*OFFSET(ORÇAMENTO!$X$15,ROW(AK98)-ROW(AK$15),0),
              ROUND(ROUND(OFFSET($P98,0,AK$13),15-13*ORÇAMENTO!$AF$7)*OFFSET(ORÇAMENTO!$W$15,ROW(AK98)-ROW(AK$15),0),15-13*ORÇAMENTO!$AF$11)),
         0)</f>
        <v>0</v>
      </c>
      <c r="AL98" s="453">
        <f ca="1">IF(AND($D98="Serviço",AL$12&lt;&gt;0,$H98&gt;0,OR(AUTOEVENTO&lt;&gt;"manual",$M98&lt;&gt;$A$15)),
        IF(Import.TipoArredondamento&lt;&gt;"TransfereGOV",
              ROUND(OFFSET($P98,0,AL$13),15-13*ORÇAMENTO!$AF$7)/$H98*OFFSET(ORÇAMENTO!$X$15,ROW(AL98)-ROW(AL$15),0),
              ROUND(ROUND(OFFSET($P98,0,AL$13),15-13*ORÇAMENTO!$AF$7)*OFFSET(ORÇAMENTO!$W$15,ROW(AL98)-ROW(AL$15),0),15-13*ORÇAMENTO!$AF$11)),
         0)</f>
        <v>0</v>
      </c>
      <c r="AM98" s="453">
        <f ca="1">IF(AND($D98="Serviço",AM$12&lt;&gt;0,$H98&gt;0,OR(AUTOEVENTO&lt;&gt;"manual",$M98&lt;&gt;$A$15)),
        IF(Import.TipoArredondamento&lt;&gt;"TransfereGOV",
              ROUND(OFFSET($P98,0,AM$13),15-13*ORÇAMENTO!$AF$7)/$H98*OFFSET(ORÇAMENTO!$X$15,ROW(AM98)-ROW(AM$15),0),
              ROUND(ROUND(OFFSET($P98,0,AM$13),15-13*ORÇAMENTO!$AF$7)*OFFSET(ORÇAMENTO!$W$15,ROW(AM98)-ROW(AM$15),0),15-13*ORÇAMENTO!$AF$11)),
         0)</f>
        <v>0</v>
      </c>
      <c r="AN98" s="453">
        <f ca="1">IF(AND($D98="Serviço",AN$12&lt;&gt;0,$H98&gt;0,OR(AUTOEVENTO&lt;&gt;"manual",$M98&lt;&gt;$A$15)),
        IF(Import.TipoArredondamento&lt;&gt;"TransfereGOV",
              ROUND(OFFSET($P98,0,AN$13),15-13*ORÇAMENTO!$AF$7)/$H98*OFFSET(ORÇAMENTO!$X$15,ROW(AN98)-ROW(AN$15),0),
              ROUND(ROUND(OFFSET($P98,0,AN$13),15-13*ORÇAMENTO!$AF$7)*OFFSET(ORÇAMENTO!$W$15,ROW(AN98)-ROW(AN$15),0),15-13*ORÇAMENTO!$AF$11)),
         0)</f>
        <v>0</v>
      </c>
      <c r="AO98" s="453">
        <f ca="1">IF(AND($D98="Serviço",AO$12&lt;&gt;0,$H98&gt;0,OR(AUTOEVENTO&lt;&gt;"manual",$M98&lt;&gt;$A$15)),
        IF(Import.TipoArredondamento&lt;&gt;"TransfereGOV",
              ROUND(OFFSET($P98,0,AO$13),15-13*ORÇAMENTO!$AF$7)/$H98*OFFSET(ORÇAMENTO!$X$15,ROW(AO98)-ROW(AO$15),0),
              ROUND(ROUND(OFFSET($P98,0,AO$13),15-13*ORÇAMENTO!$AF$7)*OFFSET(ORÇAMENTO!$W$15,ROW(AO98)-ROW(AO$15),0),15-13*ORÇAMENTO!$AF$11)),
         0)</f>
        <v>0</v>
      </c>
      <c r="AP98" s="453">
        <f ca="1">IF(AND($D98="Serviço",AP$12&lt;&gt;0,$H98&gt;0,OR(AUTOEVENTO&lt;&gt;"manual",$M98&lt;&gt;$A$15)),
        IF(Import.TipoArredondamento&lt;&gt;"TransfereGOV",
              ROUND(OFFSET($P98,0,AP$13),15-13*ORÇAMENTO!$AF$7)/$H98*OFFSET(ORÇAMENTO!$X$15,ROW(AP98)-ROW(AP$15),0),
              ROUND(ROUND(OFFSET($P98,0,AP$13),15-13*ORÇAMENTO!$AF$7)*OFFSET(ORÇAMENTO!$W$15,ROW(AP98)-ROW(AP$15),0),15-13*ORÇAMENTO!$AF$11)),
         0)</f>
        <v>0</v>
      </c>
      <c r="AQ98" s="453">
        <f ca="1">IF(AND($D98="Serviço",AQ$12&lt;&gt;0,$H98&gt;0,OR(AUTOEVENTO&lt;&gt;"manual",$M98&lt;&gt;$A$15)),
        IF(Import.TipoArredondamento&lt;&gt;"TransfereGOV",
              ROUND(OFFSET($P98,0,AQ$13),15-13*ORÇAMENTO!$AF$7)/$H98*OFFSET(ORÇAMENTO!$X$15,ROW(AQ98)-ROW(AQ$15),0),
              ROUND(ROUND(OFFSET($P98,0,AQ$13),15-13*ORÇAMENTO!$AF$7)*OFFSET(ORÇAMENTO!$W$15,ROW(AQ98)-ROW(AQ$15),0),15-13*ORÇAMENTO!$AF$11)),
         0)</f>
        <v>0</v>
      </c>
      <c r="AR98" s="453">
        <f ca="1">IF(AND($D98="Serviço",AR$12&lt;&gt;0,$H98&gt;0,OR(AUTOEVENTO&lt;&gt;"manual",$M98&lt;&gt;$A$15)),
        IF(Import.TipoArredondamento&lt;&gt;"TransfereGOV",
              ROUND(OFFSET($P98,0,AR$13),15-13*ORÇAMENTO!$AF$7)/$H98*OFFSET(ORÇAMENTO!$X$15,ROW(AR98)-ROW(AR$15),0),
              ROUND(ROUND(OFFSET($P98,0,AR$13),15-13*ORÇAMENTO!$AF$7)*OFFSET(ORÇAMENTO!$W$15,ROW(AR98)-ROW(AR$15),0),15-13*ORÇAMENTO!$AF$11)),
         0)</f>
        <v>0</v>
      </c>
      <c r="AS98" s="453">
        <f ca="1">IF(AND($D98="Serviço",AS$12&lt;&gt;0,$H98&gt;0,OR(AUTOEVENTO&lt;&gt;"manual",$M98&lt;&gt;$A$15)),
        IF(Import.TipoArredondamento&lt;&gt;"TransfereGOV",
              ROUND(OFFSET($P98,0,AS$13),15-13*ORÇAMENTO!$AF$7)/$H98*OFFSET(ORÇAMENTO!$X$15,ROW(AS98)-ROW(AS$15),0),
              ROUND(ROUND(OFFSET($P98,0,AS$13),15-13*ORÇAMENTO!$AF$7)*OFFSET(ORÇAMENTO!$W$15,ROW(AS98)-ROW(AS$15),0),15-13*ORÇAMENTO!$AF$11)),
         0)</f>
        <v>0</v>
      </c>
      <c r="AT98" s="453">
        <f ca="1">IF(AND($D98="Serviço",AT$12&lt;&gt;0,$H98&gt;0,OR(AUTOEVENTO&lt;&gt;"manual",$M98&lt;&gt;$A$15)),
        IF(Import.TipoArredondamento&lt;&gt;"TransfereGOV",
              ROUND(OFFSET($P98,0,AT$13),15-13*ORÇAMENTO!$AF$7)/$H98*OFFSET(ORÇAMENTO!$X$15,ROW(AT98)-ROW(AT$15),0),
              ROUND(ROUND(OFFSET($P98,0,AT$13),15-13*ORÇAMENTO!$AF$7)*OFFSET(ORÇAMENTO!$W$15,ROW(AT98)-ROW(AT$15),0),15-13*ORÇAMENTO!$AF$11)),
         0)</f>
        <v>0</v>
      </c>
      <c r="AU98" s="453">
        <f ca="1">IF(AND($D98="Serviço",AU$12&lt;&gt;0,$H98&gt;0,OR(AUTOEVENTO&lt;&gt;"manual",$M98&lt;&gt;$A$15)),
        IF(Import.TipoArredondamento&lt;&gt;"TransfereGOV",
              ROUND(OFFSET($P98,0,AU$13),15-13*ORÇAMENTO!$AF$7)/$H98*OFFSET(ORÇAMENTO!$X$15,ROW(AU98)-ROW(AU$15),0),
              ROUND(ROUND(OFFSET($P98,0,AU$13),15-13*ORÇAMENTO!$AF$7)*OFFSET(ORÇAMENTO!$W$15,ROW(AU98)-ROW(AU$15),0),15-13*ORÇAMENTO!$AF$11)),
         0)</f>
        <v>0</v>
      </c>
      <c r="AV98" s="453">
        <f ca="1">IF(AND($D98="Serviço",AV$12&lt;&gt;0,$H98&gt;0,OR(AUTOEVENTO&lt;&gt;"manual",$M98&lt;&gt;$A$15)),
        IF(Import.TipoArredondamento&lt;&gt;"TransfereGOV",
              ROUND(OFFSET($P98,0,AV$13),15-13*ORÇAMENTO!$AF$7)/$H98*OFFSET(ORÇAMENTO!$X$15,ROW(AV98)-ROW(AV$15),0),
              ROUND(ROUND(OFFSET($P98,0,AV$13),15-13*ORÇAMENTO!$AF$7)*OFFSET(ORÇAMENTO!$W$15,ROW(AV98)-ROW(AV$15),0),15-13*ORÇAMENTO!$AF$11)),
         0)</f>
        <v>0</v>
      </c>
      <c r="AW98" s="453">
        <f ca="1">IF(AND($D98="Serviço",AW$12&lt;&gt;0,$H98&gt;0,OR(AUTOEVENTO&lt;&gt;"manual",$M98&lt;&gt;$A$15)),
        IF(Import.TipoArredondamento&lt;&gt;"TransfereGOV",
              ROUND(OFFSET($P98,0,AW$13),15-13*ORÇAMENTO!$AF$7)/$H98*OFFSET(ORÇAMENTO!$X$15,ROW(AW98)-ROW(AW$15),0),
              ROUND(ROUND(OFFSET($P98,0,AW$13),15-13*ORÇAMENTO!$AF$7)*OFFSET(ORÇAMENTO!$W$15,ROW(AW98)-ROW(AW$15),0),15-13*ORÇAMENTO!$AF$11)),
         0)</f>
        <v>0</v>
      </c>
      <c r="AX98" s="453">
        <f ca="1">IF(AND($D98="Serviço",AX$12&lt;&gt;0,$H98&gt;0,OR(AUTOEVENTO&lt;&gt;"manual",$M98&lt;&gt;$A$15)),
        IF(Import.TipoArredondamento&lt;&gt;"TransfereGOV",
              ROUND(OFFSET($P98,0,AX$13),15-13*ORÇAMENTO!$AF$7)/$H98*OFFSET(ORÇAMENTO!$X$15,ROW(AX98)-ROW(AX$15),0),
              ROUND(ROUND(OFFSET($P98,0,AX$13),15-13*ORÇAMENTO!$AF$7)*OFFSET(ORÇAMENTO!$W$15,ROW(AX98)-ROW(AX$15),0),15-13*ORÇAMENTO!$AF$11)),
         0)</f>
        <v>0</v>
      </c>
      <c r="AY98" s="453">
        <f ca="1">IF(AND($D98="Serviço",AY$12&lt;&gt;0,$H98&gt;0,OR(AUTOEVENTO&lt;&gt;"manual",$M98&lt;&gt;$A$15)),
        IF(Import.TipoArredondamento&lt;&gt;"TransfereGOV",
              ROUND(OFFSET($P98,0,AY$13),15-13*ORÇAMENTO!$AF$7)/$H98*OFFSET(ORÇAMENTO!$X$15,ROW(AY98)-ROW(AY$15),0),
              ROUND(ROUND(OFFSET($P98,0,AY$13),15-13*ORÇAMENTO!$AF$7)*OFFSET(ORÇAMENTO!$W$15,ROW(AY98)-ROW(AY$15),0),15-13*ORÇAMENTO!$AF$11)),
         0)</f>
        <v>0</v>
      </c>
      <c r="AZ98" s="453">
        <f ca="1">IF(AND($D98="Serviço",AZ$12&lt;&gt;0,$H98&gt;0,OR(AUTOEVENTO&lt;&gt;"manual",$M98&lt;&gt;$A$15)),
        IF(Import.TipoArredondamento&lt;&gt;"TransfereGOV",
              ROUND(OFFSET($P98,0,AZ$13),15-13*ORÇAMENTO!$AF$7)/$H98*OFFSET(ORÇAMENTO!$X$15,ROW(AZ98)-ROW(AZ$15),0),
              ROUND(ROUND(OFFSET($P98,0,AZ$13),15-13*ORÇAMENTO!$AF$7)*OFFSET(ORÇAMENTO!$W$15,ROW(AZ98)-ROW(AZ$15),0),15-13*ORÇAMENTO!$AF$11)),
         0)</f>
        <v>0</v>
      </c>
      <c r="BA98" s="453">
        <f ca="1">IF(AND($D98="Serviço",BA$12&lt;&gt;0,$H98&gt;0,OR(AUTOEVENTO&lt;&gt;"manual",$M98&lt;&gt;$A$15)),
        IF(Import.TipoArredondamento&lt;&gt;"TransfereGOV",
              ROUND(OFFSET($P98,0,BA$13),15-13*ORÇAMENTO!$AF$7)/$H98*OFFSET(ORÇAMENTO!$X$15,ROW(BA98)-ROW(BA$15),0),
              ROUND(ROUND(OFFSET($P98,0,BA$13),15-13*ORÇAMENTO!$AF$7)*OFFSET(ORÇAMENTO!$W$15,ROW(BA98)-ROW(BA$15),0),15-13*ORÇAMENTO!$AF$11)),
         0)</f>
        <v>0</v>
      </c>
      <c r="BC98" s="171">
        <f ca="1">IF(OR($D98&lt;&gt;"Serviço",AND(AUTOEVENTO="Manual",$M98=$A$15)),0,
         IF(OFFSET(CRONOPLE!$F$15,$M98-$A$15,BC$13)=0,10^12,OFFSET(CRONOPLE!$F$15,$M98-$A$15,BC$13)))</f>
        <v>0</v>
      </c>
      <c r="BD98" s="171">
        <f ca="1">IF(OR($D98&lt;&gt;"Serviço",AND(AUTOEVENTO="Manual",$M98=$A$15)),0,
         IF(OFFSET(CRONOPLE!$F$15,$M98-$A$15,BD$13)=0,10^12,OFFSET(CRONOPLE!$F$15,$M98-$A$15,BD$13)))</f>
        <v>0</v>
      </c>
      <c r="BE98" s="171">
        <f ca="1">IF(OR($D98&lt;&gt;"Serviço",AND(AUTOEVENTO="Manual",$M98=$A$15)),0,
         IF(OFFSET(CRONOPLE!$F$15,$M98-$A$15,BE$13)=0,10^12,OFFSET(CRONOPLE!$F$15,$M98-$A$15,BE$13)))</f>
        <v>0</v>
      </c>
      <c r="BF98" s="171">
        <f ca="1">IF(OR($D98&lt;&gt;"Serviço",AND(AUTOEVENTO="Manual",$M98=$A$15)),0,
         IF(OFFSET(CRONOPLE!$F$15,$M98-$A$15,BF$13)=0,10^12,OFFSET(CRONOPLE!$F$15,$M98-$A$15,BF$13)))</f>
        <v>0</v>
      </c>
      <c r="BG98" s="171">
        <f ca="1">IF(OR($D98&lt;&gt;"Serviço",AND(AUTOEVENTO="Manual",$M98=$A$15)),0,
         IF(OFFSET(CRONOPLE!$F$15,$M98-$A$15,BG$13)=0,10^12,OFFSET(CRONOPLE!$F$15,$M98-$A$15,BG$13)))</f>
        <v>0</v>
      </c>
      <c r="BH98" s="171">
        <f ca="1">IF(OR($D98&lt;&gt;"Serviço",AND(AUTOEVENTO="Manual",$M98=$A$15)),0,
         IF(OFFSET(CRONOPLE!$F$15,$M98-$A$15,BH$13)=0,10^12,OFFSET(CRONOPLE!$F$15,$M98-$A$15,BH$13)))</f>
        <v>0</v>
      </c>
      <c r="BI98" s="171">
        <f ca="1">IF(OR($D98&lt;&gt;"Serviço",AND(AUTOEVENTO="Manual",$M98=$A$15)),0,
         IF(OFFSET(CRONOPLE!$F$15,$M98-$A$15,BI$13)=0,10^12,OFFSET(CRONOPLE!$F$15,$M98-$A$15,BI$13)))</f>
        <v>0</v>
      </c>
      <c r="BJ98" s="171">
        <f ca="1">IF(OR($D98&lt;&gt;"Serviço",AND(AUTOEVENTO="Manual",$M98=$A$15)),0,
         IF(OFFSET(CRONOPLE!$F$15,$M98-$A$15,BJ$13)=0,10^12,OFFSET(CRONOPLE!$F$15,$M98-$A$15,BJ$13)))</f>
        <v>0</v>
      </c>
      <c r="BK98" s="171">
        <f ca="1">IF(OR($D98&lt;&gt;"Serviço",AND(AUTOEVENTO="Manual",$M98=$A$15)),0,
         IF(OFFSET(CRONOPLE!$F$15,$M98-$A$15,BK$13)=0,10^12,OFFSET(CRONOPLE!$F$15,$M98-$A$15,BK$13)))</f>
        <v>0</v>
      </c>
      <c r="BL98" s="171">
        <f ca="1">IF(OR($D98&lt;&gt;"Serviço",AND(AUTOEVENTO="Manual",$M98=$A$15)),0,
         IF(OFFSET(CRONOPLE!$F$15,$M98-$A$15,BL$13)=0,10^12,OFFSET(CRONOPLE!$F$15,$M98-$A$15,BL$13)))</f>
        <v>0</v>
      </c>
      <c r="BM98" s="171">
        <f ca="1">IF(OR($D98&lt;&gt;"Serviço",AND(AUTOEVENTO="Manual",$M98=$A$15)),0,
         IF(OFFSET(CRONOPLE!$F$15,$M98-$A$15,BM$13)=0,10^12,OFFSET(CRONOPLE!$F$15,$M98-$A$15,BM$13)))</f>
        <v>0</v>
      </c>
      <c r="BN98" s="171">
        <f ca="1">IF(OR($D98&lt;&gt;"Serviço",AND(AUTOEVENTO="Manual",$M98=$A$15)),0,
         IF(OFFSET(CRONOPLE!$F$15,$M98-$A$15,BN$13)=0,10^12,OFFSET(CRONOPLE!$F$15,$M98-$A$15,BN$13)))</f>
        <v>0</v>
      </c>
      <c r="BO98" s="171">
        <f ca="1">IF(OR($D98&lt;&gt;"Serviço",AND(AUTOEVENTO="Manual",$M98=$A$15)),0,
         IF(OFFSET(CRONOPLE!$F$15,$M98-$A$15,BO$13)=0,10^12,OFFSET(CRONOPLE!$F$15,$M98-$A$15,BO$13)))</f>
        <v>0</v>
      </c>
      <c r="BP98" s="171">
        <f ca="1">IF(OR($D98&lt;&gt;"Serviço",AND(AUTOEVENTO="Manual",$M98=$A$15)),0,
         IF(OFFSET(CRONOPLE!$F$15,$M98-$A$15,BP$13)=0,10^12,OFFSET(CRONOPLE!$F$15,$M98-$A$15,BP$13)))</f>
        <v>0</v>
      </c>
      <c r="BQ98" s="171">
        <f ca="1">IF(OR($D98&lt;&gt;"Serviço",AND(AUTOEVENTO="Manual",$M98=$A$15)),0,
         IF(OFFSET(CRONOPLE!$F$15,$M98-$A$15,BQ$13)=0,10^12,OFFSET(CRONOPLE!$F$15,$M98-$A$15,BQ$13)))</f>
        <v>0</v>
      </c>
      <c r="BR98" s="171">
        <f ca="1">IF(OR($D98&lt;&gt;"Serviço",AND(AUTOEVENTO="Manual",$M98=$A$15)),0,
         IF(OFFSET(CRONOPLE!$F$15,$M98-$A$15,BR$13)=0,10^12,OFFSET(CRONOPLE!$F$15,$M98-$A$15,BR$13)))</f>
        <v>0</v>
      </c>
      <c r="BS98" s="171">
        <f ca="1">IF(OR($D98&lt;&gt;"Serviço",AND(AUTOEVENTO="Manual",$M98=$A$15)),0,
         IF(OFFSET(CRONOPLE!$F$15,$M98-$A$15,BS$13)=0,10^12,OFFSET(CRONOPLE!$F$15,$M98-$A$15,BS$13)))</f>
        <v>0</v>
      </c>
      <c r="BT98" s="171">
        <f ca="1">IF(OR($D98&lt;&gt;"Serviço",AND(AUTOEVENTO="Manual",$M98=$A$15)),0,
         IF(OFFSET(CRONOPLE!$F$15,$M98-$A$15,BT$13)=0,10^12,OFFSET(CRONOPLE!$F$15,$M98-$A$15,BT$13)))</f>
        <v>0</v>
      </c>
      <c r="BV98" s="172" cm="1">
        <f t="array" aca="1" ref="BV98" ca="1">IF(OR($D98&lt;&gt;"Serviço",AND(AUTOEVENTO="Manual",$M98=$A$15),$M98&gt;(ROW(PLE.lastrow)-ROW(PLE.firstrow))),0,
           IF(OFFSET(PLE!$G$15,$M98-$A$15,BV$13)="",10^12,OFFSET(PLE!$G$15,$M98-$A$15,BV$13)))</f>
        <v>0</v>
      </c>
      <c r="BW98" s="172" cm="1">
        <f t="array" aca="1" ref="BW98" ca="1">IF(OR($D98&lt;&gt;"Serviço",AND(AUTOEVENTO="Manual",$M98=$A$15),$M98&gt;(ROW(PLE.lastrow)-ROW(PLE.firstrow))),0,
           IF(OFFSET(PLE!$G$15,$M98-$A$15,BW$13)="",10^12,OFFSET(PLE!$G$15,$M98-$A$15,BW$13)))</f>
        <v>0</v>
      </c>
      <c r="BX98" s="172" cm="1">
        <f t="array" aca="1" ref="BX98" ca="1">IF(OR($D98&lt;&gt;"Serviço",AND(AUTOEVENTO="Manual",$M98=$A$15),$M98&gt;(ROW(PLE.lastrow)-ROW(PLE.firstrow))),0,
           IF(OFFSET(PLE!$G$15,$M98-$A$15,BX$13)="",10^12,OFFSET(PLE!$G$15,$M98-$A$15,BX$13)))</f>
        <v>0</v>
      </c>
      <c r="BY98" s="172" cm="1">
        <f t="array" aca="1" ref="BY98" ca="1">IF(OR($D98&lt;&gt;"Serviço",AND(AUTOEVENTO="Manual",$M98=$A$15),$M98&gt;(ROW(PLE.lastrow)-ROW(PLE.firstrow))),0,
           IF(OFFSET(PLE!$G$15,$M98-$A$15,BY$13)="",10^12,OFFSET(PLE!$G$15,$M98-$A$15,BY$13)))</f>
        <v>0</v>
      </c>
      <c r="BZ98" s="172" cm="1">
        <f t="array" aca="1" ref="BZ98" ca="1">IF(OR($D98&lt;&gt;"Serviço",AND(AUTOEVENTO="Manual",$M98=$A$15),$M98&gt;(ROW(PLE.lastrow)-ROW(PLE.firstrow))),0,
           IF(OFFSET(PLE!$G$15,$M98-$A$15,BZ$13)="",10^12,OFFSET(PLE!$G$15,$M98-$A$15,BZ$13)))</f>
        <v>0</v>
      </c>
      <c r="CA98" s="172" cm="1">
        <f t="array" aca="1" ref="CA98" ca="1">IF(OR($D98&lt;&gt;"Serviço",AND(AUTOEVENTO="Manual",$M98=$A$15),$M98&gt;(ROW(PLE.lastrow)-ROW(PLE.firstrow))),0,
           IF(OFFSET(PLE!$G$15,$M98-$A$15,CA$13)="",10^12,OFFSET(PLE!$G$15,$M98-$A$15,CA$13)))</f>
        <v>0</v>
      </c>
      <c r="CB98" s="172" cm="1">
        <f t="array" aca="1" ref="CB98" ca="1">IF(OR($D98&lt;&gt;"Serviço",AND(AUTOEVENTO="Manual",$M98=$A$15),$M98&gt;(ROW(PLE.lastrow)-ROW(PLE.firstrow))),0,
           IF(OFFSET(PLE!$G$15,$M98-$A$15,CB$13)="",10^12,OFFSET(PLE!$G$15,$M98-$A$15,CB$13)))</f>
        <v>0</v>
      </c>
      <c r="CC98" s="172" cm="1">
        <f t="array" aca="1" ref="CC98" ca="1">IF(OR($D98&lt;&gt;"Serviço",AND(AUTOEVENTO="Manual",$M98=$A$15),$M98&gt;(ROW(PLE.lastrow)-ROW(PLE.firstrow))),0,
           IF(OFFSET(PLE!$G$15,$M98-$A$15,CC$13)="",10^12,OFFSET(PLE!$G$15,$M98-$A$15,CC$13)))</f>
        <v>0</v>
      </c>
      <c r="CD98" s="172" cm="1">
        <f t="array" aca="1" ref="CD98" ca="1">IF(OR($D98&lt;&gt;"Serviço",AND(AUTOEVENTO="Manual",$M98=$A$15),$M98&gt;(ROW(PLE.lastrow)-ROW(PLE.firstrow))),0,
           IF(OFFSET(PLE!$G$15,$M98-$A$15,CD$13)="",10^12,OFFSET(PLE!$G$15,$M98-$A$15,CD$13)))</f>
        <v>0</v>
      </c>
      <c r="CE98" s="172" cm="1">
        <f t="array" aca="1" ref="CE98" ca="1">IF(OR($D98&lt;&gt;"Serviço",AND(AUTOEVENTO="Manual",$M98=$A$15),$M98&gt;(ROW(PLE.lastrow)-ROW(PLE.firstrow))),0,
           IF(OFFSET(PLE!$G$15,$M98-$A$15,CE$13)="",10^12,OFFSET(PLE!$G$15,$M98-$A$15,CE$13)))</f>
        <v>0</v>
      </c>
      <c r="CF98" s="172" cm="1">
        <f t="array" aca="1" ref="CF98" ca="1">IF(OR($D98&lt;&gt;"Serviço",AND(AUTOEVENTO="Manual",$M98=$A$15),$M98&gt;(ROW(PLE.lastrow)-ROW(PLE.firstrow))),0,
           IF(OFFSET(PLE!$G$15,$M98-$A$15,CF$13)="",10^12,OFFSET(PLE!$G$15,$M98-$A$15,CF$13)))</f>
        <v>0</v>
      </c>
      <c r="CG98" s="172" cm="1">
        <f t="array" aca="1" ref="CG98" ca="1">IF(OR($D98&lt;&gt;"Serviço",AND(AUTOEVENTO="Manual",$M98=$A$15),$M98&gt;(ROW(PLE.lastrow)-ROW(PLE.firstrow))),0,
           IF(OFFSET(PLE!$G$15,$M98-$A$15,CG$13)="",10^12,OFFSET(PLE!$G$15,$M98-$A$15,CG$13)))</f>
        <v>0</v>
      </c>
      <c r="CH98" s="172" cm="1">
        <f t="array" aca="1" ref="CH98" ca="1">IF(OR($D98&lt;&gt;"Serviço",AND(AUTOEVENTO="Manual",$M98=$A$15),$M98&gt;(ROW(PLE.lastrow)-ROW(PLE.firstrow))),0,
           IF(OFFSET(PLE!$G$15,$M98-$A$15,CH$13)="",10^12,OFFSET(PLE!$G$15,$M98-$A$15,CH$13)))</f>
        <v>0</v>
      </c>
      <c r="CI98" s="172" cm="1">
        <f t="array" aca="1" ref="CI98" ca="1">IF(OR($D98&lt;&gt;"Serviço",AND(AUTOEVENTO="Manual",$M98=$A$15),$M98&gt;(ROW(PLE.lastrow)-ROW(PLE.firstrow))),0,
           IF(OFFSET(PLE!$G$15,$M98-$A$15,CI$13)="",10^12,OFFSET(PLE!$G$15,$M98-$A$15,CI$13)))</f>
        <v>0</v>
      </c>
      <c r="CJ98" s="172" cm="1">
        <f t="array" aca="1" ref="CJ98" ca="1">IF(OR($D98&lt;&gt;"Serviço",AND(AUTOEVENTO="Manual",$M98=$A$15),$M98&gt;(ROW(PLE.lastrow)-ROW(PLE.firstrow))),0,
           IF(OFFSET(PLE!$G$15,$M98-$A$15,CJ$13)="",10^12,OFFSET(PLE!$G$15,$M98-$A$15,CJ$13)))</f>
        <v>0</v>
      </c>
      <c r="CK98" s="172" cm="1">
        <f t="array" aca="1" ref="CK98" ca="1">IF(OR($D98&lt;&gt;"Serviço",AND(AUTOEVENTO="Manual",$M98=$A$15),$M98&gt;(ROW(PLE.lastrow)-ROW(PLE.firstrow))),0,
           IF(OFFSET(PLE!$G$15,$M98-$A$15,CK$13)="",10^12,OFFSET(PLE!$G$15,$M98-$A$15,CK$13)))</f>
        <v>0</v>
      </c>
      <c r="CL98" s="172" cm="1">
        <f t="array" aca="1" ref="CL98" ca="1">IF(OR($D98&lt;&gt;"Serviço",AND(AUTOEVENTO="Manual",$M98=$A$15),$M98&gt;(ROW(PLE.lastrow)-ROW(PLE.firstrow))),0,
           IF(OFFSET(PLE!$G$15,$M98-$A$15,CL$13)="",10^12,OFFSET(PLE!$G$15,$M98-$A$15,CL$13)))</f>
        <v>0</v>
      </c>
      <c r="CM98" s="172" cm="1">
        <f t="array" aca="1" ref="CM98" ca="1">IF(OR($D98&lt;&gt;"Serviço",AND(AUTOEVENTO="Manual",$M98=$A$15),$M98&gt;(ROW(PLE.lastrow)-ROW(PLE.firstrow))),0,
           IF(OFFSET(PLE!$G$15,$M98-$A$15,CM$13)="",10^12,OFFSET(PLE!$G$15,$M98-$A$15,CM$13)))</f>
        <v>0</v>
      </c>
    </row>
    <row r="99" spans="1:91" s="670" customFormat="1" ht="25.5" x14ac:dyDescent="0.2">
      <c r="A99" s="668">
        <f t="shared" ca="1" si="12"/>
        <v>7</v>
      </c>
      <c r="B99" s="668" t="str">
        <f ca="1">OFFSET(ORÇAMENTO!C$15,$L99,0)</f>
        <v>S</v>
      </c>
      <c r="C99" s="668" t="str">
        <f ca="1">OFFSET(ORÇAMENTO!L$15,$L99,0)</f>
        <v>F</v>
      </c>
      <c r="D99" s="116" t="str">
        <f ca="1">OFFSET(ORÇAMENTO!N$15,$L99,0)</f>
        <v>Serviço</v>
      </c>
      <c r="E99" s="117" t="str">
        <f ca="1">OFFSET(ORÇAMENTO!O$15,$L99,0)</f>
        <v>1.13.1.</v>
      </c>
      <c r="F99" s="163" t="str">
        <f ca="1">OFFSET(ORÇAMENTO!R$15,$L99,0)</f>
        <v>ESCAVAÇÃO MANUAL PARA BLOCO DE COROAMENTO OU SAPATA (SEM ESCAVAÇÃO PARA COLOCAÇÃO DE FÔRMAS). AF_01/2024</v>
      </c>
      <c r="G99" s="164" t="str">
        <f ca="1">IF($D99&lt;&gt;"Serviço","",OFFSET(ORÇAMENTO!S$15,$L99,0))</f>
        <v>M3</v>
      </c>
      <c r="H99" s="122" cm="1">
        <f t="array" aca="1" ref="H99" ca="1">IF($D99&lt;&gt;"Serviço",0,IF(ACOMPANHAMENTO="BM",ROUND(OFFSET(ORÇAMENTO!AJ$15,$L99,0),15-13*ORÇAMENTO!$AF$7),IF(IFERROR(CÁLCULO.FrentesPreenchidas,0)=0,0,SUM(ROUND(OFFSET($P99,0,1,1,CÁLCULO.FrentesPreenchidas),15-13*ORÇAMENTO!$AF$7)))))</f>
        <v>5.12</v>
      </c>
      <c r="I99" s="468" t="s">
        <v>1167</v>
      </c>
      <c r="J99" s="651" t="str" cm="1">
        <f t="array" aca="1" ref="J99" ca="1">IF(OR(B99&lt;&gt;"S",CÁLCULO.FrentesPreenchidas=0),"",IF(AND(ACOMPANHAMENTO="PLE",AUTOEVENTO="Manual",OR(H99&gt;0,ORÇAMENTO!AC99="QUANT."),OR(K99="",M99=0,N99="")),"►E",IF(AND(ACOMPANHAMENTO="PLE",ORÇAMENTO!AC99="QUANT."),"►Q",IF(AND(ACOMPANHAMENTO="PLE",H99&lt;&gt;SUMPRODUCT(($Q$1:$AI$1=1)*ROUND(Q99:AI99,15))),"►S",IF(AND(COUNTIF($P$11:$AI$11,"▼")=0,H99&gt;0,I99=""),"◄M","")))))</f>
        <v/>
      </c>
      <c r="K99" s="652" t="s">
        <v>1346</v>
      </c>
      <c r="L99" s="165">
        <f t="shared" ca="1" si="13"/>
        <v>84</v>
      </c>
      <c r="M99" s="166">
        <f ca="1">IF($D99&lt;&gt;"Serviço","",
          IF(AUTOEVENTO="manual",$A99,
                IF(ISERROR(MATCH($A99,$A$15:OFFSET($A99,-1,0),0)),MAX($M$15:OFFSET(M99,-1,0))+1,
                      INDEX($M$15:OFFSET(M99,-1,0),MATCH($A99,$A$15:OFFSET($A99,-1,0),0)))))</f>
        <v>7</v>
      </c>
      <c r="N99" s="167" t="str">
        <f ca="1">IF($D99&lt;&gt;"Serviço","",
         IF(AUTOEVENTO="Manual",
                IF($A99=0,"&lt;-- defina o número do agrupador",
                       OFFSET(EVENTOS!$D$15,$A99-$A$15,0)),
                OFFSET($F$15,$A99,0)))</f>
        <v>Escavação - preparo de fundo de vala</v>
      </c>
      <c r="O99" s="168"/>
      <c r="Q99" s="168"/>
      <c r="R99" s="169"/>
      <c r="S99" s="169"/>
      <c r="T99" s="169"/>
      <c r="U99" s="169"/>
      <c r="V99" s="169">
        <v>5.12</v>
      </c>
      <c r="W99" s="169"/>
      <c r="X99" s="169"/>
      <c r="Y99" s="169"/>
      <c r="Z99" s="170"/>
      <c r="AA99" s="705"/>
      <c r="AB99" s="705"/>
      <c r="AC99" s="705"/>
      <c r="AD99" s="705"/>
      <c r="AE99" s="705"/>
      <c r="AF99" s="705"/>
      <c r="AG99" s="705"/>
      <c r="AH99" s="706"/>
      <c r="AJ99" s="453">
        <f ca="1">IF(AND($D99="Serviço",AJ$12&lt;&gt;0,$H99&gt;0,OR(AUTOEVENTO&lt;&gt;"manual",$M99&lt;&gt;$A$15)),
        IF(Import.TipoArredondamento&lt;&gt;"TransfereGOV",
              ROUND(OFFSET($P99,0,AJ$13),15-13*ORÇAMENTO!$AF$7)/$H99*OFFSET(ORÇAMENTO!$X$15,ROW(AJ99)-ROW(AJ$15),0),
              ROUND(ROUND(OFFSET($P99,0,AJ$13),15-13*ORÇAMENTO!$AF$7)*OFFSET(ORÇAMENTO!$W$15,ROW(AJ99)-ROW(AJ$15),0),15-13*ORÇAMENTO!$AF$11)),
         0)</f>
        <v>0</v>
      </c>
      <c r="AK99" s="453">
        <f ca="1">IF(AND($D99="Serviço",AK$12&lt;&gt;0,$H99&gt;0,OR(AUTOEVENTO&lt;&gt;"manual",$M99&lt;&gt;$A$15)),
        IF(Import.TipoArredondamento&lt;&gt;"TransfereGOV",
              ROUND(OFFSET($P99,0,AK$13),15-13*ORÇAMENTO!$AF$7)/$H99*OFFSET(ORÇAMENTO!$X$15,ROW(AK99)-ROW(AK$15),0),
              ROUND(ROUND(OFFSET($P99,0,AK$13),15-13*ORÇAMENTO!$AF$7)*OFFSET(ORÇAMENTO!$W$15,ROW(AK99)-ROW(AK$15),0),15-13*ORÇAMENTO!$AF$11)),
         0)</f>
        <v>0</v>
      </c>
      <c r="AL99" s="453">
        <f ca="1">IF(AND($D99="Serviço",AL$12&lt;&gt;0,$H99&gt;0,OR(AUTOEVENTO&lt;&gt;"manual",$M99&lt;&gt;$A$15)),
        IF(Import.TipoArredondamento&lt;&gt;"TransfereGOV",
              ROUND(OFFSET($P99,0,AL$13),15-13*ORÇAMENTO!$AF$7)/$H99*OFFSET(ORÇAMENTO!$X$15,ROW(AL99)-ROW(AL$15),0),
              ROUND(ROUND(OFFSET($P99,0,AL$13),15-13*ORÇAMENTO!$AF$7)*OFFSET(ORÇAMENTO!$W$15,ROW(AL99)-ROW(AL$15),0),15-13*ORÇAMENTO!$AF$11)),
         0)</f>
        <v>0</v>
      </c>
      <c r="AM99" s="453">
        <f ca="1">IF(AND($D99="Serviço",AM$12&lt;&gt;0,$H99&gt;0,OR(AUTOEVENTO&lt;&gt;"manual",$M99&lt;&gt;$A$15)),
        IF(Import.TipoArredondamento&lt;&gt;"TransfereGOV",
              ROUND(OFFSET($P99,0,AM$13),15-13*ORÇAMENTO!$AF$7)/$H99*OFFSET(ORÇAMENTO!$X$15,ROW(AM99)-ROW(AM$15),0),
              ROUND(ROUND(OFFSET($P99,0,AM$13),15-13*ORÇAMENTO!$AF$7)*OFFSET(ORÇAMENTO!$W$15,ROW(AM99)-ROW(AM$15),0),15-13*ORÇAMENTO!$AF$11)),
         0)</f>
        <v>0</v>
      </c>
      <c r="AN99" s="453">
        <f ca="1">IF(AND($D99="Serviço",AN$12&lt;&gt;0,$H99&gt;0,OR(AUTOEVENTO&lt;&gt;"manual",$M99&lt;&gt;$A$15)),
        IF(Import.TipoArredondamento&lt;&gt;"TransfereGOV",
              ROUND(OFFSET($P99,0,AN$13),15-13*ORÇAMENTO!$AF$7)/$H99*OFFSET(ORÇAMENTO!$X$15,ROW(AN99)-ROW(AN$15),0),
              ROUND(ROUND(OFFSET($P99,0,AN$13),15-13*ORÇAMENTO!$AF$7)*OFFSET(ORÇAMENTO!$W$15,ROW(AN99)-ROW(AN$15),0),15-13*ORÇAMENTO!$AF$11)),
         0)</f>
        <v>0</v>
      </c>
      <c r="AO99" s="453">
        <f ca="1">IF(AND($D99="Serviço",AO$12&lt;&gt;0,$H99&gt;0,OR(AUTOEVENTO&lt;&gt;"manual",$M99&lt;&gt;$A$15)),
        IF(Import.TipoArredondamento&lt;&gt;"TransfereGOV",
              ROUND(OFFSET($P99,0,AO$13),15-13*ORÇAMENTO!$AF$7)/$H99*OFFSET(ORÇAMENTO!$X$15,ROW(AO99)-ROW(AO$15),0),
              ROUND(ROUND(OFFSET($P99,0,AO$13),15-13*ORÇAMENTO!$AF$7)*OFFSET(ORÇAMENTO!$W$15,ROW(AO99)-ROW(AO$15),0),15-13*ORÇAMENTO!$AF$11)),
         0)</f>
        <v>1060.71</v>
      </c>
      <c r="AP99" s="453">
        <f ca="1">IF(AND($D99="Serviço",AP$12&lt;&gt;0,$H99&gt;0,OR(AUTOEVENTO&lt;&gt;"manual",$M99&lt;&gt;$A$15)),
        IF(Import.TipoArredondamento&lt;&gt;"TransfereGOV",
              ROUND(OFFSET($P99,0,AP$13),15-13*ORÇAMENTO!$AF$7)/$H99*OFFSET(ORÇAMENTO!$X$15,ROW(AP99)-ROW(AP$15),0),
              ROUND(ROUND(OFFSET($P99,0,AP$13),15-13*ORÇAMENTO!$AF$7)*OFFSET(ORÇAMENTO!$W$15,ROW(AP99)-ROW(AP$15),0),15-13*ORÇAMENTO!$AF$11)),
         0)</f>
        <v>0</v>
      </c>
      <c r="AQ99" s="453">
        <f ca="1">IF(AND($D99="Serviço",AQ$12&lt;&gt;0,$H99&gt;0,OR(AUTOEVENTO&lt;&gt;"manual",$M99&lt;&gt;$A$15)),
        IF(Import.TipoArredondamento&lt;&gt;"TransfereGOV",
              ROUND(OFFSET($P99,0,AQ$13),15-13*ORÇAMENTO!$AF$7)/$H99*OFFSET(ORÇAMENTO!$X$15,ROW(AQ99)-ROW(AQ$15),0),
              ROUND(ROUND(OFFSET($P99,0,AQ$13),15-13*ORÇAMENTO!$AF$7)*OFFSET(ORÇAMENTO!$W$15,ROW(AQ99)-ROW(AQ$15),0),15-13*ORÇAMENTO!$AF$11)),
         0)</f>
        <v>0</v>
      </c>
      <c r="AR99" s="453">
        <f ca="1">IF(AND($D99="Serviço",AR$12&lt;&gt;0,$H99&gt;0,OR(AUTOEVENTO&lt;&gt;"manual",$M99&lt;&gt;$A$15)),
        IF(Import.TipoArredondamento&lt;&gt;"TransfereGOV",
              ROUND(OFFSET($P99,0,AR$13),15-13*ORÇAMENTO!$AF$7)/$H99*OFFSET(ORÇAMENTO!$X$15,ROW(AR99)-ROW(AR$15),0),
              ROUND(ROUND(OFFSET($P99,0,AR$13),15-13*ORÇAMENTO!$AF$7)*OFFSET(ORÇAMENTO!$W$15,ROW(AR99)-ROW(AR$15),0),15-13*ORÇAMENTO!$AF$11)),
         0)</f>
        <v>0</v>
      </c>
      <c r="AS99" s="453">
        <f ca="1">IF(AND($D99="Serviço",AS$12&lt;&gt;0,$H99&gt;0,OR(AUTOEVENTO&lt;&gt;"manual",$M99&lt;&gt;$A$15)),
        IF(Import.TipoArredondamento&lt;&gt;"TransfereGOV",
              ROUND(OFFSET($P99,0,AS$13),15-13*ORÇAMENTO!$AF$7)/$H99*OFFSET(ORÇAMENTO!$X$15,ROW(AS99)-ROW(AS$15),0),
              ROUND(ROUND(OFFSET($P99,0,AS$13),15-13*ORÇAMENTO!$AF$7)*OFFSET(ORÇAMENTO!$W$15,ROW(AS99)-ROW(AS$15),0),15-13*ORÇAMENTO!$AF$11)),
         0)</f>
        <v>0</v>
      </c>
      <c r="AT99" s="453">
        <f ca="1">IF(AND($D99="Serviço",AT$12&lt;&gt;0,$H99&gt;0,OR(AUTOEVENTO&lt;&gt;"manual",$M99&lt;&gt;$A$15)),
        IF(Import.TipoArredondamento&lt;&gt;"TransfereGOV",
              ROUND(OFFSET($P99,0,AT$13),15-13*ORÇAMENTO!$AF$7)/$H99*OFFSET(ORÇAMENTO!$X$15,ROW(AT99)-ROW(AT$15),0),
              ROUND(ROUND(OFFSET($P99,0,AT$13),15-13*ORÇAMENTO!$AF$7)*OFFSET(ORÇAMENTO!$W$15,ROW(AT99)-ROW(AT$15),0),15-13*ORÇAMENTO!$AF$11)),
         0)</f>
        <v>0</v>
      </c>
      <c r="AU99" s="453">
        <f ca="1">IF(AND($D99="Serviço",AU$12&lt;&gt;0,$H99&gt;0,OR(AUTOEVENTO&lt;&gt;"manual",$M99&lt;&gt;$A$15)),
        IF(Import.TipoArredondamento&lt;&gt;"TransfereGOV",
              ROUND(OFFSET($P99,0,AU$13),15-13*ORÇAMENTO!$AF$7)/$H99*OFFSET(ORÇAMENTO!$X$15,ROW(AU99)-ROW(AU$15),0),
              ROUND(ROUND(OFFSET($P99,0,AU$13),15-13*ORÇAMENTO!$AF$7)*OFFSET(ORÇAMENTO!$W$15,ROW(AU99)-ROW(AU$15),0),15-13*ORÇAMENTO!$AF$11)),
         0)</f>
        <v>0</v>
      </c>
      <c r="AV99" s="453">
        <f ca="1">IF(AND($D99="Serviço",AV$12&lt;&gt;0,$H99&gt;0,OR(AUTOEVENTO&lt;&gt;"manual",$M99&lt;&gt;$A$15)),
        IF(Import.TipoArredondamento&lt;&gt;"TransfereGOV",
              ROUND(OFFSET($P99,0,AV$13),15-13*ORÇAMENTO!$AF$7)/$H99*OFFSET(ORÇAMENTO!$X$15,ROW(AV99)-ROW(AV$15),0),
              ROUND(ROUND(OFFSET($P99,0,AV$13),15-13*ORÇAMENTO!$AF$7)*OFFSET(ORÇAMENTO!$W$15,ROW(AV99)-ROW(AV$15),0),15-13*ORÇAMENTO!$AF$11)),
         0)</f>
        <v>0</v>
      </c>
      <c r="AW99" s="453">
        <f ca="1">IF(AND($D99="Serviço",AW$12&lt;&gt;0,$H99&gt;0,OR(AUTOEVENTO&lt;&gt;"manual",$M99&lt;&gt;$A$15)),
        IF(Import.TipoArredondamento&lt;&gt;"TransfereGOV",
              ROUND(OFFSET($P99,0,AW$13),15-13*ORÇAMENTO!$AF$7)/$H99*OFFSET(ORÇAMENTO!$X$15,ROW(AW99)-ROW(AW$15),0),
              ROUND(ROUND(OFFSET($P99,0,AW$13),15-13*ORÇAMENTO!$AF$7)*OFFSET(ORÇAMENTO!$W$15,ROW(AW99)-ROW(AW$15),0),15-13*ORÇAMENTO!$AF$11)),
         0)</f>
        <v>0</v>
      </c>
      <c r="AX99" s="453">
        <f ca="1">IF(AND($D99="Serviço",AX$12&lt;&gt;0,$H99&gt;0,OR(AUTOEVENTO&lt;&gt;"manual",$M99&lt;&gt;$A$15)),
        IF(Import.TipoArredondamento&lt;&gt;"TransfereGOV",
              ROUND(OFFSET($P99,0,AX$13),15-13*ORÇAMENTO!$AF$7)/$H99*OFFSET(ORÇAMENTO!$X$15,ROW(AX99)-ROW(AX$15),0),
              ROUND(ROUND(OFFSET($P99,0,AX$13),15-13*ORÇAMENTO!$AF$7)*OFFSET(ORÇAMENTO!$W$15,ROW(AX99)-ROW(AX$15),0),15-13*ORÇAMENTO!$AF$11)),
         0)</f>
        <v>0</v>
      </c>
      <c r="AY99" s="453">
        <f ca="1">IF(AND($D99="Serviço",AY$12&lt;&gt;0,$H99&gt;0,OR(AUTOEVENTO&lt;&gt;"manual",$M99&lt;&gt;$A$15)),
        IF(Import.TipoArredondamento&lt;&gt;"TransfereGOV",
              ROUND(OFFSET($P99,0,AY$13),15-13*ORÇAMENTO!$AF$7)/$H99*OFFSET(ORÇAMENTO!$X$15,ROW(AY99)-ROW(AY$15),0),
              ROUND(ROUND(OFFSET($P99,0,AY$13),15-13*ORÇAMENTO!$AF$7)*OFFSET(ORÇAMENTO!$W$15,ROW(AY99)-ROW(AY$15),0),15-13*ORÇAMENTO!$AF$11)),
         0)</f>
        <v>0</v>
      </c>
      <c r="AZ99" s="453">
        <f ca="1">IF(AND($D99="Serviço",AZ$12&lt;&gt;0,$H99&gt;0,OR(AUTOEVENTO&lt;&gt;"manual",$M99&lt;&gt;$A$15)),
        IF(Import.TipoArredondamento&lt;&gt;"TransfereGOV",
              ROUND(OFFSET($P99,0,AZ$13),15-13*ORÇAMENTO!$AF$7)/$H99*OFFSET(ORÇAMENTO!$X$15,ROW(AZ99)-ROW(AZ$15),0),
              ROUND(ROUND(OFFSET($P99,0,AZ$13),15-13*ORÇAMENTO!$AF$7)*OFFSET(ORÇAMENTO!$W$15,ROW(AZ99)-ROW(AZ$15),0),15-13*ORÇAMENTO!$AF$11)),
         0)</f>
        <v>0</v>
      </c>
      <c r="BA99" s="453">
        <f ca="1">IF(AND($D99="Serviço",BA$12&lt;&gt;0,$H99&gt;0,OR(AUTOEVENTO&lt;&gt;"manual",$M99&lt;&gt;$A$15)),
        IF(Import.TipoArredondamento&lt;&gt;"TransfereGOV",
              ROUND(OFFSET($P99,0,BA$13),15-13*ORÇAMENTO!$AF$7)/$H99*OFFSET(ORÇAMENTO!$X$15,ROW(BA99)-ROW(BA$15),0),
              ROUND(ROUND(OFFSET($P99,0,BA$13),15-13*ORÇAMENTO!$AF$7)*OFFSET(ORÇAMENTO!$W$15,ROW(BA99)-ROW(BA$15),0),15-13*ORÇAMENTO!$AF$11)),
         0)</f>
        <v>0</v>
      </c>
      <c r="BC99" s="171">
        <f ca="1">IF(OR($D99&lt;&gt;"Serviço",AND(AUTOEVENTO="Manual",$M99=$A$15)),0,
         IF(OFFSET(CRONOPLE!$F$15,$M99-$A$15,BC$13)=0,10^12,OFFSET(CRONOPLE!$F$15,$M99-$A$15,BC$13)))</f>
        <v>10</v>
      </c>
      <c r="BD99" s="171">
        <f ca="1">IF(OR($D99&lt;&gt;"Serviço",AND(AUTOEVENTO="Manual",$M99=$A$15)),0,
         IF(OFFSET(CRONOPLE!$F$15,$M99-$A$15,BD$13)=0,10^12,OFFSET(CRONOPLE!$F$15,$M99-$A$15,BD$13)))</f>
        <v>1000000000000</v>
      </c>
      <c r="BE99" s="171">
        <f ca="1">IF(OR($D99&lt;&gt;"Serviço",AND(AUTOEVENTO="Manual",$M99=$A$15)),0,
         IF(OFFSET(CRONOPLE!$F$15,$M99-$A$15,BE$13)=0,10^12,OFFSET(CRONOPLE!$F$15,$M99-$A$15,BE$13)))</f>
        <v>4</v>
      </c>
      <c r="BF99" s="171">
        <f ca="1">IF(OR($D99&lt;&gt;"Serviço",AND(AUTOEVENTO="Manual",$M99=$A$15)),0,
         IF(OFFSET(CRONOPLE!$F$15,$M99-$A$15,BF$13)=0,10^12,OFFSET(CRONOPLE!$F$15,$M99-$A$15,BF$13)))</f>
        <v>9</v>
      </c>
      <c r="BG99" s="171">
        <f ca="1">IF(OR($D99&lt;&gt;"Serviço",AND(AUTOEVENTO="Manual",$M99=$A$15)),0,
         IF(OFFSET(CRONOPLE!$F$15,$M99-$A$15,BG$13)=0,10^12,OFFSET(CRONOPLE!$F$15,$M99-$A$15,BG$13)))</f>
        <v>6</v>
      </c>
      <c r="BH99" s="171">
        <f ca="1">IF(OR($D99&lt;&gt;"Serviço",AND(AUTOEVENTO="Manual",$M99=$A$15)),0,
         IF(OFFSET(CRONOPLE!$F$15,$M99-$A$15,BH$13)=0,10^12,OFFSET(CRONOPLE!$F$15,$M99-$A$15,BH$13)))</f>
        <v>6</v>
      </c>
      <c r="BI99" s="171">
        <f ca="1">IF(OR($D99&lt;&gt;"Serviço",AND(AUTOEVENTO="Manual",$M99=$A$15)),0,
         IF(OFFSET(CRONOPLE!$F$15,$M99-$A$15,BI$13)=0,10^12,OFFSET(CRONOPLE!$F$15,$M99-$A$15,BI$13)))</f>
        <v>9</v>
      </c>
      <c r="BJ99" s="171">
        <f ca="1">IF(OR($D99&lt;&gt;"Serviço",AND(AUTOEVENTO="Manual",$M99=$A$15)),0,
         IF(OFFSET(CRONOPLE!$F$15,$M99-$A$15,BJ$13)=0,10^12,OFFSET(CRONOPLE!$F$15,$M99-$A$15,BJ$13)))</f>
        <v>1000000000000</v>
      </c>
      <c r="BK99" s="171">
        <f ca="1">IF(OR($D99&lt;&gt;"Serviço",AND(AUTOEVENTO="Manual",$M99=$A$15)),0,
         IF(OFFSET(CRONOPLE!$F$15,$M99-$A$15,BK$13)=0,10^12,OFFSET(CRONOPLE!$F$15,$M99-$A$15,BK$13)))</f>
        <v>1000000000000</v>
      </c>
      <c r="BL99" s="171">
        <f ca="1">IF(OR($D99&lt;&gt;"Serviço",AND(AUTOEVENTO="Manual",$M99=$A$15)),0,
         IF(OFFSET(CRONOPLE!$F$15,$M99-$A$15,BL$13)=0,10^12,OFFSET(CRONOPLE!$F$15,$M99-$A$15,BL$13)))</f>
        <v>1000000000000</v>
      </c>
      <c r="BM99" s="171">
        <f ca="1">IF(OR($D99&lt;&gt;"Serviço",AND(AUTOEVENTO="Manual",$M99=$A$15)),0,
         IF(OFFSET(CRONOPLE!$F$15,$M99-$A$15,BM$13)=0,10^12,OFFSET(CRONOPLE!$F$15,$M99-$A$15,BM$13)))</f>
        <v>1000000000000</v>
      </c>
      <c r="BN99" s="171">
        <f ca="1">IF(OR($D99&lt;&gt;"Serviço",AND(AUTOEVENTO="Manual",$M99=$A$15)),0,
         IF(OFFSET(CRONOPLE!$F$15,$M99-$A$15,BN$13)=0,10^12,OFFSET(CRONOPLE!$F$15,$M99-$A$15,BN$13)))</f>
        <v>1000000000000</v>
      </c>
      <c r="BO99" s="171">
        <f ca="1">IF(OR($D99&lt;&gt;"Serviço",AND(AUTOEVENTO="Manual",$M99=$A$15)),0,
         IF(OFFSET(CRONOPLE!$F$15,$M99-$A$15,BO$13)=0,10^12,OFFSET(CRONOPLE!$F$15,$M99-$A$15,BO$13)))</f>
        <v>1000000000000</v>
      </c>
      <c r="BP99" s="171">
        <f ca="1">IF(OR($D99&lt;&gt;"Serviço",AND(AUTOEVENTO="Manual",$M99=$A$15)),0,
         IF(OFFSET(CRONOPLE!$F$15,$M99-$A$15,BP$13)=0,10^12,OFFSET(CRONOPLE!$F$15,$M99-$A$15,BP$13)))</f>
        <v>1000000000000</v>
      </c>
      <c r="BQ99" s="171">
        <f ca="1">IF(OR($D99&lt;&gt;"Serviço",AND(AUTOEVENTO="Manual",$M99=$A$15)),0,
         IF(OFFSET(CRONOPLE!$F$15,$M99-$A$15,BQ$13)=0,10^12,OFFSET(CRONOPLE!$F$15,$M99-$A$15,BQ$13)))</f>
        <v>1000000000000</v>
      </c>
      <c r="BR99" s="171">
        <f ca="1">IF(OR($D99&lt;&gt;"Serviço",AND(AUTOEVENTO="Manual",$M99=$A$15)),0,
         IF(OFFSET(CRONOPLE!$F$15,$M99-$A$15,BR$13)=0,10^12,OFFSET(CRONOPLE!$F$15,$M99-$A$15,BR$13)))</f>
        <v>1000000000000</v>
      </c>
      <c r="BS99" s="171">
        <f ca="1">IF(OR($D99&lt;&gt;"Serviço",AND(AUTOEVENTO="Manual",$M99=$A$15)),0,
         IF(OFFSET(CRONOPLE!$F$15,$M99-$A$15,BS$13)=0,10^12,OFFSET(CRONOPLE!$F$15,$M99-$A$15,BS$13)))</f>
        <v>1000000000000</v>
      </c>
      <c r="BT99" s="171">
        <f ca="1">IF(OR($D99&lt;&gt;"Serviço",AND(AUTOEVENTO="Manual",$M99=$A$15)),0,
         IF(OFFSET(CRONOPLE!$F$15,$M99-$A$15,BT$13)=0,10^12,OFFSET(CRONOPLE!$F$15,$M99-$A$15,BT$13)))</f>
        <v>1000000000000</v>
      </c>
      <c r="BV99" s="172" cm="1">
        <f t="array" aca="1" ref="BV99" ca="1">IF(OR($D99&lt;&gt;"Serviço",AND(AUTOEVENTO="Manual",$M99=$A$15),$M99&gt;(ROW(PLE.lastrow)-ROW(PLE.firstrow))),0,
           IF(OFFSET(PLE!$G$15,$M99-$A$15,BV$13)="",10^12,OFFSET(PLE!$G$15,$M99-$A$15,BV$13)))</f>
        <v>1000000000000</v>
      </c>
      <c r="BW99" s="172" cm="1">
        <f t="array" aca="1" ref="BW99" ca="1">IF(OR($D99&lt;&gt;"Serviço",AND(AUTOEVENTO="Manual",$M99=$A$15),$M99&gt;(ROW(PLE.lastrow)-ROW(PLE.firstrow))),0,
           IF(OFFSET(PLE!$G$15,$M99-$A$15,BW$13)="",10^12,OFFSET(PLE!$G$15,$M99-$A$15,BW$13)))</f>
        <v>1000000000000</v>
      </c>
      <c r="BX99" s="172" cm="1">
        <f t="array" aca="1" ref="BX99" ca="1">IF(OR($D99&lt;&gt;"Serviço",AND(AUTOEVENTO="Manual",$M99=$A$15),$M99&gt;(ROW(PLE.lastrow)-ROW(PLE.firstrow))),0,
           IF(OFFSET(PLE!$G$15,$M99-$A$15,BX$13)="",10^12,OFFSET(PLE!$G$15,$M99-$A$15,BX$13)))</f>
        <v>1000000000000</v>
      </c>
      <c r="BY99" s="172" cm="1">
        <f t="array" aca="1" ref="BY99" ca="1">IF(OR($D99&lt;&gt;"Serviço",AND(AUTOEVENTO="Manual",$M99=$A$15),$M99&gt;(ROW(PLE.lastrow)-ROW(PLE.firstrow))),0,
           IF(OFFSET(PLE!$G$15,$M99-$A$15,BY$13)="",10^12,OFFSET(PLE!$G$15,$M99-$A$15,BY$13)))</f>
        <v>1000000000000</v>
      </c>
      <c r="BZ99" s="172" cm="1">
        <f t="array" aca="1" ref="BZ99" ca="1">IF(OR($D99&lt;&gt;"Serviço",AND(AUTOEVENTO="Manual",$M99=$A$15),$M99&gt;(ROW(PLE.lastrow)-ROW(PLE.firstrow))),0,
           IF(OFFSET(PLE!$G$15,$M99-$A$15,BZ$13)="",10^12,OFFSET(PLE!$G$15,$M99-$A$15,BZ$13)))</f>
        <v>1000000000000</v>
      </c>
      <c r="CA99" s="172" cm="1">
        <f t="array" aca="1" ref="CA99" ca="1">IF(OR($D99&lt;&gt;"Serviço",AND(AUTOEVENTO="Manual",$M99=$A$15),$M99&gt;(ROW(PLE.lastrow)-ROW(PLE.firstrow))),0,
           IF(OFFSET(PLE!$G$15,$M99-$A$15,CA$13)="",10^12,OFFSET(PLE!$G$15,$M99-$A$15,CA$13)))</f>
        <v>1000000000000</v>
      </c>
      <c r="CB99" s="172" cm="1">
        <f t="array" aca="1" ref="CB99" ca="1">IF(OR($D99&lt;&gt;"Serviço",AND(AUTOEVENTO="Manual",$M99=$A$15),$M99&gt;(ROW(PLE.lastrow)-ROW(PLE.firstrow))),0,
           IF(OFFSET(PLE!$G$15,$M99-$A$15,CB$13)="",10^12,OFFSET(PLE!$G$15,$M99-$A$15,CB$13)))</f>
        <v>1000000000000</v>
      </c>
      <c r="CC99" s="172" cm="1">
        <f t="array" aca="1" ref="CC99" ca="1">IF(OR($D99&lt;&gt;"Serviço",AND(AUTOEVENTO="Manual",$M99=$A$15),$M99&gt;(ROW(PLE.lastrow)-ROW(PLE.firstrow))),0,
           IF(OFFSET(PLE!$G$15,$M99-$A$15,CC$13)="",10^12,OFFSET(PLE!$G$15,$M99-$A$15,CC$13)))</f>
        <v>1000000000000</v>
      </c>
      <c r="CD99" s="172" cm="1">
        <f t="array" aca="1" ref="CD99" ca="1">IF(OR($D99&lt;&gt;"Serviço",AND(AUTOEVENTO="Manual",$M99=$A$15),$M99&gt;(ROW(PLE.lastrow)-ROW(PLE.firstrow))),0,
           IF(OFFSET(PLE!$G$15,$M99-$A$15,CD$13)="",10^12,OFFSET(PLE!$G$15,$M99-$A$15,CD$13)))</f>
        <v>1000000000000</v>
      </c>
      <c r="CE99" s="172" cm="1">
        <f t="array" aca="1" ref="CE99" ca="1">IF(OR($D99&lt;&gt;"Serviço",AND(AUTOEVENTO="Manual",$M99=$A$15),$M99&gt;(ROW(PLE.lastrow)-ROW(PLE.firstrow))),0,
           IF(OFFSET(PLE!$G$15,$M99-$A$15,CE$13)="",10^12,OFFSET(PLE!$G$15,$M99-$A$15,CE$13)))</f>
        <v>1000000000000</v>
      </c>
      <c r="CF99" s="172" cm="1">
        <f t="array" aca="1" ref="CF99" ca="1">IF(OR($D99&lt;&gt;"Serviço",AND(AUTOEVENTO="Manual",$M99=$A$15),$M99&gt;(ROW(PLE.lastrow)-ROW(PLE.firstrow))),0,
           IF(OFFSET(PLE!$G$15,$M99-$A$15,CF$13)="",10^12,OFFSET(PLE!$G$15,$M99-$A$15,CF$13)))</f>
        <v>1000000000000</v>
      </c>
      <c r="CG99" s="172" cm="1">
        <f t="array" aca="1" ref="CG99" ca="1">IF(OR($D99&lt;&gt;"Serviço",AND(AUTOEVENTO="Manual",$M99=$A$15),$M99&gt;(ROW(PLE.lastrow)-ROW(PLE.firstrow))),0,
           IF(OFFSET(PLE!$G$15,$M99-$A$15,CG$13)="",10^12,OFFSET(PLE!$G$15,$M99-$A$15,CG$13)))</f>
        <v>1000000000000</v>
      </c>
      <c r="CH99" s="172" cm="1">
        <f t="array" aca="1" ref="CH99" ca="1">IF(OR($D99&lt;&gt;"Serviço",AND(AUTOEVENTO="Manual",$M99=$A$15),$M99&gt;(ROW(PLE.lastrow)-ROW(PLE.firstrow))),0,
           IF(OFFSET(PLE!$G$15,$M99-$A$15,CH$13)="",10^12,OFFSET(PLE!$G$15,$M99-$A$15,CH$13)))</f>
        <v>1000000000000</v>
      </c>
      <c r="CI99" s="172" cm="1">
        <f t="array" aca="1" ref="CI99" ca="1">IF(OR($D99&lt;&gt;"Serviço",AND(AUTOEVENTO="Manual",$M99=$A$15),$M99&gt;(ROW(PLE.lastrow)-ROW(PLE.firstrow))),0,
           IF(OFFSET(PLE!$G$15,$M99-$A$15,CI$13)="",10^12,OFFSET(PLE!$G$15,$M99-$A$15,CI$13)))</f>
        <v>1000000000000</v>
      </c>
      <c r="CJ99" s="172" cm="1">
        <f t="array" aca="1" ref="CJ99" ca="1">IF(OR($D99&lt;&gt;"Serviço",AND(AUTOEVENTO="Manual",$M99=$A$15),$M99&gt;(ROW(PLE.lastrow)-ROW(PLE.firstrow))),0,
           IF(OFFSET(PLE!$G$15,$M99-$A$15,CJ$13)="",10^12,OFFSET(PLE!$G$15,$M99-$A$15,CJ$13)))</f>
        <v>1000000000000</v>
      </c>
      <c r="CK99" s="172" cm="1">
        <f t="array" aca="1" ref="CK99" ca="1">IF(OR($D99&lt;&gt;"Serviço",AND(AUTOEVENTO="Manual",$M99=$A$15),$M99&gt;(ROW(PLE.lastrow)-ROW(PLE.firstrow))),0,
           IF(OFFSET(PLE!$G$15,$M99-$A$15,CK$13)="",10^12,OFFSET(PLE!$G$15,$M99-$A$15,CK$13)))</f>
        <v>1000000000000</v>
      </c>
      <c r="CL99" s="172" cm="1">
        <f t="array" aca="1" ref="CL99" ca="1">IF(OR($D99&lt;&gt;"Serviço",AND(AUTOEVENTO="Manual",$M99=$A$15),$M99&gt;(ROW(PLE.lastrow)-ROW(PLE.firstrow))),0,
           IF(OFFSET(PLE!$G$15,$M99-$A$15,CL$13)="",10^12,OFFSET(PLE!$G$15,$M99-$A$15,CL$13)))</f>
        <v>1000000000000</v>
      </c>
      <c r="CM99" s="172" cm="1">
        <f t="array" aca="1" ref="CM99" ca="1">IF(OR($D99&lt;&gt;"Serviço",AND(AUTOEVENTO="Manual",$M99=$A$15),$M99&gt;(ROW(PLE.lastrow)-ROW(PLE.firstrow))),0,
           IF(OFFSET(PLE!$G$15,$M99-$A$15,CM$13)="",10^12,OFFSET(PLE!$G$15,$M99-$A$15,CM$13)))</f>
        <v>1000000000000</v>
      </c>
    </row>
    <row r="100" spans="1:91" s="670" customFormat="1" ht="51" x14ac:dyDescent="0.2">
      <c r="A100" s="668">
        <f t="shared" ca="1" si="12"/>
        <v>13</v>
      </c>
      <c r="B100" s="668" t="str">
        <f ca="1">OFFSET(ORÇAMENTO!C$15,$L100,0)</f>
        <v>S</v>
      </c>
      <c r="C100" s="668" t="str">
        <f ca="1">OFFSET(ORÇAMENTO!L$15,$L100,0)</f>
        <v>F</v>
      </c>
      <c r="D100" s="116" t="str">
        <f ca="1">OFFSET(ORÇAMENTO!N$15,$L100,0)</f>
        <v>Serviço</v>
      </c>
      <c r="E100" s="117" t="str">
        <f ca="1">OFFSET(ORÇAMENTO!O$15,$L100,0)</f>
        <v>1.13.2.</v>
      </c>
      <c r="F100" s="163" t="str">
        <f ca="1">OFFSET(ORÇAMENTO!R$15,$L100,0)</f>
        <v>ESTACA ESCAVADA MECANICAMENTE, SEM FLUIDO ESTABILIZANTE, COM 60CM DE DIÂMETRO, CONCRETO LANÇADO POR CAMINHÃO BETONEIRA (EXCLUSIVE MOBILIZAÇÃO E DESMOBILIZAÇÃO). AF_01/2020</v>
      </c>
      <c r="G100" s="164" t="str">
        <f ca="1">IF($D100&lt;&gt;"Serviço","",OFFSET(ORÇAMENTO!S$15,$L100,0))</f>
        <v>M</v>
      </c>
      <c r="H100" s="122" cm="1">
        <f t="array" aca="1" ref="H100" ca="1">IF($D100&lt;&gt;"Serviço",0,IF(ACOMPANHAMENTO="BM",ROUND(OFFSET(ORÇAMENTO!AJ$15,$L100,0),15-13*ORÇAMENTO!$AF$7),IF(IFERROR(CÁLCULO.FrentesPreenchidas,0)=0,0,SUM(ROUND(OFFSET($P100,0,1,1,CÁLCULO.FrentesPreenchidas),15-13*ORÇAMENTO!$AF$7)))))</f>
        <v>128</v>
      </c>
      <c r="I100" s="468" t="s">
        <v>1168</v>
      </c>
      <c r="J100" s="651" t="str" cm="1">
        <f t="array" aca="1" ref="J100" ca="1">IF(OR(B100&lt;&gt;"S",CÁLCULO.FrentesPreenchidas=0),"",IF(AND(ACOMPANHAMENTO="PLE",AUTOEVENTO="Manual",OR(H100&gt;0,ORÇAMENTO!AC100="QUANT."),OR(K100="",M100=0,N100="")),"►E",IF(AND(ACOMPANHAMENTO="PLE",ORÇAMENTO!AC100="QUANT."),"►Q",IF(AND(ACOMPANHAMENTO="PLE",H100&lt;&gt;SUMPRODUCT(($Q$1:$AI$1=1)*ROUND(Q100:AI100,15))),"►S",IF(AND(COUNTIF($P$11:$AI$11,"▼")=0,H100&gt;0,I100=""),"◄M","")))))</f>
        <v/>
      </c>
      <c r="K100" s="652" t="s">
        <v>1338</v>
      </c>
      <c r="L100" s="165">
        <f t="shared" ca="1" si="13"/>
        <v>85</v>
      </c>
      <c r="M100" s="166">
        <f ca="1">IF($D100&lt;&gt;"Serviço","",
          IF(AUTOEVENTO="manual",$A100,
                IF(ISERROR(MATCH($A100,$A$15:OFFSET($A100,-1,0),0)),MAX($M$15:OFFSET(M100,-1,0))+1,
                      INDEX($M$15:OFFSET(M100,-1,0),MATCH($A100,$A$15:OFFSET($A100,-1,0),0)))))</f>
        <v>13</v>
      </c>
      <c r="N100" s="167" t="str">
        <f ca="1">IF($D100&lt;&gt;"Serviço","",
         IF(AUTOEVENTO="Manual",
                IF($A100=0,"&lt;-- defina o número do agrupador",
                       OFFSET(EVENTOS!$D$15,$A100-$A$15,0)),
                OFFSET($F$15,$A100,0)))</f>
        <v>Fundação - Estacas / Tubulões</v>
      </c>
      <c r="O100" s="168"/>
      <c r="Q100" s="168"/>
      <c r="R100" s="169"/>
      <c r="S100" s="169"/>
      <c r="T100" s="169"/>
      <c r="U100" s="169"/>
      <c r="V100" s="169">
        <v>128</v>
      </c>
      <c r="W100" s="169"/>
      <c r="X100" s="169"/>
      <c r="Y100" s="169"/>
      <c r="Z100" s="170"/>
      <c r="AA100" s="705"/>
      <c r="AB100" s="705"/>
      <c r="AC100" s="705"/>
      <c r="AD100" s="705"/>
      <c r="AE100" s="705"/>
      <c r="AF100" s="705"/>
      <c r="AG100" s="705"/>
      <c r="AH100" s="706"/>
      <c r="AJ100" s="453">
        <f ca="1">IF(AND($D100="Serviço",AJ$12&lt;&gt;0,$H100&gt;0,OR(AUTOEVENTO&lt;&gt;"manual",$M100&lt;&gt;$A$15)),
        IF(Import.TipoArredondamento&lt;&gt;"TransfereGOV",
              ROUND(OFFSET($P100,0,AJ$13),15-13*ORÇAMENTO!$AF$7)/$H100*OFFSET(ORÇAMENTO!$X$15,ROW(AJ100)-ROW(AJ$15),0),
              ROUND(ROUND(OFFSET($P100,0,AJ$13),15-13*ORÇAMENTO!$AF$7)*OFFSET(ORÇAMENTO!$W$15,ROW(AJ100)-ROW(AJ$15),0),15-13*ORÇAMENTO!$AF$11)),
         0)</f>
        <v>0</v>
      </c>
      <c r="AK100" s="453">
        <f ca="1">IF(AND($D100="Serviço",AK$12&lt;&gt;0,$H100&gt;0,OR(AUTOEVENTO&lt;&gt;"manual",$M100&lt;&gt;$A$15)),
        IF(Import.TipoArredondamento&lt;&gt;"TransfereGOV",
              ROUND(OFFSET($P100,0,AK$13),15-13*ORÇAMENTO!$AF$7)/$H100*OFFSET(ORÇAMENTO!$X$15,ROW(AK100)-ROW(AK$15),0),
              ROUND(ROUND(OFFSET($P100,0,AK$13),15-13*ORÇAMENTO!$AF$7)*OFFSET(ORÇAMENTO!$W$15,ROW(AK100)-ROW(AK$15),0),15-13*ORÇAMENTO!$AF$11)),
         0)</f>
        <v>0</v>
      </c>
      <c r="AL100" s="453">
        <f ca="1">IF(AND($D100="Serviço",AL$12&lt;&gt;0,$H100&gt;0,OR(AUTOEVENTO&lt;&gt;"manual",$M100&lt;&gt;$A$15)),
        IF(Import.TipoArredondamento&lt;&gt;"TransfereGOV",
              ROUND(OFFSET($P100,0,AL$13),15-13*ORÇAMENTO!$AF$7)/$H100*OFFSET(ORÇAMENTO!$X$15,ROW(AL100)-ROW(AL$15),0),
              ROUND(ROUND(OFFSET($P100,0,AL$13),15-13*ORÇAMENTO!$AF$7)*OFFSET(ORÇAMENTO!$W$15,ROW(AL100)-ROW(AL$15),0),15-13*ORÇAMENTO!$AF$11)),
         0)</f>
        <v>0</v>
      </c>
      <c r="AM100" s="453">
        <f ca="1">IF(AND($D100="Serviço",AM$12&lt;&gt;0,$H100&gt;0,OR(AUTOEVENTO&lt;&gt;"manual",$M100&lt;&gt;$A$15)),
        IF(Import.TipoArredondamento&lt;&gt;"TransfereGOV",
              ROUND(OFFSET($P100,0,AM$13),15-13*ORÇAMENTO!$AF$7)/$H100*OFFSET(ORÇAMENTO!$X$15,ROW(AM100)-ROW(AM$15),0),
              ROUND(ROUND(OFFSET($P100,0,AM$13),15-13*ORÇAMENTO!$AF$7)*OFFSET(ORÇAMENTO!$W$15,ROW(AM100)-ROW(AM$15),0),15-13*ORÇAMENTO!$AF$11)),
         0)</f>
        <v>0</v>
      </c>
      <c r="AN100" s="453">
        <f ca="1">IF(AND($D100="Serviço",AN$12&lt;&gt;0,$H100&gt;0,OR(AUTOEVENTO&lt;&gt;"manual",$M100&lt;&gt;$A$15)),
        IF(Import.TipoArredondamento&lt;&gt;"TransfereGOV",
              ROUND(OFFSET($P100,0,AN$13),15-13*ORÇAMENTO!$AF$7)/$H100*OFFSET(ORÇAMENTO!$X$15,ROW(AN100)-ROW(AN$15),0),
              ROUND(ROUND(OFFSET($P100,0,AN$13),15-13*ORÇAMENTO!$AF$7)*OFFSET(ORÇAMENTO!$W$15,ROW(AN100)-ROW(AN$15),0),15-13*ORÇAMENTO!$AF$11)),
         0)</f>
        <v>0</v>
      </c>
      <c r="AO100" s="453">
        <f ca="1">IF(AND($D100="Serviço",AO$12&lt;&gt;0,$H100&gt;0,OR(AUTOEVENTO&lt;&gt;"manual",$M100&lt;&gt;$A$15)),
        IF(Import.TipoArredondamento&lt;&gt;"TransfereGOV",
              ROUND(OFFSET($P100,0,AO$13),15-13*ORÇAMENTO!$AF$7)/$H100*OFFSET(ORÇAMENTO!$X$15,ROW(AO100)-ROW(AO$15),0),
              ROUND(ROUND(OFFSET($P100,0,AO$13),15-13*ORÇAMENTO!$AF$7)*OFFSET(ORÇAMENTO!$W$15,ROW(AO100)-ROW(AO$15),0),15-13*ORÇAMENTO!$AF$11)),
         0)</f>
        <v>37420.800000000003</v>
      </c>
      <c r="AP100" s="453">
        <f ca="1">IF(AND($D100="Serviço",AP$12&lt;&gt;0,$H100&gt;0,OR(AUTOEVENTO&lt;&gt;"manual",$M100&lt;&gt;$A$15)),
        IF(Import.TipoArredondamento&lt;&gt;"TransfereGOV",
              ROUND(OFFSET($P100,0,AP$13),15-13*ORÇAMENTO!$AF$7)/$H100*OFFSET(ORÇAMENTO!$X$15,ROW(AP100)-ROW(AP$15),0),
              ROUND(ROUND(OFFSET($P100,0,AP$13),15-13*ORÇAMENTO!$AF$7)*OFFSET(ORÇAMENTO!$W$15,ROW(AP100)-ROW(AP$15),0),15-13*ORÇAMENTO!$AF$11)),
         0)</f>
        <v>0</v>
      </c>
      <c r="AQ100" s="453">
        <f ca="1">IF(AND($D100="Serviço",AQ$12&lt;&gt;0,$H100&gt;0,OR(AUTOEVENTO&lt;&gt;"manual",$M100&lt;&gt;$A$15)),
        IF(Import.TipoArredondamento&lt;&gt;"TransfereGOV",
              ROUND(OFFSET($P100,0,AQ$13),15-13*ORÇAMENTO!$AF$7)/$H100*OFFSET(ORÇAMENTO!$X$15,ROW(AQ100)-ROW(AQ$15),0),
              ROUND(ROUND(OFFSET($P100,0,AQ$13),15-13*ORÇAMENTO!$AF$7)*OFFSET(ORÇAMENTO!$W$15,ROW(AQ100)-ROW(AQ$15),0),15-13*ORÇAMENTO!$AF$11)),
         0)</f>
        <v>0</v>
      </c>
      <c r="AR100" s="453">
        <f ca="1">IF(AND($D100="Serviço",AR$12&lt;&gt;0,$H100&gt;0,OR(AUTOEVENTO&lt;&gt;"manual",$M100&lt;&gt;$A$15)),
        IF(Import.TipoArredondamento&lt;&gt;"TransfereGOV",
              ROUND(OFFSET($P100,0,AR$13),15-13*ORÇAMENTO!$AF$7)/$H100*OFFSET(ORÇAMENTO!$X$15,ROW(AR100)-ROW(AR$15),0),
              ROUND(ROUND(OFFSET($P100,0,AR$13),15-13*ORÇAMENTO!$AF$7)*OFFSET(ORÇAMENTO!$W$15,ROW(AR100)-ROW(AR$15),0),15-13*ORÇAMENTO!$AF$11)),
         0)</f>
        <v>0</v>
      </c>
      <c r="AS100" s="453">
        <f ca="1">IF(AND($D100="Serviço",AS$12&lt;&gt;0,$H100&gt;0,OR(AUTOEVENTO&lt;&gt;"manual",$M100&lt;&gt;$A$15)),
        IF(Import.TipoArredondamento&lt;&gt;"TransfereGOV",
              ROUND(OFFSET($P100,0,AS$13),15-13*ORÇAMENTO!$AF$7)/$H100*OFFSET(ORÇAMENTO!$X$15,ROW(AS100)-ROW(AS$15),0),
              ROUND(ROUND(OFFSET($P100,0,AS$13),15-13*ORÇAMENTO!$AF$7)*OFFSET(ORÇAMENTO!$W$15,ROW(AS100)-ROW(AS$15),0),15-13*ORÇAMENTO!$AF$11)),
         0)</f>
        <v>0</v>
      </c>
      <c r="AT100" s="453">
        <f ca="1">IF(AND($D100="Serviço",AT$12&lt;&gt;0,$H100&gt;0,OR(AUTOEVENTO&lt;&gt;"manual",$M100&lt;&gt;$A$15)),
        IF(Import.TipoArredondamento&lt;&gt;"TransfereGOV",
              ROUND(OFFSET($P100,0,AT$13),15-13*ORÇAMENTO!$AF$7)/$H100*OFFSET(ORÇAMENTO!$X$15,ROW(AT100)-ROW(AT$15),0),
              ROUND(ROUND(OFFSET($P100,0,AT$13),15-13*ORÇAMENTO!$AF$7)*OFFSET(ORÇAMENTO!$W$15,ROW(AT100)-ROW(AT$15),0),15-13*ORÇAMENTO!$AF$11)),
         0)</f>
        <v>0</v>
      </c>
      <c r="AU100" s="453">
        <f ca="1">IF(AND($D100="Serviço",AU$12&lt;&gt;0,$H100&gt;0,OR(AUTOEVENTO&lt;&gt;"manual",$M100&lt;&gt;$A$15)),
        IF(Import.TipoArredondamento&lt;&gt;"TransfereGOV",
              ROUND(OFFSET($P100,0,AU$13),15-13*ORÇAMENTO!$AF$7)/$H100*OFFSET(ORÇAMENTO!$X$15,ROW(AU100)-ROW(AU$15),0),
              ROUND(ROUND(OFFSET($P100,0,AU$13),15-13*ORÇAMENTO!$AF$7)*OFFSET(ORÇAMENTO!$W$15,ROW(AU100)-ROW(AU$15),0),15-13*ORÇAMENTO!$AF$11)),
         0)</f>
        <v>0</v>
      </c>
      <c r="AV100" s="453">
        <f ca="1">IF(AND($D100="Serviço",AV$12&lt;&gt;0,$H100&gt;0,OR(AUTOEVENTO&lt;&gt;"manual",$M100&lt;&gt;$A$15)),
        IF(Import.TipoArredondamento&lt;&gt;"TransfereGOV",
              ROUND(OFFSET($P100,0,AV$13),15-13*ORÇAMENTO!$AF$7)/$H100*OFFSET(ORÇAMENTO!$X$15,ROW(AV100)-ROW(AV$15),0),
              ROUND(ROUND(OFFSET($P100,0,AV$13),15-13*ORÇAMENTO!$AF$7)*OFFSET(ORÇAMENTO!$W$15,ROW(AV100)-ROW(AV$15),0),15-13*ORÇAMENTO!$AF$11)),
         0)</f>
        <v>0</v>
      </c>
      <c r="AW100" s="453">
        <f ca="1">IF(AND($D100="Serviço",AW$12&lt;&gt;0,$H100&gt;0,OR(AUTOEVENTO&lt;&gt;"manual",$M100&lt;&gt;$A$15)),
        IF(Import.TipoArredondamento&lt;&gt;"TransfereGOV",
              ROUND(OFFSET($P100,0,AW$13),15-13*ORÇAMENTO!$AF$7)/$H100*OFFSET(ORÇAMENTO!$X$15,ROW(AW100)-ROW(AW$15),0),
              ROUND(ROUND(OFFSET($P100,0,AW$13),15-13*ORÇAMENTO!$AF$7)*OFFSET(ORÇAMENTO!$W$15,ROW(AW100)-ROW(AW$15),0),15-13*ORÇAMENTO!$AF$11)),
         0)</f>
        <v>0</v>
      </c>
      <c r="AX100" s="453">
        <f ca="1">IF(AND($D100="Serviço",AX$12&lt;&gt;0,$H100&gt;0,OR(AUTOEVENTO&lt;&gt;"manual",$M100&lt;&gt;$A$15)),
        IF(Import.TipoArredondamento&lt;&gt;"TransfereGOV",
              ROUND(OFFSET($P100,0,AX$13),15-13*ORÇAMENTO!$AF$7)/$H100*OFFSET(ORÇAMENTO!$X$15,ROW(AX100)-ROW(AX$15),0),
              ROUND(ROUND(OFFSET($P100,0,AX$13),15-13*ORÇAMENTO!$AF$7)*OFFSET(ORÇAMENTO!$W$15,ROW(AX100)-ROW(AX$15),0),15-13*ORÇAMENTO!$AF$11)),
         0)</f>
        <v>0</v>
      </c>
      <c r="AY100" s="453">
        <f ca="1">IF(AND($D100="Serviço",AY$12&lt;&gt;0,$H100&gt;0,OR(AUTOEVENTO&lt;&gt;"manual",$M100&lt;&gt;$A$15)),
        IF(Import.TipoArredondamento&lt;&gt;"TransfereGOV",
              ROUND(OFFSET($P100,0,AY$13),15-13*ORÇAMENTO!$AF$7)/$H100*OFFSET(ORÇAMENTO!$X$15,ROW(AY100)-ROW(AY$15),0),
              ROUND(ROUND(OFFSET($P100,0,AY$13),15-13*ORÇAMENTO!$AF$7)*OFFSET(ORÇAMENTO!$W$15,ROW(AY100)-ROW(AY$15),0),15-13*ORÇAMENTO!$AF$11)),
         0)</f>
        <v>0</v>
      </c>
      <c r="AZ100" s="453">
        <f ca="1">IF(AND($D100="Serviço",AZ$12&lt;&gt;0,$H100&gt;0,OR(AUTOEVENTO&lt;&gt;"manual",$M100&lt;&gt;$A$15)),
        IF(Import.TipoArredondamento&lt;&gt;"TransfereGOV",
              ROUND(OFFSET($P100,0,AZ$13),15-13*ORÇAMENTO!$AF$7)/$H100*OFFSET(ORÇAMENTO!$X$15,ROW(AZ100)-ROW(AZ$15),0),
              ROUND(ROUND(OFFSET($P100,0,AZ$13),15-13*ORÇAMENTO!$AF$7)*OFFSET(ORÇAMENTO!$W$15,ROW(AZ100)-ROW(AZ$15),0),15-13*ORÇAMENTO!$AF$11)),
         0)</f>
        <v>0</v>
      </c>
      <c r="BA100" s="453">
        <f ca="1">IF(AND($D100="Serviço",BA$12&lt;&gt;0,$H100&gt;0,OR(AUTOEVENTO&lt;&gt;"manual",$M100&lt;&gt;$A$15)),
        IF(Import.TipoArredondamento&lt;&gt;"TransfereGOV",
              ROUND(OFFSET($P100,0,BA$13),15-13*ORÇAMENTO!$AF$7)/$H100*OFFSET(ORÇAMENTO!$X$15,ROW(BA100)-ROW(BA$15),0),
              ROUND(ROUND(OFFSET($P100,0,BA$13),15-13*ORÇAMENTO!$AF$7)*OFFSET(ORÇAMENTO!$W$15,ROW(BA100)-ROW(BA$15),0),15-13*ORÇAMENTO!$AF$11)),
         0)</f>
        <v>0</v>
      </c>
      <c r="BC100" s="171">
        <f ca="1">IF(OR($D100&lt;&gt;"Serviço",AND(AUTOEVENTO="Manual",$M100=$A$15)),0,
         IF(OFFSET(CRONOPLE!$F$15,$M100-$A$15,BC$13)=0,10^12,OFFSET(CRONOPLE!$F$15,$M100-$A$15,BC$13)))</f>
        <v>1000000000000</v>
      </c>
      <c r="BD100" s="171">
        <f ca="1">IF(OR($D100&lt;&gt;"Serviço",AND(AUTOEVENTO="Manual",$M100=$A$15)),0,
         IF(OFFSET(CRONOPLE!$F$15,$M100-$A$15,BD$13)=0,10^12,OFFSET(CRONOPLE!$F$15,$M100-$A$15,BD$13)))</f>
        <v>1000000000000</v>
      </c>
      <c r="BE100" s="171">
        <f ca="1">IF(OR($D100&lt;&gt;"Serviço",AND(AUTOEVENTO="Manual",$M100=$A$15)),0,
         IF(OFFSET(CRONOPLE!$F$15,$M100-$A$15,BE$13)=0,10^12,OFFSET(CRONOPLE!$F$15,$M100-$A$15,BE$13)))</f>
        <v>5</v>
      </c>
      <c r="BF100" s="171">
        <f ca="1">IF(OR($D100&lt;&gt;"Serviço",AND(AUTOEVENTO="Manual",$M100=$A$15)),0,
         IF(OFFSET(CRONOPLE!$F$15,$M100-$A$15,BF$13)=0,10^12,OFFSET(CRONOPLE!$F$15,$M100-$A$15,BF$13)))</f>
        <v>1000000000000</v>
      </c>
      <c r="BG100" s="171">
        <f ca="1">IF(OR($D100&lt;&gt;"Serviço",AND(AUTOEVENTO="Manual",$M100=$A$15)),0,
         IF(OFFSET(CRONOPLE!$F$15,$M100-$A$15,BG$13)=0,10^12,OFFSET(CRONOPLE!$F$15,$M100-$A$15,BG$13)))</f>
        <v>8</v>
      </c>
      <c r="BH100" s="171">
        <f ca="1">IF(OR($D100&lt;&gt;"Serviço",AND(AUTOEVENTO="Manual",$M100=$A$15)),0,
         IF(OFFSET(CRONOPLE!$F$15,$M100-$A$15,BH$13)=0,10^12,OFFSET(CRONOPLE!$F$15,$M100-$A$15,BH$13)))</f>
        <v>7</v>
      </c>
      <c r="BI100" s="171">
        <f ca="1">IF(OR($D100&lt;&gt;"Serviço",AND(AUTOEVENTO="Manual",$M100=$A$15)),0,
         IF(OFFSET(CRONOPLE!$F$15,$M100-$A$15,BI$13)=0,10^12,OFFSET(CRONOPLE!$F$15,$M100-$A$15,BI$13)))</f>
        <v>1000000000000</v>
      </c>
      <c r="BJ100" s="171">
        <f ca="1">IF(OR($D100&lt;&gt;"Serviço",AND(AUTOEVENTO="Manual",$M100=$A$15)),0,
         IF(OFFSET(CRONOPLE!$F$15,$M100-$A$15,BJ$13)=0,10^12,OFFSET(CRONOPLE!$F$15,$M100-$A$15,BJ$13)))</f>
        <v>1000000000000</v>
      </c>
      <c r="BK100" s="171">
        <f ca="1">IF(OR($D100&lt;&gt;"Serviço",AND(AUTOEVENTO="Manual",$M100=$A$15)),0,
         IF(OFFSET(CRONOPLE!$F$15,$M100-$A$15,BK$13)=0,10^12,OFFSET(CRONOPLE!$F$15,$M100-$A$15,BK$13)))</f>
        <v>1000000000000</v>
      </c>
      <c r="BL100" s="171">
        <f ca="1">IF(OR($D100&lt;&gt;"Serviço",AND(AUTOEVENTO="Manual",$M100=$A$15)),0,
         IF(OFFSET(CRONOPLE!$F$15,$M100-$A$15,BL$13)=0,10^12,OFFSET(CRONOPLE!$F$15,$M100-$A$15,BL$13)))</f>
        <v>1000000000000</v>
      </c>
      <c r="BM100" s="171">
        <f ca="1">IF(OR($D100&lt;&gt;"Serviço",AND(AUTOEVENTO="Manual",$M100=$A$15)),0,
         IF(OFFSET(CRONOPLE!$F$15,$M100-$A$15,BM$13)=0,10^12,OFFSET(CRONOPLE!$F$15,$M100-$A$15,BM$13)))</f>
        <v>1000000000000</v>
      </c>
      <c r="BN100" s="171">
        <f ca="1">IF(OR($D100&lt;&gt;"Serviço",AND(AUTOEVENTO="Manual",$M100=$A$15)),0,
         IF(OFFSET(CRONOPLE!$F$15,$M100-$A$15,BN$13)=0,10^12,OFFSET(CRONOPLE!$F$15,$M100-$A$15,BN$13)))</f>
        <v>1000000000000</v>
      </c>
      <c r="BO100" s="171">
        <f ca="1">IF(OR($D100&lt;&gt;"Serviço",AND(AUTOEVENTO="Manual",$M100=$A$15)),0,
         IF(OFFSET(CRONOPLE!$F$15,$M100-$A$15,BO$13)=0,10^12,OFFSET(CRONOPLE!$F$15,$M100-$A$15,BO$13)))</f>
        <v>1000000000000</v>
      </c>
      <c r="BP100" s="171">
        <f ca="1">IF(OR($D100&lt;&gt;"Serviço",AND(AUTOEVENTO="Manual",$M100=$A$15)),0,
         IF(OFFSET(CRONOPLE!$F$15,$M100-$A$15,BP$13)=0,10^12,OFFSET(CRONOPLE!$F$15,$M100-$A$15,BP$13)))</f>
        <v>1000000000000</v>
      </c>
      <c r="BQ100" s="171">
        <f ca="1">IF(OR($D100&lt;&gt;"Serviço",AND(AUTOEVENTO="Manual",$M100=$A$15)),0,
         IF(OFFSET(CRONOPLE!$F$15,$M100-$A$15,BQ$13)=0,10^12,OFFSET(CRONOPLE!$F$15,$M100-$A$15,BQ$13)))</f>
        <v>1000000000000</v>
      </c>
      <c r="BR100" s="171">
        <f ca="1">IF(OR($D100&lt;&gt;"Serviço",AND(AUTOEVENTO="Manual",$M100=$A$15)),0,
         IF(OFFSET(CRONOPLE!$F$15,$M100-$A$15,BR$13)=0,10^12,OFFSET(CRONOPLE!$F$15,$M100-$A$15,BR$13)))</f>
        <v>1000000000000</v>
      </c>
      <c r="BS100" s="171">
        <f ca="1">IF(OR($D100&lt;&gt;"Serviço",AND(AUTOEVENTO="Manual",$M100=$A$15)),0,
         IF(OFFSET(CRONOPLE!$F$15,$M100-$A$15,BS$13)=0,10^12,OFFSET(CRONOPLE!$F$15,$M100-$A$15,BS$13)))</f>
        <v>1000000000000</v>
      </c>
      <c r="BT100" s="171">
        <f ca="1">IF(OR($D100&lt;&gt;"Serviço",AND(AUTOEVENTO="Manual",$M100=$A$15)),0,
         IF(OFFSET(CRONOPLE!$F$15,$M100-$A$15,BT$13)=0,10^12,OFFSET(CRONOPLE!$F$15,$M100-$A$15,BT$13)))</f>
        <v>1000000000000</v>
      </c>
      <c r="BV100" s="172" cm="1">
        <f t="array" aca="1" ref="BV100" ca="1">IF(OR($D100&lt;&gt;"Serviço",AND(AUTOEVENTO="Manual",$M100=$A$15),$M100&gt;(ROW(PLE.lastrow)-ROW(PLE.firstrow))),0,
           IF(OFFSET(PLE!$G$15,$M100-$A$15,BV$13)="",10^12,OFFSET(PLE!$G$15,$M100-$A$15,BV$13)))</f>
        <v>1000000000000</v>
      </c>
      <c r="BW100" s="172" cm="1">
        <f t="array" aca="1" ref="BW100" ca="1">IF(OR($D100&lt;&gt;"Serviço",AND(AUTOEVENTO="Manual",$M100=$A$15),$M100&gt;(ROW(PLE.lastrow)-ROW(PLE.firstrow))),0,
           IF(OFFSET(PLE!$G$15,$M100-$A$15,BW$13)="",10^12,OFFSET(PLE!$G$15,$M100-$A$15,BW$13)))</f>
        <v>1000000000000</v>
      </c>
      <c r="BX100" s="172" cm="1">
        <f t="array" aca="1" ref="BX100" ca="1">IF(OR($D100&lt;&gt;"Serviço",AND(AUTOEVENTO="Manual",$M100=$A$15),$M100&gt;(ROW(PLE.lastrow)-ROW(PLE.firstrow))),0,
           IF(OFFSET(PLE!$G$15,$M100-$A$15,BX$13)="",10^12,OFFSET(PLE!$G$15,$M100-$A$15,BX$13)))</f>
        <v>1000000000000</v>
      </c>
      <c r="BY100" s="172" cm="1">
        <f t="array" aca="1" ref="BY100" ca="1">IF(OR($D100&lt;&gt;"Serviço",AND(AUTOEVENTO="Manual",$M100=$A$15),$M100&gt;(ROW(PLE.lastrow)-ROW(PLE.firstrow))),0,
           IF(OFFSET(PLE!$G$15,$M100-$A$15,BY$13)="",10^12,OFFSET(PLE!$G$15,$M100-$A$15,BY$13)))</f>
        <v>1000000000000</v>
      </c>
      <c r="BZ100" s="172" cm="1">
        <f t="array" aca="1" ref="BZ100" ca="1">IF(OR($D100&lt;&gt;"Serviço",AND(AUTOEVENTO="Manual",$M100=$A$15),$M100&gt;(ROW(PLE.lastrow)-ROW(PLE.firstrow))),0,
           IF(OFFSET(PLE!$G$15,$M100-$A$15,BZ$13)="",10^12,OFFSET(PLE!$G$15,$M100-$A$15,BZ$13)))</f>
        <v>1000000000000</v>
      </c>
      <c r="CA100" s="172" cm="1">
        <f t="array" aca="1" ref="CA100" ca="1">IF(OR($D100&lt;&gt;"Serviço",AND(AUTOEVENTO="Manual",$M100=$A$15),$M100&gt;(ROW(PLE.lastrow)-ROW(PLE.firstrow))),0,
           IF(OFFSET(PLE!$G$15,$M100-$A$15,CA$13)="",10^12,OFFSET(PLE!$G$15,$M100-$A$15,CA$13)))</f>
        <v>1000000000000</v>
      </c>
      <c r="CB100" s="172" cm="1">
        <f t="array" aca="1" ref="CB100" ca="1">IF(OR($D100&lt;&gt;"Serviço",AND(AUTOEVENTO="Manual",$M100=$A$15),$M100&gt;(ROW(PLE.lastrow)-ROW(PLE.firstrow))),0,
           IF(OFFSET(PLE!$G$15,$M100-$A$15,CB$13)="",10^12,OFFSET(PLE!$G$15,$M100-$A$15,CB$13)))</f>
        <v>1000000000000</v>
      </c>
      <c r="CC100" s="172" cm="1">
        <f t="array" aca="1" ref="CC100" ca="1">IF(OR($D100&lt;&gt;"Serviço",AND(AUTOEVENTO="Manual",$M100=$A$15),$M100&gt;(ROW(PLE.lastrow)-ROW(PLE.firstrow))),0,
           IF(OFFSET(PLE!$G$15,$M100-$A$15,CC$13)="",10^12,OFFSET(PLE!$G$15,$M100-$A$15,CC$13)))</f>
        <v>1000000000000</v>
      </c>
      <c r="CD100" s="172" cm="1">
        <f t="array" aca="1" ref="CD100" ca="1">IF(OR($D100&lt;&gt;"Serviço",AND(AUTOEVENTO="Manual",$M100=$A$15),$M100&gt;(ROW(PLE.lastrow)-ROW(PLE.firstrow))),0,
           IF(OFFSET(PLE!$G$15,$M100-$A$15,CD$13)="",10^12,OFFSET(PLE!$G$15,$M100-$A$15,CD$13)))</f>
        <v>1000000000000</v>
      </c>
      <c r="CE100" s="172" cm="1">
        <f t="array" aca="1" ref="CE100" ca="1">IF(OR($D100&lt;&gt;"Serviço",AND(AUTOEVENTO="Manual",$M100=$A$15),$M100&gt;(ROW(PLE.lastrow)-ROW(PLE.firstrow))),0,
           IF(OFFSET(PLE!$G$15,$M100-$A$15,CE$13)="",10^12,OFFSET(PLE!$G$15,$M100-$A$15,CE$13)))</f>
        <v>1000000000000</v>
      </c>
      <c r="CF100" s="172" cm="1">
        <f t="array" aca="1" ref="CF100" ca="1">IF(OR($D100&lt;&gt;"Serviço",AND(AUTOEVENTO="Manual",$M100=$A$15),$M100&gt;(ROW(PLE.lastrow)-ROW(PLE.firstrow))),0,
           IF(OFFSET(PLE!$G$15,$M100-$A$15,CF$13)="",10^12,OFFSET(PLE!$G$15,$M100-$A$15,CF$13)))</f>
        <v>1000000000000</v>
      </c>
      <c r="CG100" s="172" cm="1">
        <f t="array" aca="1" ref="CG100" ca="1">IF(OR($D100&lt;&gt;"Serviço",AND(AUTOEVENTO="Manual",$M100=$A$15),$M100&gt;(ROW(PLE.lastrow)-ROW(PLE.firstrow))),0,
           IF(OFFSET(PLE!$G$15,$M100-$A$15,CG$13)="",10^12,OFFSET(PLE!$G$15,$M100-$A$15,CG$13)))</f>
        <v>1000000000000</v>
      </c>
      <c r="CH100" s="172" cm="1">
        <f t="array" aca="1" ref="CH100" ca="1">IF(OR($D100&lt;&gt;"Serviço",AND(AUTOEVENTO="Manual",$M100=$A$15),$M100&gt;(ROW(PLE.lastrow)-ROW(PLE.firstrow))),0,
           IF(OFFSET(PLE!$G$15,$M100-$A$15,CH$13)="",10^12,OFFSET(PLE!$G$15,$M100-$A$15,CH$13)))</f>
        <v>1000000000000</v>
      </c>
      <c r="CI100" s="172" cm="1">
        <f t="array" aca="1" ref="CI100" ca="1">IF(OR($D100&lt;&gt;"Serviço",AND(AUTOEVENTO="Manual",$M100=$A$15),$M100&gt;(ROW(PLE.lastrow)-ROW(PLE.firstrow))),0,
           IF(OFFSET(PLE!$G$15,$M100-$A$15,CI$13)="",10^12,OFFSET(PLE!$G$15,$M100-$A$15,CI$13)))</f>
        <v>1000000000000</v>
      </c>
      <c r="CJ100" s="172" cm="1">
        <f t="array" aca="1" ref="CJ100" ca="1">IF(OR($D100&lt;&gt;"Serviço",AND(AUTOEVENTO="Manual",$M100=$A$15),$M100&gt;(ROW(PLE.lastrow)-ROW(PLE.firstrow))),0,
           IF(OFFSET(PLE!$G$15,$M100-$A$15,CJ$13)="",10^12,OFFSET(PLE!$G$15,$M100-$A$15,CJ$13)))</f>
        <v>1000000000000</v>
      </c>
      <c r="CK100" s="172" cm="1">
        <f t="array" aca="1" ref="CK100" ca="1">IF(OR($D100&lt;&gt;"Serviço",AND(AUTOEVENTO="Manual",$M100=$A$15),$M100&gt;(ROW(PLE.lastrow)-ROW(PLE.firstrow))),0,
           IF(OFFSET(PLE!$G$15,$M100-$A$15,CK$13)="",10^12,OFFSET(PLE!$G$15,$M100-$A$15,CK$13)))</f>
        <v>1000000000000</v>
      </c>
      <c r="CL100" s="172" cm="1">
        <f t="array" aca="1" ref="CL100" ca="1">IF(OR($D100&lt;&gt;"Serviço",AND(AUTOEVENTO="Manual",$M100=$A$15),$M100&gt;(ROW(PLE.lastrow)-ROW(PLE.firstrow))),0,
           IF(OFFSET(PLE!$G$15,$M100-$A$15,CL$13)="",10^12,OFFSET(PLE!$G$15,$M100-$A$15,CL$13)))</f>
        <v>1000000000000</v>
      </c>
      <c r="CM100" s="172" cm="1">
        <f t="array" aca="1" ref="CM100" ca="1">IF(OR($D100&lt;&gt;"Serviço",AND(AUTOEVENTO="Manual",$M100=$A$15),$M100&gt;(ROW(PLE.lastrow)-ROW(PLE.firstrow))),0,
           IF(OFFSET(PLE!$G$15,$M100-$A$15,CM$13)="",10^12,OFFSET(PLE!$G$15,$M100-$A$15,CM$13)))</f>
        <v>1000000000000</v>
      </c>
    </row>
    <row r="101" spans="1:91" s="670" customFormat="1" ht="38.25" x14ac:dyDescent="0.2">
      <c r="A101" s="668">
        <f t="shared" ca="1" si="12"/>
        <v>12</v>
      </c>
      <c r="B101" s="668" t="str">
        <f ca="1">OFFSET(ORÇAMENTO!C$15,$L101,0)</f>
        <v>S</v>
      </c>
      <c r="C101" s="668" t="str">
        <f ca="1">OFFSET(ORÇAMENTO!L$15,$L101,0)</f>
        <v>F</v>
      </c>
      <c r="D101" s="116" t="str">
        <f ca="1">OFFSET(ORÇAMENTO!N$15,$L101,0)</f>
        <v>Serviço</v>
      </c>
      <c r="E101" s="117" t="str">
        <f ca="1">OFFSET(ORÇAMENTO!O$15,$L101,0)</f>
        <v>1.13.3.</v>
      </c>
      <c r="F101" s="163" t="str">
        <f ca="1">OFFSET(ORÇAMENTO!R$15,$L101,0)</f>
        <v>CONCRETO FCK = 15MPA, TRAÇO 1:3,4:3,4 (EM MASSA SECA DE CIMENTO/ AREIA MÉDIA/ SEIXO ROLADO) - PREPARO MECÂNICO COM BETONEIRA 400 L. AF_05/2021</v>
      </c>
      <c r="G101" s="164" t="str">
        <f ca="1">IF($D101&lt;&gt;"Serviço","",OFFSET(ORÇAMENTO!S$15,$L101,0))</f>
        <v>M3</v>
      </c>
      <c r="H101" s="122" cm="1">
        <f t="array" aca="1" ref="H101" ca="1">IF($D101&lt;&gt;"Serviço",0,IF(ACOMPANHAMENTO="BM",ROUND(OFFSET(ORÇAMENTO!AJ$15,$L101,0),15-13*ORÇAMENTO!$AF$7),IF(IFERROR(CÁLCULO.FrentesPreenchidas,0)=0,0,SUM(ROUND(OFFSET($P101,0,1,1,CÁLCULO.FrentesPreenchidas),15-13*ORÇAMENTO!$AF$7)))))</f>
        <v>3.38</v>
      </c>
      <c r="I101" s="468" t="s">
        <v>1169</v>
      </c>
      <c r="J101" s="651" t="str" cm="1">
        <f t="array" aca="1" ref="J101" ca="1">IF(OR(B101&lt;&gt;"S",CÁLCULO.FrentesPreenchidas=0),"",IF(AND(ACOMPANHAMENTO="PLE",AUTOEVENTO="Manual",OR(H101&gt;0,ORÇAMENTO!AC101="QUANT."),OR(K101="",M101=0,N101="")),"►E",IF(AND(ACOMPANHAMENTO="PLE",ORÇAMENTO!AC101="QUANT."),"►Q",IF(AND(ACOMPANHAMENTO="PLE",H101&lt;&gt;SUMPRODUCT(($Q$1:$AI$1=1)*ROUND(Q101:AI101,15))),"►S",IF(AND(COUNTIF($P$11:$AI$11,"▼")=0,H101&gt;0,I101=""),"◄M","")))))</f>
        <v/>
      </c>
      <c r="K101" s="652" t="s">
        <v>1339</v>
      </c>
      <c r="L101" s="165">
        <f t="shared" ca="1" si="13"/>
        <v>86</v>
      </c>
      <c r="M101" s="166">
        <f ca="1">IF($D101&lt;&gt;"Serviço","",
          IF(AUTOEVENTO="manual",$A101,
                IF(ISERROR(MATCH($A101,$A$15:OFFSET($A101,-1,0),0)),MAX($M$15:OFFSET(M101,-1,0))+1,
                      INDEX($M$15:OFFSET(M101,-1,0),MATCH($A101,$A$15:OFFSET($A101,-1,0),0)))))</f>
        <v>12</v>
      </c>
      <c r="N101" s="167" t="str">
        <f ca="1">IF($D101&lt;&gt;"Serviço","",
         IF(AUTOEVENTO="Manual",
                IF($A101=0,"&lt;-- defina o número do agrupador",
                       OFFSET(EVENTOS!$D$15,$A101-$A$15,0)),
                OFFSET($F$15,$A101,0)))</f>
        <v>Fundação - Concretagem</v>
      </c>
      <c r="O101" s="168"/>
      <c r="Q101" s="168"/>
      <c r="R101" s="169"/>
      <c r="S101" s="169"/>
      <c r="T101" s="169"/>
      <c r="U101" s="169"/>
      <c r="V101" s="169">
        <v>3.38</v>
      </c>
      <c r="W101" s="169"/>
      <c r="X101" s="169"/>
      <c r="Y101" s="169"/>
      <c r="Z101" s="170"/>
      <c r="AA101" s="705"/>
      <c r="AB101" s="705"/>
      <c r="AC101" s="705"/>
      <c r="AD101" s="705"/>
      <c r="AE101" s="705"/>
      <c r="AF101" s="705"/>
      <c r="AG101" s="705"/>
      <c r="AH101" s="706"/>
      <c r="AJ101" s="453">
        <f ca="1">IF(AND($D101="Serviço",AJ$12&lt;&gt;0,$H101&gt;0,OR(AUTOEVENTO&lt;&gt;"manual",$M101&lt;&gt;$A$15)),
        IF(Import.TipoArredondamento&lt;&gt;"TransfereGOV",
              ROUND(OFFSET($P101,0,AJ$13),15-13*ORÇAMENTO!$AF$7)/$H101*OFFSET(ORÇAMENTO!$X$15,ROW(AJ101)-ROW(AJ$15),0),
              ROUND(ROUND(OFFSET($P101,0,AJ$13),15-13*ORÇAMENTO!$AF$7)*OFFSET(ORÇAMENTO!$W$15,ROW(AJ101)-ROW(AJ$15),0),15-13*ORÇAMENTO!$AF$11)),
         0)</f>
        <v>0</v>
      </c>
      <c r="AK101" s="453">
        <f ca="1">IF(AND($D101="Serviço",AK$12&lt;&gt;0,$H101&gt;0,OR(AUTOEVENTO&lt;&gt;"manual",$M101&lt;&gt;$A$15)),
        IF(Import.TipoArredondamento&lt;&gt;"TransfereGOV",
              ROUND(OFFSET($P101,0,AK$13),15-13*ORÇAMENTO!$AF$7)/$H101*OFFSET(ORÇAMENTO!$X$15,ROW(AK101)-ROW(AK$15),0),
              ROUND(ROUND(OFFSET($P101,0,AK$13),15-13*ORÇAMENTO!$AF$7)*OFFSET(ORÇAMENTO!$W$15,ROW(AK101)-ROW(AK$15),0),15-13*ORÇAMENTO!$AF$11)),
         0)</f>
        <v>0</v>
      </c>
      <c r="AL101" s="453">
        <f ca="1">IF(AND($D101="Serviço",AL$12&lt;&gt;0,$H101&gt;0,OR(AUTOEVENTO&lt;&gt;"manual",$M101&lt;&gt;$A$15)),
        IF(Import.TipoArredondamento&lt;&gt;"TransfereGOV",
              ROUND(OFFSET($P101,0,AL$13),15-13*ORÇAMENTO!$AF$7)/$H101*OFFSET(ORÇAMENTO!$X$15,ROW(AL101)-ROW(AL$15),0),
              ROUND(ROUND(OFFSET($P101,0,AL$13),15-13*ORÇAMENTO!$AF$7)*OFFSET(ORÇAMENTO!$W$15,ROW(AL101)-ROW(AL$15),0),15-13*ORÇAMENTO!$AF$11)),
         0)</f>
        <v>0</v>
      </c>
      <c r="AM101" s="453">
        <f ca="1">IF(AND($D101="Serviço",AM$12&lt;&gt;0,$H101&gt;0,OR(AUTOEVENTO&lt;&gt;"manual",$M101&lt;&gt;$A$15)),
        IF(Import.TipoArredondamento&lt;&gt;"TransfereGOV",
              ROUND(OFFSET($P101,0,AM$13),15-13*ORÇAMENTO!$AF$7)/$H101*OFFSET(ORÇAMENTO!$X$15,ROW(AM101)-ROW(AM$15),0),
              ROUND(ROUND(OFFSET($P101,0,AM$13),15-13*ORÇAMENTO!$AF$7)*OFFSET(ORÇAMENTO!$W$15,ROW(AM101)-ROW(AM$15),0),15-13*ORÇAMENTO!$AF$11)),
         0)</f>
        <v>0</v>
      </c>
      <c r="AN101" s="453">
        <f ca="1">IF(AND($D101="Serviço",AN$12&lt;&gt;0,$H101&gt;0,OR(AUTOEVENTO&lt;&gt;"manual",$M101&lt;&gt;$A$15)),
        IF(Import.TipoArredondamento&lt;&gt;"TransfereGOV",
              ROUND(OFFSET($P101,0,AN$13),15-13*ORÇAMENTO!$AF$7)/$H101*OFFSET(ORÇAMENTO!$X$15,ROW(AN101)-ROW(AN$15),0),
              ROUND(ROUND(OFFSET($P101,0,AN$13),15-13*ORÇAMENTO!$AF$7)*OFFSET(ORÇAMENTO!$W$15,ROW(AN101)-ROW(AN$15),0),15-13*ORÇAMENTO!$AF$11)),
         0)</f>
        <v>0</v>
      </c>
      <c r="AO101" s="453">
        <f ca="1">IF(AND($D101="Serviço",AO$12&lt;&gt;0,$H101&gt;0,OR(AUTOEVENTO&lt;&gt;"manual",$M101&lt;&gt;$A$15)),
        IF(Import.TipoArredondamento&lt;&gt;"TransfereGOV",
              ROUND(OFFSET($P101,0,AO$13),15-13*ORÇAMENTO!$AF$7)/$H101*OFFSET(ORÇAMENTO!$X$15,ROW(AO101)-ROW(AO$15),0),
              ROUND(ROUND(OFFSET($P101,0,AO$13),15-13*ORÇAMENTO!$AF$7)*OFFSET(ORÇAMENTO!$W$15,ROW(AO101)-ROW(AO$15),0),15-13*ORÇAMENTO!$AF$11)),
         0)</f>
        <v>3000.22</v>
      </c>
      <c r="AP101" s="453">
        <f ca="1">IF(AND($D101="Serviço",AP$12&lt;&gt;0,$H101&gt;0,OR(AUTOEVENTO&lt;&gt;"manual",$M101&lt;&gt;$A$15)),
        IF(Import.TipoArredondamento&lt;&gt;"TransfereGOV",
              ROUND(OFFSET($P101,0,AP$13),15-13*ORÇAMENTO!$AF$7)/$H101*OFFSET(ORÇAMENTO!$X$15,ROW(AP101)-ROW(AP$15),0),
              ROUND(ROUND(OFFSET($P101,0,AP$13),15-13*ORÇAMENTO!$AF$7)*OFFSET(ORÇAMENTO!$W$15,ROW(AP101)-ROW(AP$15),0),15-13*ORÇAMENTO!$AF$11)),
         0)</f>
        <v>0</v>
      </c>
      <c r="AQ101" s="453">
        <f ca="1">IF(AND($D101="Serviço",AQ$12&lt;&gt;0,$H101&gt;0,OR(AUTOEVENTO&lt;&gt;"manual",$M101&lt;&gt;$A$15)),
        IF(Import.TipoArredondamento&lt;&gt;"TransfereGOV",
              ROUND(OFFSET($P101,0,AQ$13),15-13*ORÇAMENTO!$AF$7)/$H101*OFFSET(ORÇAMENTO!$X$15,ROW(AQ101)-ROW(AQ$15),0),
              ROUND(ROUND(OFFSET($P101,0,AQ$13),15-13*ORÇAMENTO!$AF$7)*OFFSET(ORÇAMENTO!$W$15,ROW(AQ101)-ROW(AQ$15),0),15-13*ORÇAMENTO!$AF$11)),
         0)</f>
        <v>0</v>
      </c>
      <c r="AR101" s="453">
        <f ca="1">IF(AND($D101="Serviço",AR$12&lt;&gt;0,$H101&gt;0,OR(AUTOEVENTO&lt;&gt;"manual",$M101&lt;&gt;$A$15)),
        IF(Import.TipoArredondamento&lt;&gt;"TransfereGOV",
              ROUND(OFFSET($P101,0,AR$13),15-13*ORÇAMENTO!$AF$7)/$H101*OFFSET(ORÇAMENTO!$X$15,ROW(AR101)-ROW(AR$15),0),
              ROUND(ROUND(OFFSET($P101,0,AR$13),15-13*ORÇAMENTO!$AF$7)*OFFSET(ORÇAMENTO!$W$15,ROW(AR101)-ROW(AR$15),0),15-13*ORÇAMENTO!$AF$11)),
         0)</f>
        <v>0</v>
      </c>
      <c r="AS101" s="453">
        <f ca="1">IF(AND($D101="Serviço",AS$12&lt;&gt;0,$H101&gt;0,OR(AUTOEVENTO&lt;&gt;"manual",$M101&lt;&gt;$A$15)),
        IF(Import.TipoArredondamento&lt;&gt;"TransfereGOV",
              ROUND(OFFSET($P101,0,AS$13),15-13*ORÇAMENTO!$AF$7)/$H101*OFFSET(ORÇAMENTO!$X$15,ROW(AS101)-ROW(AS$15),0),
              ROUND(ROUND(OFFSET($P101,0,AS$13),15-13*ORÇAMENTO!$AF$7)*OFFSET(ORÇAMENTO!$W$15,ROW(AS101)-ROW(AS$15),0),15-13*ORÇAMENTO!$AF$11)),
         0)</f>
        <v>0</v>
      </c>
      <c r="AT101" s="453">
        <f ca="1">IF(AND($D101="Serviço",AT$12&lt;&gt;0,$H101&gt;0,OR(AUTOEVENTO&lt;&gt;"manual",$M101&lt;&gt;$A$15)),
        IF(Import.TipoArredondamento&lt;&gt;"TransfereGOV",
              ROUND(OFFSET($P101,0,AT$13),15-13*ORÇAMENTO!$AF$7)/$H101*OFFSET(ORÇAMENTO!$X$15,ROW(AT101)-ROW(AT$15),0),
              ROUND(ROUND(OFFSET($P101,0,AT$13),15-13*ORÇAMENTO!$AF$7)*OFFSET(ORÇAMENTO!$W$15,ROW(AT101)-ROW(AT$15),0),15-13*ORÇAMENTO!$AF$11)),
         0)</f>
        <v>0</v>
      </c>
      <c r="AU101" s="453">
        <f ca="1">IF(AND($D101="Serviço",AU$12&lt;&gt;0,$H101&gt;0,OR(AUTOEVENTO&lt;&gt;"manual",$M101&lt;&gt;$A$15)),
        IF(Import.TipoArredondamento&lt;&gt;"TransfereGOV",
              ROUND(OFFSET($P101,0,AU$13),15-13*ORÇAMENTO!$AF$7)/$H101*OFFSET(ORÇAMENTO!$X$15,ROW(AU101)-ROW(AU$15),0),
              ROUND(ROUND(OFFSET($P101,0,AU$13),15-13*ORÇAMENTO!$AF$7)*OFFSET(ORÇAMENTO!$W$15,ROW(AU101)-ROW(AU$15),0),15-13*ORÇAMENTO!$AF$11)),
         0)</f>
        <v>0</v>
      </c>
      <c r="AV101" s="453">
        <f ca="1">IF(AND($D101="Serviço",AV$12&lt;&gt;0,$H101&gt;0,OR(AUTOEVENTO&lt;&gt;"manual",$M101&lt;&gt;$A$15)),
        IF(Import.TipoArredondamento&lt;&gt;"TransfereGOV",
              ROUND(OFFSET($P101,0,AV$13),15-13*ORÇAMENTO!$AF$7)/$H101*OFFSET(ORÇAMENTO!$X$15,ROW(AV101)-ROW(AV$15),0),
              ROUND(ROUND(OFFSET($P101,0,AV$13),15-13*ORÇAMENTO!$AF$7)*OFFSET(ORÇAMENTO!$W$15,ROW(AV101)-ROW(AV$15),0),15-13*ORÇAMENTO!$AF$11)),
         0)</f>
        <v>0</v>
      </c>
      <c r="AW101" s="453">
        <f ca="1">IF(AND($D101="Serviço",AW$12&lt;&gt;0,$H101&gt;0,OR(AUTOEVENTO&lt;&gt;"manual",$M101&lt;&gt;$A$15)),
        IF(Import.TipoArredondamento&lt;&gt;"TransfereGOV",
              ROUND(OFFSET($P101,0,AW$13),15-13*ORÇAMENTO!$AF$7)/$H101*OFFSET(ORÇAMENTO!$X$15,ROW(AW101)-ROW(AW$15),0),
              ROUND(ROUND(OFFSET($P101,0,AW$13),15-13*ORÇAMENTO!$AF$7)*OFFSET(ORÇAMENTO!$W$15,ROW(AW101)-ROW(AW$15),0),15-13*ORÇAMENTO!$AF$11)),
         0)</f>
        <v>0</v>
      </c>
      <c r="AX101" s="453">
        <f ca="1">IF(AND($D101="Serviço",AX$12&lt;&gt;0,$H101&gt;0,OR(AUTOEVENTO&lt;&gt;"manual",$M101&lt;&gt;$A$15)),
        IF(Import.TipoArredondamento&lt;&gt;"TransfereGOV",
              ROUND(OFFSET($P101,0,AX$13),15-13*ORÇAMENTO!$AF$7)/$H101*OFFSET(ORÇAMENTO!$X$15,ROW(AX101)-ROW(AX$15),0),
              ROUND(ROUND(OFFSET($P101,0,AX$13),15-13*ORÇAMENTO!$AF$7)*OFFSET(ORÇAMENTO!$W$15,ROW(AX101)-ROW(AX$15),0),15-13*ORÇAMENTO!$AF$11)),
         0)</f>
        <v>0</v>
      </c>
      <c r="AY101" s="453">
        <f ca="1">IF(AND($D101="Serviço",AY$12&lt;&gt;0,$H101&gt;0,OR(AUTOEVENTO&lt;&gt;"manual",$M101&lt;&gt;$A$15)),
        IF(Import.TipoArredondamento&lt;&gt;"TransfereGOV",
              ROUND(OFFSET($P101,0,AY$13),15-13*ORÇAMENTO!$AF$7)/$H101*OFFSET(ORÇAMENTO!$X$15,ROW(AY101)-ROW(AY$15),0),
              ROUND(ROUND(OFFSET($P101,0,AY$13),15-13*ORÇAMENTO!$AF$7)*OFFSET(ORÇAMENTO!$W$15,ROW(AY101)-ROW(AY$15),0),15-13*ORÇAMENTO!$AF$11)),
         0)</f>
        <v>0</v>
      </c>
      <c r="AZ101" s="453">
        <f ca="1">IF(AND($D101="Serviço",AZ$12&lt;&gt;0,$H101&gt;0,OR(AUTOEVENTO&lt;&gt;"manual",$M101&lt;&gt;$A$15)),
        IF(Import.TipoArredondamento&lt;&gt;"TransfereGOV",
              ROUND(OFFSET($P101,0,AZ$13),15-13*ORÇAMENTO!$AF$7)/$H101*OFFSET(ORÇAMENTO!$X$15,ROW(AZ101)-ROW(AZ$15),0),
              ROUND(ROUND(OFFSET($P101,0,AZ$13),15-13*ORÇAMENTO!$AF$7)*OFFSET(ORÇAMENTO!$W$15,ROW(AZ101)-ROW(AZ$15),0),15-13*ORÇAMENTO!$AF$11)),
         0)</f>
        <v>0</v>
      </c>
      <c r="BA101" s="453">
        <f ca="1">IF(AND($D101="Serviço",BA$12&lt;&gt;0,$H101&gt;0,OR(AUTOEVENTO&lt;&gt;"manual",$M101&lt;&gt;$A$15)),
        IF(Import.TipoArredondamento&lt;&gt;"TransfereGOV",
              ROUND(OFFSET($P101,0,BA$13),15-13*ORÇAMENTO!$AF$7)/$H101*OFFSET(ORÇAMENTO!$X$15,ROW(BA101)-ROW(BA$15),0),
              ROUND(ROUND(OFFSET($P101,0,BA$13),15-13*ORÇAMENTO!$AF$7)*OFFSET(ORÇAMENTO!$W$15,ROW(BA101)-ROW(BA$15),0),15-13*ORÇAMENTO!$AF$11)),
         0)</f>
        <v>0</v>
      </c>
      <c r="BC101" s="171">
        <f ca="1">IF(OR($D101&lt;&gt;"Serviço",AND(AUTOEVENTO="Manual",$M101=$A$15)),0,
         IF(OFFSET(CRONOPLE!$F$15,$M101-$A$15,BC$13)=0,10^12,OFFSET(CRONOPLE!$F$15,$M101-$A$15,BC$13)))</f>
        <v>1000000000000</v>
      </c>
      <c r="BD101" s="171">
        <f ca="1">IF(OR($D101&lt;&gt;"Serviço",AND(AUTOEVENTO="Manual",$M101=$A$15)),0,
         IF(OFFSET(CRONOPLE!$F$15,$M101-$A$15,BD$13)=0,10^12,OFFSET(CRONOPLE!$F$15,$M101-$A$15,BD$13)))</f>
        <v>1000000000000</v>
      </c>
      <c r="BE101" s="171">
        <f ca="1">IF(OR($D101&lt;&gt;"Serviço",AND(AUTOEVENTO="Manual",$M101=$A$15)),0,
         IF(OFFSET(CRONOPLE!$F$15,$M101-$A$15,BE$13)=0,10^12,OFFSET(CRONOPLE!$F$15,$M101-$A$15,BE$13)))</f>
        <v>6</v>
      </c>
      <c r="BF101" s="171">
        <f ca="1">IF(OR($D101&lt;&gt;"Serviço",AND(AUTOEVENTO="Manual",$M101=$A$15)),0,
         IF(OFFSET(CRONOPLE!$F$15,$M101-$A$15,BF$13)=0,10^12,OFFSET(CRONOPLE!$F$15,$M101-$A$15,BF$13)))</f>
        <v>1000000000000</v>
      </c>
      <c r="BG101" s="171">
        <f ca="1">IF(OR($D101&lt;&gt;"Serviço",AND(AUTOEVENTO="Manual",$M101=$A$15)),0,
         IF(OFFSET(CRONOPLE!$F$15,$M101-$A$15,BG$13)=0,10^12,OFFSET(CRONOPLE!$F$15,$M101-$A$15,BG$13)))</f>
        <v>9</v>
      </c>
      <c r="BH101" s="171">
        <f ca="1">IF(OR($D101&lt;&gt;"Serviço",AND(AUTOEVENTO="Manual",$M101=$A$15)),0,
         IF(OFFSET(CRONOPLE!$F$15,$M101-$A$15,BH$13)=0,10^12,OFFSET(CRONOPLE!$F$15,$M101-$A$15,BH$13)))</f>
        <v>7</v>
      </c>
      <c r="BI101" s="171">
        <f ca="1">IF(OR($D101&lt;&gt;"Serviço",AND(AUTOEVENTO="Manual",$M101=$A$15)),0,
         IF(OFFSET(CRONOPLE!$F$15,$M101-$A$15,BI$13)=0,10^12,OFFSET(CRONOPLE!$F$15,$M101-$A$15,BI$13)))</f>
        <v>10</v>
      </c>
      <c r="BJ101" s="171">
        <f ca="1">IF(OR($D101&lt;&gt;"Serviço",AND(AUTOEVENTO="Manual",$M101=$A$15)),0,
         IF(OFFSET(CRONOPLE!$F$15,$M101-$A$15,BJ$13)=0,10^12,OFFSET(CRONOPLE!$F$15,$M101-$A$15,BJ$13)))</f>
        <v>1000000000000</v>
      </c>
      <c r="BK101" s="171">
        <f ca="1">IF(OR($D101&lt;&gt;"Serviço",AND(AUTOEVENTO="Manual",$M101=$A$15)),0,
         IF(OFFSET(CRONOPLE!$F$15,$M101-$A$15,BK$13)=0,10^12,OFFSET(CRONOPLE!$F$15,$M101-$A$15,BK$13)))</f>
        <v>1000000000000</v>
      </c>
      <c r="BL101" s="171">
        <f ca="1">IF(OR($D101&lt;&gt;"Serviço",AND(AUTOEVENTO="Manual",$M101=$A$15)),0,
         IF(OFFSET(CRONOPLE!$F$15,$M101-$A$15,BL$13)=0,10^12,OFFSET(CRONOPLE!$F$15,$M101-$A$15,BL$13)))</f>
        <v>1000000000000</v>
      </c>
      <c r="BM101" s="171">
        <f ca="1">IF(OR($D101&lt;&gt;"Serviço",AND(AUTOEVENTO="Manual",$M101=$A$15)),0,
         IF(OFFSET(CRONOPLE!$F$15,$M101-$A$15,BM$13)=0,10^12,OFFSET(CRONOPLE!$F$15,$M101-$A$15,BM$13)))</f>
        <v>1000000000000</v>
      </c>
      <c r="BN101" s="171">
        <f ca="1">IF(OR($D101&lt;&gt;"Serviço",AND(AUTOEVENTO="Manual",$M101=$A$15)),0,
         IF(OFFSET(CRONOPLE!$F$15,$M101-$A$15,BN$13)=0,10^12,OFFSET(CRONOPLE!$F$15,$M101-$A$15,BN$13)))</f>
        <v>1000000000000</v>
      </c>
      <c r="BO101" s="171">
        <f ca="1">IF(OR($D101&lt;&gt;"Serviço",AND(AUTOEVENTO="Manual",$M101=$A$15)),0,
         IF(OFFSET(CRONOPLE!$F$15,$M101-$A$15,BO$13)=0,10^12,OFFSET(CRONOPLE!$F$15,$M101-$A$15,BO$13)))</f>
        <v>1000000000000</v>
      </c>
      <c r="BP101" s="171">
        <f ca="1">IF(OR($D101&lt;&gt;"Serviço",AND(AUTOEVENTO="Manual",$M101=$A$15)),0,
         IF(OFFSET(CRONOPLE!$F$15,$M101-$A$15,BP$13)=0,10^12,OFFSET(CRONOPLE!$F$15,$M101-$A$15,BP$13)))</f>
        <v>1000000000000</v>
      </c>
      <c r="BQ101" s="171">
        <f ca="1">IF(OR($D101&lt;&gt;"Serviço",AND(AUTOEVENTO="Manual",$M101=$A$15)),0,
         IF(OFFSET(CRONOPLE!$F$15,$M101-$A$15,BQ$13)=0,10^12,OFFSET(CRONOPLE!$F$15,$M101-$A$15,BQ$13)))</f>
        <v>1000000000000</v>
      </c>
      <c r="BR101" s="171">
        <f ca="1">IF(OR($D101&lt;&gt;"Serviço",AND(AUTOEVENTO="Manual",$M101=$A$15)),0,
         IF(OFFSET(CRONOPLE!$F$15,$M101-$A$15,BR$13)=0,10^12,OFFSET(CRONOPLE!$F$15,$M101-$A$15,BR$13)))</f>
        <v>1000000000000</v>
      </c>
      <c r="BS101" s="171">
        <f ca="1">IF(OR($D101&lt;&gt;"Serviço",AND(AUTOEVENTO="Manual",$M101=$A$15)),0,
         IF(OFFSET(CRONOPLE!$F$15,$M101-$A$15,BS$13)=0,10^12,OFFSET(CRONOPLE!$F$15,$M101-$A$15,BS$13)))</f>
        <v>1000000000000</v>
      </c>
      <c r="BT101" s="171">
        <f ca="1">IF(OR($D101&lt;&gt;"Serviço",AND(AUTOEVENTO="Manual",$M101=$A$15)),0,
         IF(OFFSET(CRONOPLE!$F$15,$M101-$A$15,BT$13)=0,10^12,OFFSET(CRONOPLE!$F$15,$M101-$A$15,BT$13)))</f>
        <v>1000000000000</v>
      </c>
      <c r="BV101" s="172" cm="1">
        <f t="array" aca="1" ref="BV101" ca="1">IF(OR($D101&lt;&gt;"Serviço",AND(AUTOEVENTO="Manual",$M101=$A$15),$M101&gt;(ROW(PLE.lastrow)-ROW(PLE.firstrow))),0,
           IF(OFFSET(PLE!$G$15,$M101-$A$15,BV$13)="",10^12,OFFSET(PLE!$G$15,$M101-$A$15,BV$13)))</f>
        <v>1000000000000</v>
      </c>
      <c r="BW101" s="172" cm="1">
        <f t="array" aca="1" ref="BW101" ca="1">IF(OR($D101&lt;&gt;"Serviço",AND(AUTOEVENTO="Manual",$M101=$A$15),$M101&gt;(ROW(PLE.lastrow)-ROW(PLE.firstrow))),0,
           IF(OFFSET(PLE!$G$15,$M101-$A$15,BW$13)="",10^12,OFFSET(PLE!$G$15,$M101-$A$15,BW$13)))</f>
        <v>1000000000000</v>
      </c>
      <c r="BX101" s="172" cm="1">
        <f t="array" aca="1" ref="BX101" ca="1">IF(OR($D101&lt;&gt;"Serviço",AND(AUTOEVENTO="Manual",$M101=$A$15),$M101&gt;(ROW(PLE.lastrow)-ROW(PLE.firstrow))),0,
           IF(OFFSET(PLE!$G$15,$M101-$A$15,BX$13)="",10^12,OFFSET(PLE!$G$15,$M101-$A$15,BX$13)))</f>
        <v>1000000000000</v>
      </c>
      <c r="BY101" s="172" cm="1">
        <f t="array" aca="1" ref="BY101" ca="1">IF(OR($D101&lt;&gt;"Serviço",AND(AUTOEVENTO="Manual",$M101=$A$15),$M101&gt;(ROW(PLE.lastrow)-ROW(PLE.firstrow))),0,
           IF(OFFSET(PLE!$G$15,$M101-$A$15,BY$13)="",10^12,OFFSET(PLE!$G$15,$M101-$A$15,BY$13)))</f>
        <v>1000000000000</v>
      </c>
      <c r="BZ101" s="172" cm="1">
        <f t="array" aca="1" ref="BZ101" ca="1">IF(OR($D101&lt;&gt;"Serviço",AND(AUTOEVENTO="Manual",$M101=$A$15),$M101&gt;(ROW(PLE.lastrow)-ROW(PLE.firstrow))),0,
           IF(OFFSET(PLE!$G$15,$M101-$A$15,BZ$13)="",10^12,OFFSET(PLE!$G$15,$M101-$A$15,BZ$13)))</f>
        <v>1000000000000</v>
      </c>
      <c r="CA101" s="172" cm="1">
        <f t="array" aca="1" ref="CA101" ca="1">IF(OR($D101&lt;&gt;"Serviço",AND(AUTOEVENTO="Manual",$M101=$A$15),$M101&gt;(ROW(PLE.lastrow)-ROW(PLE.firstrow))),0,
           IF(OFFSET(PLE!$G$15,$M101-$A$15,CA$13)="",10^12,OFFSET(PLE!$G$15,$M101-$A$15,CA$13)))</f>
        <v>1000000000000</v>
      </c>
      <c r="CB101" s="172" cm="1">
        <f t="array" aca="1" ref="CB101" ca="1">IF(OR($D101&lt;&gt;"Serviço",AND(AUTOEVENTO="Manual",$M101=$A$15),$M101&gt;(ROW(PLE.lastrow)-ROW(PLE.firstrow))),0,
           IF(OFFSET(PLE!$G$15,$M101-$A$15,CB$13)="",10^12,OFFSET(PLE!$G$15,$M101-$A$15,CB$13)))</f>
        <v>1000000000000</v>
      </c>
      <c r="CC101" s="172" cm="1">
        <f t="array" aca="1" ref="CC101" ca="1">IF(OR($D101&lt;&gt;"Serviço",AND(AUTOEVENTO="Manual",$M101=$A$15),$M101&gt;(ROW(PLE.lastrow)-ROW(PLE.firstrow))),0,
           IF(OFFSET(PLE!$G$15,$M101-$A$15,CC$13)="",10^12,OFFSET(PLE!$G$15,$M101-$A$15,CC$13)))</f>
        <v>1000000000000</v>
      </c>
      <c r="CD101" s="172" cm="1">
        <f t="array" aca="1" ref="CD101" ca="1">IF(OR($D101&lt;&gt;"Serviço",AND(AUTOEVENTO="Manual",$M101=$A$15),$M101&gt;(ROW(PLE.lastrow)-ROW(PLE.firstrow))),0,
           IF(OFFSET(PLE!$G$15,$M101-$A$15,CD$13)="",10^12,OFFSET(PLE!$G$15,$M101-$A$15,CD$13)))</f>
        <v>1000000000000</v>
      </c>
      <c r="CE101" s="172" cm="1">
        <f t="array" aca="1" ref="CE101" ca="1">IF(OR($D101&lt;&gt;"Serviço",AND(AUTOEVENTO="Manual",$M101=$A$15),$M101&gt;(ROW(PLE.lastrow)-ROW(PLE.firstrow))),0,
           IF(OFFSET(PLE!$G$15,$M101-$A$15,CE$13)="",10^12,OFFSET(PLE!$G$15,$M101-$A$15,CE$13)))</f>
        <v>1000000000000</v>
      </c>
      <c r="CF101" s="172" cm="1">
        <f t="array" aca="1" ref="CF101" ca="1">IF(OR($D101&lt;&gt;"Serviço",AND(AUTOEVENTO="Manual",$M101=$A$15),$M101&gt;(ROW(PLE.lastrow)-ROW(PLE.firstrow))),0,
           IF(OFFSET(PLE!$G$15,$M101-$A$15,CF$13)="",10^12,OFFSET(PLE!$G$15,$M101-$A$15,CF$13)))</f>
        <v>1000000000000</v>
      </c>
      <c r="CG101" s="172" cm="1">
        <f t="array" aca="1" ref="CG101" ca="1">IF(OR($D101&lt;&gt;"Serviço",AND(AUTOEVENTO="Manual",$M101=$A$15),$M101&gt;(ROW(PLE.lastrow)-ROW(PLE.firstrow))),0,
           IF(OFFSET(PLE!$G$15,$M101-$A$15,CG$13)="",10^12,OFFSET(PLE!$G$15,$M101-$A$15,CG$13)))</f>
        <v>1000000000000</v>
      </c>
      <c r="CH101" s="172" cm="1">
        <f t="array" aca="1" ref="CH101" ca="1">IF(OR($D101&lt;&gt;"Serviço",AND(AUTOEVENTO="Manual",$M101=$A$15),$M101&gt;(ROW(PLE.lastrow)-ROW(PLE.firstrow))),0,
           IF(OFFSET(PLE!$G$15,$M101-$A$15,CH$13)="",10^12,OFFSET(PLE!$G$15,$M101-$A$15,CH$13)))</f>
        <v>1000000000000</v>
      </c>
      <c r="CI101" s="172" cm="1">
        <f t="array" aca="1" ref="CI101" ca="1">IF(OR($D101&lt;&gt;"Serviço",AND(AUTOEVENTO="Manual",$M101=$A$15),$M101&gt;(ROW(PLE.lastrow)-ROW(PLE.firstrow))),0,
           IF(OFFSET(PLE!$G$15,$M101-$A$15,CI$13)="",10^12,OFFSET(PLE!$G$15,$M101-$A$15,CI$13)))</f>
        <v>1000000000000</v>
      </c>
      <c r="CJ101" s="172" cm="1">
        <f t="array" aca="1" ref="CJ101" ca="1">IF(OR($D101&lt;&gt;"Serviço",AND(AUTOEVENTO="Manual",$M101=$A$15),$M101&gt;(ROW(PLE.lastrow)-ROW(PLE.firstrow))),0,
           IF(OFFSET(PLE!$G$15,$M101-$A$15,CJ$13)="",10^12,OFFSET(PLE!$G$15,$M101-$A$15,CJ$13)))</f>
        <v>1000000000000</v>
      </c>
      <c r="CK101" s="172" cm="1">
        <f t="array" aca="1" ref="CK101" ca="1">IF(OR($D101&lt;&gt;"Serviço",AND(AUTOEVENTO="Manual",$M101=$A$15),$M101&gt;(ROW(PLE.lastrow)-ROW(PLE.firstrow))),0,
           IF(OFFSET(PLE!$G$15,$M101-$A$15,CK$13)="",10^12,OFFSET(PLE!$G$15,$M101-$A$15,CK$13)))</f>
        <v>1000000000000</v>
      </c>
      <c r="CL101" s="172" cm="1">
        <f t="array" aca="1" ref="CL101" ca="1">IF(OR($D101&lt;&gt;"Serviço",AND(AUTOEVENTO="Manual",$M101=$A$15),$M101&gt;(ROW(PLE.lastrow)-ROW(PLE.firstrow))),0,
           IF(OFFSET(PLE!$G$15,$M101-$A$15,CL$13)="",10^12,OFFSET(PLE!$G$15,$M101-$A$15,CL$13)))</f>
        <v>1000000000000</v>
      </c>
      <c r="CM101" s="172" cm="1">
        <f t="array" aca="1" ref="CM101" ca="1">IF(OR($D101&lt;&gt;"Serviço",AND(AUTOEVENTO="Manual",$M101=$A$15),$M101&gt;(ROW(PLE.lastrow)-ROW(PLE.firstrow))),0,
           IF(OFFSET(PLE!$G$15,$M101-$A$15,CM$13)="",10^12,OFFSET(PLE!$G$15,$M101-$A$15,CM$13)))</f>
        <v>1000000000000</v>
      </c>
    </row>
    <row r="102" spans="1:91" s="670" customFormat="1" ht="38.25" x14ac:dyDescent="0.2">
      <c r="A102" s="668">
        <f t="shared" ca="1" si="12"/>
        <v>12</v>
      </c>
      <c r="B102" s="668" t="str">
        <f ca="1">OFFSET(ORÇAMENTO!C$15,$L102,0)</f>
        <v>S</v>
      </c>
      <c r="C102" s="668" t="str">
        <f ca="1">OFFSET(ORÇAMENTO!L$15,$L102,0)</f>
        <v>F</v>
      </c>
      <c r="D102" s="116" t="str">
        <f ca="1">OFFSET(ORÇAMENTO!N$15,$L102,0)</f>
        <v>Serviço</v>
      </c>
      <c r="E102" s="117" t="str">
        <f ca="1">OFFSET(ORÇAMENTO!O$15,$L102,0)</f>
        <v>1.13.4.</v>
      </c>
      <c r="F102" s="163" t="str">
        <f ca="1">OFFSET(ORÇAMENTO!R$15,$L102,0)</f>
        <v>CONCRETO MAGRO PARA LASTRO, TRAÇO 1:4,5:4,5 (EM MASSA SECA DE CIMENTO/ AREIA MÉDIA/ SEIXO ROLADO) - PREPARO MECÂNICO COM BETONEIRA 400 L. AF_05/2021</v>
      </c>
      <c r="G102" s="164" t="str">
        <f ca="1">IF($D102&lt;&gt;"Serviço","",OFFSET(ORÇAMENTO!S$15,$L102,0))</f>
        <v>M3</v>
      </c>
      <c r="H102" s="122" cm="1">
        <f t="array" aca="1" ref="H102" ca="1">IF($D102&lt;&gt;"Serviço",0,IF(ACOMPANHAMENTO="BM",ROUND(OFFSET(ORÇAMENTO!AJ$15,$L102,0),15-13*ORÇAMENTO!$AF$7),IF(IFERROR(CÁLCULO.FrentesPreenchidas,0)=0,0,SUM(ROUND(OFFSET($P102,0,1,1,CÁLCULO.FrentesPreenchidas),15-13*ORÇAMENTO!$AF$7)))))</f>
        <v>1.5</v>
      </c>
      <c r="I102" s="468" t="s">
        <v>1170</v>
      </c>
      <c r="J102" s="651" t="str" cm="1">
        <f t="array" aca="1" ref="J102" ca="1">IF(OR(B102&lt;&gt;"S",CÁLCULO.FrentesPreenchidas=0),"",IF(AND(ACOMPANHAMENTO="PLE",AUTOEVENTO="Manual",OR(H102&gt;0,ORÇAMENTO!AC102="QUANT."),OR(K102="",M102=0,N102="")),"►E",IF(AND(ACOMPANHAMENTO="PLE",ORÇAMENTO!AC102="QUANT."),"►Q",IF(AND(ACOMPANHAMENTO="PLE",H102&lt;&gt;SUMPRODUCT(($Q$1:$AI$1=1)*ROUND(Q102:AI102,15))),"►S",IF(AND(COUNTIF($P$11:$AI$11,"▼")=0,H102&gt;0,I102=""),"◄M","")))))</f>
        <v/>
      </c>
      <c r="K102" s="652" t="s">
        <v>1339</v>
      </c>
      <c r="L102" s="165">
        <f t="shared" ca="1" si="13"/>
        <v>87</v>
      </c>
      <c r="M102" s="166">
        <f ca="1">IF($D102&lt;&gt;"Serviço","",
          IF(AUTOEVENTO="manual",$A102,
                IF(ISERROR(MATCH($A102,$A$15:OFFSET($A102,-1,0),0)),MAX($M$15:OFFSET(M102,-1,0))+1,
                      INDEX($M$15:OFFSET(M102,-1,0),MATCH($A102,$A$15:OFFSET($A102,-1,0),0)))))</f>
        <v>12</v>
      </c>
      <c r="N102" s="167" t="str">
        <f ca="1">IF($D102&lt;&gt;"Serviço","",
         IF(AUTOEVENTO="Manual",
                IF($A102=0,"&lt;-- defina o número do agrupador",
                       OFFSET(EVENTOS!$D$15,$A102-$A$15,0)),
                OFFSET($F$15,$A102,0)))</f>
        <v>Fundação - Concretagem</v>
      </c>
      <c r="O102" s="168"/>
      <c r="Q102" s="168"/>
      <c r="R102" s="169"/>
      <c r="S102" s="169"/>
      <c r="T102" s="169"/>
      <c r="U102" s="169"/>
      <c r="V102" s="169">
        <v>1.5</v>
      </c>
      <c r="W102" s="169"/>
      <c r="X102" s="169"/>
      <c r="Y102" s="169"/>
      <c r="Z102" s="170"/>
      <c r="AA102" s="705"/>
      <c r="AB102" s="705"/>
      <c r="AC102" s="705"/>
      <c r="AD102" s="705"/>
      <c r="AE102" s="705"/>
      <c r="AF102" s="705"/>
      <c r="AG102" s="705"/>
      <c r="AH102" s="706"/>
      <c r="AJ102" s="453">
        <f ca="1">IF(AND($D102="Serviço",AJ$12&lt;&gt;0,$H102&gt;0,OR(AUTOEVENTO&lt;&gt;"manual",$M102&lt;&gt;$A$15)),
        IF(Import.TipoArredondamento&lt;&gt;"TransfereGOV",
              ROUND(OFFSET($P102,0,AJ$13),15-13*ORÇAMENTO!$AF$7)/$H102*OFFSET(ORÇAMENTO!$X$15,ROW(AJ102)-ROW(AJ$15),0),
              ROUND(ROUND(OFFSET($P102,0,AJ$13),15-13*ORÇAMENTO!$AF$7)*OFFSET(ORÇAMENTO!$W$15,ROW(AJ102)-ROW(AJ$15),0),15-13*ORÇAMENTO!$AF$11)),
         0)</f>
        <v>0</v>
      </c>
      <c r="AK102" s="453">
        <f ca="1">IF(AND($D102="Serviço",AK$12&lt;&gt;0,$H102&gt;0,OR(AUTOEVENTO&lt;&gt;"manual",$M102&lt;&gt;$A$15)),
        IF(Import.TipoArredondamento&lt;&gt;"TransfereGOV",
              ROUND(OFFSET($P102,0,AK$13),15-13*ORÇAMENTO!$AF$7)/$H102*OFFSET(ORÇAMENTO!$X$15,ROW(AK102)-ROW(AK$15),0),
              ROUND(ROUND(OFFSET($P102,0,AK$13),15-13*ORÇAMENTO!$AF$7)*OFFSET(ORÇAMENTO!$W$15,ROW(AK102)-ROW(AK$15),0),15-13*ORÇAMENTO!$AF$11)),
         0)</f>
        <v>0</v>
      </c>
      <c r="AL102" s="453">
        <f ca="1">IF(AND($D102="Serviço",AL$12&lt;&gt;0,$H102&gt;0,OR(AUTOEVENTO&lt;&gt;"manual",$M102&lt;&gt;$A$15)),
        IF(Import.TipoArredondamento&lt;&gt;"TransfereGOV",
              ROUND(OFFSET($P102,0,AL$13),15-13*ORÇAMENTO!$AF$7)/$H102*OFFSET(ORÇAMENTO!$X$15,ROW(AL102)-ROW(AL$15),0),
              ROUND(ROUND(OFFSET($P102,0,AL$13),15-13*ORÇAMENTO!$AF$7)*OFFSET(ORÇAMENTO!$W$15,ROW(AL102)-ROW(AL$15),0),15-13*ORÇAMENTO!$AF$11)),
         0)</f>
        <v>0</v>
      </c>
      <c r="AM102" s="453">
        <f ca="1">IF(AND($D102="Serviço",AM$12&lt;&gt;0,$H102&gt;0,OR(AUTOEVENTO&lt;&gt;"manual",$M102&lt;&gt;$A$15)),
        IF(Import.TipoArredondamento&lt;&gt;"TransfereGOV",
              ROUND(OFFSET($P102,0,AM$13),15-13*ORÇAMENTO!$AF$7)/$H102*OFFSET(ORÇAMENTO!$X$15,ROW(AM102)-ROW(AM$15),0),
              ROUND(ROUND(OFFSET($P102,0,AM$13),15-13*ORÇAMENTO!$AF$7)*OFFSET(ORÇAMENTO!$W$15,ROW(AM102)-ROW(AM$15),0),15-13*ORÇAMENTO!$AF$11)),
         0)</f>
        <v>0</v>
      </c>
      <c r="AN102" s="453">
        <f ca="1">IF(AND($D102="Serviço",AN$12&lt;&gt;0,$H102&gt;0,OR(AUTOEVENTO&lt;&gt;"manual",$M102&lt;&gt;$A$15)),
        IF(Import.TipoArredondamento&lt;&gt;"TransfereGOV",
              ROUND(OFFSET($P102,0,AN$13),15-13*ORÇAMENTO!$AF$7)/$H102*OFFSET(ORÇAMENTO!$X$15,ROW(AN102)-ROW(AN$15),0),
              ROUND(ROUND(OFFSET($P102,0,AN$13),15-13*ORÇAMENTO!$AF$7)*OFFSET(ORÇAMENTO!$W$15,ROW(AN102)-ROW(AN$15),0),15-13*ORÇAMENTO!$AF$11)),
         0)</f>
        <v>0</v>
      </c>
      <c r="AO102" s="453">
        <f ca="1">IF(AND($D102="Serviço",AO$12&lt;&gt;0,$H102&gt;0,OR(AUTOEVENTO&lt;&gt;"manual",$M102&lt;&gt;$A$15)),
        IF(Import.TipoArredondamento&lt;&gt;"TransfereGOV",
              ROUND(OFFSET($P102,0,AO$13),15-13*ORÇAMENTO!$AF$7)/$H102*OFFSET(ORÇAMENTO!$X$15,ROW(AO102)-ROW(AO$15),0),
              ROUND(ROUND(OFFSET($P102,0,AO$13),15-13*ORÇAMENTO!$AF$7)*OFFSET(ORÇAMENTO!$W$15,ROW(AO102)-ROW(AO$15),0),15-13*ORÇAMENTO!$AF$11)),
         0)</f>
        <v>1260.77</v>
      </c>
      <c r="AP102" s="453">
        <f ca="1">IF(AND($D102="Serviço",AP$12&lt;&gt;0,$H102&gt;0,OR(AUTOEVENTO&lt;&gt;"manual",$M102&lt;&gt;$A$15)),
        IF(Import.TipoArredondamento&lt;&gt;"TransfereGOV",
              ROUND(OFFSET($P102,0,AP$13),15-13*ORÇAMENTO!$AF$7)/$H102*OFFSET(ORÇAMENTO!$X$15,ROW(AP102)-ROW(AP$15),0),
              ROUND(ROUND(OFFSET($P102,0,AP$13),15-13*ORÇAMENTO!$AF$7)*OFFSET(ORÇAMENTO!$W$15,ROW(AP102)-ROW(AP$15),0),15-13*ORÇAMENTO!$AF$11)),
         0)</f>
        <v>0</v>
      </c>
      <c r="AQ102" s="453">
        <f ca="1">IF(AND($D102="Serviço",AQ$12&lt;&gt;0,$H102&gt;0,OR(AUTOEVENTO&lt;&gt;"manual",$M102&lt;&gt;$A$15)),
        IF(Import.TipoArredondamento&lt;&gt;"TransfereGOV",
              ROUND(OFFSET($P102,0,AQ$13),15-13*ORÇAMENTO!$AF$7)/$H102*OFFSET(ORÇAMENTO!$X$15,ROW(AQ102)-ROW(AQ$15),0),
              ROUND(ROUND(OFFSET($P102,0,AQ$13),15-13*ORÇAMENTO!$AF$7)*OFFSET(ORÇAMENTO!$W$15,ROW(AQ102)-ROW(AQ$15),0),15-13*ORÇAMENTO!$AF$11)),
         0)</f>
        <v>0</v>
      </c>
      <c r="AR102" s="453">
        <f ca="1">IF(AND($D102="Serviço",AR$12&lt;&gt;0,$H102&gt;0,OR(AUTOEVENTO&lt;&gt;"manual",$M102&lt;&gt;$A$15)),
        IF(Import.TipoArredondamento&lt;&gt;"TransfereGOV",
              ROUND(OFFSET($P102,0,AR$13),15-13*ORÇAMENTO!$AF$7)/$H102*OFFSET(ORÇAMENTO!$X$15,ROW(AR102)-ROW(AR$15),0),
              ROUND(ROUND(OFFSET($P102,0,AR$13),15-13*ORÇAMENTO!$AF$7)*OFFSET(ORÇAMENTO!$W$15,ROW(AR102)-ROW(AR$15),0),15-13*ORÇAMENTO!$AF$11)),
         0)</f>
        <v>0</v>
      </c>
      <c r="AS102" s="453">
        <f ca="1">IF(AND($D102="Serviço",AS$12&lt;&gt;0,$H102&gt;0,OR(AUTOEVENTO&lt;&gt;"manual",$M102&lt;&gt;$A$15)),
        IF(Import.TipoArredondamento&lt;&gt;"TransfereGOV",
              ROUND(OFFSET($P102,0,AS$13),15-13*ORÇAMENTO!$AF$7)/$H102*OFFSET(ORÇAMENTO!$X$15,ROW(AS102)-ROW(AS$15),0),
              ROUND(ROUND(OFFSET($P102,0,AS$13),15-13*ORÇAMENTO!$AF$7)*OFFSET(ORÇAMENTO!$W$15,ROW(AS102)-ROW(AS$15),0),15-13*ORÇAMENTO!$AF$11)),
         0)</f>
        <v>0</v>
      </c>
      <c r="AT102" s="453">
        <f ca="1">IF(AND($D102="Serviço",AT$12&lt;&gt;0,$H102&gt;0,OR(AUTOEVENTO&lt;&gt;"manual",$M102&lt;&gt;$A$15)),
        IF(Import.TipoArredondamento&lt;&gt;"TransfereGOV",
              ROUND(OFFSET($P102,0,AT$13),15-13*ORÇAMENTO!$AF$7)/$H102*OFFSET(ORÇAMENTO!$X$15,ROW(AT102)-ROW(AT$15),0),
              ROUND(ROUND(OFFSET($P102,0,AT$13),15-13*ORÇAMENTO!$AF$7)*OFFSET(ORÇAMENTO!$W$15,ROW(AT102)-ROW(AT$15),0),15-13*ORÇAMENTO!$AF$11)),
         0)</f>
        <v>0</v>
      </c>
      <c r="AU102" s="453">
        <f ca="1">IF(AND($D102="Serviço",AU$12&lt;&gt;0,$H102&gt;0,OR(AUTOEVENTO&lt;&gt;"manual",$M102&lt;&gt;$A$15)),
        IF(Import.TipoArredondamento&lt;&gt;"TransfereGOV",
              ROUND(OFFSET($P102,0,AU$13),15-13*ORÇAMENTO!$AF$7)/$H102*OFFSET(ORÇAMENTO!$X$15,ROW(AU102)-ROW(AU$15),0),
              ROUND(ROUND(OFFSET($P102,0,AU$13),15-13*ORÇAMENTO!$AF$7)*OFFSET(ORÇAMENTO!$W$15,ROW(AU102)-ROW(AU$15),0),15-13*ORÇAMENTO!$AF$11)),
         0)</f>
        <v>0</v>
      </c>
      <c r="AV102" s="453">
        <f ca="1">IF(AND($D102="Serviço",AV$12&lt;&gt;0,$H102&gt;0,OR(AUTOEVENTO&lt;&gt;"manual",$M102&lt;&gt;$A$15)),
        IF(Import.TipoArredondamento&lt;&gt;"TransfereGOV",
              ROUND(OFFSET($P102,0,AV$13),15-13*ORÇAMENTO!$AF$7)/$H102*OFFSET(ORÇAMENTO!$X$15,ROW(AV102)-ROW(AV$15),0),
              ROUND(ROUND(OFFSET($P102,0,AV$13),15-13*ORÇAMENTO!$AF$7)*OFFSET(ORÇAMENTO!$W$15,ROW(AV102)-ROW(AV$15),0),15-13*ORÇAMENTO!$AF$11)),
         0)</f>
        <v>0</v>
      </c>
      <c r="AW102" s="453">
        <f ca="1">IF(AND($D102="Serviço",AW$12&lt;&gt;0,$H102&gt;0,OR(AUTOEVENTO&lt;&gt;"manual",$M102&lt;&gt;$A$15)),
        IF(Import.TipoArredondamento&lt;&gt;"TransfereGOV",
              ROUND(OFFSET($P102,0,AW$13),15-13*ORÇAMENTO!$AF$7)/$H102*OFFSET(ORÇAMENTO!$X$15,ROW(AW102)-ROW(AW$15),0),
              ROUND(ROUND(OFFSET($P102,0,AW$13),15-13*ORÇAMENTO!$AF$7)*OFFSET(ORÇAMENTO!$W$15,ROW(AW102)-ROW(AW$15),0),15-13*ORÇAMENTO!$AF$11)),
         0)</f>
        <v>0</v>
      </c>
      <c r="AX102" s="453">
        <f ca="1">IF(AND($D102="Serviço",AX$12&lt;&gt;0,$H102&gt;0,OR(AUTOEVENTO&lt;&gt;"manual",$M102&lt;&gt;$A$15)),
        IF(Import.TipoArredondamento&lt;&gt;"TransfereGOV",
              ROUND(OFFSET($P102,0,AX$13),15-13*ORÇAMENTO!$AF$7)/$H102*OFFSET(ORÇAMENTO!$X$15,ROW(AX102)-ROW(AX$15),0),
              ROUND(ROUND(OFFSET($P102,0,AX$13),15-13*ORÇAMENTO!$AF$7)*OFFSET(ORÇAMENTO!$W$15,ROW(AX102)-ROW(AX$15),0),15-13*ORÇAMENTO!$AF$11)),
         0)</f>
        <v>0</v>
      </c>
      <c r="AY102" s="453">
        <f ca="1">IF(AND($D102="Serviço",AY$12&lt;&gt;0,$H102&gt;0,OR(AUTOEVENTO&lt;&gt;"manual",$M102&lt;&gt;$A$15)),
        IF(Import.TipoArredondamento&lt;&gt;"TransfereGOV",
              ROUND(OFFSET($P102,0,AY$13),15-13*ORÇAMENTO!$AF$7)/$H102*OFFSET(ORÇAMENTO!$X$15,ROW(AY102)-ROW(AY$15),0),
              ROUND(ROUND(OFFSET($P102,0,AY$13),15-13*ORÇAMENTO!$AF$7)*OFFSET(ORÇAMENTO!$W$15,ROW(AY102)-ROW(AY$15),0),15-13*ORÇAMENTO!$AF$11)),
         0)</f>
        <v>0</v>
      </c>
      <c r="AZ102" s="453">
        <f ca="1">IF(AND($D102="Serviço",AZ$12&lt;&gt;0,$H102&gt;0,OR(AUTOEVENTO&lt;&gt;"manual",$M102&lt;&gt;$A$15)),
        IF(Import.TipoArredondamento&lt;&gt;"TransfereGOV",
              ROUND(OFFSET($P102,0,AZ$13),15-13*ORÇAMENTO!$AF$7)/$H102*OFFSET(ORÇAMENTO!$X$15,ROW(AZ102)-ROW(AZ$15),0),
              ROUND(ROUND(OFFSET($P102,0,AZ$13),15-13*ORÇAMENTO!$AF$7)*OFFSET(ORÇAMENTO!$W$15,ROW(AZ102)-ROW(AZ$15),0),15-13*ORÇAMENTO!$AF$11)),
         0)</f>
        <v>0</v>
      </c>
      <c r="BA102" s="453">
        <f ca="1">IF(AND($D102="Serviço",BA$12&lt;&gt;0,$H102&gt;0,OR(AUTOEVENTO&lt;&gt;"manual",$M102&lt;&gt;$A$15)),
        IF(Import.TipoArredondamento&lt;&gt;"TransfereGOV",
              ROUND(OFFSET($P102,0,BA$13),15-13*ORÇAMENTO!$AF$7)/$H102*OFFSET(ORÇAMENTO!$X$15,ROW(BA102)-ROW(BA$15),0),
              ROUND(ROUND(OFFSET($P102,0,BA$13),15-13*ORÇAMENTO!$AF$7)*OFFSET(ORÇAMENTO!$W$15,ROW(BA102)-ROW(BA$15),0),15-13*ORÇAMENTO!$AF$11)),
         0)</f>
        <v>0</v>
      </c>
      <c r="BC102" s="171">
        <f ca="1">IF(OR($D102&lt;&gt;"Serviço",AND(AUTOEVENTO="Manual",$M102=$A$15)),0,
         IF(OFFSET(CRONOPLE!$F$15,$M102-$A$15,BC$13)=0,10^12,OFFSET(CRONOPLE!$F$15,$M102-$A$15,BC$13)))</f>
        <v>1000000000000</v>
      </c>
      <c r="BD102" s="171">
        <f ca="1">IF(OR($D102&lt;&gt;"Serviço",AND(AUTOEVENTO="Manual",$M102=$A$15)),0,
         IF(OFFSET(CRONOPLE!$F$15,$M102-$A$15,BD$13)=0,10^12,OFFSET(CRONOPLE!$F$15,$M102-$A$15,BD$13)))</f>
        <v>1000000000000</v>
      </c>
      <c r="BE102" s="171">
        <f ca="1">IF(OR($D102&lt;&gt;"Serviço",AND(AUTOEVENTO="Manual",$M102=$A$15)),0,
         IF(OFFSET(CRONOPLE!$F$15,$M102-$A$15,BE$13)=0,10^12,OFFSET(CRONOPLE!$F$15,$M102-$A$15,BE$13)))</f>
        <v>6</v>
      </c>
      <c r="BF102" s="171">
        <f ca="1">IF(OR($D102&lt;&gt;"Serviço",AND(AUTOEVENTO="Manual",$M102=$A$15)),0,
         IF(OFFSET(CRONOPLE!$F$15,$M102-$A$15,BF$13)=0,10^12,OFFSET(CRONOPLE!$F$15,$M102-$A$15,BF$13)))</f>
        <v>1000000000000</v>
      </c>
      <c r="BG102" s="171">
        <f ca="1">IF(OR($D102&lt;&gt;"Serviço",AND(AUTOEVENTO="Manual",$M102=$A$15)),0,
         IF(OFFSET(CRONOPLE!$F$15,$M102-$A$15,BG$13)=0,10^12,OFFSET(CRONOPLE!$F$15,$M102-$A$15,BG$13)))</f>
        <v>9</v>
      </c>
      <c r="BH102" s="171">
        <f ca="1">IF(OR($D102&lt;&gt;"Serviço",AND(AUTOEVENTO="Manual",$M102=$A$15)),0,
         IF(OFFSET(CRONOPLE!$F$15,$M102-$A$15,BH$13)=0,10^12,OFFSET(CRONOPLE!$F$15,$M102-$A$15,BH$13)))</f>
        <v>7</v>
      </c>
      <c r="BI102" s="171">
        <f ca="1">IF(OR($D102&lt;&gt;"Serviço",AND(AUTOEVENTO="Manual",$M102=$A$15)),0,
         IF(OFFSET(CRONOPLE!$F$15,$M102-$A$15,BI$13)=0,10^12,OFFSET(CRONOPLE!$F$15,$M102-$A$15,BI$13)))</f>
        <v>10</v>
      </c>
      <c r="BJ102" s="171">
        <f ca="1">IF(OR($D102&lt;&gt;"Serviço",AND(AUTOEVENTO="Manual",$M102=$A$15)),0,
         IF(OFFSET(CRONOPLE!$F$15,$M102-$A$15,BJ$13)=0,10^12,OFFSET(CRONOPLE!$F$15,$M102-$A$15,BJ$13)))</f>
        <v>1000000000000</v>
      </c>
      <c r="BK102" s="171">
        <f ca="1">IF(OR($D102&lt;&gt;"Serviço",AND(AUTOEVENTO="Manual",$M102=$A$15)),0,
         IF(OFFSET(CRONOPLE!$F$15,$M102-$A$15,BK$13)=0,10^12,OFFSET(CRONOPLE!$F$15,$M102-$A$15,BK$13)))</f>
        <v>1000000000000</v>
      </c>
      <c r="BL102" s="171">
        <f ca="1">IF(OR($D102&lt;&gt;"Serviço",AND(AUTOEVENTO="Manual",$M102=$A$15)),0,
         IF(OFFSET(CRONOPLE!$F$15,$M102-$A$15,BL$13)=0,10^12,OFFSET(CRONOPLE!$F$15,$M102-$A$15,BL$13)))</f>
        <v>1000000000000</v>
      </c>
      <c r="BM102" s="171">
        <f ca="1">IF(OR($D102&lt;&gt;"Serviço",AND(AUTOEVENTO="Manual",$M102=$A$15)),0,
         IF(OFFSET(CRONOPLE!$F$15,$M102-$A$15,BM$13)=0,10^12,OFFSET(CRONOPLE!$F$15,$M102-$A$15,BM$13)))</f>
        <v>1000000000000</v>
      </c>
      <c r="BN102" s="171">
        <f ca="1">IF(OR($D102&lt;&gt;"Serviço",AND(AUTOEVENTO="Manual",$M102=$A$15)),0,
         IF(OFFSET(CRONOPLE!$F$15,$M102-$A$15,BN$13)=0,10^12,OFFSET(CRONOPLE!$F$15,$M102-$A$15,BN$13)))</f>
        <v>1000000000000</v>
      </c>
      <c r="BO102" s="171">
        <f ca="1">IF(OR($D102&lt;&gt;"Serviço",AND(AUTOEVENTO="Manual",$M102=$A$15)),0,
         IF(OFFSET(CRONOPLE!$F$15,$M102-$A$15,BO$13)=0,10^12,OFFSET(CRONOPLE!$F$15,$M102-$A$15,BO$13)))</f>
        <v>1000000000000</v>
      </c>
      <c r="BP102" s="171">
        <f ca="1">IF(OR($D102&lt;&gt;"Serviço",AND(AUTOEVENTO="Manual",$M102=$A$15)),0,
         IF(OFFSET(CRONOPLE!$F$15,$M102-$A$15,BP$13)=0,10^12,OFFSET(CRONOPLE!$F$15,$M102-$A$15,BP$13)))</f>
        <v>1000000000000</v>
      </c>
      <c r="BQ102" s="171">
        <f ca="1">IF(OR($D102&lt;&gt;"Serviço",AND(AUTOEVENTO="Manual",$M102=$A$15)),0,
         IF(OFFSET(CRONOPLE!$F$15,$M102-$A$15,BQ$13)=0,10^12,OFFSET(CRONOPLE!$F$15,$M102-$A$15,BQ$13)))</f>
        <v>1000000000000</v>
      </c>
      <c r="BR102" s="171">
        <f ca="1">IF(OR($D102&lt;&gt;"Serviço",AND(AUTOEVENTO="Manual",$M102=$A$15)),0,
         IF(OFFSET(CRONOPLE!$F$15,$M102-$A$15,BR$13)=0,10^12,OFFSET(CRONOPLE!$F$15,$M102-$A$15,BR$13)))</f>
        <v>1000000000000</v>
      </c>
      <c r="BS102" s="171">
        <f ca="1">IF(OR($D102&lt;&gt;"Serviço",AND(AUTOEVENTO="Manual",$M102=$A$15)),0,
         IF(OFFSET(CRONOPLE!$F$15,$M102-$A$15,BS$13)=0,10^12,OFFSET(CRONOPLE!$F$15,$M102-$A$15,BS$13)))</f>
        <v>1000000000000</v>
      </c>
      <c r="BT102" s="171">
        <f ca="1">IF(OR($D102&lt;&gt;"Serviço",AND(AUTOEVENTO="Manual",$M102=$A$15)),0,
         IF(OFFSET(CRONOPLE!$F$15,$M102-$A$15,BT$13)=0,10^12,OFFSET(CRONOPLE!$F$15,$M102-$A$15,BT$13)))</f>
        <v>1000000000000</v>
      </c>
      <c r="BV102" s="172" cm="1">
        <f t="array" aca="1" ref="BV102" ca="1">IF(OR($D102&lt;&gt;"Serviço",AND(AUTOEVENTO="Manual",$M102=$A$15),$M102&gt;(ROW(PLE.lastrow)-ROW(PLE.firstrow))),0,
           IF(OFFSET(PLE!$G$15,$M102-$A$15,BV$13)="",10^12,OFFSET(PLE!$G$15,$M102-$A$15,BV$13)))</f>
        <v>1000000000000</v>
      </c>
      <c r="BW102" s="172" cm="1">
        <f t="array" aca="1" ref="BW102" ca="1">IF(OR($D102&lt;&gt;"Serviço",AND(AUTOEVENTO="Manual",$M102=$A$15),$M102&gt;(ROW(PLE.lastrow)-ROW(PLE.firstrow))),0,
           IF(OFFSET(PLE!$G$15,$M102-$A$15,BW$13)="",10^12,OFFSET(PLE!$G$15,$M102-$A$15,BW$13)))</f>
        <v>1000000000000</v>
      </c>
      <c r="BX102" s="172" cm="1">
        <f t="array" aca="1" ref="BX102" ca="1">IF(OR($D102&lt;&gt;"Serviço",AND(AUTOEVENTO="Manual",$M102=$A$15),$M102&gt;(ROW(PLE.lastrow)-ROW(PLE.firstrow))),0,
           IF(OFFSET(PLE!$G$15,$M102-$A$15,BX$13)="",10^12,OFFSET(PLE!$G$15,$M102-$A$15,BX$13)))</f>
        <v>1000000000000</v>
      </c>
      <c r="BY102" s="172" cm="1">
        <f t="array" aca="1" ref="BY102" ca="1">IF(OR($D102&lt;&gt;"Serviço",AND(AUTOEVENTO="Manual",$M102=$A$15),$M102&gt;(ROW(PLE.lastrow)-ROW(PLE.firstrow))),0,
           IF(OFFSET(PLE!$G$15,$M102-$A$15,BY$13)="",10^12,OFFSET(PLE!$G$15,$M102-$A$15,BY$13)))</f>
        <v>1000000000000</v>
      </c>
      <c r="BZ102" s="172" cm="1">
        <f t="array" aca="1" ref="BZ102" ca="1">IF(OR($D102&lt;&gt;"Serviço",AND(AUTOEVENTO="Manual",$M102=$A$15),$M102&gt;(ROW(PLE.lastrow)-ROW(PLE.firstrow))),0,
           IF(OFFSET(PLE!$G$15,$M102-$A$15,BZ$13)="",10^12,OFFSET(PLE!$G$15,$M102-$A$15,BZ$13)))</f>
        <v>1000000000000</v>
      </c>
      <c r="CA102" s="172" cm="1">
        <f t="array" aca="1" ref="CA102" ca="1">IF(OR($D102&lt;&gt;"Serviço",AND(AUTOEVENTO="Manual",$M102=$A$15),$M102&gt;(ROW(PLE.lastrow)-ROW(PLE.firstrow))),0,
           IF(OFFSET(PLE!$G$15,$M102-$A$15,CA$13)="",10^12,OFFSET(PLE!$G$15,$M102-$A$15,CA$13)))</f>
        <v>1000000000000</v>
      </c>
      <c r="CB102" s="172" cm="1">
        <f t="array" aca="1" ref="CB102" ca="1">IF(OR($D102&lt;&gt;"Serviço",AND(AUTOEVENTO="Manual",$M102=$A$15),$M102&gt;(ROW(PLE.lastrow)-ROW(PLE.firstrow))),0,
           IF(OFFSET(PLE!$G$15,$M102-$A$15,CB$13)="",10^12,OFFSET(PLE!$G$15,$M102-$A$15,CB$13)))</f>
        <v>1000000000000</v>
      </c>
      <c r="CC102" s="172" cm="1">
        <f t="array" aca="1" ref="CC102" ca="1">IF(OR($D102&lt;&gt;"Serviço",AND(AUTOEVENTO="Manual",$M102=$A$15),$M102&gt;(ROW(PLE.lastrow)-ROW(PLE.firstrow))),0,
           IF(OFFSET(PLE!$G$15,$M102-$A$15,CC$13)="",10^12,OFFSET(PLE!$G$15,$M102-$A$15,CC$13)))</f>
        <v>1000000000000</v>
      </c>
      <c r="CD102" s="172" cm="1">
        <f t="array" aca="1" ref="CD102" ca="1">IF(OR($D102&lt;&gt;"Serviço",AND(AUTOEVENTO="Manual",$M102=$A$15),$M102&gt;(ROW(PLE.lastrow)-ROW(PLE.firstrow))),0,
           IF(OFFSET(PLE!$G$15,$M102-$A$15,CD$13)="",10^12,OFFSET(PLE!$G$15,$M102-$A$15,CD$13)))</f>
        <v>1000000000000</v>
      </c>
      <c r="CE102" s="172" cm="1">
        <f t="array" aca="1" ref="CE102" ca="1">IF(OR($D102&lt;&gt;"Serviço",AND(AUTOEVENTO="Manual",$M102=$A$15),$M102&gt;(ROW(PLE.lastrow)-ROW(PLE.firstrow))),0,
           IF(OFFSET(PLE!$G$15,$M102-$A$15,CE$13)="",10^12,OFFSET(PLE!$G$15,$M102-$A$15,CE$13)))</f>
        <v>1000000000000</v>
      </c>
      <c r="CF102" s="172" cm="1">
        <f t="array" aca="1" ref="CF102" ca="1">IF(OR($D102&lt;&gt;"Serviço",AND(AUTOEVENTO="Manual",$M102=$A$15),$M102&gt;(ROW(PLE.lastrow)-ROW(PLE.firstrow))),0,
           IF(OFFSET(PLE!$G$15,$M102-$A$15,CF$13)="",10^12,OFFSET(PLE!$G$15,$M102-$A$15,CF$13)))</f>
        <v>1000000000000</v>
      </c>
      <c r="CG102" s="172" cm="1">
        <f t="array" aca="1" ref="CG102" ca="1">IF(OR($D102&lt;&gt;"Serviço",AND(AUTOEVENTO="Manual",$M102=$A$15),$M102&gt;(ROW(PLE.lastrow)-ROW(PLE.firstrow))),0,
           IF(OFFSET(PLE!$G$15,$M102-$A$15,CG$13)="",10^12,OFFSET(PLE!$G$15,$M102-$A$15,CG$13)))</f>
        <v>1000000000000</v>
      </c>
      <c r="CH102" s="172" cm="1">
        <f t="array" aca="1" ref="CH102" ca="1">IF(OR($D102&lt;&gt;"Serviço",AND(AUTOEVENTO="Manual",$M102=$A$15),$M102&gt;(ROW(PLE.lastrow)-ROW(PLE.firstrow))),0,
           IF(OFFSET(PLE!$G$15,$M102-$A$15,CH$13)="",10^12,OFFSET(PLE!$G$15,$M102-$A$15,CH$13)))</f>
        <v>1000000000000</v>
      </c>
      <c r="CI102" s="172" cm="1">
        <f t="array" aca="1" ref="CI102" ca="1">IF(OR($D102&lt;&gt;"Serviço",AND(AUTOEVENTO="Manual",$M102=$A$15),$M102&gt;(ROW(PLE.lastrow)-ROW(PLE.firstrow))),0,
           IF(OFFSET(PLE!$G$15,$M102-$A$15,CI$13)="",10^12,OFFSET(PLE!$G$15,$M102-$A$15,CI$13)))</f>
        <v>1000000000000</v>
      </c>
      <c r="CJ102" s="172" cm="1">
        <f t="array" aca="1" ref="CJ102" ca="1">IF(OR($D102&lt;&gt;"Serviço",AND(AUTOEVENTO="Manual",$M102=$A$15),$M102&gt;(ROW(PLE.lastrow)-ROW(PLE.firstrow))),0,
           IF(OFFSET(PLE!$G$15,$M102-$A$15,CJ$13)="",10^12,OFFSET(PLE!$G$15,$M102-$A$15,CJ$13)))</f>
        <v>1000000000000</v>
      </c>
      <c r="CK102" s="172" cm="1">
        <f t="array" aca="1" ref="CK102" ca="1">IF(OR($D102&lt;&gt;"Serviço",AND(AUTOEVENTO="Manual",$M102=$A$15),$M102&gt;(ROW(PLE.lastrow)-ROW(PLE.firstrow))),0,
           IF(OFFSET(PLE!$G$15,$M102-$A$15,CK$13)="",10^12,OFFSET(PLE!$G$15,$M102-$A$15,CK$13)))</f>
        <v>1000000000000</v>
      </c>
      <c r="CL102" s="172" cm="1">
        <f t="array" aca="1" ref="CL102" ca="1">IF(OR($D102&lt;&gt;"Serviço",AND(AUTOEVENTO="Manual",$M102=$A$15),$M102&gt;(ROW(PLE.lastrow)-ROW(PLE.firstrow))),0,
           IF(OFFSET(PLE!$G$15,$M102-$A$15,CL$13)="",10^12,OFFSET(PLE!$G$15,$M102-$A$15,CL$13)))</f>
        <v>1000000000000</v>
      </c>
      <c r="CM102" s="172" cm="1">
        <f t="array" aca="1" ref="CM102" ca="1">IF(OR($D102&lt;&gt;"Serviço",AND(AUTOEVENTO="Manual",$M102=$A$15),$M102&gt;(ROW(PLE.lastrow)-ROW(PLE.firstrow))),0,
           IF(OFFSET(PLE!$G$15,$M102-$A$15,CM$13)="",10^12,OFFSET(PLE!$G$15,$M102-$A$15,CM$13)))</f>
        <v>1000000000000</v>
      </c>
    </row>
    <row r="103" spans="1:91" s="670" customFormat="1" ht="12.75" x14ac:dyDescent="0.2">
      <c r="A103" s="668">
        <f t="shared" ca="1" si="12"/>
        <v>11</v>
      </c>
      <c r="B103" s="668" t="str">
        <f ca="1">OFFSET(ORÇAMENTO!C$15,$L103,0)</f>
        <v>S</v>
      </c>
      <c r="C103" s="668" t="str">
        <f ca="1">OFFSET(ORÇAMENTO!L$15,$L103,0)</f>
        <v>F</v>
      </c>
      <c r="D103" s="116" t="str">
        <f ca="1">OFFSET(ORÇAMENTO!N$15,$L103,0)</f>
        <v>Serviço</v>
      </c>
      <c r="E103" s="117" t="str">
        <f ca="1">OFFSET(ORÇAMENTO!O$15,$L103,0)</f>
        <v>1.13.5.</v>
      </c>
      <c r="F103" s="163" t="str">
        <f ca="1">OFFSET(ORÇAMENTO!R$15,$L103,0)</f>
        <v>CORTE E DOBRA DE AÇO CA-25, DIÂMETRO DE 20,0 MM. AF_06/2022</v>
      </c>
      <c r="G103" s="164" t="str">
        <f ca="1">IF($D103&lt;&gt;"Serviço","",OFFSET(ORÇAMENTO!S$15,$L103,0))</f>
        <v>KG</v>
      </c>
      <c r="H103" s="122" cm="1">
        <f t="array" aca="1" ref="H103" ca="1">IF($D103&lt;&gt;"Serviço",0,IF(ACOMPANHAMENTO="BM",ROUND(OFFSET(ORÇAMENTO!AJ$15,$L103,0),15-13*ORÇAMENTO!$AF$7),IF(IFERROR(CÁLCULO.FrentesPreenchidas,0)=0,0,SUM(ROUND(OFFSET($P103,0,1,1,CÁLCULO.FrentesPreenchidas),15-13*ORÇAMENTO!$AF$7)))))</f>
        <v>195</v>
      </c>
      <c r="I103" s="468" t="s">
        <v>1171</v>
      </c>
      <c r="J103" s="651" t="str" cm="1">
        <f t="array" aca="1" ref="J103" ca="1">IF(OR(B103&lt;&gt;"S",CÁLCULO.FrentesPreenchidas=0),"",IF(AND(ACOMPANHAMENTO="PLE",AUTOEVENTO="Manual",OR(H103&gt;0,ORÇAMENTO!AC103="QUANT."),OR(K103="",M103=0,N103="")),"►E",IF(AND(ACOMPANHAMENTO="PLE",ORÇAMENTO!AC103="QUANT."),"►Q",IF(AND(ACOMPANHAMENTO="PLE",H103&lt;&gt;SUMPRODUCT(($Q$1:$AI$1=1)*ROUND(Q103:AI103,15))),"►S",IF(AND(COUNTIF($P$11:$AI$11,"▼")=0,H103&gt;0,I103=""),"◄M","")))))</f>
        <v/>
      </c>
      <c r="K103" s="652" t="s">
        <v>1340</v>
      </c>
      <c r="L103" s="165">
        <f t="shared" ca="1" si="13"/>
        <v>88</v>
      </c>
      <c r="M103" s="166">
        <f ca="1">IF($D103&lt;&gt;"Serviço","",
          IF(AUTOEVENTO="manual",$A103,
                IF(ISERROR(MATCH($A103,$A$15:OFFSET($A103,-1,0),0)),MAX($M$15:OFFSET(M103,-1,0))+1,
                      INDEX($M$15:OFFSET(M103,-1,0),MATCH($A103,$A$15:OFFSET($A103,-1,0),0)))))</f>
        <v>11</v>
      </c>
      <c r="N103" s="167" t="str">
        <f ca="1">IF($D103&lt;&gt;"Serviço","",
         IF(AUTOEVENTO="Manual",
                IF($A103=0,"&lt;-- defina o número do agrupador",
                       OFFSET(EVENTOS!$D$15,$A103-$A$15,0)),
                OFFSET($F$15,$A103,0)))</f>
        <v>Fundação - Armação</v>
      </c>
      <c r="O103" s="168"/>
      <c r="Q103" s="168"/>
      <c r="R103" s="169"/>
      <c r="S103" s="169"/>
      <c r="T103" s="169"/>
      <c r="U103" s="169"/>
      <c r="V103" s="169">
        <v>195</v>
      </c>
      <c r="W103" s="169"/>
      <c r="X103" s="169"/>
      <c r="Y103" s="169"/>
      <c r="Z103" s="170"/>
      <c r="AA103" s="705"/>
      <c r="AB103" s="705"/>
      <c r="AC103" s="705"/>
      <c r="AD103" s="705"/>
      <c r="AE103" s="705"/>
      <c r="AF103" s="705"/>
      <c r="AG103" s="705"/>
      <c r="AH103" s="706"/>
      <c r="AJ103" s="453">
        <f ca="1">IF(AND($D103="Serviço",AJ$12&lt;&gt;0,$H103&gt;0,OR(AUTOEVENTO&lt;&gt;"manual",$M103&lt;&gt;$A$15)),
        IF(Import.TipoArredondamento&lt;&gt;"TransfereGOV",
              ROUND(OFFSET($P103,0,AJ$13),15-13*ORÇAMENTO!$AF$7)/$H103*OFFSET(ORÇAMENTO!$X$15,ROW(AJ103)-ROW(AJ$15),0),
              ROUND(ROUND(OFFSET($P103,0,AJ$13),15-13*ORÇAMENTO!$AF$7)*OFFSET(ORÇAMENTO!$W$15,ROW(AJ103)-ROW(AJ$15),0),15-13*ORÇAMENTO!$AF$11)),
         0)</f>
        <v>0</v>
      </c>
      <c r="AK103" s="453">
        <f ca="1">IF(AND($D103="Serviço",AK$12&lt;&gt;0,$H103&gt;0,OR(AUTOEVENTO&lt;&gt;"manual",$M103&lt;&gt;$A$15)),
        IF(Import.TipoArredondamento&lt;&gt;"TransfereGOV",
              ROUND(OFFSET($P103,0,AK$13),15-13*ORÇAMENTO!$AF$7)/$H103*OFFSET(ORÇAMENTO!$X$15,ROW(AK103)-ROW(AK$15),0),
              ROUND(ROUND(OFFSET($P103,0,AK$13),15-13*ORÇAMENTO!$AF$7)*OFFSET(ORÇAMENTO!$W$15,ROW(AK103)-ROW(AK$15),0),15-13*ORÇAMENTO!$AF$11)),
         0)</f>
        <v>0</v>
      </c>
      <c r="AL103" s="453">
        <f ca="1">IF(AND($D103="Serviço",AL$12&lt;&gt;0,$H103&gt;0,OR(AUTOEVENTO&lt;&gt;"manual",$M103&lt;&gt;$A$15)),
        IF(Import.TipoArredondamento&lt;&gt;"TransfereGOV",
              ROUND(OFFSET($P103,0,AL$13),15-13*ORÇAMENTO!$AF$7)/$H103*OFFSET(ORÇAMENTO!$X$15,ROW(AL103)-ROW(AL$15),0),
              ROUND(ROUND(OFFSET($P103,0,AL$13),15-13*ORÇAMENTO!$AF$7)*OFFSET(ORÇAMENTO!$W$15,ROW(AL103)-ROW(AL$15),0),15-13*ORÇAMENTO!$AF$11)),
         0)</f>
        <v>0</v>
      </c>
      <c r="AM103" s="453">
        <f ca="1">IF(AND($D103="Serviço",AM$12&lt;&gt;0,$H103&gt;0,OR(AUTOEVENTO&lt;&gt;"manual",$M103&lt;&gt;$A$15)),
        IF(Import.TipoArredondamento&lt;&gt;"TransfereGOV",
              ROUND(OFFSET($P103,0,AM$13),15-13*ORÇAMENTO!$AF$7)/$H103*OFFSET(ORÇAMENTO!$X$15,ROW(AM103)-ROW(AM$15),0),
              ROUND(ROUND(OFFSET($P103,0,AM$13),15-13*ORÇAMENTO!$AF$7)*OFFSET(ORÇAMENTO!$W$15,ROW(AM103)-ROW(AM$15),0),15-13*ORÇAMENTO!$AF$11)),
         0)</f>
        <v>0</v>
      </c>
      <c r="AN103" s="453">
        <f ca="1">IF(AND($D103="Serviço",AN$12&lt;&gt;0,$H103&gt;0,OR(AUTOEVENTO&lt;&gt;"manual",$M103&lt;&gt;$A$15)),
        IF(Import.TipoArredondamento&lt;&gt;"TransfereGOV",
              ROUND(OFFSET($P103,0,AN$13),15-13*ORÇAMENTO!$AF$7)/$H103*OFFSET(ORÇAMENTO!$X$15,ROW(AN103)-ROW(AN$15),0),
              ROUND(ROUND(OFFSET($P103,0,AN$13),15-13*ORÇAMENTO!$AF$7)*OFFSET(ORÇAMENTO!$W$15,ROW(AN103)-ROW(AN$15),0),15-13*ORÇAMENTO!$AF$11)),
         0)</f>
        <v>0</v>
      </c>
      <c r="AO103" s="453">
        <f ca="1">IF(AND($D103="Serviço",AO$12&lt;&gt;0,$H103&gt;0,OR(AUTOEVENTO&lt;&gt;"manual",$M103&lt;&gt;$A$15)),
        IF(Import.TipoArredondamento&lt;&gt;"TransfereGOV",
              ROUND(OFFSET($P103,0,AO$13),15-13*ORÇAMENTO!$AF$7)/$H103*OFFSET(ORÇAMENTO!$X$15,ROW(AO103)-ROW(AO$15),0),
              ROUND(ROUND(OFFSET($P103,0,AO$13),15-13*ORÇAMENTO!$AF$7)*OFFSET(ORÇAMENTO!$W$15,ROW(AO103)-ROW(AO$15),0),15-13*ORÇAMENTO!$AF$11)),
         0)</f>
        <v>2049.4499999999998</v>
      </c>
      <c r="AP103" s="453">
        <f ca="1">IF(AND($D103="Serviço",AP$12&lt;&gt;0,$H103&gt;0,OR(AUTOEVENTO&lt;&gt;"manual",$M103&lt;&gt;$A$15)),
        IF(Import.TipoArredondamento&lt;&gt;"TransfereGOV",
              ROUND(OFFSET($P103,0,AP$13),15-13*ORÇAMENTO!$AF$7)/$H103*OFFSET(ORÇAMENTO!$X$15,ROW(AP103)-ROW(AP$15),0),
              ROUND(ROUND(OFFSET($P103,0,AP$13),15-13*ORÇAMENTO!$AF$7)*OFFSET(ORÇAMENTO!$W$15,ROW(AP103)-ROW(AP$15),0),15-13*ORÇAMENTO!$AF$11)),
         0)</f>
        <v>0</v>
      </c>
      <c r="AQ103" s="453">
        <f ca="1">IF(AND($D103="Serviço",AQ$12&lt;&gt;0,$H103&gt;0,OR(AUTOEVENTO&lt;&gt;"manual",$M103&lt;&gt;$A$15)),
        IF(Import.TipoArredondamento&lt;&gt;"TransfereGOV",
              ROUND(OFFSET($P103,0,AQ$13),15-13*ORÇAMENTO!$AF$7)/$H103*OFFSET(ORÇAMENTO!$X$15,ROW(AQ103)-ROW(AQ$15),0),
              ROUND(ROUND(OFFSET($P103,0,AQ$13),15-13*ORÇAMENTO!$AF$7)*OFFSET(ORÇAMENTO!$W$15,ROW(AQ103)-ROW(AQ$15),0),15-13*ORÇAMENTO!$AF$11)),
         0)</f>
        <v>0</v>
      </c>
      <c r="AR103" s="453">
        <f ca="1">IF(AND($D103="Serviço",AR$12&lt;&gt;0,$H103&gt;0,OR(AUTOEVENTO&lt;&gt;"manual",$M103&lt;&gt;$A$15)),
        IF(Import.TipoArredondamento&lt;&gt;"TransfereGOV",
              ROUND(OFFSET($P103,0,AR$13),15-13*ORÇAMENTO!$AF$7)/$H103*OFFSET(ORÇAMENTO!$X$15,ROW(AR103)-ROW(AR$15),0),
              ROUND(ROUND(OFFSET($P103,0,AR$13),15-13*ORÇAMENTO!$AF$7)*OFFSET(ORÇAMENTO!$W$15,ROW(AR103)-ROW(AR$15),0),15-13*ORÇAMENTO!$AF$11)),
         0)</f>
        <v>0</v>
      </c>
      <c r="AS103" s="453">
        <f ca="1">IF(AND($D103="Serviço",AS$12&lt;&gt;0,$H103&gt;0,OR(AUTOEVENTO&lt;&gt;"manual",$M103&lt;&gt;$A$15)),
        IF(Import.TipoArredondamento&lt;&gt;"TransfereGOV",
              ROUND(OFFSET($P103,0,AS$13),15-13*ORÇAMENTO!$AF$7)/$H103*OFFSET(ORÇAMENTO!$X$15,ROW(AS103)-ROW(AS$15),0),
              ROUND(ROUND(OFFSET($P103,0,AS$13),15-13*ORÇAMENTO!$AF$7)*OFFSET(ORÇAMENTO!$W$15,ROW(AS103)-ROW(AS$15),0),15-13*ORÇAMENTO!$AF$11)),
         0)</f>
        <v>0</v>
      </c>
      <c r="AT103" s="453">
        <f ca="1">IF(AND($D103="Serviço",AT$12&lt;&gt;0,$H103&gt;0,OR(AUTOEVENTO&lt;&gt;"manual",$M103&lt;&gt;$A$15)),
        IF(Import.TipoArredondamento&lt;&gt;"TransfereGOV",
              ROUND(OFFSET($P103,0,AT$13),15-13*ORÇAMENTO!$AF$7)/$H103*OFFSET(ORÇAMENTO!$X$15,ROW(AT103)-ROW(AT$15),0),
              ROUND(ROUND(OFFSET($P103,0,AT$13),15-13*ORÇAMENTO!$AF$7)*OFFSET(ORÇAMENTO!$W$15,ROW(AT103)-ROW(AT$15),0),15-13*ORÇAMENTO!$AF$11)),
         0)</f>
        <v>0</v>
      </c>
      <c r="AU103" s="453">
        <f ca="1">IF(AND($D103="Serviço",AU$12&lt;&gt;0,$H103&gt;0,OR(AUTOEVENTO&lt;&gt;"manual",$M103&lt;&gt;$A$15)),
        IF(Import.TipoArredondamento&lt;&gt;"TransfereGOV",
              ROUND(OFFSET($P103,0,AU$13),15-13*ORÇAMENTO!$AF$7)/$H103*OFFSET(ORÇAMENTO!$X$15,ROW(AU103)-ROW(AU$15),0),
              ROUND(ROUND(OFFSET($P103,0,AU$13),15-13*ORÇAMENTO!$AF$7)*OFFSET(ORÇAMENTO!$W$15,ROW(AU103)-ROW(AU$15),0),15-13*ORÇAMENTO!$AF$11)),
         0)</f>
        <v>0</v>
      </c>
      <c r="AV103" s="453">
        <f ca="1">IF(AND($D103="Serviço",AV$12&lt;&gt;0,$H103&gt;0,OR(AUTOEVENTO&lt;&gt;"manual",$M103&lt;&gt;$A$15)),
        IF(Import.TipoArredondamento&lt;&gt;"TransfereGOV",
              ROUND(OFFSET($P103,0,AV$13),15-13*ORÇAMENTO!$AF$7)/$H103*OFFSET(ORÇAMENTO!$X$15,ROW(AV103)-ROW(AV$15),0),
              ROUND(ROUND(OFFSET($P103,0,AV$13),15-13*ORÇAMENTO!$AF$7)*OFFSET(ORÇAMENTO!$W$15,ROW(AV103)-ROW(AV$15),0),15-13*ORÇAMENTO!$AF$11)),
         0)</f>
        <v>0</v>
      </c>
      <c r="AW103" s="453">
        <f ca="1">IF(AND($D103="Serviço",AW$12&lt;&gt;0,$H103&gt;0,OR(AUTOEVENTO&lt;&gt;"manual",$M103&lt;&gt;$A$15)),
        IF(Import.TipoArredondamento&lt;&gt;"TransfereGOV",
              ROUND(OFFSET($P103,0,AW$13),15-13*ORÇAMENTO!$AF$7)/$H103*OFFSET(ORÇAMENTO!$X$15,ROW(AW103)-ROW(AW$15),0),
              ROUND(ROUND(OFFSET($P103,0,AW$13),15-13*ORÇAMENTO!$AF$7)*OFFSET(ORÇAMENTO!$W$15,ROW(AW103)-ROW(AW$15),0),15-13*ORÇAMENTO!$AF$11)),
         0)</f>
        <v>0</v>
      </c>
      <c r="AX103" s="453">
        <f ca="1">IF(AND($D103="Serviço",AX$12&lt;&gt;0,$H103&gt;0,OR(AUTOEVENTO&lt;&gt;"manual",$M103&lt;&gt;$A$15)),
        IF(Import.TipoArredondamento&lt;&gt;"TransfereGOV",
              ROUND(OFFSET($P103,0,AX$13),15-13*ORÇAMENTO!$AF$7)/$H103*OFFSET(ORÇAMENTO!$X$15,ROW(AX103)-ROW(AX$15),0),
              ROUND(ROUND(OFFSET($P103,0,AX$13),15-13*ORÇAMENTO!$AF$7)*OFFSET(ORÇAMENTO!$W$15,ROW(AX103)-ROW(AX$15),0),15-13*ORÇAMENTO!$AF$11)),
         0)</f>
        <v>0</v>
      </c>
      <c r="AY103" s="453">
        <f ca="1">IF(AND($D103="Serviço",AY$12&lt;&gt;0,$H103&gt;0,OR(AUTOEVENTO&lt;&gt;"manual",$M103&lt;&gt;$A$15)),
        IF(Import.TipoArredondamento&lt;&gt;"TransfereGOV",
              ROUND(OFFSET($P103,0,AY$13),15-13*ORÇAMENTO!$AF$7)/$H103*OFFSET(ORÇAMENTO!$X$15,ROW(AY103)-ROW(AY$15),0),
              ROUND(ROUND(OFFSET($P103,0,AY$13),15-13*ORÇAMENTO!$AF$7)*OFFSET(ORÇAMENTO!$W$15,ROW(AY103)-ROW(AY$15),0),15-13*ORÇAMENTO!$AF$11)),
         0)</f>
        <v>0</v>
      </c>
      <c r="AZ103" s="453">
        <f ca="1">IF(AND($D103="Serviço",AZ$12&lt;&gt;0,$H103&gt;0,OR(AUTOEVENTO&lt;&gt;"manual",$M103&lt;&gt;$A$15)),
        IF(Import.TipoArredondamento&lt;&gt;"TransfereGOV",
              ROUND(OFFSET($P103,0,AZ$13),15-13*ORÇAMENTO!$AF$7)/$H103*OFFSET(ORÇAMENTO!$X$15,ROW(AZ103)-ROW(AZ$15),0),
              ROUND(ROUND(OFFSET($P103,0,AZ$13),15-13*ORÇAMENTO!$AF$7)*OFFSET(ORÇAMENTO!$W$15,ROW(AZ103)-ROW(AZ$15),0),15-13*ORÇAMENTO!$AF$11)),
         0)</f>
        <v>0</v>
      </c>
      <c r="BA103" s="453">
        <f ca="1">IF(AND($D103="Serviço",BA$12&lt;&gt;0,$H103&gt;0,OR(AUTOEVENTO&lt;&gt;"manual",$M103&lt;&gt;$A$15)),
        IF(Import.TipoArredondamento&lt;&gt;"TransfereGOV",
              ROUND(OFFSET($P103,0,BA$13),15-13*ORÇAMENTO!$AF$7)/$H103*OFFSET(ORÇAMENTO!$X$15,ROW(BA103)-ROW(BA$15),0),
              ROUND(ROUND(OFFSET($P103,0,BA$13),15-13*ORÇAMENTO!$AF$7)*OFFSET(ORÇAMENTO!$W$15,ROW(BA103)-ROW(BA$15),0),15-13*ORÇAMENTO!$AF$11)),
         0)</f>
        <v>0</v>
      </c>
      <c r="BC103" s="171">
        <f ca="1">IF(OR($D103&lt;&gt;"Serviço",AND(AUTOEVENTO="Manual",$M103=$A$15)),0,
         IF(OFFSET(CRONOPLE!$F$15,$M103-$A$15,BC$13)=0,10^12,OFFSET(CRONOPLE!$F$15,$M103-$A$15,BC$13)))</f>
        <v>1000000000000</v>
      </c>
      <c r="BD103" s="171">
        <f ca="1">IF(OR($D103&lt;&gt;"Serviço",AND(AUTOEVENTO="Manual",$M103=$A$15)),0,
         IF(OFFSET(CRONOPLE!$F$15,$M103-$A$15,BD$13)=0,10^12,OFFSET(CRONOPLE!$F$15,$M103-$A$15,BD$13)))</f>
        <v>1000000000000</v>
      </c>
      <c r="BE103" s="171">
        <f ca="1">IF(OR($D103&lt;&gt;"Serviço",AND(AUTOEVENTO="Manual",$M103=$A$15)),0,
         IF(OFFSET(CRONOPLE!$F$15,$M103-$A$15,BE$13)=0,10^12,OFFSET(CRONOPLE!$F$15,$M103-$A$15,BE$13)))</f>
        <v>6</v>
      </c>
      <c r="BF103" s="171">
        <f ca="1">IF(OR($D103&lt;&gt;"Serviço",AND(AUTOEVENTO="Manual",$M103=$A$15)),0,
         IF(OFFSET(CRONOPLE!$F$15,$M103-$A$15,BF$13)=0,10^12,OFFSET(CRONOPLE!$F$15,$M103-$A$15,BF$13)))</f>
        <v>10</v>
      </c>
      <c r="BG103" s="171">
        <f ca="1">IF(OR($D103&lt;&gt;"Serviço",AND(AUTOEVENTO="Manual",$M103=$A$15)),0,
         IF(OFFSET(CRONOPLE!$F$15,$M103-$A$15,BG$13)=0,10^12,OFFSET(CRONOPLE!$F$15,$M103-$A$15,BG$13)))</f>
        <v>9</v>
      </c>
      <c r="BH103" s="171">
        <f ca="1">IF(OR($D103&lt;&gt;"Serviço",AND(AUTOEVENTO="Manual",$M103=$A$15)),0,
         IF(OFFSET(CRONOPLE!$F$15,$M103-$A$15,BH$13)=0,10^12,OFFSET(CRONOPLE!$F$15,$M103-$A$15,BH$13)))</f>
        <v>7</v>
      </c>
      <c r="BI103" s="171">
        <f ca="1">IF(OR($D103&lt;&gt;"Serviço",AND(AUTOEVENTO="Manual",$M103=$A$15)),0,
         IF(OFFSET(CRONOPLE!$F$15,$M103-$A$15,BI$13)=0,10^12,OFFSET(CRONOPLE!$F$15,$M103-$A$15,BI$13)))</f>
        <v>10</v>
      </c>
      <c r="BJ103" s="171">
        <f ca="1">IF(OR($D103&lt;&gt;"Serviço",AND(AUTOEVENTO="Manual",$M103=$A$15)),0,
         IF(OFFSET(CRONOPLE!$F$15,$M103-$A$15,BJ$13)=0,10^12,OFFSET(CRONOPLE!$F$15,$M103-$A$15,BJ$13)))</f>
        <v>1000000000000</v>
      </c>
      <c r="BK103" s="171">
        <f ca="1">IF(OR($D103&lt;&gt;"Serviço",AND(AUTOEVENTO="Manual",$M103=$A$15)),0,
         IF(OFFSET(CRONOPLE!$F$15,$M103-$A$15,BK$13)=0,10^12,OFFSET(CRONOPLE!$F$15,$M103-$A$15,BK$13)))</f>
        <v>1000000000000</v>
      </c>
      <c r="BL103" s="171">
        <f ca="1">IF(OR($D103&lt;&gt;"Serviço",AND(AUTOEVENTO="Manual",$M103=$A$15)),0,
         IF(OFFSET(CRONOPLE!$F$15,$M103-$A$15,BL$13)=0,10^12,OFFSET(CRONOPLE!$F$15,$M103-$A$15,BL$13)))</f>
        <v>1000000000000</v>
      </c>
      <c r="BM103" s="171">
        <f ca="1">IF(OR($D103&lt;&gt;"Serviço",AND(AUTOEVENTO="Manual",$M103=$A$15)),0,
         IF(OFFSET(CRONOPLE!$F$15,$M103-$A$15,BM$13)=0,10^12,OFFSET(CRONOPLE!$F$15,$M103-$A$15,BM$13)))</f>
        <v>1000000000000</v>
      </c>
      <c r="BN103" s="171">
        <f ca="1">IF(OR($D103&lt;&gt;"Serviço",AND(AUTOEVENTO="Manual",$M103=$A$15)),0,
         IF(OFFSET(CRONOPLE!$F$15,$M103-$A$15,BN$13)=0,10^12,OFFSET(CRONOPLE!$F$15,$M103-$A$15,BN$13)))</f>
        <v>1000000000000</v>
      </c>
      <c r="BO103" s="171">
        <f ca="1">IF(OR($D103&lt;&gt;"Serviço",AND(AUTOEVENTO="Manual",$M103=$A$15)),0,
         IF(OFFSET(CRONOPLE!$F$15,$M103-$A$15,BO$13)=0,10^12,OFFSET(CRONOPLE!$F$15,$M103-$A$15,BO$13)))</f>
        <v>1000000000000</v>
      </c>
      <c r="BP103" s="171">
        <f ca="1">IF(OR($D103&lt;&gt;"Serviço",AND(AUTOEVENTO="Manual",$M103=$A$15)),0,
         IF(OFFSET(CRONOPLE!$F$15,$M103-$A$15,BP$13)=0,10^12,OFFSET(CRONOPLE!$F$15,$M103-$A$15,BP$13)))</f>
        <v>1000000000000</v>
      </c>
      <c r="BQ103" s="171">
        <f ca="1">IF(OR($D103&lt;&gt;"Serviço",AND(AUTOEVENTO="Manual",$M103=$A$15)),0,
         IF(OFFSET(CRONOPLE!$F$15,$M103-$A$15,BQ$13)=0,10^12,OFFSET(CRONOPLE!$F$15,$M103-$A$15,BQ$13)))</f>
        <v>1000000000000</v>
      </c>
      <c r="BR103" s="171">
        <f ca="1">IF(OR($D103&lt;&gt;"Serviço",AND(AUTOEVENTO="Manual",$M103=$A$15)),0,
         IF(OFFSET(CRONOPLE!$F$15,$M103-$A$15,BR$13)=0,10^12,OFFSET(CRONOPLE!$F$15,$M103-$A$15,BR$13)))</f>
        <v>1000000000000</v>
      </c>
      <c r="BS103" s="171">
        <f ca="1">IF(OR($D103&lt;&gt;"Serviço",AND(AUTOEVENTO="Manual",$M103=$A$15)),0,
         IF(OFFSET(CRONOPLE!$F$15,$M103-$A$15,BS$13)=0,10^12,OFFSET(CRONOPLE!$F$15,$M103-$A$15,BS$13)))</f>
        <v>1000000000000</v>
      </c>
      <c r="BT103" s="171">
        <f ca="1">IF(OR($D103&lt;&gt;"Serviço",AND(AUTOEVENTO="Manual",$M103=$A$15)),0,
         IF(OFFSET(CRONOPLE!$F$15,$M103-$A$15,BT$13)=0,10^12,OFFSET(CRONOPLE!$F$15,$M103-$A$15,BT$13)))</f>
        <v>1000000000000</v>
      </c>
      <c r="BV103" s="172" cm="1">
        <f t="array" aca="1" ref="BV103" ca="1">IF(OR($D103&lt;&gt;"Serviço",AND(AUTOEVENTO="Manual",$M103=$A$15),$M103&gt;(ROW(PLE.lastrow)-ROW(PLE.firstrow))),0,
           IF(OFFSET(PLE!$G$15,$M103-$A$15,BV$13)="",10^12,OFFSET(PLE!$G$15,$M103-$A$15,BV$13)))</f>
        <v>1000000000000</v>
      </c>
      <c r="BW103" s="172" cm="1">
        <f t="array" aca="1" ref="BW103" ca="1">IF(OR($D103&lt;&gt;"Serviço",AND(AUTOEVENTO="Manual",$M103=$A$15),$M103&gt;(ROW(PLE.lastrow)-ROW(PLE.firstrow))),0,
           IF(OFFSET(PLE!$G$15,$M103-$A$15,BW$13)="",10^12,OFFSET(PLE!$G$15,$M103-$A$15,BW$13)))</f>
        <v>1000000000000</v>
      </c>
      <c r="BX103" s="172" cm="1">
        <f t="array" aca="1" ref="BX103" ca="1">IF(OR($D103&lt;&gt;"Serviço",AND(AUTOEVENTO="Manual",$M103=$A$15),$M103&gt;(ROW(PLE.lastrow)-ROW(PLE.firstrow))),0,
           IF(OFFSET(PLE!$G$15,$M103-$A$15,BX$13)="",10^12,OFFSET(PLE!$G$15,$M103-$A$15,BX$13)))</f>
        <v>1000000000000</v>
      </c>
      <c r="BY103" s="172" cm="1">
        <f t="array" aca="1" ref="BY103" ca="1">IF(OR($D103&lt;&gt;"Serviço",AND(AUTOEVENTO="Manual",$M103=$A$15),$M103&gt;(ROW(PLE.lastrow)-ROW(PLE.firstrow))),0,
           IF(OFFSET(PLE!$G$15,$M103-$A$15,BY$13)="",10^12,OFFSET(PLE!$G$15,$M103-$A$15,BY$13)))</f>
        <v>1000000000000</v>
      </c>
      <c r="BZ103" s="172" cm="1">
        <f t="array" aca="1" ref="BZ103" ca="1">IF(OR($D103&lt;&gt;"Serviço",AND(AUTOEVENTO="Manual",$M103=$A$15),$M103&gt;(ROW(PLE.lastrow)-ROW(PLE.firstrow))),0,
           IF(OFFSET(PLE!$G$15,$M103-$A$15,BZ$13)="",10^12,OFFSET(PLE!$G$15,$M103-$A$15,BZ$13)))</f>
        <v>1000000000000</v>
      </c>
      <c r="CA103" s="172" cm="1">
        <f t="array" aca="1" ref="CA103" ca="1">IF(OR($D103&lt;&gt;"Serviço",AND(AUTOEVENTO="Manual",$M103=$A$15),$M103&gt;(ROW(PLE.lastrow)-ROW(PLE.firstrow))),0,
           IF(OFFSET(PLE!$G$15,$M103-$A$15,CA$13)="",10^12,OFFSET(PLE!$G$15,$M103-$A$15,CA$13)))</f>
        <v>1000000000000</v>
      </c>
      <c r="CB103" s="172" cm="1">
        <f t="array" aca="1" ref="CB103" ca="1">IF(OR($D103&lt;&gt;"Serviço",AND(AUTOEVENTO="Manual",$M103=$A$15),$M103&gt;(ROW(PLE.lastrow)-ROW(PLE.firstrow))),0,
           IF(OFFSET(PLE!$G$15,$M103-$A$15,CB$13)="",10^12,OFFSET(PLE!$G$15,$M103-$A$15,CB$13)))</f>
        <v>1000000000000</v>
      </c>
      <c r="CC103" s="172" cm="1">
        <f t="array" aca="1" ref="CC103" ca="1">IF(OR($D103&lt;&gt;"Serviço",AND(AUTOEVENTO="Manual",$M103=$A$15),$M103&gt;(ROW(PLE.lastrow)-ROW(PLE.firstrow))),0,
           IF(OFFSET(PLE!$G$15,$M103-$A$15,CC$13)="",10^12,OFFSET(PLE!$G$15,$M103-$A$15,CC$13)))</f>
        <v>1000000000000</v>
      </c>
      <c r="CD103" s="172" cm="1">
        <f t="array" aca="1" ref="CD103" ca="1">IF(OR($D103&lt;&gt;"Serviço",AND(AUTOEVENTO="Manual",$M103=$A$15),$M103&gt;(ROW(PLE.lastrow)-ROW(PLE.firstrow))),0,
           IF(OFFSET(PLE!$G$15,$M103-$A$15,CD$13)="",10^12,OFFSET(PLE!$G$15,$M103-$A$15,CD$13)))</f>
        <v>1000000000000</v>
      </c>
      <c r="CE103" s="172" cm="1">
        <f t="array" aca="1" ref="CE103" ca="1">IF(OR($D103&lt;&gt;"Serviço",AND(AUTOEVENTO="Manual",$M103=$A$15),$M103&gt;(ROW(PLE.lastrow)-ROW(PLE.firstrow))),0,
           IF(OFFSET(PLE!$G$15,$M103-$A$15,CE$13)="",10^12,OFFSET(PLE!$G$15,$M103-$A$15,CE$13)))</f>
        <v>1000000000000</v>
      </c>
      <c r="CF103" s="172" cm="1">
        <f t="array" aca="1" ref="CF103" ca="1">IF(OR($D103&lt;&gt;"Serviço",AND(AUTOEVENTO="Manual",$M103=$A$15),$M103&gt;(ROW(PLE.lastrow)-ROW(PLE.firstrow))),0,
           IF(OFFSET(PLE!$G$15,$M103-$A$15,CF$13)="",10^12,OFFSET(PLE!$G$15,$M103-$A$15,CF$13)))</f>
        <v>1000000000000</v>
      </c>
      <c r="CG103" s="172" cm="1">
        <f t="array" aca="1" ref="CG103" ca="1">IF(OR($D103&lt;&gt;"Serviço",AND(AUTOEVENTO="Manual",$M103=$A$15),$M103&gt;(ROW(PLE.lastrow)-ROW(PLE.firstrow))),0,
           IF(OFFSET(PLE!$G$15,$M103-$A$15,CG$13)="",10^12,OFFSET(PLE!$G$15,$M103-$A$15,CG$13)))</f>
        <v>1000000000000</v>
      </c>
      <c r="CH103" s="172" cm="1">
        <f t="array" aca="1" ref="CH103" ca="1">IF(OR($D103&lt;&gt;"Serviço",AND(AUTOEVENTO="Manual",$M103=$A$15),$M103&gt;(ROW(PLE.lastrow)-ROW(PLE.firstrow))),0,
           IF(OFFSET(PLE!$G$15,$M103-$A$15,CH$13)="",10^12,OFFSET(PLE!$G$15,$M103-$A$15,CH$13)))</f>
        <v>1000000000000</v>
      </c>
      <c r="CI103" s="172" cm="1">
        <f t="array" aca="1" ref="CI103" ca="1">IF(OR($D103&lt;&gt;"Serviço",AND(AUTOEVENTO="Manual",$M103=$A$15),$M103&gt;(ROW(PLE.lastrow)-ROW(PLE.firstrow))),0,
           IF(OFFSET(PLE!$G$15,$M103-$A$15,CI$13)="",10^12,OFFSET(PLE!$G$15,$M103-$A$15,CI$13)))</f>
        <v>1000000000000</v>
      </c>
      <c r="CJ103" s="172" cm="1">
        <f t="array" aca="1" ref="CJ103" ca="1">IF(OR($D103&lt;&gt;"Serviço",AND(AUTOEVENTO="Manual",$M103=$A$15),$M103&gt;(ROW(PLE.lastrow)-ROW(PLE.firstrow))),0,
           IF(OFFSET(PLE!$G$15,$M103-$A$15,CJ$13)="",10^12,OFFSET(PLE!$G$15,$M103-$A$15,CJ$13)))</f>
        <v>1000000000000</v>
      </c>
      <c r="CK103" s="172" cm="1">
        <f t="array" aca="1" ref="CK103" ca="1">IF(OR($D103&lt;&gt;"Serviço",AND(AUTOEVENTO="Manual",$M103=$A$15),$M103&gt;(ROW(PLE.lastrow)-ROW(PLE.firstrow))),0,
           IF(OFFSET(PLE!$G$15,$M103-$A$15,CK$13)="",10^12,OFFSET(PLE!$G$15,$M103-$A$15,CK$13)))</f>
        <v>1000000000000</v>
      </c>
      <c r="CL103" s="172" cm="1">
        <f t="array" aca="1" ref="CL103" ca="1">IF(OR($D103&lt;&gt;"Serviço",AND(AUTOEVENTO="Manual",$M103=$A$15),$M103&gt;(ROW(PLE.lastrow)-ROW(PLE.firstrow))),0,
           IF(OFFSET(PLE!$G$15,$M103-$A$15,CL$13)="",10^12,OFFSET(PLE!$G$15,$M103-$A$15,CL$13)))</f>
        <v>1000000000000</v>
      </c>
      <c r="CM103" s="172" cm="1">
        <f t="array" aca="1" ref="CM103" ca="1">IF(OR($D103&lt;&gt;"Serviço",AND(AUTOEVENTO="Manual",$M103=$A$15),$M103&gt;(ROW(PLE.lastrow)-ROW(PLE.firstrow))),0,
           IF(OFFSET(PLE!$G$15,$M103-$A$15,CM$13)="",10^12,OFFSET(PLE!$G$15,$M103-$A$15,CM$13)))</f>
        <v>1000000000000</v>
      </c>
    </row>
    <row r="104" spans="1:91" s="680" customFormat="1" ht="25.5" x14ac:dyDescent="0.2">
      <c r="A104" s="681">
        <f ca="1">IFERROR(IF(AUTOEVENTO="Manual",IF(K104&lt;&gt;"",MIN(VALUE(LEFT(K104,FIND(".",K104)-1)),COUNTA(EVENTOS.Lista)),0),IF(OR($B104&gt;AUTOEVENTO,$B104="S",$B104=0),SUBSTITUTE(OFFSET($A104,-1,0),IF($D104="Serviço",".",""),""),$L104&amp;".")),0)</f>
        <v>11</v>
      </c>
      <c r="B104" s="681" t="str">
        <f ca="1">OFFSET(ORÇAMENTO!C$15,$L104,0)</f>
        <v>S</v>
      </c>
      <c r="C104" s="681" t="str">
        <f ca="1">OFFSET(ORÇAMENTO!L$15,$L104,0)</f>
        <v>F</v>
      </c>
      <c r="D104" s="686" t="str">
        <f ca="1">OFFSET(ORÇAMENTO!N$15,$L104,0)</f>
        <v>Serviço</v>
      </c>
      <c r="E104" s="687" t="str">
        <f ca="1">OFFSET(ORÇAMENTO!O$15,$L104,0)</f>
        <v>1.13.6.</v>
      </c>
      <c r="F104" s="699" t="str">
        <f ca="1">OFFSET(ORÇAMENTO!R$15,$L104,0)</f>
        <v>ARMAÇÃO DE BLOCO, SAPATA ISOLADA E SAPATA CORRIDA UTILIZANDO AÇO CA-50 DE 20 MM - MONTAGEM. AF_01/2024</v>
      </c>
      <c r="G104" s="700" t="str">
        <f ca="1">IF($D104&lt;&gt;"Serviço","",OFFSET(ORÇAMENTO!S$15,$L104,0))</f>
        <v>KG</v>
      </c>
      <c r="H104" s="692" cm="1">
        <f t="array" aca="1" ref="H104" ca="1">IF($D104&lt;&gt;"Serviço",0,IF(ACOMPANHAMENTO="BM",ROUND(OFFSET(ORÇAMENTO!AJ$15,$L104,0),15-13*ORÇAMENTO!$AF$7),IF(IFERROR(CÁLCULO.FrentesPreenchidas,0)=0,0,SUM(ROUND(OFFSET($P104,0,1,1,CÁLCULO.FrentesPreenchidas),15-13*ORÇAMENTO!$AF$7)))))</f>
        <v>195</v>
      </c>
      <c r="I104" s="720" t="s">
        <v>1171</v>
      </c>
      <c r="J104" s="724" t="str" cm="1">
        <f t="array" aca="1" ref="J104" ca="1">IF(OR(B104&lt;&gt;"S",CÁLCULO.FrentesPreenchidas=0),"",IF(AND(ACOMPANHAMENTO="PLE",AUTOEVENTO="Manual",OR(H104&gt;0,ORÇAMENTO!AC104="QUANT."),OR(K104="",M104=0,N104="")),"►E",IF(AND(ACOMPANHAMENTO="PLE",ORÇAMENTO!AC104="QUANT."),"►Q",IF(AND(ACOMPANHAMENTO="PLE",H104&lt;&gt;SUMPRODUCT(($Q$1:$AI$1=1)*ROUND(Q104:AI104,15))),"►S",IF(AND(COUNTIF($P$11:$AI$11,"▼")=0,H104&gt;0,I104=""),"◄M","")))))</f>
        <v/>
      </c>
      <c r="K104" s="652" t="s">
        <v>1340</v>
      </c>
      <c r="L104" s="701">
        <f ca="1">OFFSET(L104,-1,0)+1</f>
        <v>89</v>
      </c>
      <c r="M104" s="702">
        <f ca="1">IF($D104&lt;&gt;"Serviço","",
          IF(AUTOEVENTO="manual",$A104,
                IF(ISERROR(MATCH($A104,$A$15:OFFSET($A104,-1,0),0)),MAX($M$15:OFFSET(M104,-1,0))+1,
                      INDEX($M$15:OFFSET(M104,-1,0),MATCH($A104,$A$15:OFFSET($A104,-1,0),0)))))</f>
        <v>11</v>
      </c>
      <c r="N104" s="703" t="str">
        <f ca="1">IF($D104&lt;&gt;"Serviço","",
         IF(AUTOEVENTO="Manual",
                IF($A104=0,"&lt;-- defina o número do agrupador",
                       OFFSET(EVENTOS!$D$15,$A104-$A$15,0)),
                OFFSET($F$15,$A104,0)))</f>
        <v>Fundação - Armação</v>
      </c>
      <c r="O104" s="704"/>
      <c r="Q104" s="704"/>
      <c r="R104" s="705"/>
      <c r="S104" s="705"/>
      <c r="T104" s="705"/>
      <c r="U104" s="705"/>
      <c r="V104" s="705">
        <v>195</v>
      </c>
      <c r="W104" s="705"/>
      <c r="X104" s="705"/>
      <c r="Y104" s="705"/>
      <c r="Z104" s="706"/>
      <c r="AA104" s="705"/>
      <c r="AB104" s="705"/>
      <c r="AC104" s="705"/>
      <c r="AD104" s="705"/>
      <c r="AE104" s="705"/>
      <c r="AF104" s="705"/>
      <c r="AG104" s="705"/>
      <c r="AH104" s="706"/>
      <c r="AJ104" s="453">
        <f ca="1">IF(AND($D104="Serviço",AJ$12&lt;&gt;0,$H104&gt;0,OR(AUTOEVENTO&lt;&gt;"manual",$M104&lt;&gt;$A$15)),
        IF(Import.TipoArredondamento&lt;&gt;"TransfereGOV",
              ROUND(OFFSET($P104,0,AJ$13),15-13*ORÇAMENTO!$AF$7)/$H104*OFFSET(ORÇAMENTO!$X$15,ROW(AJ104)-ROW(AJ$15),0),
              ROUND(ROUND(OFFSET($P104,0,AJ$13),15-13*ORÇAMENTO!$AF$7)*OFFSET(ORÇAMENTO!$W$15,ROW(AJ104)-ROW(AJ$15),0),15-13*ORÇAMENTO!$AF$11)),
         0)</f>
        <v>0</v>
      </c>
      <c r="AK104" s="453">
        <f ca="1">IF(AND($D104="Serviço",AK$12&lt;&gt;0,$H104&gt;0,OR(AUTOEVENTO&lt;&gt;"manual",$M104&lt;&gt;$A$15)),
        IF(Import.TipoArredondamento&lt;&gt;"TransfereGOV",
              ROUND(OFFSET($P104,0,AK$13),15-13*ORÇAMENTO!$AF$7)/$H104*OFFSET(ORÇAMENTO!$X$15,ROW(AK104)-ROW(AK$15),0),
              ROUND(ROUND(OFFSET($P104,0,AK$13),15-13*ORÇAMENTO!$AF$7)*OFFSET(ORÇAMENTO!$W$15,ROW(AK104)-ROW(AK$15),0),15-13*ORÇAMENTO!$AF$11)),
         0)</f>
        <v>0</v>
      </c>
      <c r="AL104" s="453">
        <f ca="1">IF(AND($D104="Serviço",AL$12&lt;&gt;0,$H104&gt;0,OR(AUTOEVENTO&lt;&gt;"manual",$M104&lt;&gt;$A$15)),
        IF(Import.TipoArredondamento&lt;&gt;"TransfereGOV",
              ROUND(OFFSET($P104,0,AL$13),15-13*ORÇAMENTO!$AF$7)/$H104*OFFSET(ORÇAMENTO!$X$15,ROW(AL104)-ROW(AL$15),0),
              ROUND(ROUND(OFFSET($P104,0,AL$13),15-13*ORÇAMENTO!$AF$7)*OFFSET(ORÇAMENTO!$W$15,ROW(AL104)-ROW(AL$15),0),15-13*ORÇAMENTO!$AF$11)),
         0)</f>
        <v>0</v>
      </c>
      <c r="AM104" s="453">
        <f ca="1">IF(AND($D104="Serviço",AM$12&lt;&gt;0,$H104&gt;0,OR(AUTOEVENTO&lt;&gt;"manual",$M104&lt;&gt;$A$15)),
        IF(Import.TipoArredondamento&lt;&gt;"TransfereGOV",
              ROUND(OFFSET($P104,0,AM$13),15-13*ORÇAMENTO!$AF$7)/$H104*OFFSET(ORÇAMENTO!$X$15,ROW(AM104)-ROW(AM$15),0),
              ROUND(ROUND(OFFSET($P104,0,AM$13),15-13*ORÇAMENTO!$AF$7)*OFFSET(ORÇAMENTO!$W$15,ROW(AM104)-ROW(AM$15),0),15-13*ORÇAMENTO!$AF$11)),
         0)</f>
        <v>0</v>
      </c>
      <c r="AN104" s="453">
        <f ca="1">IF(AND($D104="Serviço",AN$12&lt;&gt;0,$H104&gt;0,OR(AUTOEVENTO&lt;&gt;"manual",$M104&lt;&gt;$A$15)),
        IF(Import.TipoArredondamento&lt;&gt;"TransfereGOV",
              ROUND(OFFSET($P104,0,AN$13),15-13*ORÇAMENTO!$AF$7)/$H104*OFFSET(ORÇAMENTO!$X$15,ROW(AN104)-ROW(AN$15),0),
              ROUND(ROUND(OFFSET($P104,0,AN$13),15-13*ORÇAMENTO!$AF$7)*OFFSET(ORÇAMENTO!$W$15,ROW(AN104)-ROW(AN$15),0),15-13*ORÇAMENTO!$AF$11)),
         0)</f>
        <v>0</v>
      </c>
      <c r="AO104" s="453">
        <f ca="1">IF(AND($D104="Serviço",AO$12&lt;&gt;0,$H104&gt;0,OR(AUTOEVENTO&lt;&gt;"manual",$M104&lt;&gt;$A$15)),
        IF(Import.TipoArredondamento&lt;&gt;"TransfereGOV",
              ROUND(OFFSET($P104,0,AO$13),15-13*ORÇAMENTO!$AF$7)/$H104*OFFSET(ORÇAMENTO!$X$15,ROW(AO104)-ROW(AO$15),0),
              ROUND(ROUND(OFFSET($P104,0,AO$13),15-13*ORÇAMENTO!$AF$7)*OFFSET(ORÇAMENTO!$W$15,ROW(AO104)-ROW(AO$15),0),15-13*ORÇAMENTO!$AF$11)),
         0)</f>
        <v>2562.3000000000002</v>
      </c>
      <c r="AP104" s="453">
        <f ca="1">IF(AND($D104="Serviço",AP$12&lt;&gt;0,$H104&gt;0,OR(AUTOEVENTO&lt;&gt;"manual",$M104&lt;&gt;$A$15)),
        IF(Import.TipoArredondamento&lt;&gt;"TransfereGOV",
              ROUND(OFFSET($P104,0,AP$13),15-13*ORÇAMENTO!$AF$7)/$H104*OFFSET(ORÇAMENTO!$X$15,ROW(AP104)-ROW(AP$15),0),
              ROUND(ROUND(OFFSET($P104,0,AP$13),15-13*ORÇAMENTO!$AF$7)*OFFSET(ORÇAMENTO!$W$15,ROW(AP104)-ROW(AP$15),0),15-13*ORÇAMENTO!$AF$11)),
         0)</f>
        <v>0</v>
      </c>
      <c r="AQ104" s="453">
        <f ca="1">IF(AND($D104="Serviço",AQ$12&lt;&gt;0,$H104&gt;0,OR(AUTOEVENTO&lt;&gt;"manual",$M104&lt;&gt;$A$15)),
        IF(Import.TipoArredondamento&lt;&gt;"TransfereGOV",
              ROUND(OFFSET($P104,0,AQ$13),15-13*ORÇAMENTO!$AF$7)/$H104*OFFSET(ORÇAMENTO!$X$15,ROW(AQ104)-ROW(AQ$15),0),
              ROUND(ROUND(OFFSET($P104,0,AQ$13),15-13*ORÇAMENTO!$AF$7)*OFFSET(ORÇAMENTO!$W$15,ROW(AQ104)-ROW(AQ$15),0),15-13*ORÇAMENTO!$AF$11)),
         0)</f>
        <v>0</v>
      </c>
      <c r="AR104" s="453">
        <f ca="1">IF(AND($D104="Serviço",AR$12&lt;&gt;0,$H104&gt;0,OR(AUTOEVENTO&lt;&gt;"manual",$M104&lt;&gt;$A$15)),
        IF(Import.TipoArredondamento&lt;&gt;"TransfereGOV",
              ROUND(OFFSET($P104,0,AR$13),15-13*ORÇAMENTO!$AF$7)/$H104*OFFSET(ORÇAMENTO!$X$15,ROW(AR104)-ROW(AR$15),0),
              ROUND(ROUND(OFFSET($P104,0,AR$13),15-13*ORÇAMENTO!$AF$7)*OFFSET(ORÇAMENTO!$W$15,ROW(AR104)-ROW(AR$15),0),15-13*ORÇAMENTO!$AF$11)),
         0)</f>
        <v>0</v>
      </c>
      <c r="AS104" s="453">
        <f ca="1">IF(AND($D104="Serviço",AS$12&lt;&gt;0,$H104&gt;0,OR(AUTOEVENTO&lt;&gt;"manual",$M104&lt;&gt;$A$15)),
        IF(Import.TipoArredondamento&lt;&gt;"TransfereGOV",
              ROUND(OFFSET($P104,0,AS$13),15-13*ORÇAMENTO!$AF$7)/$H104*OFFSET(ORÇAMENTO!$X$15,ROW(AS104)-ROW(AS$15),0),
              ROUND(ROUND(OFFSET($P104,0,AS$13),15-13*ORÇAMENTO!$AF$7)*OFFSET(ORÇAMENTO!$W$15,ROW(AS104)-ROW(AS$15),0),15-13*ORÇAMENTO!$AF$11)),
         0)</f>
        <v>0</v>
      </c>
      <c r="AT104" s="453">
        <f ca="1">IF(AND($D104="Serviço",AT$12&lt;&gt;0,$H104&gt;0,OR(AUTOEVENTO&lt;&gt;"manual",$M104&lt;&gt;$A$15)),
        IF(Import.TipoArredondamento&lt;&gt;"TransfereGOV",
              ROUND(OFFSET($P104,0,AT$13),15-13*ORÇAMENTO!$AF$7)/$H104*OFFSET(ORÇAMENTO!$X$15,ROW(AT104)-ROW(AT$15),0),
              ROUND(ROUND(OFFSET($P104,0,AT$13),15-13*ORÇAMENTO!$AF$7)*OFFSET(ORÇAMENTO!$W$15,ROW(AT104)-ROW(AT$15),0),15-13*ORÇAMENTO!$AF$11)),
         0)</f>
        <v>0</v>
      </c>
      <c r="AU104" s="453">
        <f ca="1">IF(AND($D104="Serviço",AU$12&lt;&gt;0,$H104&gt;0,OR(AUTOEVENTO&lt;&gt;"manual",$M104&lt;&gt;$A$15)),
        IF(Import.TipoArredondamento&lt;&gt;"TransfereGOV",
              ROUND(OFFSET($P104,0,AU$13),15-13*ORÇAMENTO!$AF$7)/$H104*OFFSET(ORÇAMENTO!$X$15,ROW(AU104)-ROW(AU$15),0),
              ROUND(ROUND(OFFSET($P104,0,AU$13),15-13*ORÇAMENTO!$AF$7)*OFFSET(ORÇAMENTO!$W$15,ROW(AU104)-ROW(AU$15),0),15-13*ORÇAMENTO!$AF$11)),
         0)</f>
        <v>0</v>
      </c>
      <c r="AV104" s="453">
        <f ca="1">IF(AND($D104="Serviço",AV$12&lt;&gt;0,$H104&gt;0,OR(AUTOEVENTO&lt;&gt;"manual",$M104&lt;&gt;$A$15)),
        IF(Import.TipoArredondamento&lt;&gt;"TransfereGOV",
              ROUND(OFFSET($P104,0,AV$13),15-13*ORÇAMENTO!$AF$7)/$H104*OFFSET(ORÇAMENTO!$X$15,ROW(AV104)-ROW(AV$15),0),
              ROUND(ROUND(OFFSET($P104,0,AV$13),15-13*ORÇAMENTO!$AF$7)*OFFSET(ORÇAMENTO!$W$15,ROW(AV104)-ROW(AV$15),0),15-13*ORÇAMENTO!$AF$11)),
         0)</f>
        <v>0</v>
      </c>
      <c r="AW104" s="453">
        <f ca="1">IF(AND($D104="Serviço",AW$12&lt;&gt;0,$H104&gt;0,OR(AUTOEVENTO&lt;&gt;"manual",$M104&lt;&gt;$A$15)),
        IF(Import.TipoArredondamento&lt;&gt;"TransfereGOV",
              ROUND(OFFSET($P104,0,AW$13),15-13*ORÇAMENTO!$AF$7)/$H104*OFFSET(ORÇAMENTO!$X$15,ROW(AW104)-ROW(AW$15),0),
              ROUND(ROUND(OFFSET($P104,0,AW$13),15-13*ORÇAMENTO!$AF$7)*OFFSET(ORÇAMENTO!$W$15,ROW(AW104)-ROW(AW$15),0),15-13*ORÇAMENTO!$AF$11)),
         0)</f>
        <v>0</v>
      </c>
      <c r="AX104" s="453">
        <f ca="1">IF(AND($D104="Serviço",AX$12&lt;&gt;0,$H104&gt;0,OR(AUTOEVENTO&lt;&gt;"manual",$M104&lt;&gt;$A$15)),
        IF(Import.TipoArredondamento&lt;&gt;"TransfereGOV",
              ROUND(OFFSET($P104,0,AX$13),15-13*ORÇAMENTO!$AF$7)/$H104*OFFSET(ORÇAMENTO!$X$15,ROW(AX104)-ROW(AX$15),0),
              ROUND(ROUND(OFFSET($P104,0,AX$13),15-13*ORÇAMENTO!$AF$7)*OFFSET(ORÇAMENTO!$W$15,ROW(AX104)-ROW(AX$15),0),15-13*ORÇAMENTO!$AF$11)),
         0)</f>
        <v>0</v>
      </c>
      <c r="AY104" s="453">
        <f ca="1">IF(AND($D104="Serviço",AY$12&lt;&gt;0,$H104&gt;0,OR(AUTOEVENTO&lt;&gt;"manual",$M104&lt;&gt;$A$15)),
        IF(Import.TipoArredondamento&lt;&gt;"TransfereGOV",
              ROUND(OFFSET($P104,0,AY$13),15-13*ORÇAMENTO!$AF$7)/$H104*OFFSET(ORÇAMENTO!$X$15,ROW(AY104)-ROW(AY$15),0),
              ROUND(ROUND(OFFSET($P104,0,AY$13),15-13*ORÇAMENTO!$AF$7)*OFFSET(ORÇAMENTO!$W$15,ROW(AY104)-ROW(AY$15),0),15-13*ORÇAMENTO!$AF$11)),
         0)</f>
        <v>0</v>
      </c>
      <c r="AZ104" s="453">
        <f ca="1">IF(AND($D104="Serviço",AZ$12&lt;&gt;0,$H104&gt;0,OR(AUTOEVENTO&lt;&gt;"manual",$M104&lt;&gt;$A$15)),
        IF(Import.TipoArredondamento&lt;&gt;"TransfereGOV",
              ROUND(OFFSET($P104,0,AZ$13),15-13*ORÇAMENTO!$AF$7)/$H104*OFFSET(ORÇAMENTO!$X$15,ROW(AZ104)-ROW(AZ$15),0),
              ROUND(ROUND(OFFSET($P104,0,AZ$13),15-13*ORÇAMENTO!$AF$7)*OFFSET(ORÇAMENTO!$W$15,ROW(AZ104)-ROW(AZ$15),0),15-13*ORÇAMENTO!$AF$11)),
         0)</f>
        <v>0</v>
      </c>
      <c r="BA104" s="453">
        <f ca="1">IF(AND($D104="Serviço",BA$12&lt;&gt;0,$H104&gt;0,OR(AUTOEVENTO&lt;&gt;"manual",$M104&lt;&gt;$A$15)),
        IF(Import.TipoArredondamento&lt;&gt;"TransfereGOV",
              ROUND(OFFSET($P104,0,BA$13),15-13*ORÇAMENTO!$AF$7)/$H104*OFFSET(ORÇAMENTO!$X$15,ROW(BA104)-ROW(BA$15),0),
              ROUND(ROUND(OFFSET($P104,0,BA$13),15-13*ORÇAMENTO!$AF$7)*OFFSET(ORÇAMENTO!$W$15,ROW(BA104)-ROW(BA$15),0),15-13*ORÇAMENTO!$AF$11)),
         0)</f>
        <v>0</v>
      </c>
      <c r="BC104" s="171">
        <f ca="1">IF(OR($D104&lt;&gt;"Serviço",AND(AUTOEVENTO="Manual",$M104=$A$15)),0,
         IF(OFFSET(CRONOPLE!$F$15,$M104-$A$15,BC$13)=0,10^12,OFFSET(CRONOPLE!$F$15,$M104-$A$15,BC$13)))</f>
        <v>1000000000000</v>
      </c>
      <c r="BD104" s="171">
        <f ca="1">IF(OR($D104&lt;&gt;"Serviço",AND(AUTOEVENTO="Manual",$M104=$A$15)),0,
         IF(OFFSET(CRONOPLE!$F$15,$M104-$A$15,BD$13)=0,10^12,OFFSET(CRONOPLE!$F$15,$M104-$A$15,BD$13)))</f>
        <v>1000000000000</v>
      </c>
      <c r="BE104" s="171">
        <f ca="1">IF(OR($D104&lt;&gt;"Serviço",AND(AUTOEVENTO="Manual",$M104=$A$15)),0,
         IF(OFFSET(CRONOPLE!$F$15,$M104-$A$15,BE$13)=0,10^12,OFFSET(CRONOPLE!$F$15,$M104-$A$15,BE$13)))</f>
        <v>6</v>
      </c>
      <c r="BF104" s="171">
        <f ca="1">IF(OR($D104&lt;&gt;"Serviço",AND(AUTOEVENTO="Manual",$M104=$A$15)),0,
         IF(OFFSET(CRONOPLE!$F$15,$M104-$A$15,BF$13)=0,10^12,OFFSET(CRONOPLE!$F$15,$M104-$A$15,BF$13)))</f>
        <v>10</v>
      </c>
      <c r="BG104" s="171">
        <f ca="1">IF(OR($D104&lt;&gt;"Serviço",AND(AUTOEVENTO="Manual",$M104=$A$15)),0,
         IF(OFFSET(CRONOPLE!$F$15,$M104-$A$15,BG$13)=0,10^12,OFFSET(CRONOPLE!$F$15,$M104-$A$15,BG$13)))</f>
        <v>9</v>
      </c>
      <c r="BH104" s="171">
        <f ca="1">IF(OR($D104&lt;&gt;"Serviço",AND(AUTOEVENTO="Manual",$M104=$A$15)),0,
         IF(OFFSET(CRONOPLE!$F$15,$M104-$A$15,BH$13)=0,10^12,OFFSET(CRONOPLE!$F$15,$M104-$A$15,BH$13)))</f>
        <v>7</v>
      </c>
      <c r="BI104" s="171">
        <f ca="1">IF(OR($D104&lt;&gt;"Serviço",AND(AUTOEVENTO="Manual",$M104=$A$15)),0,
         IF(OFFSET(CRONOPLE!$F$15,$M104-$A$15,BI$13)=0,10^12,OFFSET(CRONOPLE!$F$15,$M104-$A$15,BI$13)))</f>
        <v>10</v>
      </c>
      <c r="BJ104" s="171">
        <f ca="1">IF(OR($D104&lt;&gt;"Serviço",AND(AUTOEVENTO="Manual",$M104=$A$15)),0,
         IF(OFFSET(CRONOPLE!$F$15,$M104-$A$15,BJ$13)=0,10^12,OFFSET(CRONOPLE!$F$15,$M104-$A$15,BJ$13)))</f>
        <v>1000000000000</v>
      </c>
      <c r="BK104" s="171">
        <f ca="1">IF(OR($D104&lt;&gt;"Serviço",AND(AUTOEVENTO="Manual",$M104=$A$15)),0,
         IF(OFFSET(CRONOPLE!$F$15,$M104-$A$15,BK$13)=0,10^12,OFFSET(CRONOPLE!$F$15,$M104-$A$15,BK$13)))</f>
        <v>1000000000000</v>
      </c>
      <c r="BL104" s="171">
        <f ca="1">IF(OR($D104&lt;&gt;"Serviço",AND(AUTOEVENTO="Manual",$M104=$A$15)),0,
         IF(OFFSET(CRONOPLE!$F$15,$M104-$A$15,BL$13)=0,10^12,OFFSET(CRONOPLE!$F$15,$M104-$A$15,BL$13)))</f>
        <v>1000000000000</v>
      </c>
      <c r="BM104" s="171">
        <f ca="1">IF(OR($D104&lt;&gt;"Serviço",AND(AUTOEVENTO="Manual",$M104=$A$15)),0,
         IF(OFFSET(CRONOPLE!$F$15,$M104-$A$15,BM$13)=0,10^12,OFFSET(CRONOPLE!$F$15,$M104-$A$15,BM$13)))</f>
        <v>1000000000000</v>
      </c>
      <c r="BN104" s="171">
        <f ca="1">IF(OR($D104&lt;&gt;"Serviço",AND(AUTOEVENTO="Manual",$M104=$A$15)),0,
         IF(OFFSET(CRONOPLE!$F$15,$M104-$A$15,BN$13)=0,10^12,OFFSET(CRONOPLE!$F$15,$M104-$A$15,BN$13)))</f>
        <v>1000000000000</v>
      </c>
      <c r="BO104" s="171">
        <f ca="1">IF(OR($D104&lt;&gt;"Serviço",AND(AUTOEVENTO="Manual",$M104=$A$15)),0,
         IF(OFFSET(CRONOPLE!$F$15,$M104-$A$15,BO$13)=0,10^12,OFFSET(CRONOPLE!$F$15,$M104-$A$15,BO$13)))</f>
        <v>1000000000000</v>
      </c>
      <c r="BP104" s="171">
        <f ca="1">IF(OR($D104&lt;&gt;"Serviço",AND(AUTOEVENTO="Manual",$M104=$A$15)),0,
         IF(OFFSET(CRONOPLE!$F$15,$M104-$A$15,BP$13)=0,10^12,OFFSET(CRONOPLE!$F$15,$M104-$A$15,BP$13)))</f>
        <v>1000000000000</v>
      </c>
      <c r="BQ104" s="171">
        <f ca="1">IF(OR($D104&lt;&gt;"Serviço",AND(AUTOEVENTO="Manual",$M104=$A$15)),0,
         IF(OFFSET(CRONOPLE!$F$15,$M104-$A$15,BQ$13)=0,10^12,OFFSET(CRONOPLE!$F$15,$M104-$A$15,BQ$13)))</f>
        <v>1000000000000</v>
      </c>
      <c r="BR104" s="171">
        <f ca="1">IF(OR($D104&lt;&gt;"Serviço",AND(AUTOEVENTO="Manual",$M104=$A$15)),0,
         IF(OFFSET(CRONOPLE!$F$15,$M104-$A$15,BR$13)=0,10^12,OFFSET(CRONOPLE!$F$15,$M104-$A$15,BR$13)))</f>
        <v>1000000000000</v>
      </c>
      <c r="BS104" s="171">
        <f ca="1">IF(OR($D104&lt;&gt;"Serviço",AND(AUTOEVENTO="Manual",$M104=$A$15)),0,
         IF(OFFSET(CRONOPLE!$F$15,$M104-$A$15,BS$13)=0,10^12,OFFSET(CRONOPLE!$F$15,$M104-$A$15,BS$13)))</f>
        <v>1000000000000</v>
      </c>
      <c r="BT104" s="171">
        <f ca="1">IF(OR($D104&lt;&gt;"Serviço",AND(AUTOEVENTO="Manual",$M104=$A$15)),0,
         IF(OFFSET(CRONOPLE!$F$15,$M104-$A$15,BT$13)=0,10^12,OFFSET(CRONOPLE!$F$15,$M104-$A$15,BT$13)))</f>
        <v>1000000000000</v>
      </c>
      <c r="BV104" s="172" cm="1">
        <f t="array" aca="1" ref="BV104" ca="1">IF(OR($D104&lt;&gt;"Serviço",AND(AUTOEVENTO="Manual",$M104=$A$15),$M104&gt;(ROW(PLE.lastrow)-ROW(PLE.firstrow))),0,
           IF(OFFSET(PLE!$G$15,$M104-$A$15,BV$13)="",10^12,OFFSET(PLE!$G$15,$M104-$A$15,BV$13)))</f>
        <v>1000000000000</v>
      </c>
      <c r="BW104" s="172" cm="1">
        <f t="array" aca="1" ref="BW104" ca="1">IF(OR($D104&lt;&gt;"Serviço",AND(AUTOEVENTO="Manual",$M104=$A$15),$M104&gt;(ROW(PLE.lastrow)-ROW(PLE.firstrow))),0,
           IF(OFFSET(PLE!$G$15,$M104-$A$15,BW$13)="",10^12,OFFSET(PLE!$G$15,$M104-$A$15,BW$13)))</f>
        <v>1000000000000</v>
      </c>
      <c r="BX104" s="172" cm="1">
        <f t="array" aca="1" ref="BX104" ca="1">IF(OR($D104&lt;&gt;"Serviço",AND(AUTOEVENTO="Manual",$M104=$A$15),$M104&gt;(ROW(PLE.lastrow)-ROW(PLE.firstrow))),0,
           IF(OFFSET(PLE!$G$15,$M104-$A$15,BX$13)="",10^12,OFFSET(PLE!$G$15,$M104-$A$15,BX$13)))</f>
        <v>1000000000000</v>
      </c>
      <c r="BY104" s="172" cm="1">
        <f t="array" aca="1" ref="BY104" ca="1">IF(OR($D104&lt;&gt;"Serviço",AND(AUTOEVENTO="Manual",$M104=$A$15),$M104&gt;(ROW(PLE.lastrow)-ROW(PLE.firstrow))),0,
           IF(OFFSET(PLE!$G$15,$M104-$A$15,BY$13)="",10^12,OFFSET(PLE!$G$15,$M104-$A$15,BY$13)))</f>
        <v>1000000000000</v>
      </c>
      <c r="BZ104" s="172" cm="1">
        <f t="array" aca="1" ref="BZ104" ca="1">IF(OR($D104&lt;&gt;"Serviço",AND(AUTOEVENTO="Manual",$M104=$A$15),$M104&gt;(ROW(PLE.lastrow)-ROW(PLE.firstrow))),0,
           IF(OFFSET(PLE!$G$15,$M104-$A$15,BZ$13)="",10^12,OFFSET(PLE!$G$15,$M104-$A$15,BZ$13)))</f>
        <v>1000000000000</v>
      </c>
      <c r="CA104" s="172" cm="1">
        <f t="array" aca="1" ref="CA104" ca="1">IF(OR($D104&lt;&gt;"Serviço",AND(AUTOEVENTO="Manual",$M104=$A$15),$M104&gt;(ROW(PLE.lastrow)-ROW(PLE.firstrow))),0,
           IF(OFFSET(PLE!$G$15,$M104-$A$15,CA$13)="",10^12,OFFSET(PLE!$G$15,$M104-$A$15,CA$13)))</f>
        <v>1000000000000</v>
      </c>
      <c r="CB104" s="172" cm="1">
        <f t="array" aca="1" ref="CB104" ca="1">IF(OR($D104&lt;&gt;"Serviço",AND(AUTOEVENTO="Manual",$M104=$A$15),$M104&gt;(ROW(PLE.lastrow)-ROW(PLE.firstrow))),0,
           IF(OFFSET(PLE!$G$15,$M104-$A$15,CB$13)="",10^12,OFFSET(PLE!$G$15,$M104-$A$15,CB$13)))</f>
        <v>1000000000000</v>
      </c>
      <c r="CC104" s="172" cm="1">
        <f t="array" aca="1" ref="CC104" ca="1">IF(OR($D104&lt;&gt;"Serviço",AND(AUTOEVENTO="Manual",$M104=$A$15),$M104&gt;(ROW(PLE.lastrow)-ROW(PLE.firstrow))),0,
           IF(OFFSET(PLE!$G$15,$M104-$A$15,CC$13)="",10^12,OFFSET(PLE!$G$15,$M104-$A$15,CC$13)))</f>
        <v>1000000000000</v>
      </c>
      <c r="CD104" s="172" cm="1">
        <f t="array" aca="1" ref="CD104" ca="1">IF(OR($D104&lt;&gt;"Serviço",AND(AUTOEVENTO="Manual",$M104=$A$15),$M104&gt;(ROW(PLE.lastrow)-ROW(PLE.firstrow))),0,
           IF(OFFSET(PLE!$G$15,$M104-$A$15,CD$13)="",10^12,OFFSET(PLE!$G$15,$M104-$A$15,CD$13)))</f>
        <v>1000000000000</v>
      </c>
      <c r="CE104" s="172" cm="1">
        <f t="array" aca="1" ref="CE104" ca="1">IF(OR($D104&lt;&gt;"Serviço",AND(AUTOEVENTO="Manual",$M104=$A$15),$M104&gt;(ROW(PLE.lastrow)-ROW(PLE.firstrow))),0,
           IF(OFFSET(PLE!$G$15,$M104-$A$15,CE$13)="",10^12,OFFSET(PLE!$G$15,$M104-$A$15,CE$13)))</f>
        <v>1000000000000</v>
      </c>
      <c r="CF104" s="172" cm="1">
        <f t="array" aca="1" ref="CF104" ca="1">IF(OR($D104&lt;&gt;"Serviço",AND(AUTOEVENTO="Manual",$M104=$A$15),$M104&gt;(ROW(PLE.lastrow)-ROW(PLE.firstrow))),0,
           IF(OFFSET(PLE!$G$15,$M104-$A$15,CF$13)="",10^12,OFFSET(PLE!$G$15,$M104-$A$15,CF$13)))</f>
        <v>1000000000000</v>
      </c>
      <c r="CG104" s="172" cm="1">
        <f t="array" aca="1" ref="CG104" ca="1">IF(OR($D104&lt;&gt;"Serviço",AND(AUTOEVENTO="Manual",$M104=$A$15),$M104&gt;(ROW(PLE.lastrow)-ROW(PLE.firstrow))),0,
           IF(OFFSET(PLE!$G$15,$M104-$A$15,CG$13)="",10^12,OFFSET(PLE!$G$15,$M104-$A$15,CG$13)))</f>
        <v>1000000000000</v>
      </c>
      <c r="CH104" s="172" cm="1">
        <f t="array" aca="1" ref="CH104" ca="1">IF(OR($D104&lt;&gt;"Serviço",AND(AUTOEVENTO="Manual",$M104=$A$15),$M104&gt;(ROW(PLE.lastrow)-ROW(PLE.firstrow))),0,
           IF(OFFSET(PLE!$G$15,$M104-$A$15,CH$13)="",10^12,OFFSET(PLE!$G$15,$M104-$A$15,CH$13)))</f>
        <v>1000000000000</v>
      </c>
      <c r="CI104" s="172" cm="1">
        <f t="array" aca="1" ref="CI104" ca="1">IF(OR($D104&lt;&gt;"Serviço",AND(AUTOEVENTO="Manual",$M104=$A$15),$M104&gt;(ROW(PLE.lastrow)-ROW(PLE.firstrow))),0,
           IF(OFFSET(PLE!$G$15,$M104-$A$15,CI$13)="",10^12,OFFSET(PLE!$G$15,$M104-$A$15,CI$13)))</f>
        <v>1000000000000</v>
      </c>
      <c r="CJ104" s="172" cm="1">
        <f t="array" aca="1" ref="CJ104" ca="1">IF(OR($D104&lt;&gt;"Serviço",AND(AUTOEVENTO="Manual",$M104=$A$15),$M104&gt;(ROW(PLE.lastrow)-ROW(PLE.firstrow))),0,
           IF(OFFSET(PLE!$G$15,$M104-$A$15,CJ$13)="",10^12,OFFSET(PLE!$G$15,$M104-$A$15,CJ$13)))</f>
        <v>1000000000000</v>
      </c>
      <c r="CK104" s="172" cm="1">
        <f t="array" aca="1" ref="CK104" ca="1">IF(OR($D104&lt;&gt;"Serviço",AND(AUTOEVENTO="Manual",$M104=$A$15),$M104&gt;(ROW(PLE.lastrow)-ROW(PLE.firstrow))),0,
           IF(OFFSET(PLE!$G$15,$M104-$A$15,CK$13)="",10^12,OFFSET(PLE!$G$15,$M104-$A$15,CK$13)))</f>
        <v>1000000000000</v>
      </c>
      <c r="CL104" s="172" cm="1">
        <f t="array" aca="1" ref="CL104" ca="1">IF(OR($D104&lt;&gt;"Serviço",AND(AUTOEVENTO="Manual",$M104=$A$15),$M104&gt;(ROW(PLE.lastrow)-ROW(PLE.firstrow))),0,
           IF(OFFSET(PLE!$G$15,$M104-$A$15,CL$13)="",10^12,OFFSET(PLE!$G$15,$M104-$A$15,CL$13)))</f>
        <v>1000000000000</v>
      </c>
      <c r="CM104" s="172" cm="1">
        <f t="array" aca="1" ref="CM104" ca="1">IF(OR($D104&lt;&gt;"Serviço",AND(AUTOEVENTO="Manual",$M104=$A$15),$M104&gt;(ROW(PLE.lastrow)-ROW(PLE.firstrow))),0,
           IF(OFFSET(PLE!$G$15,$M104-$A$15,CM$13)="",10^12,OFFSET(PLE!$G$15,$M104-$A$15,CM$13)))</f>
        <v>1000000000000</v>
      </c>
    </row>
    <row r="105" spans="1:91" s="670" customFormat="1" ht="12.75" x14ac:dyDescent="0.2">
      <c r="A105" s="668">
        <f t="shared" ca="1" si="12"/>
        <v>0</v>
      </c>
      <c r="B105" s="668">
        <f ca="1">OFFSET(ORÇAMENTO!C$15,$L105,0)</f>
        <v>2</v>
      </c>
      <c r="C105" s="668" t="str">
        <f ca="1">OFFSET(ORÇAMENTO!L$15,$L105,0)</f>
        <v>F</v>
      </c>
      <c r="D105" s="116" t="str">
        <f ca="1">OFFSET(ORÇAMENTO!N$15,$L105,0)</f>
        <v>Nível 2</v>
      </c>
      <c r="E105" s="117" t="str">
        <f ca="1">OFFSET(ORÇAMENTO!O$15,$L105,0)</f>
        <v>1.14.</v>
      </c>
      <c r="F105" s="163" t="str">
        <f ca="1">OFFSET(ORÇAMENTO!R$15,$L105,0)</f>
        <v>ESTRUTURA DE CONCRETO - Estação Elevatória de Água Tratada</v>
      </c>
      <c r="G105" s="164" t="str">
        <f ca="1">IF($D105&lt;&gt;"Serviço","",OFFSET(ORÇAMENTO!S$15,$L105,0))</f>
        <v/>
      </c>
      <c r="H105" s="122" cm="1">
        <f t="array" aca="1" ref="H105" ca="1">IF($D105&lt;&gt;"Serviço",0,IF(ACOMPANHAMENTO="BM",ROUND(OFFSET(ORÇAMENTO!AJ$15,$L105,0),15-13*ORÇAMENTO!$AF$7),IF(IFERROR(CÁLCULO.FrentesPreenchidas,0)=0,0,SUM(ROUND(OFFSET($P105,0,1,1,CÁLCULO.FrentesPreenchidas),15-13*ORÇAMENTO!$AF$7)))))</f>
        <v>0</v>
      </c>
      <c r="I105" s="468"/>
      <c r="J105" s="651" t="str" cm="1">
        <f t="array" aca="1" ref="J105" ca="1">IF(OR(B105&lt;&gt;"S",CÁLCULO.FrentesPreenchidas=0),"",IF(AND(ACOMPANHAMENTO="PLE",AUTOEVENTO="Manual",OR(H105&gt;0,ORÇAMENTO!AC105="QUANT."),OR(K105="",M105=0,N105="")),"►E",IF(AND(ACOMPANHAMENTO="PLE",ORÇAMENTO!AC105="QUANT."),"►Q",IF(AND(ACOMPANHAMENTO="PLE",H105&lt;&gt;SUMPRODUCT(($Q$1:$AI$1=1)*ROUND(Q105:AI105,15))),"►S",IF(AND(COUNTIF($P$11:$AI$11,"▼")=0,H105&gt;0,I105=""),"◄M","")))))</f>
        <v/>
      </c>
      <c r="K105" s="652"/>
      <c r="L105" s="165">
        <f t="shared" ca="1" si="13"/>
        <v>90</v>
      </c>
      <c r="M105" s="166" t="str">
        <f ca="1">IF($D105&lt;&gt;"Serviço","",
          IF(AUTOEVENTO="manual",$A105,
                IF(ISERROR(MATCH($A105,$A$15:OFFSET($A105,-1,0),0)),MAX($M$15:OFFSET(M105,-1,0))+1,
                      INDEX($M$15:OFFSET(M105,-1,0),MATCH($A105,$A$15:OFFSET($A105,-1,0),0)))))</f>
        <v/>
      </c>
      <c r="N105" s="167" t="str">
        <f ca="1">IF($D105&lt;&gt;"Serviço","",
         IF(AUTOEVENTO="Manual",
                IF($A105=0,"&lt;-- defina o número do agrupador",
                       OFFSET(EVENTOS!$D$15,$A105-$A$15,0)),
                OFFSET($F$15,$A105,0)))</f>
        <v/>
      </c>
      <c r="O105" s="168"/>
      <c r="Q105" s="168"/>
      <c r="R105" s="169"/>
      <c r="S105" s="169"/>
      <c r="T105" s="169"/>
      <c r="U105" s="169"/>
      <c r="V105" s="169" t="s">
        <v>250</v>
      </c>
      <c r="W105" s="169"/>
      <c r="X105" s="169"/>
      <c r="Y105" s="169"/>
      <c r="Z105" s="170"/>
      <c r="AA105" s="705"/>
      <c r="AB105" s="705"/>
      <c r="AC105" s="705"/>
      <c r="AD105" s="705"/>
      <c r="AE105" s="705"/>
      <c r="AF105" s="705"/>
      <c r="AG105" s="705"/>
      <c r="AH105" s="706"/>
      <c r="AJ105" s="453">
        <f ca="1">IF(AND($D105="Serviço",AJ$12&lt;&gt;0,$H105&gt;0,OR(AUTOEVENTO&lt;&gt;"manual",$M105&lt;&gt;$A$15)),
        IF(Import.TipoArredondamento&lt;&gt;"TransfereGOV",
              ROUND(OFFSET($P105,0,AJ$13),15-13*ORÇAMENTO!$AF$7)/$H105*OFFSET(ORÇAMENTO!$X$15,ROW(AJ105)-ROW(AJ$15),0),
              ROUND(ROUND(OFFSET($P105,0,AJ$13),15-13*ORÇAMENTO!$AF$7)*OFFSET(ORÇAMENTO!$W$15,ROW(AJ105)-ROW(AJ$15),0),15-13*ORÇAMENTO!$AF$11)),
         0)</f>
        <v>0</v>
      </c>
      <c r="AK105" s="453">
        <f ca="1">IF(AND($D105="Serviço",AK$12&lt;&gt;0,$H105&gt;0,OR(AUTOEVENTO&lt;&gt;"manual",$M105&lt;&gt;$A$15)),
        IF(Import.TipoArredondamento&lt;&gt;"TransfereGOV",
              ROUND(OFFSET($P105,0,AK$13),15-13*ORÇAMENTO!$AF$7)/$H105*OFFSET(ORÇAMENTO!$X$15,ROW(AK105)-ROW(AK$15),0),
              ROUND(ROUND(OFFSET($P105,0,AK$13),15-13*ORÇAMENTO!$AF$7)*OFFSET(ORÇAMENTO!$W$15,ROW(AK105)-ROW(AK$15),0),15-13*ORÇAMENTO!$AF$11)),
         0)</f>
        <v>0</v>
      </c>
      <c r="AL105" s="453">
        <f ca="1">IF(AND($D105="Serviço",AL$12&lt;&gt;0,$H105&gt;0,OR(AUTOEVENTO&lt;&gt;"manual",$M105&lt;&gt;$A$15)),
        IF(Import.TipoArredondamento&lt;&gt;"TransfereGOV",
              ROUND(OFFSET($P105,0,AL$13),15-13*ORÇAMENTO!$AF$7)/$H105*OFFSET(ORÇAMENTO!$X$15,ROW(AL105)-ROW(AL$15),0),
              ROUND(ROUND(OFFSET($P105,0,AL$13),15-13*ORÇAMENTO!$AF$7)*OFFSET(ORÇAMENTO!$W$15,ROW(AL105)-ROW(AL$15),0),15-13*ORÇAMENTO!$AF$11)),
         0)</f>
        <v>0</v>
      </c>
      <c r="AM105" s="453">
        <f ca="1">IF(AND($D105="Serviço",AM$12&lt;&gt;0,$H105&gt;0,OR(AUTOEVENTO&lt;&gt;"manual",$M105&lt;&gt;$A$15)),
        IF(Import.TipoArredondamento&lt;&gt;"TransfereGOV",
              ROUND(OFFSET($P105,0,AM$13),15-13*ORÇAMENTO!$AF$7)/$H105*OFFSET(ORÇAMENTO!$X$15,ROW(AM105)-ROW(AM$15),0),
              ROUND(ROUND(OFFSET($P105,0,AM$13),15-13*ORÇAMENTO!$AF$7)*OFFSET(ORÇAMENTO!$W$15,ROW(AM105)-ROW(AM$15),0),15-13*ORÇAMENTO!$AF$11)),
         0)</f>
        <v>0</v>
      </c>
      <c r="AN105" s="453">
        <f ca="1">IF(AND($D105="Serviço",AN$12&lt;&gt;0,$H105&gt;0,OR(AUTOEVENTO&lt;&gt;"manual",$M105&lt;&gt;$A$15)),
        IF(Import.TipoArredondamento&lt;&gt;"TransfereGOV",
              ROUND(OFFSET($P105,0,AN$13),15-13*ORÇAMENTO!$AF$7)/$H105*OFFSET(ORÇAMENTO!$X$15,ROW(AN105)-ROW(AN$15),0),
              ROUND(ROUND(OFFSET($P105,0,AN$13),15-13*ORÇAMENTO!$AF$7)*OFFSET(ORÇAMENTO!$W$15,ROW(AN105)-ROW(AN$15),0),15-13*ORÇAMENTO!$AF$11)),
         0)</f>
        <v>0</v>
      </c>
      <c r="AO105" s="453">
        <f ca="1">IF(AND($D105="Serviço",AO$12&lt;&gt;0,$H105&gt;0,OR(AUTOEVENTO&lt;&gt;"manual",$M105&lt;&gt;$A$15)),
        IF(Import.TipoArredondamento&lt;&gt;"TransfereGOV",
              ROUND(OFFSET($P105,0,AO$13),15-13*ORÇAMENTO!$AF$7)/$H105*OFFSET(ORÇAMENTO!$X$15,ROW(AO105)-ROW(AO$15),0),
              ROUND(ROUND(OFFSET($P105,0,AO$13),15-13*ORÇAMENTO!$AF$7)*OFFSET(ORÇAMENTO!$W$15,ROW(AO105)-ROW(AO$15),0),15-13*ORÇAMENTO!$AF$11)),
         0)</f>
        <v>0</v>
      </c>
      <c r="AP105" s="453">
        <f ca="1">IF(AND($D105="Serviço",AP$12&lt;&gt;0,$H105&gt;0,OR(AUTOEVENTO&lt;&gt;"manual",$M105&lt;&gt;$A$15)),
        IF(Import.TipoArredondamento&lt;&gt;"TransfereGOV",
              ROUND(OFFSET($P105,0,AP$13),15-13*ORÇAMENTO!$AF$7)/$H105*OFFSET(ORÇAMENTO!$X$15,ROW(AP105)-ROW(AP$15),0),
              ROUND(ROUND(OFFSET($P105,0,AP$13),15-13*ORÇAMENTO!$AF$7)*OFFSET(ORÇAMENTO!$W$15,ROW(AP105)-ROW(AP$15),0),15-13*ORÇAMENTO!$AF$11)),
         0)</f>
        <v>0</v>
      </c>
      <c r="AQ105" s="453">
        <f ca="1">IF(AND($D105="Serviço",AQ$12&lt;&gt;0,$H105&gt;0,OR(AUTOEVENTO&lt;&gt;"manual",$M105&lt;&gt;$A$15)),
        IF(Import.TipoArredondamento&lt;&gt;"TransfereGOV",
              ROUND(OFFSET($P105,0,AQ$13),15-13*ORÇAMENTO!$AF$7)/$H105*OFFSET(ORÇAMENTO!$X$15,ROW(AQ105)-ROW(AQ$15),0),
              ROUND(ROUND(OFFSET($P105,0,AQ$13),15-13*ORÇAMENTO!$AF$7)*OFFSET(ORÇAMENTO!$W$15,ROW(AQ105)-ROW(AQ$15),0),15-13*ORÇAMENTO!$AF$11)),
         0)</f>
        <v>0</v>
      </c>
      <c r="AR105" s="453">
        <f ca="1">IF(AND($D105="Serviço",AR$12&lt;&gt;0,$H105&gt;0,OR(AUTOEVENTO&lt;&gt;"manual",$M105&lt;&gt;$A$15)),
        IF(Import.TipoArredondamento&lt;&gt;"TransfereGOV",
              ROUND(OFFSET($P105,0,AR$13),15-13*ORÇAMENTO!$AF$7)/$H105*OFFSET(ORÇAMENTO!$X$15,ROW(AR105)-ROW(AR$15),0),
              ROUND(ROUND(OFFSET($P105,0,AR$13),15-13*ORÇAMENTO!$AF$7)*OFFSET(ORÇAMENTO!$W$15,ROW(AR105)-ROW(AR$15),0),15-13*ORÇAMENTO!$AF$11)),
         0)</f>
        <v>0</v>
      </c>
      <c r="AS105" s="453">
        <f ca="1">IF(AND($D105="Serviço",AS$12&lt;&gt;0,$H105&gt;0,OR(AUTOEVENTO&lt;&gt;"manual",$M105&lt;&gt;$A$15)),
        IF(Import.TipoArredondamento&lt;&gt;"TransfereGOV",
              ROUND(OFFSET($P105,0,AS$13),15-13*ORÇAMENTO!$AF$7)/$H105*OFFSET(ORÇAMENTO!$X$15,ROW(AS105)-ROW(AS$15),0),
              ROUND(ROUND(OFFSET($P105,0,AS$13),15-13*ORÇAMENTO!$AF$7)*OFFSET(ORÇAMENTO!$W$15,ROW(AS105)-ROW(AS$15),0),15-13*ORÇAMENTO!$AF$11)),
         0)</f>
        <v>0</v>
      </c>
      <c r="AT105" s="453">
        <f ca="1">IF(AND($D105="Serviço",AT$12&lt;&gt;0,$H105&gt;0,OR(AUTOEVENTO&lt;&gt;"manual",$M105&lt;&gt;$A$15)),
        IF(Import.TipoArredondamento&lt;&gt;"TransfereGOV",
              ROUND(OFFSET($P105,0,AT$13),15-13*ORÇAMENTO!$AF$7)/$H105*OFFSET(ORÇAMENTO!$X$15,ROW(AT105)-ROW(AT$15),0),
              ROUND(ROUND(OFFSET($P105,0,AT$13),15-13*ORÇAMENTO!$AF$7)*OFFSET(ORÇAMENTO!$W$15,ROW(AT105)-ROW(AT$15),0),15-13*ORÇAMENTO!$AF$11)),
         0)</f>
        <v>0</v>
      </c>
      <c r="AU105" s="453">
        <f ca="1">IF(AND($D105="Serviço",AU$12&lt;&gt;0,$H105&gt;0,OR(AUTOEVENTO&lt;&gt;"manual",$M105&lt;&gt;$A$15)),
        IF(Import.TipoArredondamento&lt;&gt;"TransfereGOV",
              ROUND(OFFSET($P105,0,AU$13),15-13*ORÇAMENTO!$AF$7)/$H105*OFFSET(ORÇAMENTO!$X$15,ROW(AU105)-ROW(AU$15),0),
              ROUND(ROUND(OFFSET($P105,0,AU$13),15-13*ORÇAMENTO!$AF$7)*OFFSET(ORÇAMENTO!$W$15,ROW(AU105)-ROW(AU$15),0),15-13*ORÇAMENTO!$AF$11)),
         0)</f>
        <v>0</v>
      </c>
      <c r="AV105" s="453">
        <f ca="1">IF(AND($D105="Serviço",AV$12&lt;&gt;0,$H105&gt;0,OR(AUTOEVENTO&lt;&gt;"manual",$M105&lt;&gt;$A$15)),
        IF(Import.TipoArredondamento&lt;&gt;"TransfereGOV",
              ROUND(OFFSET($P105,0,AV$13),15-13*ORÇAMENTO!$AF$7)/$H105*OFFSET(ORÇAMENTO!$X$15,ROW(AV105)-ROW(AV$15),0),
              ROUND(ROUND(OFFSET($P105,0,AV$13),15-13*ORÇAMENTO!$AF$7)*OFFSET(ORÇAMENTO!$W$15,ROW(AV105)-ROW(AV$15),0),15-13*ORÇAMENTO!$AF$11)),
         0)</f>
        <v>0</v>
      </c>
      <c r="AW105" s="453">
        <f ca="1">IF(AND($D105="Serviço",AW$12&lt;&gt;0,$H105&gt;0,OR(AUTOEVENTO&lt;&gt;"manual",$M105&lt;&gt;$A$15)),
        IF(Import.TipoArredondamento&lt;&gt;"TransfereGOV",
              ROUND(OFFSET($P105,0,AW$13),15-13*ORÇAMENTO!$AF$7)/$H105*OFFSET(ORÇAMENTO!$X$15,ROW(AW105)-ROW(AW$15),0),
              ROUND(ROUND(OFFSET($P105,0,AW$13),15-13*ORÇAMENTO!$AF$7)*OFFSET(ORÇAMENTO!$W$15,ROW(AW105)-ROW(AW$15),0),15-13*ORÇAMENTO!$AF$11)),
         0)</f>
        <v>0</v>
      </c>
      <c r="AX105" s="453">
        <f ca="1">IF(AND($D105="Serviço",AX$12&lt;&gt;0,$H105&gt;0,OR(AUTOEVENTO&lt;&gt;"manual",$M105&lt;&gt;$A$15)),
        IF(Import.TipoArredondamento&lt;&gt;"TransfereGOV",
              ROUND(OFFSET($P105,0,AX$13),15-13*ORÇAMENTO!$AF$7)/$H105*OFFSET(ORÇAMENTO!$X$15,ROW(AX105)-ROW(AX$15),0),
              ROUND(ROUND(OFFSET($P105,0,AX$13),15-13*ORÇAMENTO!$AF$7)*OFFSET(ORÇAMENTO!$W$15,ROW(AX105)-ROW(AX$15),0),15-13*ORÇAMENTO!$AF$11)),
         0)</f>
        <v>0</v>
      </c>
      <c r="AY105" s="453">
        <f ca="1">IF(AND($D105="Serviço",AY$12&lt;&gt;0,$H105&gt;0,OR(AUTOEVENTO&lt;&gt;"manual",$M105&lt;&gt;$A$15)),
        IF(Import.TipoArredondamento&lt;&gt;"TransfereGOV",
              ROUND(OFFSET($P105,0,AY$13),15-13*ORÇAMENTO!$AF$7)/$H105*OFFSET(ORÇAMENTO!$X$15,ROW(AY105)-ROW(AY$15),0),
              ROUND(ROUND(OFFSET($P105,0,AY$13),15-13*ORÇAMENTO!$AF$7)*OFFSET(ORÇAMENTO!$W$15,ROW(AY105)-ROW(AY$15),0),15-13*ORÇAMENTO!$AF$11)),
         0)</f>
        <v>0</v>
      </c>
      <c r="AZ105" s="453">
        <f ca="1">IF(AND($D105="Serviço",AZ$12&lt;&gt;0,$H105&gt;0,OR(AUTOEVENTO&lt;&gt;"manual",$M105&lt;&gt;$A$15)),
        IF(Import.TipoArredondamento&lt;&gt;"TransfereGOV",
              ROUND(OFFSET($P105,0,AZ$13),15-13*ORÇAMENTO!$AF$7)/$H105*OFFSET(ORÇAMENTO!$X$15,ROW(AZ105)-ROW(AZ$15),0),
              ROUND(ROUND(OFFSET($P105,0,AZ$13),15-13*ORÇAMENTO!$AF$7)*OFFSET(ORÇAMENTO!$W$15,ROW(AZ105)-ROW(AZ$15),0),15-13*ORÇAMENTO!$AF$11)),
         0)</f>
        <v>0</v>
      </c>
      <c r="BA105" s="453">
        <f ca="1">IF(AND($D105="Serviço",BA$12&lt;&gt;0,$H105&gt;0,OR(AUTOEVENTO&lt;&gt;"manual",$M105&lt;&gt;$A$15)),
        IF(Import.TipoArredondamento&lt;&gt;"TransfereGOV",
              ROUND(OFFSET($P105,0,BA$13),15-13*ORÇAMENTO!$AF$7)/$H105*OFFSET(ORÇAMENTO!$X$15,ROW(BA105)-ROW(BA$15),0),
              ROUND(ROUND(OFFSET($P105,0,BA$13),15-13*ORÇAMENTO!$AF$7)*OFFSET(ORÇAMENTO!$W$15,ROW(BA105)-ROW(BA$15),0),15-13*ORÇAMENTO!$AF$11)),
         0)</f>
        <v>0</v>
      </c>
      <c r="BC105" s="171">
        <f ca="1">IF(OR($D105&lt;&gt;"Serviço",AND(AUTOEVENTO="Manual",$M105=$A$15)),0,
         IF(OFFSET(CRONOPLE!$F$15,$M105-$A$15,BC$13)=0,10^12,OFFSET(CRONOPLE!$F$15,$M105-$A$15,BC$13)))</f>
        <v>0</v>
      </c>
      <c r="BD105" s="171">
        <f ca="1">IF(OR($D105&lt;&gt;"Serviço",AND(AUTOEVENTO="Manual",$M105=$A$15)),0,
         IF(OFFSET(CRONOPLE!$F$15,$M105-$A$15,BD$13)=0,10^12,OFFSET(CRONOPLE!$F$15,$M105-$A$15,BD$13)))</f>
        <v>0</v>
      </c>
      <c r="BE105" s="171">
        <f ca="1">IF(OR($D105&lt;&gt;"Serviço",AND(AUTOEVENTO="Manual",$M105=$A$15)),0,
         IF(OFFSET(CRONOPLE!$F$15,$M105-$A$15,BE$13)=0,10^12,OFFSET(CRONOPLE!$F$15,$M105-$A$15,BE$13)))</f>
        <v>0</v>
      </c>
      <c r="BF105" s="171">
        <f ca="1">IF(OR($D105&lt;&gt;"Serviço",AND(AUTOEVENTO="Manual",$M105=$A$15)),0,
         IF(OFFSET(CRONOPLE!$F$15,$M105-$A$15,BF$13)=0,10^12,OFFSET(CRONOPLE!$F$15,$M105-$A$15,BF$13)))</f>
        <v>0</v>
      </c>
      <c r="BG105" s="171">
        <f ca="1">IF(OR($D105&lt;&gt;"Serviço",AND(AUTOEVENTO="Manual",$M105=$A$15)),0,
         IF(OFFSET(CRONOPLE!$F$15,$M105-$A$15,BG$13)=0,10^12,OFFSET(CRONOPLE!$F$15,$M105-$A$15,BG$13)))</f>
        <v>0</v>
      </c>
      <c r="BH105" s="171">
        <f ca="1">IF(OR($D105&lt;&gt;"Serviço",AND(AUTOEVENTO="Manual",$M105=$A$15)),0,
         IF(OFFSET(CRONOPLE!$F$15,$M105-$A$15,BH$13)=0,10^12,OFFSET(CRONOPLE!$F$15,$M105-$A$15,BH$13)))</f>
        <v>0</v>
      </c>
      <c r="BI105" s="171">
        <f ca="1">IF(OR($D105&lt;&gt;"Serviço",AND(AUTOEVENTO="Manual",$M105=$A$15)),0,
         IF(OFFSET(CRONOPLE!$F$15,$M105-$A$15,BI$13)=0,10^12,OFFSET(CRONOPLE!$F$15,$M105-$A$15,BI$13)))</f>
        <v>0</v>
      </c>
      <c r="BJ105" s="171">
        <f ca="1">IF(OR($D105&lt;&gt;"Serviço",AND(AUTOEVENTO="Manual",$M105=$A$15)),0,
         IF(OFFSET(CRONOPLE!$F$15,$M105-$A$15,BJ$13)=0,10^12,OFFSET(CRONOPLE!$F$15,$M105-$A$15,BJ$13)))</f>
        <v>0</v>
      </c>
      <c r="BK105" s="171">
        <f ca="1">IF(OR($D105&lt;&gt;"Serviço",AND(AUTOEVENTO="Manual",$M105=$A$15)),0,
         IF(OFFSET(CRONOPLE!$F$15,$M105-$A$15,BK$13)=0,10^12,OFFSET(CRONOPLE!$F$15,$M105-$A$15,BK$13)))</f>
        <v>0</v>
      </c>
      <c r="BL105" s="171">
        <f ca="1">IF(OR($D105&lt;&gt;"Serviço",AND(AUTOEVENTO="Manual",$M105=$A$15)),0,
         IF(OFFSET(CRONOPLE!$F$15,$M105-$A$15,BL$13)=0,10^12,OFFSET(CRONOPLE!$F$15,$M105-$A$15,BL$13)))</f>
        <v>0</v>
      </c>
      <c r="BM105" s="171">
        <f ca="1">IF(OR($D105&lt;&gt;"Serviço",AND(AUTOEVENTO="Manual",$M105=$A$15)),0,
         IF(OFFSET(CRONOPLE!$F$15,$M105-$A$15,BM$13)=0,10^12,OFFSET(CRONOPLE!$F$15,$M105-$A$15,BM$13)))</f>
        <v>0</v>
      </c>
      <c r="BN105" s="171">
        <f ca="1">IF(OR($D105&lt;&gt;"Serviço",AND(AUTOEVENTO="Manual",$M105=$A$15)),0,
         IF(OFFSET(CRONOPLE!$F$15,$M105-$A$15,BN$13)=0,10^12,OFFSET(CRONOPLE!$F$15,$M105-$A$15,BN$13)))</f>
        <v>0</v>
      </c>
      <c r="BO105" s="171">
        <f ca="1">IF(OR($D105&lt;&gt;"Serviço",AND(AUTOEVENTO="Manual",$M105=$A$15)),0,
         IF(OFFSET(CRONOPLE!$F$15,$M105-$A$15,BO$13)=0,10^12,OFFSET(CRONOPLE!$F$15,$M105-$A$15,BO$13)))</f>
        <v>0</v>
      </c>
      <c r="BP105" s="171">
        <f ca="1">IF(OR($D105&lt;&gt;"Serviço",AND(AUTOEVENTO="Manual",$M105=$A$15)),0,
         IF(OFFSET(CRONOPLE!$F$15,$M105-$A$15,BP$13)=0,10^12,OFFSET(CRONOPLE!$F$15,$M105-$A$15,BP$13)))</f>
        <v>0</v>
      </c>
      <c r="BQ105" s="171">
        <f ca="1">IF(OR($D105&lt;&gt;"Serviço",AND(AUTOEVENTO="Manual",$M105=$A$15)),0,
         IF(OFFSET(CRONOPLE!$F$15,$M105-$A$15,BQ$13)=0,10^12,OFFSET(CRONOPLE!$F$15,$M105-$A$15,BQ$13)))</f>
        <v>0</v>
      </c>
      <c r="BR105" s="171">
        <f ca="1">IF(OR($D105&lt;&gt;"Serviço",AND(AUTOEVENTO="Manual",$M105=$A$15)),0,
         IF(OFFSET(CRONOPLE!$F$15,$M105-$A$15,BR$13)=0,10^12,OFFSET(CRONOPLE!$F$15,$M105-$A$15,BR$13)))</f>
        <v>0</v>
      </c>
      <c r="BS105" s="171">
        <f ca="1">IF(OR($D105&lt;&gt;"Serviço",AND(AUTOEVENTO="Manual",$M105=$A$15)),0,
         IF(OFFSET(CRONOPLE!$F$15,$M105-$A$15,BS$13)=0,10^12,OFFSET(CRONOPLE!$F$15,$M105-$A$15,BS$13)))</f>
        <v>0</v>
      </c>
      <c r="BT105" s="171">
        <f ca="1">IF(OR($D105&lt;&gt;"Serviço",AND(AUTOEVENTO="Manual",$M105=$A$15)),0,
         IF(OFFSET(CRONOPLE!$F$15,$M105-$A$15,BT$13)=0,10^12,OFFSET(CRONOPLE!$F$15,$M105-$A$15,BT$13)))</f>
        <v>0</v>
      </c>
      <c r="BV105" s="172" cm="1">
        <f t="array" aca="1" ref="BV105" ca="1">IF(OR($D105&lt;&gt;"Serviço",AND(AUTOEVENTO="Manual",$M105=$A$15),$M105&gt;(ROW(PLE.lastrow)-ROW(PLE.firstrow))),0,
           IF(OFFSET(PLE!$G$15,$M105-$A$15,BV$13)="",10^12,OFFSET(PLE!$G$15,$M105-$A$15,BV$13)))</f>
        <v>0</v>
      </c>
      <c r="BW105" s="172" cm="1">
        <f t="array" aca="1" ref="BW105" ca="1">IF(OR($D105&lt;&gt;"Serviço",AND(AUTOEVENTO="Manual",$M105=$A$15),$M105&gt;(ROW(PLE.lastrow)-ROW(PLE.firstrow))),0,
           IF(OFFSET(PLE!$G$15,$M105-$A$15,BW$13)="",10^12,OFFSET(PLE!$G$15,$M105-$A$15,BW$13)))</f>
        <v>0</v>
      </c>
      <c r="BX105" s="172" cm="1">
        <f t="array" aca="1" ref="BX105" ca="1">IF(OR($D105&lt;&gt;"Serviço",AND(AUTOEVENTO="Manual",$M105=$A$15),$M105&gt;(ROW(PLE.lastrow)-ROW(PLE.firstrow))),0,
           IF(OFFSET(PLE!$G$15,$M105-$A$15,BX$13)="",10^12,OFFSET(PLE!$G$15,$M105-$A$15,BX$13)))</f>
        <v>0</v>
      </c>
      <c r="BY105" s="172" cm="1">
        <f t="array" aca="1" ref="BY105" ca="1">IF(OR($D105&lt;&gt;"Serviço",AND(AUTOEVENTO="Manual",$M105=$A$15),$M105&gt;(ROW(PLE.lastrow)-ROW(PLE.firstrow))),0,
           IF(OFFSET(PLE!$G$15,$M105-$A$15,BY$13)="",10^12,OFFSET(PLE!$G$15,$M105-$A$15,BY$13)))</f>
        <v>0</v>
      </c>
      <c r="BZ105" s="172" cm="1">
        <f t="array" aca="1" ref="BZ105" ca="1">IF(OR($D105&lt;&gt;"Serviço",AND(AUTOEVENTO="Manual",$M105=$A$15),$M105&gt;(ROW(PLE.lastrow)-ROW(PLE.firstrow))),0,
           IF(OFFSET(PLE!$G$15,$M105-$A$15,BZ$13)="",10^12,OFFSET(PLE!$G$15,$M105-$A$15,BZ$13)))</f>
        <v>0</v>
      </c>
      <c r="CA105" s="172" cm="1">
        <f t="array" aca="1" ref="CA105" ca="1">IF(OR($D105&lt;&gt;"Serviço",AND(AUTOEVENTO="Manual",$M105=$A$15),$M105&gt;(ROW(PLE.lastrow)-ROW(PLE.firstrow))),0,
           IF(OFFSET(PLE!$G$15,$M105-$A$15,CA$13)="",10^12,OFFSET(PLE!$G$15,$M105-$A$15,CA$13)))</f>
        <v>0</v>
      </c>
      <c r="CB105" s="172" cm="1">
        <f t="array" aca="1" ref="CB105" ca="1">IF(OR($D105&lt;&gt;"Serviço",AND(AUTOEVENTO="Manual",$M105=$A$15),$M105&gt;(ROW(PLE.lastrow)-ROW(PLE.firstrow))),0,
           IF(OFFSET(PLE!$G$15,$M105-$A$15,CB$13)="",10^12,OFFSET(PLE!$G$15,$M105-$A$15,CB$13)))</f>
        <v>0</v>
      </c>
      <c r="CC105" s="172" cm="1">
        <f t="array" aca="1" ref="CC105" ca="1">IF(OR($D105&lt;&gt;"Serviço",AND(AUTOEVENTO="Manual",$M105=$A$15),$M105&gt;(ROW(PLE.lastrow)-ROW(PLE.firstrow))),0,
           IF(OFFSET(PLE!$G$15,$M105-$A$15,CC$13)="",10^12,OFFSET(PLE!$G$15,$M105-$A$15,CC$13)))</f>
        <v>0</v>
      </c>
      <c r="CD105" s="172" cm="1">
        <f t="array" aca="1" ref="CD105" ca="1">IF(OR($D105&lt;&gt;"Serviço",AND(AUTOEVENTO="Manual",$M105=$A$15),$M105&gt;(ROW(PLE.lastrow)-ROW(PLE.firstrow))),0,
           IF(OFFSET(PLE!$G$15,$M105-$A$15,CD$13)="",10^12,OFFSET(PLE!$G$15,$M105-$A$15,CD$13)))</f>
        <v>0</v>
      </c>
      <c r="CE105" s="172" cm="1">
        <f t="array" aca="1" ref="CE105" ca="1">IF(OR($D105&lt;&gt;"Serviço",AND(AUTOEVENTO="Manual",$M105=$A$15),$M105&gt;(ROW(PLE.lastrow)-ROW(PLE.firstrow))),0,
           IF(OFFSET(PLE!$G$15,$M105-$A$15,CE$13)="",10^12,OFFSET(PLE!$G$15,$M105-$A$15,CE$13)))</f>
        <v>0</v>
      </c>
      <c r="CF105" s="172" cm="1">
        <f t="array" aca="1" ref="CF105" ca="1">IF(OR($D105&lt;&gt;"Serviço",AND(AUTOEVENTO="Manual",$M105=$A$15),$M105&gt;(ROW(PLE.lastrow)-ROW(PLE.firstrow))),0,
           IF(OFFSET(PLE!$G$15,$M105-$A$15,CF$13)="",10^12,OFFSET(PLE!$G$15,$M105-$A$15,CF$13)))</f>
        <v>0</v>
      </c>
      <c r="CG105" s="172" cm="1">
        <f t="array" aca="1" ref="CG105" ca="1">IF(OR($D105&lt;&gt;"Serviço",AND(AUTOEVENTO="Manual",$M105=$A$15),$M105&gt;(ROW(PLE.lastrow)-ROW(PLE.firstrow))),0,
           IF(OFFSET(PLE!$G$15,$M105-$A$15,CG$13)="",10^12,OFFSET(PLE!$G$15,$M105-$A$15,CG$13)))</f>
        <v>0</v>
      </c>
      <c r="CH105" s="172" cm="1">
        <f t="array" aca="1" ref="CH105" ca="1">IF(OR($D105&lt;&gt;"Serviço",AND(AUTOEVENTO="Manual",$M105=$A$15),$M105&gt;(ROW(PLE.lastrow)-ROW(PLE.firstrow))),0,
           IF(OFFSET(PLE!$G$15,$M105-$A$15,CH$13)="",10^12,OFFSET(PLE!$G$15,$M105-$A$15,CH$13)))</f>
        <v>0</v>
      </c>
      <c r="CI105" s="172" cm="1">
        <f t="array" aca="1" ref="CI105" ca="1">IF(OR($D105&lt;&gt;"Serviço",AND(AUTOEVENTO="Manual",$M105=$A$15),$M105&gt;(ROW(PLE.lastrow)-ROW(PLE.firstrow))),0,
           IF(OFFSET(PLE!$G$15,$M105-$A$15,CI$13)="",10^12,OFFSET(PLE!$G$15,$M105-$A$15,CI$13)))</f>
        <v>0</v>
      </c>
      <c r="CJ105" s="172" cm="1">
        <f t="array" aca="1" ref="CJ105" ca="1">IF(OR($D105&lt;&gt;"Serviço",AND(AUTOEVENTO="Manual",$M105=$A$15),$M105&gt;(ROW(PLE.lastrow)-ROW(PLE.firstrow))),0,
           IF(OFFSET(PLE!$G$15,$M105-$A$15,CJ$13)="",10^12,OFFSET(PLE!$G$15,$M105-$A$15,CJ$13)))</f>
        <v>0</v>
      </c>
      <c r="CK105" s="172" cm="1">
        <f t="array" aca="1" ref="CK105" ca="1">IF(OR($D105&lt;&gt;"Serviço",AND(AUTOEVENTO="Manual",$M105=$A$15),$M105&gt;(ROW(PLE.lastrow)-ROW(PLE.firstrow))),0,
           IF(OFFSET(PLE!$G$15,$M105-$A$15,CK$13)="",10^12,OFFSET(PLE!$G$15,$M105-$A$15,CK$13)))</f>
        <v>0</v>
      </c>
      <c r="CL105" s="172" cm="1">
        <f t="array" aca="1" ref="CL105" ca="1">IF(OR($D105&lt;&gt;"Serviço",AND(AUTOEVENTO="Manual",$M105=$A$15),$M105&gt;(ROW(PLE.lastrow)-ROW(PLE.firstrow))),0,
           IF(OFFSET(PLE!$G$15,$M105-$A$15,CL$13)="",10^12,OFFSET(PLE!$G$15,$M105-$A$15,CL$13)))</f>
        <v>0</v>
      </c>
      <c r="CM105" s="172" cm="1">
        <f t="array" aca="1" ref="CM105" ca="1">IF(OR($D105&lt;&gt;"Serviço",AND(AUTOEVENTO="Manual",$M105=$A$15),$M105&gt;(ROW(PLE.lastrow)-ROW(PLE.firstrow))),0,
           IF(OFFSET(PLE!$G$15,$M105-$A$15,CM$13)="",10^12,OFFSET(PLE!$G$15,$M105-$A$15,CM$13)))</f>
        <v>0</v>
      </c>
    </row>
    <row r="106" spans="1:91" s="670" customFormat="1" ht="38.25" x14ac:dyDescent="0.2">
      <c r="A106" s="668">
        <f t="shared" ca="1" si="12"/>
        <v>16</v>
      </c>
      <c r="B106" s="668" t="str">
        <f ca="1">OFFSET(ORÇAMENTO!C$15,$L106,0)</f>
        <v>S</v>
      </c>
      <c r="C106" s="668" t="str">
        <f ca="1">OFFSET(ORÇAMENTO!L$15,$L106,0)</f>
        <v>F</v>
      </c>
      <c r="D106" s="116" t="str">
        <f ca="1">OFFSET(ORÇAMENTO!N$15,$L106,0)</f>
        <v>Serviço</v>
      </c>
      <c r="E106" s="117" t="str">
        <f ca="1">OFFSET(ORÇAMENTO!O$15,$L106,0)</f>
        <v>1.14.1.</v>
      </c>
      <c r="F106" s="163" t="str">
        <f ca="1">OFFSET(ORÇAMENTO!R$15,$L106,0)</f>
        <v>CONCRETO FCK = 20MPA, TRAÇO 1:2,7:3 (EM MASSA SECA DE CIMENTO/ AREIA MÉDIA/ BRITA 1) - PREPARO MECÂNICO COM BETONEIRA 600 L. AF_05/2021</v>
      </c>
      <c r="G106" s="164" t="str">
        <f ca="1">IF($D106&lt;&gt;"Serviço","",OFFSET(ORÇAMENTO!S$15,$L106,0))</f>
        <v>M3</v>
      </c>
      <c r="H106" s="122" cm="1">
        <f t="array" aca="1" ref="H106" ca="1">IF($D106&lt;&gt;"Serviço",0,IF(ACOMPANHAMENTO="BM",ROUND(OFFSET(ORÇAMENTO!AJ$15,$L106,0),15-13*ORÇAMENTO!$AF$7),IF(IFERROR(CÁLCULO.FrentesPreenchidas,0)=0,0,SUM(ROUND(OFFSET($P106,0,1,1,CÁLCULO.FrentesPreenchidas),15-13*ORÇAMENTO!$AF$7)))))</f>
        <v>6</v>
      </c>
      <c r="I106" s="468" t="s">
        <v>1172</v>
      </c>
      <c r="J106" s="651" t="str" cm="1">
        <f t="array" aca="1" ref="J106" ca="1">IF(OR(B106&lt;&gt;"S",CÁLCULO.FrentesPreenchidas=0),"",IF(AND(ACOMPANHAMENTO="PLE",AUTOEVENTO="Manual",OR(H106&gt;0,ORÇAMENTO!AC106="QUANT."),OR(K106="",M106=0,N106="")),"►E",IF(AND(ACOMPANHAMENTO="PLE",ORÇAMENTO!AC106="QUANT."),"►Q",IF(AND(ACOMPANHAMENTO="PLE",H106&lt;&gt;SUMPRODUCT(($Q$1:$AI$1=1)*ROUND(Q106:AI106,15))),"►S",IF(AND(COUNTIF($P$11:$AI$11,"▼")=0,H106&gt;0,I106=""),"◄M","")))))</f>
        <v/>
      </c>
      <c r="K106" s="652" t="s">
        <v>1341</v>
      </c>
      <c r="L106" s="165">
        <f t="shared" ca="1" si="13"/>
        <v>91</v>
      </c>
      <c r="M106" s="166">
        <f ca="1">IF($D106&lt;&gt;"Serviço","",
          IF(AUTOEVENTO="manual",$A106,
                IF(ISERROR(MATCH($A106,$A$15:OFFSET($A106,-1,0),0)),MAX($M$15:OFFSET(M106,-1,0))+1,
                      INDEX($M$15:OFFSET(M106,-1,0),MATCH($A106,$A$15:OFFSET($A106,-1,0),0)))))</f>
        <v>16</v>
      </c>
      <c r="N106" s="167" t="str">
        <f ca="1">IF($D106&lt;&gt;"Serviço","",
         IF(AUTOEVENTO="Manual",
                IF($A106=0,"&lt;-- defina o número do agrupador",
                       OFFSET(EVENTOS!$D$15,$A106-$A$15,0)),
                OFFSET($F$15,$A106,0)))</f>
        <v>Estrutura - Concretagem</v>
      </c>
      <c r="O106" s="168"/>
      <c r="Q106" s="168"/>
      <c r="R106" s="169"/>
      <c r="S106" s="169"/>
      <c r="T106" s="169"/>
      <c r="U106" s="169"/>
      <c r="V106" s="169">
        <v>6</v>
      </c>
      <c r="W106" s="169"/>
      <c r="X106" s="169"/>
      <c r="Y106" s="169"/>
      <c r="Z106" s="170"/>
      <c r="AA106" s="705"/>
      <c r="AB106" s="705"/>
      <c r="AC106" s="705"/>
      <c r="AD106" s="705"/>
      <c r="AE106" s="705"/>
      <c r="AF106" s="705"/>
      <c r="AG106" s="705"/>
      <c r="AH106" s="706"/>
      <c r="AJ106" s="453">
        <f ca="1">IF(AND($D106="Serviço",AJ$12&lt;&gt;0,$H106&gt;0,OR(AUTOEVENTO&lt;&gt;"manual",$M106&lt;&gt;$A$15)),
        IF(Import.TipoArredondamento&lt;&gt;"TransfereGOV",
              ROUND(OFFSET($P106,0,AJ$13),15-13*ORÇAMENTO!$AF$7)/$H106*OFFSET(ORÇAMENTO!$X$15,ROW(AJ106)-ROW(AJ$15),0),
              ROUND(ROUND(OFFSET($P106,0,AJ$13),15-13*ORÇAMENTO!$AF$7)*OFFSET(ORÇAMENTO!$W$15,ROW(AJ106)-ROW(AJ$15),0),15-13*ORÇAMENTO!$AF$11)),
         0)</f>
        <v>0</v>
      </c>
      <c r="AK106" s="453">
        <f ca="1">IF(AND($D106="Serviço",AK$12&lt;&gt;0,$H106&gt;0,OR(AUTOEVENTO&lt;&gt;"manual",$M106&lt;&gt;$A$15)),
        IF(Import.TipoArredondamento&lt;&gt;"TransfereGOV",
              ROUND(OFFSET($P106,0,AK$13),15-13*ORÇAMENTO!$AF$7)/$H106*OFFSET(ORÇAMENTO!$X$15,ROW(AK106)-ROW(AK$15),0),
              ROUND(ROUND(OFFSET($P106,0,AK$13),15-13*ORÇAMENTO!$AF$7)*OFFSET(ORÇAMENTO!$W$15,ROW(AK106)-ROW(AK$15),0),15-13*ORÇAMENTO!$AF$11)),
         0)</f>
        <v>0</v>
      </c>
      <c r="AL106" s="453">
        <f ca="1">IF(AND($D106="Serviço",AL$12&lt;&gt;0,$H106&gt;0,OR(AUTOEVENTO&lt;&gt;"manual",$M106&lt;&gt;$A$15)),
        IF(Import.TipoArredondamento&lt;&gt;"TransfereGOV",
              ROUND(OFFSET($P106,0,AL$13),15-13*ORÇAMENTO!$AF$7)/$H106*OFFSET(ORÇAMENTO!$X$15,ROW(AL106)-ROW(AL$15),0),
              ROUND(ROUND(OFFSET($P106,0,AL$13),15-13*ORÇAMENTO!$AF$7)*OFFSET(ORÇAMENTO!$W$15,ROW(AL106)-ROW(AL$15),0),15-13*ORÇAMENTO!$AF$11)),
         0)</f>
        <v>0</v>
      </c>
      <c r="AM106" s="453">
        <f ca="1">IF(AND($D106="Serviço",AM$12&lt;&gt;0,$H106&gt;0,OR(AUTOEVENTO&lt;&gt;"manual",$M106&lt;&gt;$A$15)),
        IF(Import.TipoArredondamento&lt;&gt;"TransfereGOV",
              ROUND(OFFSET($P106,0,AM$13),15-13*ORÇAMENTO!$AF$7)/$H106*OFFSET(ORÇAMENTO!$X$15,ROW(AM106)-ROW(AM$15),0),
              ROUND(ROUND(OFFSET($P106,0,AM$13),15-13*ORÇAMENTO!$AF$7)*OFFSET(ORÇAMENTO!$W$15,ROW(AM106)-ROW(AM$15),0),15-13*ORÇAMENTO!$AF$11)),
         0)</f>
        <v>0</v>
      </c>
      <c r="AN106" s="453">
        <f ca="1">IF(AND($D106="Serviço",AN$12&lt;&gt;0,$H106&gt;0,OR(AUTOEVENTO&lt;&gt;"manual",$M106&lt;&gt;$A$15)),
        IF(Import.TipoArredondamento&lt;&gt;"TransfereGOV",
              ROUND(OFFSET($P106,0,AN$13),15-13*ORÇAMENTO!$AF$7)/$H106*OFFSET(ORÇAMENTO!$X$15,ROW(AN106)-ROW(AN$15),0),
              ROUND(ROUND(OFFSET($P106,0,AN$13),15-13*ORÇAMENTO!$AF$7)*OFFSET(ORÇAMENTO!$W$15,ROW(AN106)-ROW(AN$15),0),15-13*ORÇAMENTO!$AF$11)),
         0)</f>
        <v>0</v>
      </c>
      <c r="AO106" s="453">
        <f ca="1">IF(AND($D106="Serviço",AO$12&lt;&gt;0,$H106&gt;0,OR(AUTOEVENTO&lt;&gt;"manual",$M106&lt;&gt;$A$15)),
        IF(Import.TipoArredondamento&lt;&gt;"TransfereGOV",
              ROUND(OFFSET($P106,0,AO$13),15-13*ORÇAMENTO!$AF$7)/$H106*OFFSET(ORÇAMENTO!$X$15,ROW(AO106)-ROW(AO$15),0),
              ROUND(ROUND(OFFSET($P106,0,AO$13),15-13*ORÇAMENTO!$AF$7)*OFFSET(ORÇAMENTO!$W$15,ROW(AO106)-ROW(AO$15),0),15-13*ORÇAMENTO!$AF$11)),
         0)</f>
        <v>4116.84</v>
      </c>
      <c r="AP106" s="453">
        <f ca="1">IF(AND($D106="Serviço",AP$12&lt;&gt;0,$H106&gt;0,OR(AUTOEVENTO&lt;&gt;"manual",$M106&lt;&gt;$A$15)),
        IF(Import.TipoArredondamento&lt;&gt;"TransfereGOV",
              ROUND(OFFSET($P106,0,AP$13),15-13*ORÇAMENTO!$AF$7)/$H106*OFFSET(ORÇAMENTO!$X$15,ROW(AP106)-ROW(AP$15),0),
              ROUND(ROUND(OFFSET($P106,0,AP$13),15-13*ORÇAMENTO!$AF$7)*OFFSET(ORÇAMENTO!$W$15,ROW(AP106)-ROW(AP$15),0),15-13*ORÇAMENTO!$AF$11)),
         0)</f>
        <v>0</v>
      </c>
      <c r="AQ106" s="453">
        <f ca="1">IF(AND($D106="Serviço",AQ$12&lt;&gt;0,$H106&gt;0,OR(AUTOEVENTO&lt;&gt;"manual",$M106&lt;&gt;$A$15)),
        IF(Import.TipoArredondamento&lt;&gt;"TransfereGOV",
              ROUND(OFFSET($P106,0,AQ$13),15-13*ORÇAMENTO!$AF$7)/$H106*OFFSET(ORÇAMENTO!$X$15,ROW(AQ106)-ROW(AQ$15),0),
              ROUND(ROUND(OFFSET($P106,0,AQ$13),15-13*ORÇAMENTO!$AF$7)*OFFSET(ORÇAMENTO!$W$15,ROW(AQ106)-ROW(AQ$15),0),15-13*ORÇAMENTO!$AF$11)),
         0)</f>
        <v>0</v>
      </c>
      <c r="AR106" s="453">
        <f ca="1">IF(AND($D106="Serviço",AR$12&lt;&gt;0,$H106&gt;0,OR(AUTOEVENTO&lt;&gt;"manual",$M106&lt;&gt;$A$15)),
        IF(Import.TipoArredondamento&lt;&gt;"TransfereGOV",
              ROUND(OFFSET($P106,0,AR$13),15-13*ORÇAMENTO!$AF$7)/$H106*OFFSET(ORÇAMENTO!$X$15,ROW(AR106)-ROW(AR$15),0),
              ROUND(ROUND(OFFSET($P106,0,AR$13),15-13*ORÇAMENTO!$AF$7)*OFFSET(ORÇAMENTO!$W$15,ROW(AR106)-ROW(AR$15),0),15-13*ORÇAMENTO!$AF$11)),
         0)</f>
        <v>0</v>
      </c>
      <c r="AS106" s="453">
        <f ca="1">IF(AND($D106="Serviço",AS$12&lt;&gt;0,$H106&gt;0,OR(AUTOEVENTO&lt;&gt;"manual",$M106&lt;&gt;$A$15)),
        IF(Import.TipoArredondamento&lt;&gt;"TransfereGOV",
              ROUND(OFFSET($P106,0,AS$13),15-13*ORÇAMENTO!$AF$7)/$H106*OFFSET(ORÇAMENTO!$X$15,ROW(AS106)-ROW(AS$15),0),
              ROUND(ROUND(OFFSET($P106,0,AS$13),15-13*ORÇAMENTO!$AF$7)*OFFSET(ORÇAMENTO!$W$15,ROW(AS106)-ROW(AS$15),0),15-13*ORÇAMENTO!$AF$11)),
         0)</f>
        <v>0</v>
      </c>
      <c r="AT106" s="453">
        <f ca="1">IF(AND($D106="Serviço",AT$12&lt;&gt;0,$H106&gt;0,OR(AUTOEVENTO&lt;&gt;"manual",$M106&lt;&gt;$A$15)),
        IF(Import.TipoArredondamento&lt;&gt;"TransfereGOV",
              ROUND(OFFSET($P106,0,AT$13),15-13*ORÇAMENTO!$AF$7)/$H106*OFFSET(ORÇAMENTO!$X$15,ROW(AT106)-ROW(AT$15),0),
              ROUND(ROUND(OFFSET($P106,0,AT$13),15-13*ORÇAMENTO!$AF$7)*OFFSET(ORÇAMENTO!$W$15,ROW(AT106)-ROW(AT$15),0),15-13*ORÇAMENTO!$AF$11)),
         0)</f>
        <v>0</v>
      </c>
      <c r="AU106" s="453">
        <f ca="1">IF(AND($D106="Serviço",AU$12&lt;&gt;0,$H106&gt;0,OR(AUTOEVENTO&lt;&gt;"manual",$M106&lt;&gt;$A$15)),
        IF(Import.TipoArredondamento&lt;&gt;"TransfereGOV",
              ROUND(OFFSET($P106,0,AU$13),15-13*ORÇAMENTO!$AF$7)/$H106*OFFSET(ORÇAMENTO!$X$15,ROW(AU106)-ROW(AU$15),0),
              ROUND(ROUND(OFFSET($P106,0,AU$13),15-13*ORÇAMENTO!$AF$7)*OFFSET(ORÇAMENTO!$W$15,ROW(AU106)-ROW(AU$15),0),15-13*ORÇAMENTO!$AF$11)),
         0)</f>
        <v>0</v>
      </c>
      <c r="AV106" s="453">
        <f ca="1">IF(AND($D106="Serviço",AV$12&lt;&gt;0,$H106&gt;0,OR(AUTOEVENTO&lt;&gt;"manual",$M106&lt;&gt;$A$15)),
        IF(Import.TipoArredondamento&lt;&gt;"TransfereGOV",
              ROUND(OFFSET($P106,0,AV$13),15-13*ORÇAMENTO!$AF$7)/$H106*OFFSET(ORÇAMENTO!$X$15,ROW(AV106)-ROW(AV$15),0),
              ROUND(ROUND(OFFSET($P106,0,AV$13),15-13*ORÇAMENTO!$AF$7)*OFFSET(ORÇAMENTO!$W$15,ROW(AV106)-ROW(AV$15),0),15-13*ORÇAMENTO!$AF$11)),
         0)</f>
        <v>0</v>
      </c>
      <c r="AW106" s="453">
        <f ca="1">IF(AND($D106="Serviço",AW$12&lt;&gt;0,$H106&gt;0,OR(AUTOEVENTO&lt;&gt;"manual",$M106&lt;&gt;$A$15)),
        IF(Import.TipoArredondamento&lt;&gt;"TransfereGOV",
              ROUND(OFFSET($P106,0,AW$13),15-13*ORÇAMENTO!$AF$7)/$H106*OFFSET(ORÇAMENTO!$X$15,ROW(AW106)-ROW(AW$15),0),
              ROUND(ROUND(OFFSET($P106,0,AW$13),15-13*ORÇAMENTO!$AF$7)*OFFSET(ORÇAMENTO!$W$15,ROW(AW106)-ROW(AW$15),0),15-13*ORÇAMENTO!$AF$11)),
         0)</f>
        <v>0</v>
      </c>
      <c r="AX106" s="453">
        <f ca="1">IF(AND($D106="Serviço",AX$12&lt;&gt;0,$H106&gt;0,OR(AUTOEVENTO&lt;&gt;"manual",$M106&lt;&gt;$A$15)),
        IF(Import.TipoArredondamento&lt;&gt;"TransfereGOV",
              ROUND(OFFSET($P106,0,AX$13),15-13*ORÇAMENTO!$AF$7)/$H106*OFFSET(ORÇAMENTO!$X$15,ROW(AX106)-ROW(AX$15),0),
              ROUND(ROUND(OFFSET($P106,0,AX$13),15-13*ORÇAMENTO!$AF$7)*OFFSET(ORÇAMENTO!$W$15,ROW(AX106)-ROW(AX$15),0),15-13*ORÇAMENTO!$AF$11)),
         0)</f>
        <v>0</v>
      </c>
      <c r="AY106" s="453">
        <f ca="1">IF(AND($D106="Serviço",AY$12&lt;&gt;0,$H106&gt;0,OR(AUTOEVENTO&lt;&gt;"manual",$M106&lt;&gt;$A$15)),
        IF(Import.TipoArredondamento&lt;&gt;"TransfereGOV",
              ROUND(OFFSET($P106,0,AY$13),15-13*ORÇAMENTO!$AF$7)/$H106*OFFSET(ORÇAMENTO!$X$15,ROW(AY106)-ROW(AY$15),0),
              ROUND(ROUND(OFFSET($P106,0,AY$13),15-13*ORÇAMENTO!$AF$7)*OFFSET(ORÇAMENTO!$W$15,ROW(AY106)-ROW(AY$15),0),15-13*ORÇAMENTO!$AF$11)),
         0)</f>
        <v>0</v>
      </c>
      <c r="AZ106" s="453">
        <f ca="1">IF(AND($D106="Serviço",AZ$12&lt;&gt;0,$H106&gt;0,OR(AUTOEVENTO&lt;&gt;"manual",$M106&lt;&gt;$A$15)),
        IF(Import.TipoArredondamento&lt;&gt;"TransfereGOV",
              ROUND(OFFSET($P106,0,AZ$13),15-13*ORÇAMENTO!$AF$7)/$H106*OFFSET(ORÇAMENTO!$X$15,ROW(AZ106)-ROW(AZ$15),0),
              ROUND(ROUND(OFFSET($P106,0,AZ$13),15-13*ORÇAMENTO!$AF$7)*OFFSET(ORÇAMENTO!$W$15,ROW(AZ106)-ROW(AZ$15),0),15-13*ORÇAMENTO!$AF$11)),
         0)</f>
        <v>0</v>
      </c>
      <c r="BA106" s="453">
        <f ca="1">IF(AND($D106="Serviço",BA$12&lt;&gt;0,$H106&gt;0,OR(AUTOEVENTO&lt;&gt;"manual",$M106&lt;&gt;$A$15)),
        IF(Import.TipoArredondamento&lt;&gt;"TransfereGOV",
              ROUND(OFFSET($P106,0,BA$13),15-13*ORÇAMENTO!$AF$7)/$H106*OFFSET(ORÇAMENTO!$X$15,ROW(BA106)-ROW(BA$15),0),
              ROUND(ROUND(OFFSET($P106,0,BA$13),15-13*ORÇAMENTO!$AF$7)*OFFSET(ORÇAMENTO!$W$15,ROW(BA106)-ROW(BA$15),0),15-13*ORÇAMENTO!$AF$11)),
         0)</f>
        <v>0</v>
      </c>
      <c r="BC106" s="171">
        <f ca="1">IF(OR($D106&lt;&gt;"Serviço",AND(AUTOEVENTO="Manual",$M106=$A$15)),0,
         IF(OFFSET(CRONOPLE!$F$15,$M106-$A$15,BC$13)=0,10^12,OFFSET(CRONOPLE!$F$15,$M106-$A$15,BC$13)))</f>
        <v>1000000000000</v>
      </c>
      <c r="BD106" s="171">
        <f ca="1">IF(OR($D106&lt;&gt;"Serviço",AND(AUTOEVENTO="Manual",$M106=$A$15)),0,
         IF(OFFSET(CRONOPLE!$F$15,$M106-$A$15,BD$13)=0,10^12,OFFSET(CRONOPLE!$F$15,$M106-$A$15,BD$13)))</f>
        <v>1000000000000</v>
      </c>
      <c r="BE106" s="171">
        <f ca="1">IF(OR($D106&lt;&gt;"Serviço",AND(AUTOEVENTO="Manual",$M106=$A$15)),0,
         IF(OFFSET(CRONOPLE!$F$15,$M106-$A$15,BE$13)=0,10^12,OFFSET(CRONOPLE!$F$15,$M106-$A$15,BE$13)))</f>
        <v>7</v>
      </c>
      <c r="BF106" s="171">
        <f ca="1">IF(OR($D106&lt;&gt;"Serviço",AND(AUTOEVENTO="Manual",$M106=$A$15)),0,
         IF(OFFSET(CRONOPLE!$F$15,$M106-$A$15,BF$13)=0,10^12,OFFSET(CRONOPLE!$F$15,$M106-$A$15,BF$13)))</f>
        <v>11</v>
      </c>
      <c r="BG106" s="171">
        <f ca="1">IF(OR($D106&lt;&gt;"Serviço",AND(AUTOEVENTO="Manual",$M106=$A$15)),0,
         IF(OFFSET(CRONOPLE!$F$15,$M106-$A$15,BG$13)=0,10^12,OFFSET(CRONOPLE!$F$15,$M106-$A$15,BG$13)))</f>
        <v>1000000000000</v>
      </c>
      <c r="BH106" s="171">
        <f ca="1">IF(OR($D106&lt;&gt;"Serviço",AND(AUTOEVENTO="Manual",$M106=$A$15)),0,
         IF(OFFSET(CRONOPLE!$F$15,$M106-$A$15,BH$13)=0,10^12,OFFSET(CRONOPLE!$F$15,$M106-$A$15,BH$13)))</f>
        <v>8</v>
      </c>
      <c r="BI106" s="171">
        <f ca="1">IF(OR($D106&lt;&gt;"Serviço",AND(AUTOEVENTO="Manual",$M106=$A$15)),0,
         IF(OFFSET(CRONOPLE!$F$15,$M106-$A$15,BI$13)=0,10^12,OFFSET(CRONOPLE!$F$15,$M106-$A$15,BI$13)))</f>
        <v>1000000000000</v>
      </c>
      <c r="BJ106" s="171">
        <f ca="1">IF(OR($D106&lt;&gt;"Serviço",AND(AUTOEVENTO="Manual",$M106=$A$15)),0,
         IF(OFFSET(CRONOPLE!$F$15,$M106-$A$15,BJ$13)=0,10^12,OFFSET(CRONOPLE!$F$15,$M106-$A$15,BJ$13)))</f>
        <v>1000000000000</v>
      </c>
      <c r="BK106" s="171">
        <f ca="1">IF(OR($D106&lt;&gt;"Serviço",AND(AUTOEVENTO="Manual",$M106=$A$15)),0,
         IF(OFFSET(CRONOPLE!$F$15,$M106-$A$15,BK$13)=0,10^12,OFFSET(CRONOPLE!$F$15,$M106-$A$15,BK$13)))</f>
        <v>1000000000000</v>
      </c>
      <c r="BL106" s="171">
        <f ca="1">IF(OR($D106&lt;&gt;"Serviço",AND(AUTOEVENTO="Manual",$M106=$A$15)),0,
         IF(OFFSET(CRONOPLE!$F$15,$M106-$A$15,BL$13)=0,10^12,OFFSET(CRONOPLE!$F$15,$M106-$A$15,BL$13)))</f>
        <v>1000000000000</v>
      </c>
      <c r="BM106" s="171">
        <f ca="1">IF(OR($D106&lt;&gt;"Serviço",AND(AUTOEVENTO="Manual",$M106=$A$15)),0,
         IF(OFFSET(CRONOPLE!$F$15,$M106-$A$15,BM$13)=0,10^12,OFFSET(CRONOPLE!$F$15,$M106-$A$15,BM$13)))</f>
        <v>1000000000000</v>
      </c>
      <c r="BN106" s="171">
        <f ca="1">IF(OR($D106&lt;&gt;"Serviço",AND(AUTOEVENTO="Manual",$M106=$A$15)),0,
         IF(OFFSET(CRONOPLE!$F$15,$M106-$A$15,BN$13)=0,10^12,OFFSET(CRONOPLE!$F$15,$M106-$A$15,BN$13)))</f>
        <v>1000000000000</v>
      </c>
      <c r="BO106" s="171">
        <f ca="1">IF(OR($D106&lt;&gt;"Serviço",AND(AUTOEVENTO="Manual",$M106=$A$15)),0,
         IF(OFFSET(CRONOPLE!$F$15,$M106-$A$15,BO$13)=0,10^12,OFFSET(CRONOPLE!$F$15,$M106-$A$15,BO$13)))</f>
        <v>1000000000000</v>
      </c>
      <c r="BP106" s="171">
        <f ca="1">IF(OR($D106&lt;&gt;"Serviço",AND(AUTOEVENTO="Manual",$M106=$A$15)),0,
         IF(OFFSET(CRONOPLE!$F$15,$M106-$A$15,BP$13)=0,10^12,OFFSET(CRONOPLE!$F$15,$M106-$A$15,BP$13)))</f>
        <v>1000000000000</v>
      </c>
      <c r="BQ106" s="171">
        <f ca="1">IF(OR($D106&lt;&gt;"Serviço",AND(AUTOEVENTO="Manual",$M106=$A$15)),0,
         IF(OFFSET(CRONOPLE!$F$15,$M106-$A$15,BQ$13)=0,10^12,OFFSET(CRONOPLE!$F$15,$M106-$A$15,BQ$13)))</f>
        <v>1000000000000</v>
      </c>
      <c r="BR106" s="171">
        <f ca="1">IF(OR($D106&lt;&gt;"Serviço",AND(AUTOEVENTO="Manual",$M106=$A$15)),0,
         IF(OFFSET(CRONOPLE!$F$15,$M106-$A$15,BR$13)=0,10^12,OFFSET(CRONOPLE!$F$15,$M106-$A$15,BR$13)))</f>
        <v>1000000000000</v>
      </c>
      <c r="BS106" s="171">
        <f ca="1">IF(OR($D106&lt;&gt;"Serviço",AND(AUTOEVENTO="Manual",$M106=$A$15)),0,
         IF(OFFSET(CRONOPLE!$F$15,$M106-$A$15,BS$13)=0,10^12,OFFSET(CRONOPLE!$F$15,$M106-$A$15,BS$13)))</f>
        <v>1000000000000</v>
      </c>
      <c r="BT106" s="171">
        <f ca="1">IF(OR($D106&lt;&gt;"Serviço",AND(AUTOEVENTO="Manual",$M106=$A$15)),0,
         IF(OFFSET(CRONOPLE!$F$15,$M106-$A$15,BT$13)=0,10^12,OFFSET(CRONOPLE!$F$15,$M106-$A$15,BT$13)))</f>
        <v>1000000000000</v>
      </c>
      <c r="BV106" s="172" cm="1">
        <f t="array" aca="1" ref="BV106" ca="1">IF(OR($D106&lt;&gt;"Serviço",AND(AUTOEVENTO="Manual",$M106=$A$15),$M106&gt;(ROW(PLE.lastrow)-ROW(PLE.firstrow))),0,
           IF(OFFSET(PLE!$G$15,$M106-$A$15,BV$13)="",10^12,OFFSET(PLE!$G$15,$M106-$A$15,BV$13)))</f>
        <v>1000000000000</v>
      </c>
      <c r="BW106" s="172" cm="1">
        <f t="array" aca="1" ref="BW106" ca="1">IF(OR($D106&lt;&gt;"Serviço",AND(AUTOEVENTO="Manual",$M106=$A$15),$M106&gt;(ROW(PLE.lastrow)-ROW(PLE.firstrow))),0,
           IF(OFFSET(PLE!$G$15,$M106-$A$15,BW$13)="",10^12,OFFSET(PLE!$G$15,$M106-$A$15,BW$13)))</f>
        <v>1000000000000</v>
      </c>
      <c r="BX106" s="172" cm="1">
        <f t="array" aca="1" ref="BX106" ca="1">IF(OR($D106&lt;&gt;"Serviço",AND(AUTOEVENTO="Manual",$M106=$A$15),$M106&gt;(ROW(PLE.lastrow)-ROW(PLE.firstrow))),0,
           IF(OFFSET(PLE!$G$15,$M106-$A$15,BX$13)="",10^12,OFFSET(PLE!$G$15,$M106-$A$15,BX$13)))</f>
        <v>1000000000000</v>
      </c>
      <c r="BY106" s="172" cm="1">
        <f t="array" aca="1" ref="BY106" ca="1">IF(OR($D106&lt;&gt;"Serviço",AND(AUTOEVENTO="Manual",$M106=$A$15),$M106&gt;(ROW(PLE.lastrow)-ROW(PLE.firstrow))),0,
           IF(OFFSET(PLE!$G$15,$M106-$A$15,BY$13)="",10^12,OFFSET(PLE!$G$15,$M106-$A$15,BY$13)))</f>
        <v>1000000000000</v>
      </c>
      <c r="BZ106" s="172" cm="1">
        <f t="array" aca="1" ref="BZ106" ca="1">IF(OR($D106&lt;&gt;"Serviço",AND(AUTOEVENTO="Manual",$M106=$A$15),$M106&gt;(ROW(PLE.lastrow)-ROW(PLE.firstrow))),0,
           IF(OFFSET(PLE!$G$15,$M106-$A$15,BZ$13)="",10^12,OFFSET(PLE!$G$15,$M106-$A$15,BZ$13)))</f>
        <v>1000000000000</v>
      </c>
      <c r="CA106" s="172" cm="1">
        <f t="array" aca="1" ref="CA106" ca="1">IF(OR($D106&lt;&gt;"Serviço",AND(AUTOEVENTO="Manual",$M106=$A$15),$M106&gt;(ROW(PLE.lastrow)-ROW(PLE.firstrow))),0,
           IF(OFFSET(PLE!$G$15,$M106-$A$15,CA$13)="",10^12,OFFSET(PLE!$G$15,$M106-$A$15,CA$13)))</f>
        <v>1000000000000</v>
      </c>
      <c r="CB106" s="172" cm="1">
        <f t="array" aca="1" ref="CB106" ca="1">IF(OR($D106&lt;&gt;"Serviço",AND(AUTOEVENTO="Manual",$M106=$A$15),$M106&gt;(ROW(PLE.lastrow)-ROW(PLE.firstrow))),0,
           IF(OFFSET(PLE!$G$15,$M106-$A$15,CB$13)="",10^12,OFFSET(PLE!$G$15,$M106-$A$15,CB$13)))</f>
        <v>1000000000000</v>
      </c>
      <c r="CC106" s="172" cm="1">
        <f t="array" aca="1" ref="CC106" ca="1">IF(OR($D106&lt;&gt;"Serviço",AND(AUTOEVENTO="Manual",$M106=$A$15),$M106&gt;(ROW(PLE.lastrow)-ROW(PLE.firstrow))),0,
           IF(OFFSET(PLE!$G$15,$M106-$A$15,CC$13)="",10^12,OFFSET(PLE!$G$15,$M106-$A$15,CC$13)))</f>
        <v>1000000000000</v>
      </c>
      <c r="CD106" s="172" cm="1">
        <f t="array" aca="1" ref="CD106" ca="1">IF(OR($D106&lt;&gt;"Serviço",AND(AUTOEVENTO="Manual",$M106=$A$15),$M106&gt;(ROW(PLE.lastrow)-ROW(PLE.firstrow))),0,
           IF(OFFSET(PLE!$G$15,$M106-$A$15,CD$13)="",10^12,OFFSET(PLE!$G$15,$M106-$A$15,CD$13)))</f>
        <v>1000000000000</v>
      </c>
      <c r="CE106" s="172" cm="1">
        <f t="array" aca="1" ref="CE106" ca="1">IF(OR($D106&lt;&gt;"Serviço",AND(AUTOEVENTO="Manual",$M106=$A$15),$M106&gt;(ROW(PLE.lastrow)-ROW(PLE.firstrow))),0,
           IF(OFFSET(PLE!$G$15,$M106-$A$15,CE$13)="",10^12,OFFSET(PLE!$G$15,$M106-$A$15,CE$13)))</f>
        <v>1000000000000</v>
      </c>
      <c r="CF106" s="172" cm="1">
        <f t="array" aca="1" ref="CF106" ca="1">IF(OR($D106&lt;&gt;"Serviço",AND(AUTOEVENTO="Manual",$M106=$A$15),$M106&gt;(ROW(PLE.lastrow)-ROW(PLE.firstrow))),0,
           IF(OFFSET(PLE!$G$15,$M106-$A$15,CF$13)="",10^12,OFFSET(PLE!$G$15,$M106-$A$15,CF$13)))</f>
        <v>1000000000000</v>
      </c>
      <c r="CG106" s="172" cm="1">
        <f t="array" aca="1" ref="CG106" ca="1">IF(OR($D106&lt;&gt;"Serviço",AND(AUTOEVENTO="Manual",$M106=$A$15),$M106&gt;(ROW(PLE.lastrow)-ROW(PLE.firstrow))),0,
           IF(OFFSET(PLE!$G$15,$M106-$A$15,CG$13)="",10^12,OFFSET(PLE!$G$15,$M106-$A$15,CG$13)))</f>
        <v>1000000000000</v>
      </c>
      <c r="CH106" s="172" cm="1">
        <f t="array" aca="1" ref="CH106" ca="1">IF(OR($D106&lt;&gt;"Serviço",AND(AUTOEVENTO="Manual",$M106=$A$15),$M106&gt;(ROW(PLE.lastrow)-ROW(PLE.firstrow))),0,
           IF(OFFSET(PLE!$G$15,$M106-$A$15,CH$13)="",10^12,OFFSET(PLE!$G$15,$M106-$A$15,CH$13)))</f>
        <v>1000000000000</v>
      </c>
      <c r="CI106" s="172" cm="1">
        <f t="array" aca="1" ref="CI106" ca="1">IF(OR($D106&lt;&gt;"Serviço",AND(AUTOEVENTO="Manual",$M106=$A$15),$M106&gt;(ROW(PLE.lastrow)-ROW(PLE.firstrow))),0,
           IF(OFFSET(PLE!$G$15,$M106-$A$15,CI$13)="",10^12,OFFSET(PLE!$G$15,$M106-$A$15,CI$13)))</f>
        <v>1000000000000</v>
      </c>
      <c r="CJ106" s="172" cm="1">
        <f t="array" aca="1" ref="CJ106" ca="1">IF(OR($D106&lt;&gt;"Serviço",AND(AUTOEVENTO="Manual",$M106=$A$15),$M106&gt;(ROW(PLE.lastrow)-ROW(PLE.firstrow))),0,
           IF(OFFSET(PLE!$G$15,$M106-$A$15,CJ$13)="",10^12,OFFSET(PLE!$G$15,$M106-$A$15,CJ$13)))</f>
        <v>1000000000000</v>
      </c>
      <c r="CK106" s="172" cm="1">
        <f t="array" aca="1" ref="CK106" ca="1">IF(OR($D106&lt;&gt;"Serviço",AND(AUTOEVENTO="Manual",$M106=$A$15),$M106&gt;(ROW(PLE.lastrow)-ROW(PLE.firstrow))),0,
           IF(OFFSET(PLE!$G$15,$M106-$A$15,CK$13)="",10^12,OFFSET(PLE!$G$15,$M106-$A$15,CK$13)))</f>
        <v>1000000000000</v>
      </c>
      <c r="CL106" s="172" cm="1">
        <f t="array" aca="1" ref="CL106" ca="1">IF(OR($D106&lt;&gt;"Serviço",AND(AUTOEVENTO="Manual",$M106=$A$15),$M106&gt;(ROW(PLE.lastrow)-ROW(PLE.firstrow))),0,
           IF(OFFSET(PLE!$G$15,$M106-$A$15,CL$13)="",10^12,OFFSET(PLE!$G$15,$M106-$A$15,CL$13)))</f>
        <v>1000000000000</v>
      </c>
      <c r="CM106" s="172" cm="1">
        <f t="array" aca="1" ref="CM106" ca="1">IF(OR($D106&lt;&gt;"Serviço",AND(AUTOEVENTO="Manual",$M106=$A$15),$M106&gt;(ROW(PLE.lastrow)-ROW(PLE.firstrow))),0,
           IF(OFFSET(PLE!$G$15,$M106-$A$15,CM$13)="",10^12,OFFSET(PLE!$G$15,$M106-$A$15,CM$13)))</f>
        <v>1000000000000</v>
      </c>
    </row>
    <row r="107" spans="1:91" s="670" customFormat="1" ht="12.75" x14ac:dyDescent="0.2">
      <c r="A107" s="668">
        <f t="shared" ca="1" si="12"/>
        <v>15</v>
      </c>
      <c r="B107" s="668" t="str">
        <f ca="1">OFFSET(ORÇAMENTO!C$15,$L107,0)</f>
        <v>S</v>
      </c>
      <c r="C107" s="668" t="str">
        <f ca="1">OFFSET(ORÇAMENTO!L$15,$L107,0)</f>
        <v>F</v>
      </c>
      <c r="D107" s="116" t="str">
        <f ca="1">OFFSET(ORÇAMENTO!N$15,$L107,0)</f>
        <v>Serviço</v>
      </c>
      <c r="E107" s="117" t="str">
        <f ca="1">OFFSET(ORÇAMENTO!O$15,$L107,0)</f>
        <v>1.14.2.</v>
      </c>
      <c r="F107" s="163" t="str">
        <f ca="1">OFFSET(ORÇAMENTO!R$15,$L107,0)</f>
        <v>CORTE E DOBRA DE AÇO CA-25, DIÂMETRO DE 20,0 MM. AF_06/2022</v>
      </c>
      <c r="G107" s="164" t="str">
        <f ca="1">IF($D107&lt;&gt;"Serviço","",OFFSET(ORÇAMENTO!S$15,$L107,0))</f>
        <v>KG</v>
      </c>
      <c r="H107" s="122" cm="1">
        <f t="array" aca="1" ref="H107" ca="1">IF($D107&lt;&gt;"Serviço",0,IF(ACOMPANHAMENTO="BM",ROUND(OFFSET(ORÇAMENTO!AJ$15,$L107,0),15-13*ORÇAMENTO!$AF$7),IF(IFERROR(CÁLCULO.FrentesPreenchidas,0)=0,0,SUM(ROUND(OFFSET($P107,0,1,1,CÁLCULO.FrentesPreenchidas),15-13*ORÇAMENTO!$AF$7)))))</f>
        <v>720</v>
      </c>
      <c r="I107" s="468" t="s">
        <v>1173</v>
      </c>
      <c r="J107" s="651" t="str" cm="1">
        <f t="array" aca="1" ref="J107" ca="1">IF(OR(B107&lt;&gt;"S",CÁLCULO.FrentesPreenchidas=0),"",IF(AND(ACOMPANHAMENTO="PLE",AUTOEVENTO="Manual",OR(H107&gt;0,ORÇAMENTO!AC107="QUANT."),OR(K107="",M107=0,N107="")),"►E",IF(AND(ACOMPANHAMENTO="PLE",ORÇAMENTO!AC107="QUANT."),"►Q",IF(AND(ACOMPANHAMENTO="PLE",H107&lt;&gt;SUMPRODUCT(($Q$1:$AI$1=1)*ROUND(Q107:AI107,15))),"►S",IF(AND(COUNTIF($P$11:$AI$11,"▼")=0,H107&gt;0,I107=""),"◄M","")))))</f>
        <v/>
      </c>
      <c r="K107" s="652" t="s">
        <v>1356</v>
      </c>
      <c r="L107" s="165">
        <f t="shared" ca="1" si="13"/>
        <v>92</v>
      </c>
      <c r="M107" s="166">
        <f ca="1">IF($D107&lt;&gt;"Serviço","",
          IF(AUTOEVENTO="manual",$A107,
                IF(ISERROR(MATCH($A107,$A$15:OFFSET($A107,-1,0),0)),MAX($M$15:OFFSET(M107,-1,0))+1,
                      INDEX($M$15:OFFSET(M107,-1,0),MATCH($A107,$A$15:OFFSET($A107,-1,0),0)))))</f>
        <v>15</v>
      </c>
      <c r="N107" s="167" t="str">
        <f ca="1">IF($D107&lt;&gt;"Serviço","",
         IF(AUTOEVENTO="Manual",
                IF($A107=0,"&lt;-- defina o número do agrupador",
                       OFFSET(EVENTOS!$D$15,$A107-$A$15,0)),
                OFFSET($F$15,$A107,0)))</f>
        <v>Estrutura - Armadura</v>
      </c>
      <c r="O107" s="168"/>
      <c r="Q107" s="168"/>
      <c r="R107" s="169"/>
      <c r="S107" s="169"/>
      <c r="T107" s="169"/>
      <c r="U107" s="169"/>
      <c r="V107" s="169">
        <v>720</v>
      </c>
      <c r="W107" s="169"/>
      <c r="X107" s="169"/>
      <c r="Y107" s="169"/>
      <c r="Z107" s="170"/>
      <c r="AA107" s="705"/>
      <c r="AB107" s="705"/>
      <c r="AC107" s="705"/>
      <c r="AD107" s="705"/>
      <c r="AE107" s="705"/>
      <c r="AF107" s="705"/>
      <c r="AG107" s="705"/>
      <c r="AH107" s="706"/>
      <c r="AJ107" s="453">
        <f ca="1">IF(AND($D107="Serviço",AJ$12&lt;&gt;0,$H107&gt;0,OR(AUTOEVENTO&lt;&gt;"manual",$M107&lt;&gt;$A$15)),
        IF(Import.TipoArredondamento&lt;&gt;"TransfereGOV",
              ROUND(OFFSET($P107,0,AJ$13),15-13*ORÇAMENTO!$AF$7)/$H107*OFFSET(ORÇAMENTO!$X$15,ROW(AJ107)-ROW(AJ$15),0),
              ROUND(ROUND(OFFSET($P107,0,AJ$13),15-13*ORÇAMENTO!$AF$7)*OFFSET(ORÇAMENTO!$W$15,ROW(AJ107)-ROW(AJ$15),0),15-13*ORÇAMENTO!$AF$11)),
         0)</f>
        <v>0</v>
      </c>
      <c r="AK107" s="453">
        <f ca="1">IF(AND($D107="Serviço",AK$12&lt;&gt;0,$H107&gt;0,OR(AUTOEVENTO&lt;&gt;"manual",$M107&lt;&gt;$A$15)),
        IF(Import.TipoArredondamento&lt;&gt;"TransfereGOV",
              ROUND(OFFSET($P107,0,AK$13),15-13*ORÇAMENTO!$AF$7)/$H107*OFFSET(ORÇAMENTO!$X$15,ROW(AK107)-ROW(AK$15),0),
              ROUND(ROUND(OFFSET($P107,0,AK$13),15-13*ORÇAMENTO!$AF$7)*OFFSET(ORÇAMENTO!$W$15,ROW(AK107)-ROW(AK$15),0),15-13*ORÇAMENTO!$AF$11)),
         0)</f>
        <v>0</v>
      </c>
      <c r="AL107" s="453">
        <f ca="1">IF(AND($D107="Serviço",AL$12&lt;&gt;0,$H107&gt;0,OR(AUTOEVENTO&lt;&gt;"manual",$M107&lt;&gt;$A$15)),
        IF(Import.TipoArredondamento&lt;&gt;"TransfereGOV",
              ROUND(OFFSET($P107,0,AL$13),15-13*ORÇAMENTO!$AF$7)/$H107*OFFSET(ORÇAMENTO!$X$15,ROW(AL107)-ROW(AL$15),0),
              ROUND(ROUND(OFFSET($P107,0,AL$13),15-13*ORÇAMENTO!$AF$7)*OFFSET(ORÇAMENTO!$W$15,ROW(AL107)-ROW(AL$15),0),15-13*ORÇAMENTO!$AF$11)),
         0)</f>
        <v>0</v>
      </c>
      <c r="AM107" s="453">
        <f ca="1">IF(AND($D107="Serviço",AM$12&lt;&gt;0,$H107&gt;0,OR(AUTOEVENTO&lt;&gt;"manual",$M107&lt;&gt;$A$15)),
        IF(Import.TipoArredondamento&lt;&gt;"TransfereGOV",
              ROUND(OFFSET($P107,0,AM$13),15-13*ORÇAMENTO!$AF$7)/$H107*OFFSET(ORÇAMENTO!$X$15,ROW(AM107)-ROW(AM$15),0),
              ROUND(ROUND(OFFSET($P107,0,AM$13),15-13*ORÇAMENTO!$AF$7)*OFFSET(ORÇAMENTO!$W$15,ROW(AM107)-ROW(AM$15),0),15-13*ORÇAMENTO!$AF$11)),
         0)</f>
        <v>0</v>
      </c>
      <c r="AN107" s="453">
        <f ca="1">IF(AND($D107="Serviço",AN$12&lt;&gt;0,$H107&gt;0,OR(AUTOEVENTO&lt;&gt;"manual",$M107&lt;&gt;$A$15)),
        IF(Import.TipoArredondamento&lt;&gt;"TransfereGOV",
              ROUND(OFFSET($P107,0,AN$13),15-13*ORÇAMENTO!$AF$7)/$H107*OFFSET(ORÇAMENTO!$X$15,ROW(AN107)-ROW(AN$15),0),
              ROUND(ROUND(OFFSET($P107,0,AN$13),15-13*ORÇAMENTO!$AF$7)*OFFSET(ORÇAMENTO!$W$15,ROW(AN107)-ROW(AN$15),0),15-13*ORÇAMENTO!$AF$11)),
         0)</f>
        <v>0</v>
      </c>
      <c r="AO107" s="453">
        <f ca="1">IF(AND($D107="Serviço",AO$12&lt;&gt;0,$H107&gt;0,OR(AUTOEVENTO&lt;&gt;"manual",$M107&lt;&gt;$A$15)),
        IF(Import.TipoArredondamento&lt;&gt;"TransfereGOV",
              ROUND(OFFSET($P107,0,AO$13),15-13*ORÇAMENTO!$AF$7)/$H107*OFFSET(ORÇAMENTO!$X$15,ROW(AO107)-ROW(AO$15),0),
              ROUND(ROUND(OFFSET($P107,0,AO$13),15-13*ORÇAMENTO!$AF$7)*OFFSET(ORÇAMENTO!$W$15,ROW(AO107)-ROW(AO$15),0),15-13*ORÇAMENTO!$AF$11)),
         0)</f>
        <v>7567.2</v>
      </c>
      <c r="AP107" s="453">
        <f ca="1">IF(AND($D107="Serviço",AP$12&lt;&gt;0,$H107&gt;0,OR(AUTOEVENTO&lt;&gt;"manual",$M107&lt;&gt;$A$15)),
        IF(Import.TipoArredondamento&lt;&gt;"TransfereGOV",
              ROUND(OFFSET($P107,0,AP$13),15-13*ORÇAMENTO!$AF$7)/$H107*OFFSET(ORÇAMENTO!$X$15,ROW(AP107)-ROW(AP$15),0),
              ROUND(ROUND(OFFSET($P107,0,AP$13),15-13*ORÇAMENTO!$AF$7)*OFFSET(ORÇAMENTO!$W$15,ROW(AP107)-ROW(AP$15),0),15-13*ORÇAMENTO!$AF$11)),
         0)</f>
        <v>0</v>
      </c>
      <c r="AQ107" s="453">
        <f ca="1">IF(AND($D107="Serviço",AQ$12&lt;&gt;0,$H107&gt;0,OR(AUTOEVENTO&lt;&gt;"manual",$M107&lt;&gt;$A$15)),
        IF(Import.TipoArredondamento&lt;&gt;"TransfereGOV",
              ROUND(OFFSET($P107,0,AQ$13),15-13*ORÇAMENTO!$AF$7)/$H107*OFFSET(ORÇAMENTO!$X$15,ROW(AQ107)-ROW(AQ$15),0),
              ROUND(ROUND(OFFSET($P107,0,AQ$13),15-13*ORÇAMENTO!$AF$7)*OFFSET(ORÇAMENTO!$W$15,ROW(AQ107)-ROW(AQ$15),0),15-13*ORÇAMENTO!$AF$11)),
         0)</f>
        <v>0</v>
      </c>
      <c r="AR107" s="453">
        <f ca="1">IF(AND($D107="Serviço",AR$12&lt;&gt;0,$H107&gt;0,OR(AUTOEVENTO&lt;&gt;"manual",$M107&lt;&gt;$A$15)),
        IF(Import.TipoArredondamento&lt;&gt;"TransfereGOV",
              ROUND(OFFSET($P107,0,AR$13),15-13*ORÇAMENTO!$AF$7)/$H107*OFFSET(ORÇAMENTO!$X$15,ROW(AR107)-ROW(AR$15),0),
              ROUND(ROUND(OFFSET($P107,0,AR$13),15-13*ORÇAMENTO!$AF$7)*OFFSET(ORÇAMENTO!$W$15,ROW(AR107)-ROW(AR$15),0),15-13*ORÇAMENTO!$AF$11)),
         0)</f>
        <v>0</v>
      </c>
      <c r="AS107" s="453">
        <f ca="1">IF(AND($D107="Serviço",AS$12&lt;&gt;0,$H107&gt;0,OR(AUTOEVENTO&lt;&gt;"manual",$M107&lt;&gt;$A$15)),
        IF(Import.TipoArredondamento&lt;&gt;"TransfereGOV",
              ROUND(OFFSET($P107,0,AS$13),15-13*ORÇAMENTO!$AF$7)/$H107*OFFSET(ORÇAMENTO!$X$15,ROW(AS107)-ROW(AS$15),0),
              ROUND(ROUND(OFFSET($P107,0,AS$13),15-13*ORÇAMENTO!$AF$7)*OFFSET(ORÇAMENTO!$W$15,ROW(AS107)-ROW(AS$15),0),15-13*ORÇAMENTO!$AF$11)),
         0)</f>
        <v>0</v>
      </c>
      <c r="AT107" s="453">
        <f ca="1">IF(AND($D107="Serviço",AT$12&lt;&gt;0,$H107&gt;0,OR(AUTOEVENTO&lt;&gt;"manual",$M107&lt;&gt;$A$15)),
        IF(Import.TipoArredondamento&lt;&gt;"TransfereGOV",
              ROUND(OFFSET($P107,0,AT$13),15-13*ORÇAMENTO!$AF$7)/$H107*OFFSET(ORÇAMENTO!$X$15,ROW(AT107)-ROW(AT$15),0),
              ROUND(ROUND(OFFSET($P107,0,AT$13),15-13*ORÇAMENTO!$AF$7)*OFFSET(ORÇAMENTO!$W$15,ROW(AT107)-ROW(AT$15),0),15-13*ORÇAMENTO!$AF$11)),
         0)</f>
        <v>0</v>
      </c>
      <c r="AU107" s="453">
        <f ca="1">IF(AND($D107="Serviço",AU$12&lt;&gt;0,$H107&gt;0,OR(AUTOEVENTO&lt;&gt;"manual",$M107&lt;&gt;$A$15)),
        IF(Import.TipoArredondamento&lt;&gt;"TransfereGOV",
              ROUND(OFFSET($P107,0,AU$13),15-13*ORÇAMENTO!$AF$7)/$H107*OFFSET(ORÇAMENTO!$X$15,ROW(AU107)-ROW(AU$15),0),
              ROUND(ROUND(OFFSET($P107,0,AU$13),15-13*ORÇAMENTO!$AF$7)*OFFSET(ORÇAMENTO!$W$15,ROW(AU107)-ROW(AU$15),0),15-13*ORÇAMENTO!$AF$11)),
         0)</f>
        <v>0</v>
      </c>
      <c r="AV107" s="453">
        <f ca="1">IF(AND($D107="Serviço",AV$12&lt;&gt;0,$H107&gt;0,OR(AUTOEVENTO&lt;&gt;"manual",$M107&lt;&gt;$A$15)),
        IF(Import.TipoArredondamento&lt;&gt;"TransfereGOV",
              ROUND(OFFSET($P107,0,AV$13),15-13*ORÇAMENTO!$AF$7)/$H107*OFFSET(ORÇAMENTO!$X$15,ROW(AV107)-ROW(AV$15),0),
              ROUND(ROUND(OFFSET($P107,0,AV$13),15-13*ORÇAMENTO!$AF$7)*OFFSET(ORÇAMENTO!$W$15,ROW(AV107)-ROW(AV$15),0),15-13*ORÇAMENTO!$AF$11)),
         0)</f>
        <v>0</v>
      </c>
      <c r="AW107" s="453">
        <f ca="1">IF(AND($D107="Serviço",AW$12&lt;&gt;0,$H107&gt;0,OR(AUTOEVENTO&lt;&gt;"manual",$M107&lt;&gt;$A$15)),
        IF(Import.TipoArredondamento&lt;&gt;"TransfereGOV",
              ROUND(OFFSET($P107,0,AW$13),15-13*ORÇAMENTO!$AF$7)/$H107*OFFSET(ORÇAMENTO!$X$15,ROW(AW107)-ROW(AW$15),0),
              ROUND(ROUND(OFFSET($P107,0,AW$13),15-13*ORÇAMENTO!$AF$7)*OFFSET(ORÇAMENTO!$W$15,ROW(AW107)-ROW(AW$15),0),15-13*ORÇAMENTO!$AF$11)),
         0)</f>
        <v>0</v>
      </c>
      <c r="AX107" s="453">
        <f ca="1">IF(AND($D107="Serviço",AX$12&lt;&gt;0,$H107&gt;0,OR(AUTOEVENTO&lt;&gt;"manual",$M107&lt;&gt;$A$15)),
        IF(Import.TipoArredondamento&lt;&gt;"TransfereGOV",
              ROUND(OFFSET($P107,0,AX$13),15-13*ORÇAMENTO!$AF$7)/$H107*OFFSET(ORÇAMENTO!$X$15,ROW(AX107)-ROW(AX$15),0),
              ROUND(ROUND(OFFSET($P107,0,AX$13),15-13*ORÇAMENTO!$AF$7)*OFFSET(ORÇAMENTO!$W$15,ROW(AX107)-ROW(AX$15),0),15-13*ORÇAMENTO!$AF$11)),
         0)</f>
        <v>0</v>
      </c>
      <c r="AY107" s="453">
        <f ca="1">IF(AND($D107="Serviço",AY$12&lt;&gt;0,$H107&gt;0,OR(AUTOEVENTO&lt;&gt;"manual",$M107&lt;&gt;$A$15)),
        IF(Import.TipoArredondamento&lt;&gt;"TransfereGOV",
              ROUND(OFFSET($P107,0,AY$13),15-13*ORÇAMENTO!$AF$7)/$H107*OFFSET(ORÇAMENTO!$X$15,ROW(AY107)-ROW(AY$15),0),
              ROUND(ROUND(OFFSET($P107,0,AY$13),15-13*ORÇAMENTO!$AF$7)*OFFSET(ORÇAMENTO!$W$15,ROW(AY107)-ROW(AY$15),0),15-13*ORÇAMENTO!$AF$11)),
         0)</f>
        <v>0</v>
      </c>
      <c r="AZ107" s="453">
        <f ca="1">IF(AND($D107="Serviço",AZ$12&lt;&gt;0,$H107&gt;0,OR(AUTOEVENTO&lt;&gt;"manual",$M107&lt;&gt;$A$15)),
        IF(Import.TipoArredondamento&lt;&gt;"TransfereGOV",
              ROUND(OFFSET($P107,0,AZ$13),15-13*ORÇAMENTO!$AF$7)/$H107*OFFSET(ORÇAMENTO!$X$15,ROW(AZ107)-ROW(AZ$15),0),
              ROUND(ROUND(OFFSET($P107,0,AZ$13),15-13*ORÇAMENTO!$AF$7)*OFFSET(ORÇAMENTO!$W$15,ROW(AZ107)-ROW(AZ$15),0),15-13*ORÇAMENTO!$AF$11)),
         0)</f>
        <v>0</v>
      </c>
      <c r="BA107" s="453">
        <f ca="1">IF(AND($D107="Serviço",BA$12&lt;&gt;0,$H107&gt;0,OR(AUTOEVENTO&lt;&gt;"manual",$M107&lt;&gt;$A$15)),
        IF(Import.TipoArredondamento&lt;&gt;"TransfereGOV",
              ROUND(OFFSET($P107,0,BA$13),15-13*ORÇAMENTO!$AF$7)/$H107*OFFSET(ORÇAMENTO!$X$15,ROW(BA107)-ROW(BA$15),0),
              ROUND(ROUND(OFFSET($P107,0,BA$13),15-13*ORÇAMENTO!$AF$7)*OFFSET(ORÇAMENTO!$W$15,ROW(BA107)-ROW(BA$15),0),15-13*ORÇAMENTO!$AF$11)),
         0)</f>
        <v>0</v>
      </c>
      <c r="BC107" s="171">
        <f ca="1">IF(OR($D107&lt;&gt;"Serviço",AND(AUTOEVENTO="Manual",$M107=$A$15)),0,
         IF(OFFSET(CRONOPLE!$F$15,$M107-$A$15,BC$13)=0,10^12,OFFSET(CRONOPLE!$F$15,$M107-$A$15,BC$13)))</f>
        <v>1000000000000</v>
      </c>
      <c r="BD107" s="171">
        <f ca="1">IF(OR($D107&lt;&gt;"Serviço",AND(AUTOEVENTO="Manual",$M107=$A$15)),0,
         IF(OFFSET(CRONOPLE!$F$15,$M107-$A$15,BD$13)=0,10^12,OFFSET(CRONOPLE!$F$15,$M107-$A$15,BD$13)))</f>
        <v>1000000000000</v>
      </c>
      <c r="BE107" s="171">
        <f ca="1">IF(OR($D107&lt;&gt;"Serviço",AND(AUTOEVENTO="Manual",$M107=$A$15)),0,
         IF(OFFSET(CRONOPLE!$F$15,$M107-$A$15,BE$13)=0,10^12,OFFSET(CRONOPLE!$F$15,$M107-$A$15,BE$13)))</f>
        <v>1000000000000</v>
      </c>
      <c r="BF107" s="171">
        <f ca="1">IF(OR($D107&lt;&gt;"Serviço",AND(AUTOEVENTO="Manual",$M107=$A$15)),0,
         IF(OFFSET(CRONOPLE!$F$15,$M107-$A$15,BF$13)=0,10^12,OFFSET(CRONOPLE!$F$15,$M107-$A$15,BF$13)))</f>
        <v>1000000000000</v>
      </c>
      <c r="BG107" s="171">
        <f ca="1">IF(OR($D107&lt;&gt;"Serviço",AND(AUTOEVENTO="Manual",$M107=$A$15)),0,
         IF(OFFSET(CRONOPLE!$F$15,$M107-$A$15,BG$13)=0,10^12,OFFSET(CRONOPLE!$F$15,$M107-$A$15,BG$13)))</f>
        <v>1000000000000</v>
      </c>
      <c r="BH107" s="171">
        <f ca="1">IF(OR($D107&lt;&gt;"Serviço",AND(AUTOEVENTO="Manual",$M107=$A$15)),0,
         IF(OFFSET(CRONOPLE!$F$15,$M107-$A$15,BH$13)=0,10^12,OFFSET(CRONOPLE!$F$15,$M107-$A$15,BH$13)))</f>
        <v>8</v>
      </c>
      <c r="BI107" s="171">
        <f ca="1">IF(OR($D107&lt;&gt;"Serviço",AND(AUTOEVENTO="Manual",$M107=$A$15)),0,
         IF(OFFSET(CRONOPLE!$F$15,$M107-$A$15,BI$13)=0,10^12,OFFSET(CRONOPLE!$F$15,$M107-$A$15,BI$13)))</f>
        <v>1000000000000</v>
      </c>
      <c r="BJ107" s="171">
        <f ca="1">IF(OR($D107&lt;&gt;"Serviço",AND(AUTOEVENTO="Manual",$M107=$A$15)),0,
         IF(OFFSET(CRONOPLE!$F$15,$M107-$A$15,BJ$13)=0,10^12,OFFSET(CRONOPLE!$F$15,$M107-$A$15,BJ$13)))</f>
        <v>1000000000000</v>
      </c>
      <c r="BK107" s="171">
        <f ca="1">IF(OR($D107&lt;&gt;"Serviço",AND(AUTOEVENTO="Manual",$M107=$A$15)),0,
         IF(OFFSET(CRONOPLE!$F$15,$M107-$A$15,BK$13)=0,10^12,OFFSET(CRONOPLE!$F$15,$M107-$A$15,BK$13)))</f>
        <v>1000000000000</v>
      </c>
      <c r="BL107" s="171">
        <f ca="1">IF(OR($D107&lt;&gt;"Serviço",AND(AUTOEVENTO="Manual",$M107=$A$15)),0,
         IF(OFFSET(CRONOPLE!$F$15,$M107-$A$15,BL$13)=0,10^12,OFFSET(CRONOPLE!$F$15,$M107-$A$15,BL$13)))</f>
        <v>1000000000000</v>
      </c>
      <c r="BM107" s="171">
        <f ca="1">IF(OR($D107&lt;&gt;"Serviço",AND(AUTOEVENTO="Manual",$M107=$A$15)),0,
         IF(OFFSET(CRONOPLE!$F$15,$M107-$A$15,BM$13)=0,10^12,OFFSET(CRONOPLE!$F$15,$M107-$A$15,BM$13)))</f>
        <v>1000000000000</v>
      </c>
      <c r="BN107" s="171">
        <f ca="1">IF(OR($D107&lt;&gt;"Serviço",AND(AUTOEVENTO="Manual",$M107=$A$15)),0,
         IF(OFFSET(CRONOPLE!$F$15,$M107-$A$15,BN$13)=0,10^12,OFFSET(CRONOPLE!$F$15,$M107-$A$15,BN$13)))</f>
        <v>1000000000000</v>
      </c>
      <c r="BO107" s="171">
        <f ca="1">IF(OR($D107&lt;&gt;"Serviço",AND(AUTOEVENTO="Manual",$M107=$A$15)),0,
         IF(OFFSET(CRONOPLE!$F$15,$M107-$A$15,BO$13)=0,10^12,OFFSET(CRONOPLE!$F$15,$M107-$A$15,BO$13)))</f>
        <v>1000000000000</v>
      </c>
      <c r="BP107" s="171">
        <f ca="1">IF(OR($D107&lt;&gt;"Serviço",AND(AUTOEVENTO="Manual",$M107=$A$15)),0,
         IF(OFFSET(CRONOPLE!$F$15,$M107-$A$15,BP$13)=0,10^12,OFFSET(CRONOPLE!$F$15,$M107-$A$15,BP$13)))</f>
        <v>1000000000000</v>
      </c>
      <c r="BQ107" s="171">
        <f ca="1">IF(OR($D107&lt;&gt;"Serviço",AND(AUTOEVENTO="Manual",$M107=$A$15)),0,
         IF(OFFSET(CRONOPLE!$F$15,$M107-$A$15,BQ$13)=0,10^12,OFFSET(CRONOPLE!$F$15,$M107-$A$15,BQ$13)))</f>
        <v>1000000000000</v>
      </c>
      <c r="BR107" s="171">
        <f ca="1">IF(OR($D107&lt;&gt;"Serviço",AND(AUTOEVENTO="Manual",$M107=$A$15)),0,
         IF(OFFSET(CRONOPLE!$F$15,$M107-$A$15,BR$13)=0,10^12,OFFSET(CRONOPLE!$F$15,$M107-$A$15,BR$13)))</f>
        <v>1000000000000</v>
      </c>
      <c r="BS107" s="171">
        <f ca="1">IF(OR($D107&lt;&gt;"Serviço",AND(AUTOEVENTO="Manual",$M107=$A$15)),0,
         IF(OFFSET(CRONOPLE!$F$15,$M107-$A$15,BS$13)=0,10^12,OFFSET(CRONOPLE!$F$15,$M107-$A$15,BS$13)))</f>
        <v>1000000000000</v>
      </c>
      <c r="BT107" s="171">
        <f ca="1">IF(OR($D107&lt;&gt;"Serviço",AND(AUTOEVENTO="Manual",$M107=$A$15)),0,
         IF(OFFSET(CRONOPLE!$F$15,$M107-$A$15,BT$13)=0,10^12,OFFSET(CRONOPLE!$F$15,$M107-$A$15,BT$13)))</f>
        <v>1000000000000</v>
      </c>
      <c r="BV107" s="172" cm="1">
        <f t="array" aca="1" ref="BV107" ca="1">IF(OR($D107&lt;&gt;"Serviço",AND(AUTOEVENTO="Manual",$M107=$A$15),$M107&gt;(ROW(PLE.lastrow)-ROW(PLE.firstrow))),0,
           IF(OFFSET(PLE!$G$15,$M107-$A$15,BV$13)="",10^12,OFFSET(PLE!$G$15,$M107-$A$15,BV$13)))</f>
        <v>1000000000000</v>
      </c>
      <c r="BW107" s="172" cm="1">
        <f t="array" aca="1" ref="BW107" ca="1">IF(OR($D107&lt;&gt;"Serviço",AND(AUTOEVENTO="Manual",$M107=$A$15),$M107&gt;(ROW(PLE.lastrow)-ROW(PLE.firstrow))),0,
           IF(OFFSET(PLE!$G$15,$M107-$A$15,BW$13)="",10^12,OFFSET(PLE!$G$15,$M107-$A$15,BW$13)))</f>
        <v>1000000000000</v>
      </c>
      <c r="BX107" s="172" cm="1">
        <f t="array" aca="1" ref="BX107" ca="1">IF(OR($D107&lt;&gt;"Serviço",AND(AUTOEVENTO="Manual",$M107=$A$15),$M107&gt;(ROW(PLE.lastrow)-ROW(PLE.firstrow))),0,
           IF(OFFSET(PLE!$G$15,$M107-$A$15,BX$13)="",10^12,OFFSET(PLE!$G$15,$M107-$A$15,BX$13)))</f>
        <v>1000000000000</v>
      </c>
      <c r="BY107" s="172" cm="1">
        <f t="array" aca="1" ref="BY107" ca="1">IF(OR($D107&lt;&gt;"Serviço",AND(AUTOEVENTO="Manual",$M107=$A$15),$M107&gt;(ROW(PLE.lastrow)-ROW(PLE.firstrow))),0,
           IF(OFFSET(PLE!$G$15,$M107-$A$15,BY$13)="",10^12,OFFSET(PLE!$G$15,$M107-$A$15,BY$13)))</f>
        <v>1000000000000</v>
      </c>
      <c r="BZ107" s="172" cm="1">
        <f t="array" aca="1" ref="BZ107" ca="1">IF(OR($D107&lt;&gt;"Serviço",AND(AUTOEVENTO="Manual",$M107=$A$15),$M107&gt;(ROW(PLE.lastrow)-ROW(PLE.firstrow))),0,
           IF(OFFSET(PLE!$G$15,$M107-$A$15,BZ$13)="",10^12,OFFSET(PLE!$G$15,$M107-$A$15,BZ$13)))</f>
        <v>1000000000000</v>
      </c>
      <c r="CA107" s="172" cm="1">
        <f t="array" aca="1" ref="CA107" ca="1">IF(OR($D107&lt;&gt;"Serviço",AND(AUTOEVENTO="Manual",$M107=$A$15),$M107&gt;(ROW(PLE.lastrow)-ROW(PLE.firstrow))),0,
           IF(OFFSET(PLE!$G$15,$M107-$A$15,CA$13)="",10^12,OFFSET(PLE!$G$15,$M107-$A$15,CA$13)))</f>
        <v>1000000000000</v>
      </c>
      <c r="CB107" s="172" cm="1">
        <f t="array" aca="1" ref="CB107" ca="1">IF(OR($D107&lt;&gt;"Serviço",AND(AUTOEVENTO="Manual",$M107=$A$15),$M107&gt;(ROW(PLE.lastrow)-ROW(PLE.firstrow))),0,
           IF(OFFSET(PLE!$G$15,$M107-$A$15,CB$13)="",10^12,OFFSET(PLE!$G$15,$M107-$A$15,CB$13)))</f>
        <v>1000000000000</v>
      </c>
      <c r="CC107" s="172" cm="1">
        <f t="array" aca="1" ref="CC107" ca="1">IF(OR($D107&lt;&gt;"Serviço",AND(AUTOEVENTO="Manual",$M107=$A$15),$M107&gt;(ROW(PLE.lastrow)-ROW(PLE.firstrow))),0,
           IF(OFFSET(PLE!$G$15,$M107-$A$15,CC$13)="",10^12,OFFSET(PLE!$G$15,$M107-$A$15,CC$13)))</f>
        <v>1000000000000</v>
      </c>
      <c r="CD107" s="172" cm="1">
        <f t="array" aca="1" ref="CD107" ca="1">IF(OR($D107&lt;&gt;"Serviço",AND(AUTOEVENTO="Manual",$M107=$A$15),$M107&gt;(ROW(PLE.lastrow)-ROW(PLE.firstrow))),0,
           IF(OFFSET(PLE!$G$15,$M107-$A$15,CD$13)="",10^12,OFFSET(PLE!$G$15,$M107-$A$15,CD$13)))</f>
        <v>1000000000000</v>
      </c>
      <c r="CE107" s="172" cm="1">
        <f t="array" aca="1" ref="CE107" ca="1">IF(OR($D107&lt;&gt;"Serviço",AND(AUTOEVENTO="Manual",$M107=$A$15),$M107&gt;(ROW(PLE.lastrow)-ROW(PLE.firstrow))),0,
           IF(OFFSET(PLE!$G$15,$M107-$A$15,CE$13)="",10^12,OFFSET(PLE!$G$15,$M107-$A$15,CE$13)))</f>
        <v>1000000000000</v>
      </c>
      <c r="CF107" s="172" cm="1">
        <f t="array" aca="1" ref="CF107" ca="1">IF(OR($D107&lt;&gt;"Serviço",AND(AUTOEVENTO="Manual",$M107=$A$15),$M107&gt;(ROW(PLE.lastrow)-ROW(PLE.firstrow))),0,
           IF(OFFSET(PLE!$G$15,$M107-$A$15,CF$13)="",10^12,OFFSET(PLE!$G$15,$M107-$A$15,CF$13)))</f>
        <v>1000000000000</v>
      </c>
      <c r="CG107" s="172" cm="1">
        <f t="array" aca="1" ref="CG107" ca="1">IF(OR($D107&lt;&gt;"Serviço",AND(AUTOEVENTO="Manual",$M107=$A$15),$M107&gt;(ROW(PLE.lastrow)-ROW(PLE.firstrow))),0,
           IF(OFFSET(PLE!$G$15,$M107-$A$15,CG$13)="",10^12,OFFSET(PLE!$G$15,$M107-$A$15,CG$13)))</f>
        <v>1000000000000</v>
      </c>
      <c r="CH107" s="172" cm="1">
        <f t="array" aca="1" ref="CH107" ca="1">IF(OR($D107&lt;&gt;"Serviço",AND(AUTOEVENTO="Manual",$M107=$A$15),$M107&gt;(ROW(PLE.lastrow)-ROW(PLE.firstrow))),0,
           IF(OFFSET(PLE!$G$15,$M107-$A$15,CH$13)="",10^12,OFFSET(PLE!$G$15,$M107-$A$15,CH$13)))</f>
        <v>1000000000000</v>
      </c>
      <c r="CI107" s="172" cm="1">
        <f t="array" aca="1" ref="CI107" ca="1">IF(OR($D107&lt;&gt;"Serviço",AND(AUTOEVENTO="Manual",$M107=$A$15),$M107&gt;(ROW(PLE.lastrow)-ROW(PLE.firstrow))),0,
           IF(OFFSET(PLE!$G$15,$M107-$A$15,CI$13)="",10^12,OFFSET(PLE!$G$15,$M107-$A$15,CI$13)))</f>
        <v>1000000000000</v>
      </c>
      <c r="CJ107" s="172" cm="1">
        <f t="array" aca="1" ref="CJ107" ca="1">IF(OR($D107&lt;&gt;"Serviço",AND(AUTOEVENTO="Manual",$M107=$A$15),$M107&gt;(ROW(PLE.lastrow)-ROW(PLE.firstrow))),0,
           IF(OFFSET(PLE!$G$15,$M107-$A$15,CJ$13)="",10^12,OFFSET(PLE!$G$15,$M107-$A$15,CJ$13)))</f>
        <v>1000000000000</v>
      </c>
      <c r="CK107" s="172" cm="1">
        <f t="array" aca="1" ref="CK107" ca="1">IF(OR($D107&lt;&gt;"Serviço",AND(AUTOEVENTO="Manual",$M107=$A$15),$M107&gt;(ROW(PLE.lastrow)-ROW(PLE.firstrow))),0,
           IF(OFFSET(PLE!$G$15,$M107-$A$15,CK$13)="",10^12,OFFSET(PLE!$G$15,$M107-$A$15,CK$13)))</f>
        <v>1000000000000</v>
      </c>
      <c r="CL107" s="172" cm="1">
        <f t="array" aca="1" ref="CL107" ca="1">IF(OR($D107&lt;&gt;"Serviço",AND(AUTOEVENTO="Manual",$M107=$A$15),$M107&gt;(ROW(PLE.lastrow)-ROW(PLE.firstrow))),0,
           IF(OFFSET(PLE!$G$15,$M107-$A$15,CL$13)="",10^12,OFFSET(PLE!$G$15,$M107-$A$15,CL$13)))</f>
        <v>1000000000000</v>
      </c>
      <c r="CM107" s="172" cm="1">
        <f t="array" aca="1" ref="CM107" ca="1">IF(OR($D107&lt;&gt;"Serviço",AND(AUTOEVENTO="Manual",$M107=$A$15),$M107&gt;(ROW(PLE.lastrow)-ROW(PLE.firstrow))),0,
           IF(OFFSET(PLE!$G$15,$M107-$A$15,CM$13)="",10^12,OFFSET(PLE!$G$15,$M107-$A$15,CM$13)))</f>
        <v>1000000000000</v>
      </c>
    </row>
    <row r="108" spans="1:91" s="680" customFormat="1" ht="25.5" x14ac:dyDescent="0.2">
      <c r="A108" s="681">
        <f ca="1">IFERROR(IF(AUTOEVENTO="Manual",IF(K108&lt;&gt;"",MIN(VALUE(LEFT(K108,FIND(".",K108)-1)),COUNTA(EVENTOS.Lista)),0),IF(OR($B108&gt;AUTOEVENTO,$B108="S",$B108=0),SUBSTITUTE(OFFSET($A108,-1,0),IF($D108="Serviço",".",""),""),$L108&amp;".")),0)</f>
        <v>15</v>
      </c>
      <c r="B108" s="681" t="str">
        <f ca="1">OFFSET(ORÇAMENTO!C$15,$L108,0)</f>
        <v>S</v>
      </c>
      <c r="C108" s="681" t="str">
        <f ca="1">OFFSET(ORÇAMENTO!L$15,$L108,0)</f>
        <v>F</v>
      </c>
      <c r="D108" s="686" t="str">
        <f ca="1">OFFSET(ORÇAMENTO!N$15,$L108,0)</f>
        <v>Serviço</v>
      </c>
      <c r="E108" s="687" t="str">
        <f ca="1">OFFSET(ORÇAMENTO!O$15,$L108,0)</f>
        <v>1.14.3.</v>
      </c>
      <c r="F108" s="699" t="str">
        <f ca="1">OFFSET(ORÇAMENTO!R$15,$L108,0)</f>
        <v>ARMAÇÃO DE BLOCO, SAPATA ISOLADA E SAPATA CORRIDA UTILIZANDO AÇO CA-50 DE 20 MM - MONTAGEM. AF_01/2024</v>
      </c>
      <c r="G108" s="700" t="str">
        <f ca="1">IF($D108&lt;&gt;"Serviço","",OFFSET(ORÇAMENTO!S$15,$L108,0))</f>
        <v>KG</v>
      </c>
      <c r="H108" s="692" cm="1">
        <f t="array" aca="1" ref="H108" ca="1">IF($D108&lt;&gt;"Serviço",0,IF(ACOMPANHAMENTO="BM",ROUND(OFFSET(ORÇAMENTO!AJ$15,$L108,0),15-13*ORÇAMENTO!$AF$7),IF(IFERROR(CÁLCULO.FrentesPreenchidas,0)=0,0,SUM(ROUND(OFFSET($P108,0,1,1,CÁLCULO.FrentesPreenchidas),15-13*ORÇAMENTO!$AF$7)))))</f>
        <v>720</v>
      </c>
      <c r="I108" s="720" t="s">
        <v>1225</v>
      </c>
      <c r="J108" s="724" t="str" cm="1">
        <f t="array" aca="1" ref="J108" ca="1">IF(OR(B108&lt;&gt;"S",CÁLCULO.FrentesPreenchidas=0),"",IF(AND(ACOMPANHAMENTO="PLE",AUTOEVENTO="Manual",OR(H108&gt;0,ORÇAMENTO!AC108="QUANT."),OR(K108="",M108=0,N108="")),"►E",IF(AND(ACOMPANHAMENTO="PLE",ORÇAMENTO!AC108="QUANT."),"►Q",IF(AND(ACOMPANHAMENTO="PLE",H108&lt;&gt;SUMPRODUCT(($Q$1:$AI$1=1)*ROUND(Q108:AI108,15))),"►S",IF(AND(COUNTIF($P$11:$AI$11,"▼")=0,H108&gt;0,I108=""),"◄M","")))))</f>
        <v/>
      </c>
      <c r="K108" s="652" t="s">
        <v>1356</v>
      </c>
      <c r="L108" s="701">
        <f ca="1">OFFSET(L108,-1,0)+1</f>
        <v>93</v>
      </c>
      <c r="M108" s="702">
        <f ca="1">IF($D108&lt;&gt;"Serviço","",
          IF(AUTOEVENTO="manual",$A108,
                IF(ISERROR(MATCH($A108,$A$15:OFFSET($A108,-1,0),0)),MAX($M$15:OFFSET(M108,-1,0))+1,
                      INDEX($M$15:OFFSET(M108,-1,0),MATCH($A108,$A$15:OFFSET($A108,-1,0),0)))))</f>
        <v>15</v>
      </c>
      <c r="N108" s="703" t="str">
        <f ca="1">IF($D108&lt;&gt;"Serviço","",
         IF(AUTOEVENTO="Manual",
                IF($A108=0,"&lt;-- defina o número do agrupador",
                       OFFSET(EVENTOS!$D$15,$A108-$A$15,0)),
                OFFSET($F$15,$A108,0)))</f>
        <v>Estrutura - Armadura</v>
      </c>
      <c r="O108" s="704"/>
      <c r="Q108" s="704"/>
      <c r="R108" s="705"/>
      <c r="S108" s="705"/>
      <c r="T108" s="705"/>
      <c r="U108" s="705"/>
      <c r="V108" s="705">
        <v>720</v>
      </c>
      <c r="W108" s="705"/>
      <c r="X108" s="705"/>
      <c r="Y108" s="705"/>
      <c r="Z108" s="706"/>
      <c r="AA108" s="705"/>
      <c r="AB108" s="705"/>
      <c r="AC108" s="705"/>
      <c r="AD108" s="705"/>
      <c r="AE108" s="705"/>
      <c r="AF108" s="705"/>
      <c r="AG108" s="705"/>
      <c r="AH108" s="706"/>
      <c r="AJ108" s="453">
        <f ca="1">IF(AND($D108="Serviço",AJ$12&lt;&gt;0,$H108&gt;0,OR(AUTOEVENTO&lt;&gt;"manual",$M108&lt;&gt;$A$15)),
        IF(Import.TipoArredondamento&lt;&gt;"TransfereGOV",
              ROUND(OFFSET($P108,0,AJ$13),15-13*ORÇAMENTO!$AF$7)/$H108*OFFSET(ORÇAMENTO!$X$15,ROW(AJ108)-ROW(AJ$15),0),
              ROUND(ROUND(OFFSET($P108,0,AJ$13),15-13*ORÇAMENTO!$AF$7)*OFFSET(ORÇAMENTO!$W$15,ROW(AJ108)-ROW(AJ$15),0),15-13*ORÇAMENTO!$AF$11)),
         0)</f>
        <v>0</v>
      </c>
      <c r="AK108" s="453">
        <f ca="1">IF(AND($D108="Serviço",AK$12&lt;&gt;0,$H108&gt;0,OR(AUTOEVENTO&lt;&gt;"manual",$M108&lt;&gt;$A$15)),
        IF(Import.TipoArredondamento&lt;&gt;"TransfereGOV",
              ROUND(OFFSET($P108,0,AK$13),15-13*ORÇAMENTO!$AF$7)/$H108*OFFSET(ORÇAMENTO!$X$15,ROW(AK108)-ROW(AK$15),0),
              ROUND(ROUND(OFFSET($P108,0,AK$13),15-13*ORÇAMENTO!$AF$7)*OFFSET(ORÇAMENTO!$W$15,ROW(AK108)-ROW(AK$15),0),15-13*ORÇAMENTO!$AF$11)),
         0)</f>
        <v>0</v>
      </c>
      <c r="AL108" s="453">
        <f ca="1">IF(AND($D108="Serviço",AL$12&lt;&gt;0,$H108&gt;0,OR(AUTOEVENTO&lt;&gt;"manual",$M108&lt;&gt;$A$15)),
        IF(Import.TipoArredondamento&lt;&gt;"TransfereGOV",
              ROUND(OFFSET($P108,0,AL$13),15-13*ORÇAMENTO!$AF$7)/$H108*OFFSET(ORÇAMENTO!$X$15,ROW(AL108)-ROW(AL$15),0),
              ROUND(ROUND(OFFSET($P108,0,AL$13),15-13*ORÇAMENTO!$AF$7)*OFFSET(ORÇAMENTO!$W$15,ROW(AL108)-ROW(AL$15),0),15-13*ORÇAMENTO!$AF$11)),
         0)</f>
        <v>0</v>
      </c>
      <c r="AM108" s="453">
        <f ca="1">IF(AND($D108="Serviço",AM$12&lt;&gt;0,$H108&gt;0,OR(AUTOEVENTO&lt;&gt;"manual",$M108&lt;&gt;$A$15)),
        IF(Import.TipoArredondamento&lt;&gt;"TransfereGOV",
              ROUND(OFFSET($P108,0,AM$13),15-13*ORÇAMENTO!$AF$7)/$H108*OFFSET(ORÇAMENTO!$X$15,ROW(AM108)-ROW(AM$15),0),
              ROUND(ROUND(OFFSET($P108,0,AM$13),15-13*ORÇAMENTO!$AF$7)*OFFSET(ORÇAMENTO!$W$15,ROW(AM108)-ROW(AM$15),0),15-13*ORÇAMENTO!$AF$11)),
         0)</f>
        <v>0</v>
      </c>
      <c r="AN108" s="453">
        <f ca="1">IF(AND($D108="Serviço",AN$12&lt;&gt;0,$H108&gt;0,OR(AUTOEVENTO&lt;&gt;"manual",$M108&lt;&gt;$A$15)),
        IF(Import.TipoArredondamento&lt;&gt;"TransfereGOV",
              ROUND(OFFSET($P108,0,AN$13),15-13*ORÇAMENTO!$AF$7)/$H108*OFFSET(ORÇAMENTO!$X$15,ROW(AN108)-ROW(AN$15),0),
              ROUND(ROUND(OFFSET($P108,0,AN$13),15-13*ORÇAMENTO!$AF$7)*OFFSET(ORÇAMENTO!$W$15,ROW(AN108)-ROW(AN$15),0),15-13*ORÇAMENTO!$AF$11)),
         0)</f>
        <v>0</v>
      </c>
      <c r="AO108" s="453">
        <f ca="1">IF(AND($D108="Serviço",AO$12&lt;&gt;0,$H108&gt;0,OR(AUTOEVENTO&lt;&gt;"manual",$M108&lt;&gt;$A$15)),
        IF(Import.TipoArredondamento&lt;&gt;"TransfereGOV",
              ROUND(OFFSET($P108,0,AO$13),15-13*ORÇAMENTO!$AF$7)/$H108*OFFSET(ORÇAMENTO!$X$15,ROW(AO108)-ROW(AO$15),0),
              ROUND(ROUND(OFFSET($P108,0,AO$13),15-13*ORÇAMENTO!$AF$7)*OFFSET(ORÇAMENTO!$W$15,ROW(AO108)-ROW(AO$15),0),15-13*ORÇAMENTO!$AF$11)),
         0)</f>
        <v>9460.7999999999993</v>
      </c>
      <c r="AP108" s="453">
        <f ca="1">IF(AND($D108="Serviço",AP$12&lt;&gt;0,$H108&gt;0,OR(AUTOEVENTO&lt;&gt;"manual",$M108&lt;&gt;$A$15)),
        IF(Import.TipoArredondamento&lt;&gt;"TransfereGOV",
              ROUND(OFFSET($P108,0,AP$13),15-13*ORÇAMENTO!$AF$7)/$H108*OFFSET(ORÇAMENTO!$X$15,ROW(AP108)-ROW(AP$15),0),
              ROUND(ROUND(OFFSET($P108,0,AP$13),15-13*ORÇAMENTO!$AF$7)*OFFSET(ORÇAMENTO!$W$15,ROW(AP108)-ROW(AP$15),0),15-13*ORÇAMENTO!$AF$11)),
         0)</f>
        <v>0</v>
      </c>
      <c r="AQ108" s="453">
        <f ca="1">IF(AND($D108="Serviço",AQ$12&lt;&gt;0,$H108&gt;0,OR(AUTOEVENTO&lt;&gt;"manual",$M108&lt;&gt;$A$15)),
        IF(Import.TipoArredondamento&lt;&gt;"TransfereGOV",
              ROUND(OFFSET($P108,0,AQ$13),15-13*ORÇAMENTO!$AF$7)/$H108*OFFSET(ORÇAMENTO!$X$15,ROW(AQ108)-ROW(AQ$15),0),
              ROUND(ROUND(OFFSET($P108,0,AQ$13),15-13*ORÇAMENTO!$AF$7)*OFFSET(ORÇAMENTO!$W$15,ROW(AQ108)-ROW(AQ$15),0),15-13*ORÇAMENTO!$AF$11)),
         0)</f>
        <v>0</v>
      </c>
      <c r="AR108" s="453">
        <f ca="1">IF(AND($D108="Serviço",AR$12&lt;&gt;0,$H108&gt;0,OR(AUTOEVENTO&lt;&gt;"manual",$M108&lt;&gt;$A$15)),
        IF(Import.TipoArredondamento&lt;&gt;"TransfereGOV",
              ROUND(OFFSET($P108,0,AR$13),15-13*ORÇAMENTO!$AF$7)/$H108*OFFSET(ORÇAMENTO!$X$15,ROW(AR108)-ROW(AR$15),0),
              ROUND(ROUND(OFFSET($P108,0,AR$13),15-13*ORÇAMENTO!$AF$7)*OFFSET(ORÇAMENTO!$W$15,ROW(AR108)-ROW(AR$15),0),15-13*ORÇAMENTO!$AF$11)),
         0)</f>
        <v>0</v>
      </c>
      <c r="AS108" s="453">
        <f ca="1">IF(AND($D108="Serviço",AS$12&lt;&gt;0,$H108&gt;0,OR(AUTOEVENTO&lt;&gt;"manual",$M108&lt;&gt;$A$15)),
        IF(Import.TipoArredondamento&lt;&gt;"TransfereGOV",
              ROUND(OFFSET($P108,0,AS$13),15-13*ORÇAMENTO!$AF$7)/$H108*OFFSET(ORÇAMENTO!$X$15,ROW(AS108)-ROW(AS$15),0),
              ROUND(ROUND(OFFSET($P108,0,AS$13),15-13*ORÇAMENTO!$AF$7)*OFFSET(ORÇAMENTO!$W$15,ROW(AS108)-ROW(AS$15),0),15-13*ORÇAMENTO!$AF$11)),
         0)</f>
        <v>0</v>
      </c>
      <c r="AT108" s="453">
        <f ca="1">IF(AND($D108="Serviço",AT$12&lt;&gt;0,$H108&gt;0,OR(AUTOEVENTO&lt;&gt;"manual",$M108&lt;&gt;$A$15)),
        IF(Import.TipoArredondamento&lt;&gt;"TransfereGOV",
              ROUND(OFFSET($P108,0,AT$13),15-13*ORÇAMENTO!$AF$7)/$H108*OFFSET(ORÇAMENTO!$X$15,ROW(AT108)-ROW(AT$15),0),
              ROUND(ROUND(OFFSET($P108,0,AT$13),15-13*ORÇAMENTO!$AF$7)*OFFSET(ORÇAMENTO!$W$15,ROW(AT108)-ROW(AT$15),0),15-13*ORÇAMENTO!$AF$11)),
         0)</f>
        <v>0</v>
      </c>
      <c r="AU108" s="453">
        <f ca="1">IF(AND($D108="Serviço",AU$12&lt;&gt;0,$H108&gt;0,OR(AUTOEVENTO&lt;&gt;"manual",$M108&lt;&gt;$A$15)),
        IF(Import.TipoArredondamento&lt;&gt;"TransfereGOV",
              ROUND(OFFSET($P108,0,AU$13),15-13*ORÇAMENTO!$AF$7)/$H108*OFFSET(ORÇAMENTO!$X$15,ROW(AU108)-ROW(AU$15),0),
              ROUND(ROUND(OFFSET($P108,0,AU$13),15-13*ORÇAMENTO!$AF$7)*OFFSET(ORÇAMENTO!$W$15,ROW(AU108)-ROW(AU$15),0),15-13*ORÇAMENTO!$AF$11)),
         0)</f>
        <v>0</v>
      </c>
      <c r="AV108" s="453">
        <f ca="1">IF(AND($D108="Serviço",AV$12&lt;&gt;0,$H108&gt;0,OR(AUTOEVENTO&lt;&gt;"manual",$M108&lt;&gt;$A$15)),
        IF(Import.TipoArredondamento&lt;&gt;"TransfereGOV",
              ROUND(OFFSET($P108,0,AV$13),15-13*ORÇAMENTO!$AF$7)/$H108*OFFSET(ORÇAMENTO!$X$15,ROW(AV108)-ROW(AV$15),0),
              ROUND(ROUND(OFFSET($P108,0,AV$13),15-13*ORÇAMENTO!$AF$7)*OFFSET(ORÇAMENTO!$W$15,ROW(AV108)-ROW(AV$15),0),15-13*ORÇAMENTO!$AF$11)),
         0)</f>
        <v>0</v>
      </c>
      <c r="AW108" s="453">
        <f ca="1">IF(AND($D108="Serviço",AW$12&lt;&gt;0,$H108&gt;0,OR(AUTOEVENTO&lt;&gt;"manual",$M108&lt;&gt;$A$15)),
        IF(Import.TipoArredondamento&lt;&gt;"TransfereGOV",
              ROUND(OFFSET($P108,0,AW$13),15-13*ORÇAMENTO!$AF$7)/$H108*OFFSET(ORÇAMENTO!$X$15,ROW(AW108)-ROW(AW$15),0),
              ROUND(ROUND(OFFSET($P108,0,AW$13),15-13*ORÇAMENTO!$AF$7)*OFFSET(ORÇAMENTO!$W$15,ROW(AW108)-ROW(AW$15),0),15-13*ORÇAMENTO!$AF$11)),
         0)</f>
        <v>0</v>
      </c>
      <c r="AX108" s="453">
        <f ca="1">IF(AND($D108="Serviço",AX$12&lt;&gt;0,$H108&gt;0,OR(AUTOEVENTO&lt;&gt;"manual",$M108&lt;&gt;$A$15)),
        IF(Import.TipoArredondamento&lt;&gt;"TransfereGOV",
              ROUND(OFFSET($P108,0,AX$13),15-13*ORÇAMENTO!$AF$7)/$H108*OFFSET(ORÇAMENTO!$X$15,ROW(AX108)-ROW(AX$15),0),
              ROUND(ROUND(OFFSET($P108,0,AX$13),15-13*ORÇAMENTO!$AF$7)*OFFSET(ORÇAMENTO!$W$15,ROW(AX108)-ROW(AX$15),0),15-13*ORÇAMENTO!$AF$11)),
         0)</f>
        <v>0</v>
      </c>
      <c r="AY108" s="453">
        <f ca="1">IF(AND($D108="Serviço",AY$12&lt;&gt;0,$H108&gt;0,OR(AUTOEVENTO&lt;&gt;"manual",$M108&lt;&gt;$A$15)),
        IF(Import.TipoArredondamento&lt;&gt;"TransfereGOV",
              ROUND(OFFSET($P108,0,AY$13),15-13*ORÇAMENTO!$AF$7)/$H108*OFFSET(ORÇAMENTO!$X$15,ROW(AY108)-ROW(AY$15),0),
              ROUND(ROUND(OFFSET($P108,0,AY$13),15-13*ORÇAMENTO!$AF$7)*OFFSET(ORÇAMENTO!$W$15,ROW(AY108)-ROW(AY$15),0),15-13*ORÇAMENTO!$AF$11)),
         0)</f>
        <v>0</v>
      </c>
      <c r="AZ108" s="453">
        <f ca="1">IF(AND($D108="Serviço",AZ$12&lt;&gt;0,$H108&gt;0,OR(AUTOEVENTO&lt;&gt;"manual",$M108&lt;&gt;$A$15)),
        IF(Import.TipoArredondamento&lt;&gt;"TransfereGOV",
              ROUND(OFFSET($P108,0,AZ$13),15-13*ORÇAMENTO!$AF$7)/$H108*OFFSET(ORÇAMENTO!$X$15,ROW(AZ108)-ROW(AZ$15),0),
              ROUND(ROUND(OFFSET($P108,0,AZ$13),15-13*ORÇAMENTO!$AF$7)*OFFSET(ORÇAMENTO!$W$15,ROW(AZ108)-ROW(AZ$15),0),15-13*ORÇAMENTO!$AF$11)),
         0)</f>
        <v>0</v>
      </c>
      <c r="BA108" s="453">
        <f ca="1">IF(AND($D108="Serviço",BA$12&lt;&gt;0,$H108&gt;0,OR(AUTOEVENTO&lt;&gt;"manual",$M108&lt;&gt;$A$15)),
        IF(Import.TipoArredondamento&lt;&gt;"TransfereGOV",
              ROUND(OFFSET($P108,0,BA$13),15-13*ORÇAMENTO!$AF$7)/$H108*OFFSET(ORÇAMENTO!$X$15,ROW(BA108)-ROW(BA$15),0),
              ROUND(ROUND(OFFSET($P108,0,BA$13),15-13*ORÇAMENTO!$AF$7)*OFFSET(ORÇAMENTO!$W$15,ROW(BA108)-ROW(BA$15),0),15-13*ORÇAMENTO!$AF$11)),
         0)</f>
        <v>0</v>
      </c>
      <c r="BC108" s="171">
        <f ca="1">IF(OR($D108&lt;&gt;"Serviço",AND(AUTOEVENTO="Manual",$M108=$A$15)),0,
         IF(OFFSET(CRONOPLE!$F$15,$M108-$A$15,BC$13)=0,10^12,OFFSET(CRONOPLE!$F$15,$M108-$A$15,BC$13)))</f>
        <v>1000000000000</v>
      </c>
      <c r="BD108" s="171">
        <f ca="1">IF(OR($D108&lt;&gt;"Serviço",AND(AUTOEVENTO="Manual",$M108=$A$15)),0,
         IF(OFFSET(CRONOPLE!$F$15,$M108-$A$15,BD$13)=0,10^12,OFFSET(CRONOPLE!$F$15,$M108-$A$15,BD$13)))</f>
        <v>1000000000000</v>
      </c>
      <c r="BE108" s="171">
        <f ca="1">IF(OR($D108&lt;&gt;"Serviço",AND(AUTOEVENTO="Manual",$M108=$A$15)),0,
         IF(OFFSET(CRONOPLE!$F$15,$M108-$A$15,BE$13)=0,10^12,OFFSET(CRONOPLE!$F$15,$M108-$A$15,BE$13)))</f>
        <v>1000000000000</v>
      </c>
      <c r="BF108" s="171">
        <f ca="1">IF(OR($D108&lt;&gt;"Serviço",AND(AUTOEVENTO="Manual",$M108=$A$15)),0,
         IF(OFFSET(CRONOPLE!$F$15,$M108-$A$15,BF$13)=0,10^12,OFFSET(CRONOPLE!$F$15,$M108-$A$15,BF$13)))</f>
        <v>1000000000000</v>
      </c>
      <c r="BG108" s="171">
        <f ca="1">IF(OR($D108&lt;&gt;"Serviço",AND(AUTOEVENTO="Manual",$M108=$A$15)),0,
         IF(OFFSET(CRONOPLE!$F$15,$M108-$A$15,BG$13)=0,10^12,OFFSET(CRONOPLE!$F$15,$M108-$A$15,BG$13)))</f>
        <v>1000000000000</v>
      </c>
      <c r="BH108" s="171">
        <f ca="1">IF(OR($D108&lt;&gt;"Serviço",AND(AUTOEVENTO="Manual",$M108=$A$15)),0,
         IF(OFFSET(CRONOPLE!$F$15,$M108-$A$15,BH$13)=0,10^12,OFFSET(CRONOPLE!$F$15,$M108-$A$15,BH$13)))</f>
        <v>8</v>
      </c>
      <c r="BI108" s="171">
        <f ca="1">IF(OR($D108&lt;&gt;"Serviço",AND(AUTOEVENTO="Manual",$M108=$A$15)),0,
         IF(OFFSET(CRONOPLE!$F$15,$M108-$A$15,BI$13)=0,10^12,OFFSET(CRONOPLE!$F$15,$M108-$A$15,BI$13)))</f>
        <v>1000000000000</v>
      </c>
      <c r="BJ108" s="171">
        <f ca="1">IF(OR($D108&lt;&gt;"Serviço",AND(AUTOEVENTO="Manual",$M108=$A$15)),0,
         IF(OFFSET(CRONOPLE!$F$15,$M108-$A$15,BJ$13)=0,10^12,OFFSET(CRONOPLE!$F$15,$M108-$A$15,BJ$13)))</f>
        <v>1000000000000</v>
      </c>
      <c r="BK108" s="171">
        <f ca="1">IF(OR($D108&lt;&gt;"Serviço",AND(AUTOEVENTO="Manual",$M108=$A$15)),0,
         IF(OFFSET(CRONOPLE!$F$15,$M108-$A$15,BK$13)=0,10^12,OFFSET(CRONOPLE!$F$15,$M108-$A$15,BK$13)))</f>
        <v>1000000000000</v>
      </c>
      <c r="BL108" s="171">
        <f ca="1">IF(OR($D108&lt;&gt;"Serviço",AND(AUTOEVENTO="Manual",$M108=$A$15)),0,
         IF(OFFSET(CRONOPLE!$F$15,$M108-$A$15,BL$13)=0,10^12,OFFSET(CRONOPLE!$F$15,$M108-$A$15,BL$13)))</f>
        <v>1000000000000</v>
      </c>
      <c r="BM108" s="171">
        <f ca="1">IF(OR($D108&lt;&gt;"Serviço",AND(AUTOEVENTO="Manual",$M108=$A$15)),0,
         IF(OFFSET(CRONOPLE!$F$15,$M108-$A$15,BM$13)=0,10^12,OFFSET(CRONOPLE!$F$15,$M108-$A$15,BM$13)))</f>
        <v>1000000000000</v>
      </c>
      <c r="BN108" s="171">
        <f ca="1">IF(OR($D108&lt;&gt;"Serviço",AND(AUTOEVENTO="Manual",$M108=$A$15)),0,
         IF(OFFSET(CRONOPLE!$F$15,$M108-$A$15,BN$13)=0,10^12,OFFSET(CRONOPLE!$F$15,$M108-$A$15,BN$13)))</f>
        <v>1000000000000</v>
      </c>
      <c r="BO108" s="171">
        <f ca="1">IF(OR($D108&lt;&gt;"Serviço",AND(AUTOEVENTO="Manual",$M108=$A$15)),0,
         IF(OFFSET(CRONOPLE!$F$15,$M108-$A$15,BO$13)=0,10^12,OFFSET(CRONOPLE!$F$15,$M108-$A$15,BO$13)))</f>
        <v>1000000000000</v>
      </c>
      <c r="BP108" s="171">
        <f ca="1">IF(OR($D108&lt;&gt;"Serviço",AND(AUTOEVENTO="Manual",$M108=$A$15)),0,
         IF(OFFSET(CRONOPLE!$F$15,$M108-$A$15,BP$13)=0,10^12,OFFSET(CRONOPLE!$F$15,$M108-$A$15,BP$13)))</f>
        <v>1000000000000</v>
      </c>
      <c r="BQ108" s="171">
        <f ca="1">IF(OR($D108&lt;&gt;"Serviço",AND(AUTOEVENTO="Manual",$M108=$A$15)),0,
         IF(OFFSET(CRONOPLE!$F$15,$M108-$A$15,BQ$13)=0,10^12,OFFSET(CRONOPLE!$F$15,$M108-$A$15,BQ$13)))</f>
        <v>1000000000000</v>
      </c>
      <c r="BR108" s="171">
        <f ca="1">IF(OR($D108&lt;&gt;"Serviço",AND(AUTOEVENTO="Manual",$M108=$A$15)),0,
         IF(OFFSET(CRONOPLE!$F$15,$M108-$A$15,BR$13)=0,10^12,OFFSET(CRONOPLE!$F$15,$M108-$A$15,BR$13)))</f>
        <v>1000000000000</v>
      </c>
      <c r="BS108" s="171">
        <f ca="1">IF(OR($D108&lt;&gt;"Serviço",AND(AUTOEVENTO="Manual",$M108=$A$15)),0,
         IF(OFFSET(CRONOPLE!$F$15,$M108-$A$15,BS$13)=0,10^12,OFFSET(CRONOPLE!$F$15,$M108-$A$15,BS$13)))</f>
        <v>1000000000000</v>
      </c>
      <c r="BT108" s="171">
        <f ca="1">IF(OR($D108&lt;&gt;"Serviço",AND(AUTOEVENTO="Manual",$M108=$A$15)),0,
         IF(OFFSET(CRONOPLE!$F$15,$M108-$A$15,BT$13)=0,10^12,OFFSET(CRONOPLE!$F$15,$M108-$A$15,BT$13)))</f>
        <v>1000000000000</v>
      </c>
      <c r="BV108" s="172" cm="1">
        <f t="array" aca="1" ref="BV108" ca="1">IF(OR($D108&lt;&gt;"Serviço",AND(AUTOEVENTO="Manual",$M108=$A$15),$M108&gt;(ROW(PLE.lastrow)-ROW(PLE.firstrow))),0,
           IF(OFFSET(PLE!$G$15,$M108-$A$15,BV$13)="",10^12,OFFSET(PLE!$G$15,$M108-$A$15,BV$13)))</f>
        <v>1000000000000</v>
      </c>
      <c r="BW108" s="172" cm="1">
        <f t="array" aca="1" ref="BW108" ca="1">IF(OR($D108&lt;&gt;"Serviço",AND(AUTOEVENTO="Manual",$M108=$A$15),$M108&gt;(ROW(PLE.lastrow)-ROW(PLE.firstrow))),0,
           IF(OFFSET(PLE!$G$15,$M108-$A$15,BW$13)="",10^12,OFFSET(PLE!$G$15,$M108-$A$15,BW$13)))</f>
        <v>1000000000000</v>
      </c>
      <c r="BX108" s="172" cm="1">
        <f t="array" aca="1" ref="BX108" ca="1">IF(OR($D108&lt;&gt;"Serviço",AND(AUTOEVENTO="Manual",$M108=$A$15),$M108&gt;(ROW(PLE.lastrow)-ROW(PLE.firstrow))),0,
           IF(OFFSET(PLE!$G$15,$M108-$A$15,BX$13)="",10^12,OFFSET(PLE!$G$15,$M108-$A$15,BX$13)))</f>
        <v>1000000000000</v>
      </c>
      <c r="BY108" s="172" cm="1">
        <f t="array" aca="1" ref="BY108" ca="1">IF(OR($D108&lt;&gt;"Serviço",AND(AUTOEVENTO="Manual",$M108=$A$15),$M108&gt;(ROW(PLE.lastrow)-ROW(PLE.firstrow))),0,
           IF(OFFSET(PLE!$G$15,$M108-$A$15,BY$13)="",10^12,OFFSET(PLE!$G$15,$M108-$A$15,BY$13)))</f>
        <v>1000000000000</v>
      </c>
      <c r="BZ108" s="172" cm="1">
        <f t="array" aca="1" ref="BZ108" ca="1">IF(OR($D108&lt;&gt;"Serviço",AND(AUTOEVENTO="Manual",$M108=$A$15),$M108&gt;(ROW(PLE.lastrow)-ROW(PLE.firstrow))),0,
           IF(OFFSET(PLE!$G$15,$M108-$A$15,BZ$13)="",10^12,OFFSET(PLE!$G$15,$M108-$A$15,BZ$13)))</f>
        <v>1000000000000</v>
      </c>
      <c r="CA108" s="172" cm="1">
        <f t="array" aca="1" ref="CA108" ca="1">IF(OR($D108&lt;&gt;"Serviço",AND(AUTOEVENTO="Manual",$M108=$A$15),$M108&gt;(ROW(PLE.lastrow)-ROW(PLE.firstrow))),0,
           IF(OFFSET(PLE!$G$15,$M108-$A$15,CA$13)="",10^12,OFFSET(PLE!$G$15,$M108-$A$15,CA$13)))</f>
        <v>1000000000000</v>
      </c>
      <c r="CB108" s="172" cm="1">
        <f t="array" aca="1" ref="CB108" ca="1">IF(OR($D108&lt;&gt;"Serviço",AND(AUTOEVENTO="Manual",$M108=$A$15),$M108&gt;(ROW(PLE.lastrow)-ROW(PLE.firstrow))),0,
           IF(OFFSET(PLE!$G$15,$M108-$A$15,CB$13)="",10^12,OFFSET(PLE!$G$15,$M108-$A$15,CB$13)))</f>
        <v>1000000000000</v>
      </c>
      <c r="CC108" s="172" cm="1">
        <f t="array" aca="1" ref="CC108" ca="1">IF(OR($D108&lt;&gt;"Serviço",AND(AUTOEVENTO="Manual",$M108=$A$15),$M108&gt;(ROW(PLE.lastrow)-ROW(PLE.firstrow))),0,
           IF(OFFSET(PLE!$G$15,$M108-$A$15,CC$13)="",10^12,OFFSET(PLE!$G$15,$M108-$A$15,CC$13)))</f>
        <v>1000000000000</v>
      </c>
      <c r="CD108" s="172" cm="1">
        <f t="array" aca="1" ref="CD108" ca="1">IF(OR($D108&lt;&gt;"Serviço",AND(AUTOEVENTO="Manual",$M108=$A$15),$M108&gt;(ROW(PLE.lastrow)-ROW(PLE.firstrow))),0,
           IF(OFFSET(PLE!$G$15,$M108-$A$15,CD$13)="",10^12,OFFSET(PLE!$G$15,$M108-$A$15,CD$13)))</f>
        <v>1000000000000</v>
      </c>
      <c r="CE108" s="172" cm="1">
        <f t="array" aca="1" ref="CE108" ca="1">IF(OR($D108&lt;&gt;"Serviço",AND(AUTOEVENTO="Manual",$M108=$A$15),$M108&gt;(ROW(PLE.lastrow)-ROW(PLE.firstrow))),0,
           IF(OFFSET(PLE!$G$15,$M108-$A$15,CE$13)="",10^12,OFFSET(PLE!$G$15,$M108-$A$15,CE$13)))</f>
        <v>1000000000000</v>
      </c>
      <c r="CF108" s="172" cm="1">
        <f t="array" aca="1" ref="CF108" ca="1">IF(OR($D108&lt;&gt;"Serviço",AND(AUTOEVENTO="Manual",$M108=$A$15),$M108&gt;(ROW(PLE.lastrow)-ROW(PLE.firstrow))),0,
           IF(OFFSET(PLE!$G$15,$M108-$A$15,CF$13)="",10^12,OFFSET(PLE!$G$15,$M108-$A$15,CF$13)))</f>
        <v>1000000000000</v>
      </c>
      <c r="CG108" s="172" cm="1">
        <f t="array" aca="1" ref="CG108" ca="1">IF(OR($D108&lt;&gt;"Serviço",AND(AUTOEVENTO="Manual",$M108=$A$15),$M108&gt;(ROW(PLE.lastrow)-ROW(PLE.firstrow))),0,
           IF(OFFSET(PLE!$G$15,$M108-$A$15,CG$13)="",10^12,OFFSET(PLE!$G$15,$M108-$A$15,CG$13)))</f>
        <v>1000000000000</v>
      </c>
      <c r="CH108" s="172" cm="1">
        <f t="array" aca="1" ref="CH108" ca="1">IF(OR($D108&lt;&gt;"Serviço",AND(AUTOEVENTO="Manual",$M108=$A$15),$M108&gt;(ROW(PLE.lastrow)-ROW(PLE.firstrow))),0,
           IF(OFFSET(PLE!$G$15,$M108-$A$15,CH$13)="",10^12,OFFSET(PLE!$G$15,$M108-$A$15,CH$13)))</f>
        <v>1000000000000</v>
      </c>
      <c r="CI108" s="172" cm="1">
        <f t="array" aca="1" ref="CI108" ca="1">IF(OR($D108&lt;&gt;"Serviço",AND(AUTOEVENTO="Manual",$M108=$A$15),$M108&gt;(ROW(PLE.lastrow)-ROW(PLE.firstrow))),0,
           IF(OFFSET(PLE!$G$15,$M108-$A$15,CI$13)="",10^12,OFFSET(PLE!$G$15,$M108-$A$15,CI$13)))</f>
        <v>1000000000000</v>
      </c>
      <c r="CJ108" s="172" cm="1">
        <f t="array" aca="1" ref="CJ108" ca="1">IF(OR($D108&lt;&gt;"Serviço",AND(AUTOEVENTO="Manual",$M108=$A$15),$M108&gt;(ROW(PLE.lastrow)-ROW(PLE.firstrow))),0,
           IF(OFFSET(PLE!$G$15,$M108-$A$15,CJ$13)="",10^12,OFFSET(PLE!$G$15,$M108-$A$15,CJ$13)))</f>
        <v>1000000000000</v>
      </c>
      <c r="CK108" s="172" cm="1">
        <f t="array" aca="1" ref="CK108" ca="1">IF(OR($D108&lt;&gt;"Serviço",AND(AUTOEVENTO="Manual",$M108=$A$15),$M108&gt;(ROW(PLE.lastrow)-ROW(PLE.firstrow))),0,
           IF(OFFSET(PLE!$G$15,$M108-$A$15,CK$13)="",10^12,OFFSET(PLE!$G$15,$M108-$A$15,CK$13)))</f>
        <v>1000000000000</v>
      </c>
      <c r="CL108" s="172" cm="1">
        <f t="array" aca="1" ref="CL108" ca="1">IF(OR($D108&lt;&gt;"Serviço",AND(AUTOEVENTO="Manual",$M108=$A$15),$M108&gt;(ROW(PLE.lastrow)-ROW(PLE.firstrow))),0,
           IF(OFFSET(PLE!$G$15,$M108-$A$15,CL$13)="",10^12,OFFSET(PLE!$G$15,$M108-$A$15,CL$13)))</f>
        <v>1000000000000</v>
      </c>
      <c r="CM108" s="172" cm="1">
        <f t="array" aca="1" ref="CM108" ca="1">IF(OR($D108&lt;&gt;"Serviço",AND(AUTOEVENTO="Manual",$M108=$A$15),$M108&gt;(ROW(PLE.lastrow)-ROW(PLE.firstrow))),0,
           IF(OFFSET(PLE!$G$15,$M108-$A$15,CM$13)="",10^12,OFFSET(PLE!$G$15,$M108-$A$15,CM$13)))</f>
        <v>1000000000000</v>
      </c>
    </row>
    <row r="109" spans="1:91" s="670" customFormat="1" ht="12.75" x14ac:dyDescent="0.2">
      <c r="A109" s="668">
        <f t="shared" ca="1" si="12"/>
        <v>0</v>
      </c>
      <c r="B109" s="668">
        <f ca="1">OFFSET(ORÇAMENTO!C$15,$L109,0)</f>
        <v>2</v>
      </c>
      <c r="C109" s="668" t="str">
        <f ca="1">OFFSET(ORÇAMENTO!L$15,$L109,0)</f>
        <v>F</v>
      </c>
      <c r="D109" s="116" t="str">
        <f ca="1">OFFSET(ORÇAMENTO!N$15,$L109,0)</f>
        <v>Nível 2</v>
      </c>
      <c r="E109" s="117" t="str">
        <f ca="1">OFFSET(ORÇAMENTO!O$15,$L109,0)</f>
        <v>1.15.</v>
      </c>
      <c r="F109" s="163" t="str">
        <f ca="1">OFFSET(ORÇAMENTO!R$15,$L109,0)</f>
        <v>ALVENARIAIS E DIVISÕES - Estação Elevatória de Água Tratada</v>
      </c>
      <c r="G109" s="164" t="str">
        <f ca="1">IF($D109&lt;&gt;"Serviço","",OFFSET(ORÇAMENTO!S$15,$L109,0))</f>
        <v/>
      </c>
      <c r="H109" s="122" cm="1">
        <f t="array" aca="1" ref="H109" ca="1">IF($D109&lt;&gt;"Serviço",0,IF(ACOMPANHAMENTO="BM",ROUND(OFFSET(ORÇAMENTO!AJ$15,$L109,0),15-13*ORÇAMENTO!$AF$7),IF(IFERROR(CÁLCULO.FrentesPreenchidas,0)=0,0,SUM(ROUND(OFFSET($P109,0,1,1,CÁLCULO.FrentesPreenchidas),15-13*ORÇAMENTO!$AF$7)))))</f>
        <v>0</v>
      </c>
      <c r="I109" s="468"/>
      <c r="J109" s="651" t="str" cm="1">
        <f t="array" aca="1" ref="J109" ca="1">IF(OR(B109&lt;&gt;"S",CÁLCULO.FrentesPreenchidas=0),"",IF(AND(ACOMPANHAMENTO="PLE",AUTOEVENTO="Manual",OR(H109&gt;0,ORÇAMENTO!AC109="QUANT."),OR(K109="",M109=0,N109="")),"►E",IF(AND(ACOMPANHAMENTO="PLE",ORÇAMENTO!AC109="QUANT."),"►Q",IF(AND(ACOMPANHAMENTO="PLE",H109&lt;&gt;SUMPRODUCT(($Q$1:$AI$1=1)*ROUND(Q109:AI109,15))),"►S",IF(AND(COUNTIF($P$11:$AI$11,"▼")=0,H109&gt;0,I109=""),"◄M","")))))</f>
        <v/>
      </c>
      <c r="K109" s="652"/>
      <c r="L109" s="165">
        <f t="shared" ca="1" si="13"/>
        <v>94</v>
      </c>
      <c r="M109" s="166" t="str">
        <f ca="1">IF($D109&lt;&gt;"Serviço","",
          IF(AUTOEVENTO="manual",$A109,
                IF(ISERROR(MATCH($A109,$A$15:OFFSET($A109,-1,0),0)),MAX($M$15:OFFSET(M109,-1,0))+1,
                      INDEX($M$15:OFFSET(M109,-1,0),MATCH($A109,$A$15:OFFSET($A109,-1,0),0)))))</f>
        <v/>
      </c>
      <c r="N109" s="167" t="str">
        <f ca="1">IF($D109&lt;&gt;"Serviço","",
         IF(AUTOEVENTO="Manual",
                IF($A109=0,"&lt;-- defina o número do agrupador",
                       OFFSET(EVENTOS!$D$15,$A109-$A$15,0)),
                OFFSET($F$15,$A109,0)))</f>
        <v/>
      </c>
      <c r="O109" s="168"/>
      <c r="Q109" s="168"/>
      <c r="R109" s="169"/>
      <c r="S109" s="169"/>
      <c r="T109" s="169"/>
      <c r="U109" s="169"/>
      <c r="V109" s="169" t="s">
        <v>250</v>
      </c>
      <c r="W109" s="169"/>
      <c r="X109" s="169"/>
      <c r="Y109" s="169"/>
      <c r="Z109" s="170"/>
      <c r="AA109" s="705"/>
      <c r="AB109" s="705"/>
      <c r="AC109" s="705"/>
      <c r="AD109" s="705"/>
      <c r="AE109" s="705"/>
      <c r="AF109" s="705"/>
      <c r="AG109" s="705"/>
      <c r="AH109" s="706"/>
      <c r="AJ109" s="453">
        <f ca="1">IF(AND($D109="Serviço",AJ$12&lt;&gt;0,$H109&gt;0,OR(AUTOEVENTO&lt;&gt;"manual",$M109&lt;&gt;$A$15)),
        IF(Import.TipoArredondamento&lt;&gt;"TransfereGOV",
              ROUND(OFFSET($P109,0,AJ$13),15-13*ORÇAMENTO!$AF$7)/$H109*OFFSET(ORÇAMENTO!$X$15,ROW(AJ109)-ROW(AJ$15),0),
              ROUND(ROUND(OFFSET($P109,0,AJ$13),15-13*ORÇAMENTO!$AF$7)*OFFSET(ORÇAMENTO!$W$15,ROW(AJ109)-ROW(AJ$15),0),15-13*ORÇAMENTO!$AF$11)),
         0)</f>
        <v>0</v>
      </c>
      <c r="AK109" s="453">
        <f ca="1">IF(AND($D109="Serviço",AK$12&lt;&gt;0,$H109&gt;0,OR(AUTOEVENTO&lt;&gt;"manual",$M109&lt;&gt;$A$15)),
        IF(Import.TipoArredondamento&lt;&gt;"TransfereGOV",
              ROUND(OFFSET($P109,0,AK$13),15-13*ORÇAMENTO!$AF$7)/$H109*OFFSET(ORÇAMENTO!$X$15,ROW(AK109)-ROW(AK$15),0),
              ROUND(ROUND(OFFSET($P109,0,AK$13),15-13*ORÇAMENTO!$AF$7)*OFFSET(ORÇAMENTO!$W$15,ROW(AK109)-ROW(AK$15),0),15-13*ORÇAMENTO!$AF$11)),
         0)</f>
        <v>0</v>
      </c>
      <c r="AL109" s="453">
        <f ca="1">IF(AND($D109="Serviço",AL$12&lt;&gt;0,$H109&gt;0,OR(AUTOEVENTO&lt;&gt;"manual",$M109&lt;&gt;$A$15)),
        IF(Import.TipoArredondamento&lt;&gt;"TransfereGOV",
              ROUND(OFFSET($P109,0,AL$13),15-13*ORÇAMENTO!$AF$7)/$H109*OFFSET(ORÇAMENTO!$X$15,ROW(AL109)-ROW(AL$15),0),
              ROUND(ROUND(OFFSET($P109,0,AL$13),15-13*ORÇAMENTO!$AF$7)*OFFSET(ORÇAMENTO!$W$15,ROW(AL109)-ROW(AL$15),0),15-13*ORÇAMENTO!$AF$11)),
         0)</f>
        <v>0</v>
      </c>
      <c r="AM109" s="453">
        <f ca="1">IF(AND($D109="Serviço",AM$12&lt;&gt;0,$H109&gt;0,OR(AUTOEVENTO&lt;&gt;"manual",$M109&lt;&gt;$A$15)),
        IF(Import.TipoArredondamento&lt;&gt;"TransfereGOV",
              ROUND(OFFSET($P109,0,AM$13),15-13*ORÇAMENTO!$AF$7)/$H109*OFFSET(ORÇAMENTO!$X$15,ROW(AM109)-ROW(AM$15),0),
              ROUND(ROUND(OFFSET($P109,0,AM$13),15-13*ORÇAMENTO!$AF$7)*OFFSET(ORÇAMENTO!$W$15,ROW(AM109)-ROW(AM$15),0),15-13*ORÇAMENTO!$AF$11)),
         0)</f>
        <v>0</v>
      </c>
      <c r="AN109" s="453">
        <f ca="1">IF(AND($D109="Serviço",AN$12&lt;&gt;0,$H109&gt;0,OR(AUTOEVENTO&lt;&gt;"manual",$M109&lt;&gt;$A$15)),
        IF(Import.TipoArredondamento&lt;&gt;"TransfereGOV",
              ROUND(OFFSET($P109,0,AN$13),15-13*ORÇAMENTO!$AF$7)/$H109*OFFSET(ORÇAMENTO!$X$15,ROW(AN109)-ROW(AN$15),0),
              ROUND(ROUND(OFFSET($P109,0,AN$13),15-13*ORÇAMENTO!$AF$7)*OFFSET(ORÇAMENTO!$W$15,ROW(AN109)-ROW(AN$15),0),15-13*ORÇAMENTO!$AF$11)),
         0)</f>
        <v>0</v>
      </c>
      <c r="AO109" s="453">
        <f ca="1">IF(AND($D109="Serviço",AO$12&lt;&gt;0,$H109&gt;0,OR(AUTOEVENTO&lt;&gt;"manual",$M109&lt;&gt;$A$15)),
        IF(Import.TipoArredondamento&lt;&gt;"TransfereGOV",
              ROUND(OFFSET($P109,0,AO$13),15-13*ORÇAMENTO!$AF$7)/$H109*OFFSET(ORÇAMENTO!$X$15,ROW(AO109)-ROW(AO$15),0),
              ROUND(ROUND(OFFSET($P109,0,AO$13),15-13*ORÇAMENTO!$AF$7)*OFFSET(ORÇAMENTO!$W$15,ROW(AO109)-ROW(AO$15),0),15-13*ORÇAMENTO!$AF$11)),
         0)</f>
        <v>0</v>
      </c>
      <c r="AP109" s="453">
        <f ca="1">IF(AND($D109="Serviço",AP$12&lt;&gt;0,$H109&gt;0,OR(AUTOEVENTO&lt;&gt;"manual",$M109&lt;&gt;$A$15)),
        IF(Import.TipoArredondamento&lt;&gt;"TransfereGOV",
              ROUND(OFFSET($P109,0,AP$13),15-13*ORÇAMENTO!$AF$7)/$H109*OFFSET(ORÇAMENTO!$X$15,ROW(AP109)-ROW(AP$15),0),
              ROUND(ROUND(OFFSET($P109,0,AP$13),15-13*ORÇAMENTO!$AF$7)*OFFSET(ORÇAMENTO!$W$15,ROW(AP109)-ROW(AP$15),0),15-13*ORÇAMENTO!$AF$11)),
         0)</f>
        <v>0</v>
      </c>
      <c r="AQ109" s="453">
        <f ca="1">IF(AND($D109="Serviço",AQ$12&lt;&gt;0,$H109&gt;0,OR(AUTOEVENTO&lt;&gt;"manual",$M109&lt;&gt;$A$15)),
        IF(Import.TipoArredondamento&lt;&gt;"TransfereGOV",
              ROUND(OFFSET($P109,0,AQ$13),15-13*ORÇAMENTO!$AF$7)/$H109*OFFSET(ORÇAMENTO!$X$15,ROW(AQ109)-ROW(AQ$15),0),
              ROUND(ROUND(OFFSET($P109,0,AQ$13),15-13*ORÇAMENTO!$AF$7)*OFFSET(ORÇAMENTO!$W$15,ROW(AQ109)-ROW(AQ$15),0),15-13*ORÇAMENTO!$AF$11)),
         0)</f>
        <v>0</v>
      </c>
      <c r="AR109" s="453">
        <f ca="1">IF(AND($D109="Serviço",AR$12&lt;&gt;0,$H109&gt;0,OR(AUTOEVENTO&lt;&gt;"manual",$M109&lt;&gt;$A$15)),
        IF(Import.TipoArredondamento&lt;&gt;"TransfereGOV",
              ROUND(OFFSET($P109,0,AR$13),15-13*ORÇAMENTO!$AF$7)/$H109*OFFSET(ORÇAMENTO!$X$15,ROW(AR109)-ROW(AR$15),0),
              ROUND(ROUND(OFFSET($P109,0,AR$13),15-13*ORÇAMENTO!$AF$7)*OFFSET(ORÇAMENTO!$W$15,ROW(AR109)-ROW(AR$15),0),15-13*ORÇAMENTO!$AF$11)),
         0)</f>
        <v>0</v>
      </c>
      <c r="AS109" s="453">
        <f ca="1">IF(AND($D109="Serviço",AS$12&lt;&gt;0,$H109&gt;0,OR(AUTOEVENTO&lt;&gt;"manual",$M109&lt;&gt;$A$15)),
        IF(Import.TipoArredondamento&lt;&gt;"TransfereGOV",
              ROUND(OFFSET($P109,0,AS$13),15-13*ORÇAMENTO!$AF$7)/$H109*OFFSET(ORÇAMENTO!$X$15,ROW(AS109)-ROW(AS$15),0),
              ROUND(ROUND(OFFSET($P109,0,AS$13),15-13*ORÇAMENTO!$AF$7)*OFFSET(ORÇAMENTO!$W$15,ROW(AS109)-ROW(AS$15),0),15-13*ORÇAMENTO!$AF$11)),
         0)</f>
        <v>0</v>
      </c>
      <c r="AT109" s="453">
        <f ca="1">IF(AND($D109="Serviço",AT$12&lt;&gt;0,$H109&gt;0,OR(AUTOEVENTO&lt;&gt;"manual",$M109&lt;&gt;$A$15)),
        IF(Import.TipoArredondamento&lt;&gt;"TransfereGOV",
              ROUND(OFFSET($P109,0,AT$13),15-13*ORÇAMENTO!$AF$7)/$H109*OFFSET(ORÇAMENTO!$X$15,ROW(AT109)-ROW(AT$15),0),
              ROUND(ROUND(OFFSET($P109,0,AT$13),15-13*ORÇAMENTO!$AF$7)*OFFSET(ORÇAMENTO!$W$15,ROW(AT109)-ROW(AT$15),0),15-13*ORÇAMENTO!$AF$11)),
         0)</f>
        <v>0</v>
      </c>
      <c r="AU109" s="453">
        <f ca="1">IF(AND($D109="Serviço",AU$12&lt;&gt;0,$H109&gt;0,OR(AUTOEVENTO&lt;&gt;"manual",$M109&lt;&gt;$A$15)),
        IF(Import.TipoArredondamento&lt;&gt;"TransfereGOV",
              ROUND(OFFSET($P109,0,AU$13),15-13*ORÇAMENTO!$AF$7)/$H109*OFFSET(ORÇAMENTO!$X$15,ROW(AU109)-ROW(AU$15),0),
              ROUND(ROUND(OFFSET($P109,0,AU$13),15-13*ORÇAMENTO!$AF$7)*OFFSET(ORÇAMENTO!$W$15,ROW(AU109)-ROW(AU$15),0),15-13*ORÇAMENTO!$AF$11)),
         0)</f>
        <v>0</v>
      </c>
      <c r="AV109" s="453">
        <f ca="1">IF(AND($D109="Serviço",AV$12&lt;&gt;0,$H109&gt;0,OR(AUTOEVENTO&lt;&gt;"manual",$M109&lt;&gt;$A$15)),
        IF(Import.TipoArredondamento&lt;&gt;"TransfereGOV",
              ROUND(OFFSET($P109,0,AV$13),15-13*ORÇAMENTO!$AF$7)/$H109*OFFSET(ORÇAMENTO!$X$15,ROW(AV109)-ROW(AV$15),0),
              ROUND(ROUND(OFFSET($P109,0,AV$13),15-13*ORÇAMENTO!$AF$7)*OFFSET(ORÇAMENTO!$W$15,ROW(AV109)-ROW(AV$15),0),15-13*ORÇAMENTO!$AF$11)),
         0)</f>
        <v>0</v>
      </c>
      <c r="AW109" s="453">
        <f ca="1">IF(AND($D109="Serviço",AW$12&lt;&gt;0,$H109&gt;0,OR(AUTOEVENTO&lt;&gt;"manual",$M109&lt;&gt;$A$15)),
        IF(Import.TipoArredondamento&lt;&gt;"TransfereGOV",
              ROUND(OFFSET($P109,0,AW$13),15-13*ORÇAMENTO!$AF$7)/$H109*OFFSET(ORÇAMENTO!$X$15,ROW(AW109)-ROW(AW$15),0),
              ROUND(ROUND(OFFSET($P109,0,AW$13),15-13*ORÇAMENTO!$AF$7)*OFFSET(ORÇAMENTO!$W$15,ROW(AW109)-ROW(AW$15),0),15-13*ORÇAMENTO!$AF$11)),
         0)</f>
        <v>0</v>
      </c>
      <c r="AX109" s="453">
        <f ca="1">IF(AND($D109="Serviço",AX$12&lt;&gt;0,$H109&gt;0,OR(AUTOEVENTO&lt;&gt;"manual",$M109&lt;&gt;$A$15)),
        IF(Import.TipoArredondamento&lt;&gt;"TransfereGOV",
              ROUND(OFFSET($P109,0,AX$13),15-13*ORÇAMENTO!$AF$7)/$H109*OFFSET(ORÇAMENTO!$X$15,ROW(AX109)-ROW(AX$15),0),
              ROUND(ROUND(OFFSET($P109,0,AX$13),15-13*ORÇAMENTO!$AF$7)*OFFSET(ORÇAMENTO!$W$15,ROW(AX109)-ROW(AX$15),0),15-13*ORÇAMENTO!$AF$11)),
         0)</f>
        <v>0</v>
      </c>
      <c r="AY109" s="453">
        <f ca="1">IF(AND($D109="Serviço",AY$12&lt;&gt;0,$H109&gt;0,OR(AUTOEVENTO&lt;&gt;"manual",$M109&lt;&gt;$A$15)),
        IF(Import.TipoArredondamento&lt;&gt;"TransfereGOV",
              ROUND(OFFSET($P109,0,AY$13),15-13*ORÇAMENTO!$AF$7)/$H109*OFFSET(ORÇAMENTO!$X$15,ROW(AY109)-ROW(AY$15),0),
              ROUND(ROUND(OFFSET($P109,0,AY$13),15-13*ORÇAMENTO!$AF$7)*OFFSET(ORÇAMENTO!$W$15,ROW(AY109)-ROW(AY$15),0),15-13*ORÇAMENTO!$AF$11)),
         0)</f>
        <v>0</v>
      </c>
      <c r="AZ109" s="453">
        <f ca="1">IF(AND($D109="Serviço",AZ$12&lt;&gt;0,$H109&gt;0,OR(AUTOEVENTO&lt;&gt;"manual",$M109&lt;&gt;$A$15)),
        IF(Import.TipoArredondamento&lt;&gt;"TransfereGOV",
              ROUND(OFFSET($P109,0,AZ$13),15-13*ORÇAMENTO!$AF$7)/$H109*OFFSET(ORÇAMENTO!$X$15,ROW(AZ109)-ROW(AZ$15),0),
              ROUND(ROUND(OFFSET($P109,0,AZ$13),15-13*ORÇAMENTO!$AF$7)*OFFSET(ORÇAMENTO!$W$15,ROW(AZ109)-ROW(AZ$15),0),15-13*ORÇAMENTO!$AF$11)),
         0)</f>
        <v>0</v>
      </c>
      <c r="BA109" s="453">
        <f ca="1">IF(AND($D109="Serviço",BA$12&lt;&gt;0,$H109&gt;0,OR(AUTOEVENTO&lt;&gt;"manual",$M109&lt;&gt;$A$15)),
        IF(Import.TipoArredondamento&lt;&gt;"TransfereGOV",
              ROUND(OFFSET($P109,0,BA$13),15-13*ORÇAMENTO!$AF$7)/$H109*OFFSET(ORÇAMENTO!$X$15,ROW(BA109)-ROW(BA$15),0),
              ROUND(ROUND(OFFSET($P109,0,BA$13),15-13*ORÇAMENTO!$AF$7)*OFFSET(ORÇAMENTO!$W$15,ROW(BA109)-ROW(BA$15),0),15-13*ORÇAMENTO!$AF$11)),
         0)</f>
        <v>0</v>
      </c>
      <c r="BC109" s="171">
        <f ca="1">IF(OR($D109&lt;&gt;"Serviço",AND(AUTOEVENTO="Manual",$M109=$A$15)),0,
         IF(OFFSET(CRONOPLE!$F$15,$M109-$A$15,BC$13)=0,10^12,OFFSET(CRONOPLE!$F$15,$M109-$A$15,BC$13)))</f>
        <v>0</v>
      </c>
      <c r="BD109" s="171">
        <f ca="1">IF(OR($D109&lt;&gt;"Serviço",AND(AUTOEVENTO="Manual",$M109=$A$15)),0,
         IF(OFFSET(CRONOPLE!$F$15,$M109-$A$15,BD$13)=0,10^12,OFFSET(CRONOPLE!$F$15,$M109-$A$15,BD$13)))</f>
        <v>0</v>
      </c>
      <c r="BE109" s="171">
        <f ca="1">IF(OR($D109&lt;&gt;"Serviço",AND(AUTOEVENTO="Manual",$M109=$A$15)),0,
         IF(OFFSET(CRONOPLE!$F$15,$M109-$A$15,BE$13)=0,10^12,OFFSET(CRONOPLE!$F$15,$M109-$A$15,BE$13)))</f>
        <v>0</v>
      </c>
      <c r="BF109" s="171">
        <f ca="1">IF(OR($D109&lt;&gt;"Serviço",AND(AUTOEVENTO="Manual",$M109=$A$15)),0,
         IF(OFFSET(CRONOPLE!$F$15,$M109-$A$15,BF$13)=0,10^12,OFFSET(CRONOPLE!$F$15,$M109-$A$15,BF$13)))</f>
        <v>0</v>
      </c>
      <c r="BG109" s="171">
        <f ca="1">IF(OR($D109&lt;&gt;"Serviço",AND(AUTOEVENTO="Manual",$M109=$A$15)),0,
         IF(OFFSET(CRONOPLE!$F$15,$M109-$A$15,BG$13)=0,10^12,OFFSET(CRONOPLE!$F$15,$M109-$A$15,BG$13)))</f>
        <v>0</v>
      </c>
      <c r="BH109" s="171">
        <f ca="1">IF(OR($D109&lt;&gt;"Serviço",AND(AUTOEVENTO="Manual",$M109=$A$15)),0,
         IF(OFFSET(CRONOPLE!$F$15,$M109-$A$15,BH$13)=0,10^12,OFFSET(CRONOPLE!$F$15,$M109-$A$15,BH$13)))</f>
        <v>0</v>
      </c>
      <c r="BI109" s="171">
        <f ca="1">IF(OR($D109&lt;&gt;"Serviço",AND(AUTOEVENTO="Manual",$M109=$A$15)),0,
         IF(OFFSET(CRONOPLE!$F$15,$M109-$A$15,BI$13)=0,10^12,OFFSET(CRONOPLE!$F$15,$M109-$A$15,BI$13)))</f>
        <v>0</v>
      </c>
      <c r="BJ109" s="171">
        <f ca="1">IF(OR($D109&lt;&gt;"Serviço",AND(AUTOEVENTO="Manual",$M109=$A$15)),0,
         IF(OFFSET(CRONOPLE!$F$15,$M109-$A$15,BJ$13)=0,10^12,OFFSET(CRONOPLE!$F$15,$M109-$A$15,BJ$13)))</f>
        <v>0</v>
      </c>
      <c r="BK109" s="171">
        <f ca="1">IF(OR($D109&lt;&gt;"Serviço",AND(AUTOEVENTO="Manual",$M109=$A$15)),0,
         IF(OFFSET(CRONOPLE!$F$15,$M109-$A$15,BK$13)=0,10^12,OFFSET(CRONOPLE!$F$15,$M109-$A$15,BK$13)))</f>
        <v>0</v>
      </c>
      <c r="BL109" s="171">
        <f ca="1">IF(OR($D109&lt;&gt;"Serviço",AND(AUTOEVENTO="Manual",$M109=$A$15)),0,
         IF(OFFSET(CRONOPLE!$F$15,$M109-$A$15,BL$13)=0,10^12,OFFSET(CRONOPLE!$F$15,$M109-$A$15,BL$13)))</f>
        <v>0</v>
      </c>
      <c r="BM109" s="171">
        <f ca="1">IF(OR($D109&lt;&gt;"Serviço",AND(AUTOEVENTO="Manual",$M109=$A$15)),0,
         IF(OFFSET(CRONOPLE!$F$15,$M109-$A$15,BM$13)=0,10^12,OFFSET(CRONOPLE!$F$15,$M109-$A$15,BM$13)))</f>
        <v>0</v>
      </c>
      <c r="BN109" s="171">
        <f ca="1">IF(OR($D109&lt;&gt;"Serviço",AND(AUTOEVENTO="Manual",$M109=$A$15)),0,
         IF(OFFSET(CRONOPLE!$F$15,$M109-$A$15,BN$13)=0,10^12,OFFSET(CRONOPLE!$F$15,$M109-$A$15,BN$13)))</f>
        <v>0</v>
      </c>
      <c r="BO109" s="171">
        <f ca="1">IF(OR($D109&lt;&gt;"Serviço",AND(AUTOEVENTO="Manual",$M109=$A$15)),0,
         IF(OFFSET(CRONOPLE!$F$15,$M109-$A$15,BO$13)=0,10^12,OFFSET(CRONOPLE!$F$15,$M109-$A$15,BO$13)))</f>
        <v>0</v>
      </c>
      <c r="BP109" s="171">
        <f ca="1">IF(OR($D109&lt;&gt;"Serviço",AND(AUTOEVENTO="Manual",$M109=$A$15)),0,
         IF(OFFSET(CRONOPLE!$F$15,$M109-$A$15,BP$13)=0,10^12,OFFSET(CRONOPLE!$F$15,$M109-$A$15,BP$13)))</f>
        <v>0</v>
      </c>
      <c r="BQ109" s="171">
        <f ca="1">IF(OR($D109&lt;&gt;"Serviço",AND(AUTOEVENTO="Manual",$M109=$A$15)),0,
         IF(OFFSET(CRONOPLE!$F$15,$M109-$A$15,BQ$13)=0,10^12,OFFSET(CRONOPLE!$F$15,$M109-$A$15,BQ$13)))</f>
        <v>0</v>
      </c>
      <c r="BR109" s="171">
        <f ca="1">IF(OR($D109&lt;&gt;"Serviço",AND(AUTOEVENTO="Manual",$M109=$A$15)),0,
         IF(OFFSET(CRONOPLE!$F$15,$M109-$A$15,BR$13)=0,10^12,OFFSET(CRONOPLE!$F$15,$M109-$A$15,BR$13)))</f>
        <v>0</v>
      </c>
      <c r="BS109" s="171">
        <f ca="1">IF(OR($D109&lt;&gt;"Serviço",AND(AUTOEVENTO="Manual",$M109=$A$15)),0,
         IF(OFFSET(CRONOPLE!$F$15,$M109-$A$15,BS$13)=0,10^12,OFFSET(CRONOPLE!$F$15,$M109-$A$15,BS$13)))</f>
        <v>0</v>
      </c>
      <c r="BT109" s="171">
        <f ca="1">IF(OR($D109&lt;&gt;"Serviço",AND(AUTOEVENTO="Manual",$M109=$A$15)),0,
         IF(OFFSET(CRONOPLE!$F$15,$M109-$A$15,BT$13)=0,10^12,OFFSET(CRONOPLE!$F$15,$M109-$A$15,BT$13)))</f>
        <v>0</v>
      </c>
      <c r="BV109" s="172" cm="1">
        <f t="array" aca="1" ref="BV109" ca="1">IF(OR($D109&lt;&gt;"Serviço",AND(AUTOEVENTO="Manual",$M109=$A$15),$M109&gt;(ROW(PLE.lastrow)-ROW(PLE.firstrow))),0,
           IF(OFFSET(PLE!$G$15,$M109-$A$15,BV$13)="",10^12,OFFSET(PLE!$G$15,$M109-$A$15,BV$13)))</f>
        <v>0</v>
      </c>
      <c r="BW109" s="172" cm="1">
        <f t="array" aca="1" ref="BW109" ca="1">IF(OR($D109&lt;&gt;"Serviço",AND(AUTOEVENTO="Manual",$M109=$A$15),$M109&gt;(ROW(PLE.lastrow)-ROW(PLE.firstrow))),0,
           IF(OFFSET(PLE!$G$15,$M109-$A$15,BW$13)="",10^12,OFFSET(PLE!$G$15,$M109-$A$15,BW$13)))</f>
        <v>0</v>
      </c>
      <c r="BX109" s="172" cm="1">
        <f t="array" aca="1" ref="BX109" ca="1">IF(OR($D109&lt;&gt;"Serviço",AND(AUTOEVENTO="Manual",$M109=$A$15),$M109&gt;(ROW(PLE.lastrow)-ROW(PLE.firstrow))),0,
           IF(OFFSET(PLE!$G$15,$M109-$A$15,BX$13)="",10^12,OFFSET(PLE!$G$15,$M109-$A$15,BX$13)))</f>
        <v>0</v>
      </c>
      <c r="BY109" s="172" cm="1">
        <f t="array" aca="1" ref="BY109" ca="1">IF(OR($D109&lt;&gt;"Serviço",AND(AUTOEVENTO="Manual",$M109=$A$15),$M109&gt;(ROW(PLE.lastrow)-ROW(PLE.firstrow))),0,
           IF(OFFSET(PLE!$G$15,$M109-$A$15,BY$13)="",10^12,OFFSET(PLE!$G$15,$M109-$A$15,BY$13)))</f>
        <v>0</v>
      </c>
      <c r="BZ109" s="172" cm="1">
        <f t="array" aca="1" ref="BZ109" ca="1">IF(OR($D109&lt;&gt;"Serviço",AND(AUTOEVENTO="Manual",$M109=$A$15),$M109&gt;(ROW(PLE.lastrow)-ROW(PLE.firstrow))),0,
           IF(OFFSET(PLE!$G$15,$M109-$A$15,BZ$13)="",10^12,OFFSET(PLE!$G$15,$M109-$A$15,BZ$13)))</f>
        <v>0</v>
      </c>
      <c r="CA109" s="172" cm="1">
        <f t="array" aca="1" ref="CA109" ca="1">IF(OR($D109&lt;&gt;"Serviço",AND(AUTOEVENTO="Manual",$M109=$A$15),$M109&gt;(ROW(PLE.lastrow)-ROW(PLE.firstrow))),0,
           IF(OFFSET(PLE!$G$15,$M109-$A$15,CA$13)="",10^12,OFFSET(PLE!$G$15,$M109-$A$15,CA$13)))</f>
        <v>0</v>
      </c>
      <c r="CB109" s="172" cm="1">
        <f t="array" aca="1" ref="CB109" ca="1">IF(OR($D109&lt;&gt;"Serviço",AND(AUTOEVENTO="Manual",$M109=$A$15),$M109&gt;(ROW(PLE.lastrow)-ROW(PLE.firstrow))),0,
           IF(OFFSET(PLE!$G$15,$M109-$A$15,CB$13)="",10^12,OFFSET(PLE!$G$15,$M109-$A$15,CB$13)))</f>
        <v>0</v>
      </c>
      <c r="CC109" s="172" cm="1">
        <f t="array" aca="1" ref="CC109" ca="1">IF(OR($D109&lt;&gt;"Serviço",AND(AUTOEVENTO="Manual",$M109=$A$15),$M109&gt;(ROW(PLE.lastrow)-ROW(PLE.firstrow))),0,
           IF(OFFSET(PLE!$G$15,$M109-$A$15,CC$13)="",10^12,OFFSET(PLE!$G$15,$M109-$A$15,CC$13)))</f>
        <v>0</v>
      </c>
      <c r="CD109" s="172" cm="1">
        <f t="array" aca="1" ref="CD109" ca="1">IF(OR($D109&lt;&gt;"Serviço",AND(AUTOEVENTO="Manual",$M109=$A$15),$M109&gt;(ROW(PLE.lastrow)-ROW(PLE.firstrow))),0,
           IF(OFFSET(PLE!$G$15,$M109-$A$15,CD$13)="",10^12,OFFSET(PLE!$G$15,$M109-$A$15,CD$13)))</f>
        <v>0</v>
      </c>
      <c r="CE109" s="172" cm="1">
        <f t="array" aca="1" ref="CE109" ca="1">IF(OR($D109&lt;&gt;"Serviço",AND(AUTOEVENTO="Manual",$M109=$A$15),$M109&gt;(ROW(PLE.lastrow)-ROW(PLE.firstrow))),0,
           IF(OFFSET(PLE!$G$15,$M109-$A$15,CE$13)="",10^12,OFFSET(PLE!$G$15,$M109-$A$15,CE$13)))</f>
        <v>0</v>
      </c>
      <c r="CF109" s="172" cm="1">
        <f t="array" aca="1" ref="CF109" ca="1">IF(OR($D109&lt;&gt;"Serviço",AND(AUTOEVENTO="Manual",$M109=$A$15),$M109&gt;(ROW(PLE.lastrow)-ROW(PLE.firstrow))),0,
           IF(OFFSET(PLE!$G$15,$M109-$A$15,CF$13)="",10^12,OFFSET(PLE!$G$15,$M109-$A$15,CF$13)))</f>
        <v>0</v>
      </c>
      <c r="CG109" s="172" cm="1">
        <f t="array" aca="1" ref="CG109" ca="1">IF(OR($D109&lt;&gt;"Serviço",AND(AUTOEVENTO="Manual",$M109=$A$15),$M109&gt;(ROW(PLE.lastrow)-ROW(PLE.firstrow))),0,
           IF(OFFSET(PLE!$G$15,$M109-$A$15,CG$13)="",10^12,OFFSET(PLE!$G$15,$M109-$A$15,CG$13)))</f>
        <v>0</v>
      </c>
      <c r="CH109" s="172" cm="1">
        <f t="array" aca="1" ref="CH109" ca="1">IF(OR($D109&lt;&gt;"Serviço",AND(AUTOEVENTO="Manual",$M109=$A$15),$M109&gt;(ROW(PLE.lastrow)-ROW(PLE.firstrow))),0,
           IF(OFFSET(PLE!$G$15,$M109-$A$15,CH$13)="",10^12,OFFSET(PLE!$G$15,$M109-$A$15,CH$13)))</f>
        <v>0</v>
      </c>
      <c r="CI109" s="172" cm="1">
        <f t="array" aca="1" ref="CI109" ca="1">IF(OR($D109&lt;&gt;"Serviço",AND(AUTOEVENTO="Manual",$M109=$A$15),$M109&gt;(ROW(PLE.lastrow)-ROW(PLE.firstrow))),0,
           IF(OFFSET(PLE!$G$15,$M109-$A$15,CI$13)="",10^12,OFFSET(PLE!$G$15,$M109-$A$15,CI$13)))</f>
        <v>0</v>
      </c>
      <c r="CJ109" s="172" cm="1">
        <f t="array" aca="1" ref="CJ109" ca="1">IF(OR($D109&lt;&gt;"Serviço",AND(AUTOEVENTO="Manual",$M109=$A$15),$M109&gt;(ROW(PLE.lastrow)-ROW(PLE.firstrow))),0,
           IF(OFFSET(PLE!$G$15,$M109-$A$15,CJ$13)="",10^12,OFFSET(PLE!$G$15,$M109-$A$15,CJ$13)))</f>
        <v>0</v>
      </c>
      <c r="CK109" s="172" cm="1">
        <f t="array" aca="1" ref="CK109" ca="1">IF(OR($D109&lt;&gt;"Serviço",AND(AUTOEVENTO="Manual",$M109=$A$15),$M109&gt;(ROW(PLE.lastrow)-ROW(PLE.firstrow))),0,
           IF(OFFSET(PLE!$G$15,$M109-$A$15,CK$13)="",10^12,OFFSET(PLE!$G$15,$M109-$A$15,CK$13)))</f>
        <v>0</v>
      </c>
      <c r="CL109" s="172" cm="1">
        <f t="array" aca="1" ref="CL109" ca="1">IF(OR($D109&lt;&gt;"Serviço",AND(AUTOEVENTO="Manual",$M109=$A$15),$M109&gt;(ROW(PLE.lastrow)-ROW(PLE.firstrow))),0,
           IF(OFFSET(PLE!$G$15,$M109-$A$15,CL$13)="",10^12,OFFSET(PLE!$G$15,$M109-$A$15,CL$13)))</f>
        <v>0</v>
      </c>
      <c r="CM109" s="172" cm="1">
        <f t="array" aca="1" ref="CM109" ca="1">IF(OR($D109&lt;&gt;"Serviço",AND(AUTOEVENTO="Manual",$M109=$A$15),$M109&gt;(ROW(PLE.lastrow)-ROW(PLE.firstrow))),0,
           IF(OFFSET(PLE!$G$15,$M109-$A$15,CM$13)="",10^12,OFFSET(PLE!$G$15,$M109-$A$15,CM$13)))</f>
        <v>0</v>
      </c>
    </row>
    <row r="110" spans="1:91" s="670" customFormat="1" ht="38.25" x14ac:dyDescent="0.2">
      <c r="A110" s="668">
        <f t="shared" ca="1" si="12"/>
        <v>20</v>
      </c>
      <c r="B110" s="668" t="str">
        <f ca="1">OFFSET(ORÇAMENTO!C$15,$L110,0)</f>
        <v>S</v>
      </c>
      <c r="C110" s="668" t="str">
        <f ca="1">OFFSET(ORÇAMENTO!L$15,$L110,0)</f>
        <v>F</v>
      </c>
      <c r="D110" s="116" t="str">
        <f ca="1">OFFSET(ORÇAMENTO!N$15,$L110,0)</f>
        <v>Serviço</v>
      </c>
      <c r="E110" s="117" t="str">
        <f ca="1">OFFSET(ORÇAMENTO!O$15,$L110,0)</f>
        <v>1.15.1.</v>
      </c>
      <c r="F110" s="163" t="str">
        <f ca="1">OFFSET(ORÇAMENTO!R$15,$L110,0)</f>
        <v>ALVENARIA DE VEDAÇÃO COM TIJOLO MACIÇO REQUEIMADO, ESP. 20CM, PARA REVESTIMENTO, INCLUSIVE ARGAMASSA PARA ASSENTAMENTO</v>
      </c>
      <c r="G110" s="164" t="str">
        <f ca="1">IF($D110&lt;&gt;"Serviço","",OFFSET(ORÇAMENTO!S$15,$L110,0))</f>
        <v>m2</v>
      </c>
      <c r="H110" s="122" cm="1">
        <f t="array" aca="1" ref="H110" ca="1">IF($D110&lt;&gt;"Serviço",0,IF(ACOMPANHAMENTO="BM",ROUND(OFFSET(ORÇAMENTO!AJ$15,$L110,0),15-13*ORÇAMENTO!$AF$7),IF(IFERROR(CÁLCULO.FrentesPreenchidas,0)=0,0,SUM(ROUND(OFFSET($P110,0,1,1,CÁLCULO.FrentesPreenchidas),15-13*ORÇAMENTO!$AF$7)))))</f>
        <v>94</v>
      </c>
      <c r="I110" s="468" t="s">
        <v>1174</v>
      </c>
      <c r="J110" s="651" t="str" cm="1">
        <f t="array" aca="1" ref="J110" ca="1">IF(OR(B110&lt;&gt;"S",CÁLCULO.FrentesPreenchidas=0),"",IF(AND(ACOMPANHAMENTO="PLE",AUTOEVENTO="Manual",OR(H110&gt;0,ORÇAMENTO!AC110="QUANT."),OR(K110="",M110=0,N110="")),"►E",IF(AND(ACOMPANHAMENTO="PLE",ORÇAMENTO!AC110="QUANT."),"►Q",IF(AND(ACOMPANHAMENTO="PLE",H110&lt;&gt;SUMPRODUCT(($Q$1:$AI$1=1)*ROUND(Q110:AI110,15))),"►S",IF(AND(COUNTIF($P$11:$AI$11,"▼")=0,H110&gt;0,I110=""),"◄M","")))))</f>
        <v/>
      </c>
      <c r="K110" s="652" t="s">
        <v>1357</v>
      </c>
      <c r="L110" s="165">
        <f t="shared" ca="1" si="13"/>
        <v>95</v>
      </c>
      <c r="M110" s="166">
        <f ca="1">IF($D110&lt;&gt;"Serviço","",
          IF(AUTOEVENTO="manual",$A110,
                IF(ISERROR(MATCH($A110,$A$15:OFFSET($A110,-1,0),0)),MAX($M$15:OFFSET(M110,-1,0))+1,
                      INDEX($M$15:OFFSET(M110,-1,0),MATCH($A110,$A$15:OFFSET($A110,-1,0),0)))))</f>
        <v>20</v>
      </c>
      <c r="N110" s="167" t="str">
        <f ca="1">IF($D110&lt;&gt;"Serviço","",
         IF(AUTOEVENTO="Manual",
                IF($A110=0,"&lt;-- defina o número do agrupador",
                       OFFSET(EVENTOS!$D$15,$A110-$A$15,0)),
                OFFSET($F$15,$A110,0)))</f>
        <v>Alvenaria</v>
      </c>
      <c r="O110" s="168"/>
      <c r="Q110" s="168"/>
      <c r="R110" s="169"/>
      <c r="S110" s="169"/>
      <c r="T110" s="169"/>
      <c r="U110" s="169"/>
      <c r="V110" s="169">
        <v>94</v>
      </c>
      <c r="W110" s="169"/>
      <c r="X110" s="169"/>
      <c r="Y110" s="169"/>
      <c r="Z110" s="170"/>
      <c r="AA110" s="705"/>
      <c r="AB110" s="705"/>
      <c r="AC110" s="705"/>
      <c r="AD110" s="705"/>
      <c r="AE110" s="705"/>
      <c r="AF110" s="705"/>
      <c r="AG110" s="705"/>
      <c r="AH110" s="706"/>
      <c r="AJ110" s="453">
        <f ca="1">IF(AND($D110="Serviço",AJ$12&lt;&gt;0,$H110&gt;0,OR(AUTOEVENTO&lt;&gt;"manual",$M110&lt;&gt;$A$15)),
        IF(Import.TipoArredondamento&lt;&gt;"TransfereGOV",
              ROUND(OFFSET($P110,0,AJ$13),15-13*ORÇAMENTO!$AF$7)/$H110*OFFSET(ORÇAMENTO!$X$15,ROW(AJ110)-ROW(AJ$15),0),
              ROUND(ROUND(OFFSET($P110,0,AJ$13),15-13*ORÇAMENTO!$AF$7)*OFFSET(ORÇAMENTO!$W$15,ROW(AJ110)-ROW(AJ$15),0),15-13*ORÇAMENTO!$AF$11)),
         0)</f>
        <v>0</v>
      </c>
      <c r="AK110" s="453">
        <f ca="1">IF(AND($D110="Serviço",AK$12&lt;&gt;0,$H110&gt;0,OR(AUTOEVENTO&lt;&gt;"manual",$M110&lt;&gt;$A$15)),
        IF(Import.TipoArredondamento&lt;&gt;"TransfereGOV",
              ROUND(OFFSET($P110,0,AK$13),15-13*ORÇAMENTO!$AF$7)/$H110*OFFSET(ORÇAMENTO!$X$15,ROW(AK110)-ROW(AK$15),0),
              ROUND(ROUND(OFFSET($P110,0,AK$13),15-13*ORÇAMENTO!$AF$7)*OFFSET(ORÇAMENTO!$W$15,ROW(AK110)-ROW(AK$15),0),15-13*ORÇAMENTO!$AF$11)),
         0)</f>
        <v>0</v>
      </c>
      <c r="AL110" s="453">
        <f ca="1">IF(AND($D110="Serviço",AL$12&lt;&gt;0,$H110&gt;0,OR(AUTOEVENTO&lt;&gt;"manual",$M110&lt;&gt;$A$15)),
        IF(Import.TipoArredondamento&lt;&gt;"TransfereGOV",
              ROUND(OFFSET($P110,0,AL$13),15-13*ORÇAMENTO!$AF$7)/$H110*OFFSET(ORÇAMENTO!$X$15,ROW(AL110)-ROW(AL$15),0),
              ROUND(ROUND(OFFSET($P110,0,AL$13),15-13*ORÇAMENTO!$AF$7)*OFFSET(ORÇAMENTO!$W$15,ROW(AL110)-ROW(AL$15),0),15-13*ORÇAMENTO!$AF$11)),
         0)</f>
        <v>0</v>
      </c>
      <c r="AM110" s="453">
        <f ca="1">IF(AND($D110="Serviço",AM$12&lt;&gt;0,$H110&gt;0,OR(AUTOEVENTO&lt;&gt;"manual",$M110&lt;&gt;$A$15)),
        IF(Import.TipoArredondamento&lt;&gt;"TransfereGOV",
              ROUND(OFFSET($P110,0,AM$13),15-13*ORÇAMENTO!$AF$7)/$H110*OFFSET(ORÇAMENTO!$X$15,ROW(AM110)-ROW(AM$15),0),
              ROUND(ROUND(OFFSET($P110,0,AM$13),15-13*ORÇAMENTO!$AF$7)*OFFSET(ORÇAMENTO!$W$15,ROW(AM110)-ROW(AM$15),0),15-13*ORÇAMENTO!$AF$11)),
         0)</f>
        <v>0</v>
      </c>
      <c r="AN110" s="453">
        <f ca="1">IF(AND($D110="Serviço",AN$12&lt;&gt;0,$H110&gt;0,OR(AUTOEVENTO&lt;&gt;"manual",$M110&lt;&gt;$A$15)),
        IF(Import.TipoArredondamento&lt;&gt;"TransfereGOV",
              ROUND(OFFSET($P110,0,AN$13),15-13*ORÇAMENTO!$AF$7)/$H110*OFFSET(ORÇAMENTO!$X$15,ROW(AN110)-ROW(AN$15),0),
              ROUND(ROUND(OFFSET($P110,0,AN$13),15-13*ORÇAMENTO!$AF$7)*OFFSET(ORÇAMENTO!$W$15,ROW(AN110)-ROW(AN$15),0),15-13*ORÇAMENTO!$AF$11)),
         0)</f>
        <v>0</v>
      </c>
      <c r="AO110" s="453">
        <f ca="1">IF(AND($D110="Serviço",AO$12&lt;&gt;0,$H110&gt;0,OR(AUTOEVENTO&lt;&gt;"manual",$M110&lt;&gt;$A$15)),
        IF(Import.TipoArredondamento&lt;&gt;"TransfereGOV",
              ROUND(OFFSET($P110,0,AO$13),15-13*ORÇAMENTO!$AF$7)/$H110*OFFSET(ORÇAMENTO!$X$15,ROW(AO110)-ROW(AO$15),0),
              ROUND(ROUND(OFFSET($P110,0,AO$13),15-13*ORÇAMENTO!$AF$7)*OFFSET(ORÇAMENTO!$W$15,ROW(AO110)-ROW(AO$15),0),15-13*ORÇAMENTO!$AF$11)),
         0)</f>
        <v>30663.74</v>
      </c>
      <c r="AP110" s="453">
        <f ca="1">IF(AND($D110="Serviço",AP$12&lt;&gt;0,$H110&gt;0,OR(AUTOEVENTO&lt;&gt;"manual",$M110&lt;&gt;$A$15)),
        IF(Import.TipoArredondamento&lt;&gt;"TransfereGOV",
              ROUND(OFFSET($P110,0,AP$13),15-13*ORÇAMENTO!$AF$7)/$H110*OFFSET(ORÇAMENTO!$X$15,ROW(AP110)-ROW(AP$15),0),
              ROUND(ROUND(OFFSET($P110,0,AP$13),15-13*ORÇAMENTO!$AF$7)*OFFSET(ORÇAMENTO!$W$15,ROW(AP110)-ROW(AP$15),0),15-13*ORÇAMENTO!$AF$11)),
         0)</f>
        <v>0</v>
      </c>
      <c r="AQ110" s="453">
        <f ca="1">IF(AND($D110="Serviço",AQ$12&lt;&gt;0,$H110&gt;0,OR(AUTOEVENTO&lt;&gt;"manual",$M110&lt;&gt;$A$15)),
        IF(Import.TipoArredondamento&lt;&gt;"TransfereGOV",
              ROUND(OFFSET($P110,0,AQ$13),15-13*ORÇAMENTO!$AF$7)/$H110*OFFSET(ORÇAMENTO!$X$15,ROW(AQ110)-ROW(AQ$15),0),
              ROUND(ROUND(OFFSET($P110,0,AQ$13),15-13*ORÇAMENTO!$AF$7)*OFFSET(ORÇAMENTO!$W$15,ROW(AQ110)-ROW(AQ$15),0),15-13*ORÇAMENTO!$AF$11)),
         0)</f>
        <v>0</v>
      </c>
      <c r="AR110" s="453">
        <f ca="1">IF(AND($D110="Serviço",AR$12&lt;&gt;0,$H110&gt;0,OR(AUTOEVENTO&lt;&gt;"manual",$M110&lt;&gt;$A$15)),
        IF(Import.TipoArredondamento&lt;&gt;"TransfereGOV",
              ROUND(OFFSET($P110,0,AR$13),15-13*ORÇAMENTO!$AF$7)/$H110*OFFSET(ORÇAMENTO!$X$15,ROW(AR110)-ROW(AR$15),0),
              ROUND(ROUND(OFFSET($P110,0,AR$13),15-13*ORÇAMENTO!$AF$7)*OFFSET(ORÇAMENTO!$W$15,ROW(AR110)-ROW(AR$15),0),15-13*ORÇAMENTO!$AF$11)),
         0)</f>
        <v>0</v>
      </c>
      <c r="AS110" s="453">
        <f ca="1">IF(AND($D110="Serviço",AS$12&lt;&gt;0,$H110&gt;0,OR(AUTOEVENTO&lt;&gt;"manual",$M110&lt;&gt;$A$15)),
        IF(Import.TipoArredondamento&lt;&gt;"TransfereGOV",
              ROUND(OFFSET($P110,0,AS$13),15-13*ORÇAMENTO!$AF$7)/$H110*OFFSET(ORÇAMENTO!$X$15,ROW(AS110)-ROW(AS$15),0),
              ROUND(ROUND(OFFSET($P110,0,AS$13),15-13*ORÇAMENTO!$AF$7)*OFFSET(ORÇAMENTO!$W$15,ROW(AS110)-ROW(AS$15),0),15-13*ORÇAMENTO!$AF$11)),
         0)</f>
        <v>0</v>
      </c>
      <c r="AT110" s="453">
        <f ca="1">IF(AND($D110="Serviço",AT$12&lt;&gt;0,$H110&gt;0,OR(AUTOEVENTO&lt;&gt;"manual",$M110&lt;&gt;$A$15)),
        IF(Import.TipoArredondamento&lt;&gt;"TransfereGOV",
              ROUND(OFFSET($P110,0,AT$13),15-13*ORÇAMENTO!$AF$7)/$H110*OFFSET(ORÇAMENTO!$X$15,ROW(AT110)-ROW(AT$15),0),
              ROUND(ROUND(OFFSET($P110,0,AT$13),15-13*ORÇAMENTO!$AF$7)*OFFSET(ORÇAMENTO!$W$15,ROW(AT110)-ROW(AT$15),0),15-13*ORÇAMENTO!$AF$11)),
         0)</f>
        <v>0</v>
      </c>
      <c r="AU110" s="453">
        <f ca="1">IF(AND($D110="Serviço",AU$12&lt;&gt;0,$H110&gt;0,OR(AUTOEVENTO&lt;&gt;"manual",$M110&lt;&gt;$A$15)),
        IF(Import.TipoArredondamento&lt;&gt;"TransfereGOV",
              ROUND(OFFSET($P110,0,AU$13),15-13*ORÇAMENTO!$AF$7)/$H110*OFFSET(ORÇAMENTO!$X$15,ROW(AU110)-ROW(AU$15),0),
              ROUND(ROUND(OFFSET($P110,0,AU$13),15-13*ORÇAMENTO!$AF$7)*OFFSET(ORÇAMENTO!$W$15,ROW(AU110)-ROW(AU$15),0),15-13*ORÇAMENTO!$AF$11)),
         0)</f>
        <v>0</v>
      </c>
      <c r="AV110" s="453">
        <f ca="1">IF(AND($D110="Serviço",AV$12&lt;&gt;0,$H110&gt;0,OR(AUTOEVENTO&lt;&gt;"manual",$M110&lt;&gt;$A$15)),
        IF(Import.TipoArredondamento&lt;&gt;"TransfereGOV",
              ROUND(OFFSET($P110,0,AV$13),15-13*ORÇAMENTO!$AF$7)/$H110*OFFSET(ORÇAMENTO!$X$15,ROW(AV110)-ROW(AV$15),0),
              ROUND(ROUND(OFFSET($P110,0,AV$13),15-13*ORÇAMENTO!$AF$7)*OFFSET(ORÇAMENTO!$W$15,ROW(AV110)-ROW(AV$15),0),15-13*ORÇAMENTO!$AF$11)),
         0)</f>
        <v>0</v>
      </c>
      <c r="AW110" s="453">
        <f ca="1">IF(AND($D110="Serviço",AW$12&lt;&gt;0,$H110&gt;0,OR(AUTOEVENTO&lt;&gt;"manual",$M110&lt;&gt;$A$15)),
        IF(Import.TipoArredondamento&lt;&gt;"TransfereGOV",
              ROUND(OFFSET($P110,0,AW$13),15-13*ORÇAMENTO!$AF$7)/$H110*OFFSET(ORÇAMENTO!$X$15,ROW(AW110)-ROW(AW$15),0),
              ROUND(ROUND(OFFSET($P110,0,AW$13),15-13*ORÇAMENTO!$AF$7)*OFFSET(ORÇAMENTO!$W$15,ROW(AW110)-ROW(AW$15),0),15-13*ORÇAMENTO!$AF$11)),
         0)</f>
        <v>0</v>
      </c>
      <c r="AX110" s="453">
        <f ca="1">IF(AND($D110="Serviço",AX$12&lt;&gt;0,$H110&gt;0,OR(AUTOEVENTO&lt;&gt;"manual",$M110&lt;&gt;$A$15)),
        IF(Import.TipoArredondamento&lt;&gt;"TransfereGOV",
              ROUND(OFFSET($P110,0,AX$13),15-13*ORÇAMENTO!$AF$7)/$H110*OFFSET(ORÇAMENTO!$X$15,ROW(AX110)-ROW(AX$15),0),
              ROUND(ROUND(OFFSET($P110,0,AX$13),15-13*ORÇAMENTO!$AF$7)*OFFSET(ORÇAMENTO!$W$15,ROW(AX110)-ROW(AX$15),0),15-13*ORÇAMENTO!$AF$11)),
         0)</f>
        <v>0</v>
      </c>
      <c r="AY110" s="453">
        <f ca="1">IF(AND($D110="Serviço",AY$12&lt;&gt;0,$H110&gt;0,OR(AUTOEVENTO&lt;&gt;"manual",$M110&lt;&gt;$A$15)),
        IF(Import.TipoArredondamento&lt;&gt;"TransfereGOV",
              ROUND(OFFSET($P110,0,AY$13),15-13*ORÇAMENTO!$AF$7)/$H110*OFFSET(ORÇAMENTO!$X$15,ROW(AY110)-ROW(AY$15),0),
              ROUND(ROUND(OFFSET($P110,0,AY$13),15-13*ORÇAMENTO!$AF$7)*OFFSET(ORÇAMENTO!$W$15,ROW(AY110)-ROW(AY$15),0),15-13*ORÇAMENTO!$AF$11)),
         0)</f>
        <v>0</v>
      </c>
      <c r="AZ110" s="453">
        <f ca="1">IF(AND($D110="Serviço",AZ$12&lt;&gt;0,$H110&gt;0,OR(AUTOEVENTO&lt;&gt;"manual",$M110&lt;&gt;$A$15)),
        IF(Import.TipoArredondamento&lt;&gt;"TransfereGOV",
              ROUND(OFFSET($P110,0,AZ$13),15-13*ORÇAMENTO!$AF$7)/$H110*OFFSET(ORÇAMENTO!$X$15,ROW(AZ110)-ROW(AZ$15),0),
              ROUND(ROUND(OFFSET($P110,0,AZ$13),15-13*ORÇAMENTO!$AF$7)*OFFSET(ORÇAMENTO!$W$15,ROW(AZ110)-ROW(AZ$15),0),15-13*ORÇAMENTO!$AF$11)),
         0)</f>
        <v>0</v>
      </c>
      <c r="BA110" s="453">
        <f ca="1">IF(AND($D110="Serviço",BA$12&lt;&gt;0,$H110&gt;0,OR(AUTOEVENTO&lt;&gt;"manual",$M110&lt;&gt;$A$15)),
        IF(Import.TipoArredondamento&lt;&gt;"TransfereGOV",
              ROUND(OFFSET($P110,0,BA$13),15-13*ORÇAMENTO!$AF$7)/$H110*OFFSET(ORÇAMENTO!$X$15,ROW(BA110)-ROW(BA$15),0),
              ROUND(ROUND(OFFSET($P110,0,BA$13),15-13*ORÇAMENTO!$AF$7)*OFFSET(ORÇAMENTO!$W$15,ROW(BA110)-ROW(BA$15),0),15-13*ORÇAMENTO!$AF$11)),
         0)</f>
        <v>0</v>
      </c>
      <c r="BC110" s="171">
        <f ca="1">IF(OR($D110&lt;&gt;"Serviço",AND(AUTOEVENTO="Manual",$M110=$A$15)),0,
         IF(OFFSET(CRONOPLE!$F$15,$M110-$A$15,BC$13)=0,10^12,OFFSET(CRONOPLE!$F$15,$M110-$A$15,BC$13)))</f>
        <v>1000000000000</v>
      </c>
      <c r="BD110" s="171">
        <f ca="1">IF(OR($D110&lt;&gt;"Serviço",AND(AUTOEVENTO="Manual",$M110=$A$15)),0,
         IF(OFFSET(CRONOPLE!$F$15,$M110-$A$15,BD$13)=0,10^12,OFFSET(CRONOPLE!$F$15,$M110-$A$15,BD$13)))</f>
        <v>1000000000000</v>
      </c>
      <c r="BE110" s="171">
        <f ca="1">IF(OR($D110&lt;&gt;"Serviço",AND(AUTOEVENTO="Manual",$M110=$A$15)),0,
         IF(OFFSET(CRONOPLE!$F$15,$M110-$A$15,BE$13)=0,10^12,OFFSET(CRONOPLE!$F$15,$M110-$A$15,BE$13)))</f>
        <v>1000000000000</v>
      </c>
      <c r="BF110" s="171">
        <f ca="1">IF(OR($D110&lt;&gt;"Serviço",AND(AUTOEVENTO="Manual",$M110=$A$15)),0,
         IF(OFFSET(CRONOPLE!$F$15,$M110-$A$15,BF$13)=0,10^12,OFFSET(CRONOPLE!$F$15,$M110-$A$15,BF$13)))</f>
        <v>1000000000000</v>
      </c>
      <c r="BG110" s="171">
        <f ca="1">IF(OR($D110&lt;&gt;"Serviço",AND(AUTOEVENTO="Manual",$M110=$A$15)),0,
         IF(OFFSET(CRONOPLE!$F$15,$M110-$A$15,BG$13)=0,10^12,OFFSET(CRONOPLE!$F$15,$M110-$A$15,BG$13)))</f>
        <v>1000000000000</v>
      </c>
      <c r="BH110" s="171">
        <f ca="1">IF(OR($D110&lt;&gt;"Serviço",AND(AUTOEVENTO="Manual",$M110=$A$15)),0,
         IF(OFFSET(CRONOPLE!$F$15,$M110-$A$15,BH$13)=0,10^12,OFFSET(CRONOPLE!$F$15,$M110-$A$15,BH$13)))</f>
        <v>9</v>
      </c>
      <c r="BI110" s="171">
        <f ca="1">IF(OR($D110&lt;&gt;"Serviço",AND(AUTOEVENTO="Manual",$M110=$A$15)),0,
         IF(OFFSET(CRONOPLE!$F$15,$M110-$A$15,BI$13)=0,10^12,OFFSET(CRONOPLE!$F$15,$M110-$A$15,BI$13)))</f>
        <v>1000000000000</v>
      </c>
      <c r="BJ110" s="171">
        <f ca="1">IF(OR($D110&lt;&gt;"Serviço",AND(AUTOEVENTO="Manual",$M110=$A$15)),0,
         IF(OFFSET(CRONOPLE!$F$15,$M110-$A$15,BJ$13)=0,10^12,OFFSET(CRONOPLE!$F$15,$M110-$A$15,BJ$13)))</f>
        <v>1000000000000</v>
      </c>
      <c r="BK110" s="171">
        <f ca="1">IF(OR($D110&lt;&gt;"Serviço",AND(AUTOEVENTO="Manual",$M110=$A$15)),0,
         IF(OFFSET(CRONOPLE!$F$15,$M110-$A$15,BK$13)=0,10^12,OFFSET(CRONOPLE!$F$15,$M110-$A$15,BK$13)))</f>
        <v>1000000000000</v>
      </c>
      <c r="BL110" s="171">
        <f ca="1">IF(OR($D110&lt;&gt;"Serviço",AND(AUTOEVENTO="Manual",$M110=$A$15)),0,
         IF(OFFSET(CRONOPLE!$F$15,$M110-$A$15,BL$13)=0,10^12,OFFSET(CRONOPLE!$F$15,$M110-$A$15,BL$13)))</f>
        <v>1000000000000</v>
      </c>
      <c r="BM110" s="171">
        <f ca="1">IF(OR($D110&lt;&gt;"Serviço",AND(AUTOEVENTO="Manual",$M110=$A$15)),0,
         IF(OFFSET(CRONOPLE!$F$15,$M110-$A$15,BM$13)=0,10^12,OFFSET(CRONOPLE!$F$15,$M110-$A$15,BM$13)))</f>
        <v>1000000000000</v>
      </c>
      <c r="BN110" s="171">
        <f ca="1">IF(OR($D110&lt;&gt;"Serviço",AND(AUTOEVENTO="Manual",$M110=$A$15)),0,
         IF(OFFSET(CRONOPLE!$F$15,$M110-$A$15,BN$13)=0,10^12,OFFSET(CRONOPLE!$F$15,$M110-$A$15,BN$13)))</f>
        <v>1000000000000</v>
      </c>
      <c r="BO110" s="171">
        <f ca="1">IF(OR($D110&lt;&gt;"Serviço",AND(AUTOEVENTO="Manual",$M110=$A$15)),0,
         IF(OFFSET(CRONOPLE!$F$15,$M110-$A$15,BO$13)=0,10^12,OFFSET(CRONOPLE!$F$15,$M110-$A$15,BO$13)))</f>
        <v>1000000000000</v>
      </c>
      <c r="BP110" s="171">
        <f ca="1">IF(OR($D110&lt;&gt;"Serviço",AND(AUTOEVENTO="Manual",$M110=$A$15)),0,
         IF(OFFSET(CRONOPLE!$F$15,$M110-$A$15,BP$13)=0,10^12,OFFSET(CRONOPLE!$F$15,$M110-$A$15,BP$13)))</f>
        <v>1000000000000</v>
      </c>
      <c r="BQ110" s="171">
        <f ca="1">IF(OR($D110&lt;&gt;"Serviço",AND(AUTOEVENTO="Manual",$M110=$A$15)),0,
         IF(OFFSET(CRONOPLE!$F$15,$M110-$A$15,BQ$13)=0,10^12,OFFSET(CRONOPLE!$F$15,$M110-$A$15,BQ$13)))</f>
        <v>1000000000000</v>
      </c>
      <c r="BR110" s="171">
        <f ca="1">IF(OR($D110&lt;&gt;"Serviço",AND(AUTOEVENTO="Manual",$M110=$A$15)),0,
         IF(OFFSET(CRONOPLE!$F$15,$M110-$A$15,BR$13)=0,10^12,OFFSET(CRONOPLE!$F$15,$M110-$A$15,BR$13)))</f>
        <v>1000000000000</v>
      </c>
      <c r="BS110" s="171">
        <f ca="1">IF(OR($D110&lt;&gt;"Serviço",AND(AUTOEVENTO="Manual",$M110=$A$15)),0,
         IF(OFFSET(CRONOPLE!$F$15,$M110-$A$15,BS$13)=0,10^12,OFFSET(CRONOPLE!$F$15,$M110-$A$15,BS$13)))</f>
        <v>1000000000000</v>
      </c>
      <c r="BT110" s="171">
        <f ca="1">IF(OR($D110&lt;&gt;"Serviço",AND(AUTOEVENTO="Manual",$M110=$A$15)),0,
         IF(OFFSET(CRONOPLE!$F$15,$M110-$A$15,BT$13)=0,10^12,OFFSET(CRONOPLE!$F$15,$M110-$A$15,BT$13)))</f>
        <v>1000000000000</v>
      </c>
      <c r="BV110" s="172" cm="1">
        <f t="array" aca="1" ref="BV110" ca="1">IF(OR($D110&lt;&gt;"Serviço",AND(AUTOEVENTO="Manual",$M110=$A$15),$M110&gt;(ROW(PLE.lastrow)-ROW(PLE.firstrow))),0,
           IF(OFFSET(PLE!$G$15,$M110-$A$15,BV$13)="",10^12,OFFSET(PLE!$G$15,$M110-$A$15,BV$13)))</f>
        <v>1000000000000</v>
      </c>
      <c r="BW110" s="172" cm="1">
        <f t="array" aca="1" ref="BW110" ca="1">IF(OR($D110&lt;&gt;"Serviço",AND(AUTOEVENTO="Manual",$M110=$A$15),$M110&gt;(ROW(PLE.lastrow)-ROW(PLE.firstrow))),0,
           IF(OFFSET(PLE!$G$15,$M110-$A$15,BW$13)="",10^12,OFFSET(PLE!$G$15,$M110-$A$15,BW$13)))</f>
        <v>1000000000000</v>
      </c>
      <c r="BX110" s="172" cm="1">
        <f t="array" aca="1" ref="BX110" ca="1">IF(OR($D110&lt;&gt;"Serviço",AND(AUTOEVENTO="Manual",$M110=$A$15),$M110&gt;(ROW(PLE.lastrow)-ROW(PLE.firstrow))),0,
           IF(OFFSET(PLE!$G$15,$M110-$A$15,BX$13)="",10^12,OFFSET(PLE!$G$15,$M110-$A$15,BX$13)))</f>
        <v>1000000000000</v>
      </c>
      <c r="BY110" s="172" cm="1">
        <f t="array" aca="1" ref="BY110" ca="1">IF(OR($D110&lt;&gt;"Serviço",AND(AUTOEVENTO="Manual",$M110=$A$15),$M110&gt;(ROW(PLE.lastrow)-ROW(PLE.firstrow))),0,
           IF(OFFSET(PLE!$G$15,$M110-$A$15,BY$13)="",10^12,OFFSET(PLE!$G$15,$M110-$A$15,BY$13)))</f>
        <v>1000000000000</v>
      </c>
      <c r="BZ110" s="172" cm="1">
        <f t="array" aca="1" ref="BZ110" ca="1">IF(OR($D110&lt;&gt;"Serviço",AND(AUTOEVENTO="Manual",$M110=$A$15),$M110&gt;(ROW(PLE.lastrow)-ROW(PLE.firstrow))),0,
           IF(OFFSET(PLE!$G$15,$M110-$A$15,BZ$13)="",10^12,OFFSET(PLE!$G$15,$M110-$A$15,BZ$13)))</f>
        <v>1000000000000</v>
      </c>
      <c r="CA110" s="172" cm="1">
        <f t="array" aca="1" ref="CA110" ca="1">IF(OR($D110&lt;&gt;"Serviço",AND(AUTOEVENTO="Manual",$M110=$A$15),$M110&gt;(ROW(PLE.lastrow)-ROW(PLE.firstrow))),0,
           IF(OFFSET(PLE!$G$15,$M110-$A$15,CA$13)="",10^12,OFFSET(PLE!$G$15,$M110-$A$15,CA$13)))</f>
        <v>1000000000000</v>
      </c>
      <c r="CB110" s="172" cm="1">
        <f t="array" aca="1" ref="CB110" ca="1">IF(OR($D110&lt;&gt;"Serviço",AND(AUTOEVENTO="Manual",$M110=$A$15),$M110&gt;(ROW(PLE.lastrow)-ROW(PLE.firstrow))),0,
           IF(OFFSET(PLE!$G$15,$M110-$A$15,CB$13)="",10^12,OFFSET(PLE!$G$15,$M110-$A$15,CB$13)))</f>
        <v>1000000000000</v>
      </c>
      <c r="CC110" s="172" cm="1">
        <f t="array" aca="1" ref="CC110" ca="1">IF(OR($D110&lt;&gt;"Serviço",AND(AUTOEVENTO="Manual",$M110=$A$15),$M110&gt;(ROW(PLE.lastrow)-ROW(PLE.firstrow))),0,
           IF(OFFSET(PLE!$G$15,$M110-$A$15,CC$13)="",10^12,OFFSET(PLE!$G$15,$M110-$A$15,CC$13)))</f>
        <v>1000000000000</v>
      </c>
      <c r="CD110" s="172" cm="1">
        <f t="array" aca="1" ref="CD110" ca="1">IF(OR($D110&lt;&gt;"Serviço",AND(AUTOEVENTO="Manual",$M110=$A$15),$M110&gt;(ROW(PLE.lastrow)-ROW(PLE.firstrow))),0,
           IF(OFFSET(PLE!$G$15,$M110-$A$15,CD$13)="",10^12,OFFSET(PLE!$G$15,$M110-$A$15,CD$13)))</f>
        <v>1000000000000</v>
      </c>
      <c r="CE110" s="172" cm="1">
        <f t="array" aca="1" ref="CE110" ca="1">IF(OR($D110&lt;&gt;"Serviço",AND(AUTOEVENTO="Manual",$M110=$A$15),$M110&gt;(ROW(PLE.lastrow)-ROW(PLE.firstrow))),0,
           IF(OFFSET(PLE!$G$15,$M110-$A$15,CE$13)="",10^12,OFFSET(PLE!$G$15,$M110-$A$15,CE$13)))</f>
        <v>1000000000000</v>
      </c>
      <c r="CF110" s="172" cm="1">
        <f t="array" aca="1" ref="CF110" ca="1">IF(OR($D110&lt;&gt;"Serviço",AND(AUTOEVENTO="Manual",$M110=$A$15),$M110&gt;(ROW(PLE.lastrow)-ROW(PLE.firstrow))),0,
           IF(OFFSET(PLE!$G$15,$M110-$A$15,CF$13)="",10^12,OFFSET(PLE!$G$15,$M110-$A$15,CF$13)))</f>
        <v>1000000000000</v>
      </c>
      <c r="CG110" s="172" cm="1">
        <f t="array" aca="1" ref="CG110" ca="1">IF(OR($D110&lt;&gt;"Serviço",AND(AUTOEVENTO="Manual",$M110=$A$15),$M110&gt;(ROW(PLE.lastrow)-ROW(PLE.firstrow))),0,
           IF(OFFSET(PLE!$G$15,$M110-$A$15,CG$13)="",10^12,OFFSET(PLE!$G$15,$M110-$A$15,CG$13)))</f>
        <v>1000000000000</v>
      </c>
      <c r="CH110" s="172" cm="1">
        <f t="array" aca="1" ref="CH110" ca="1">IF(OR($D110&lt;&gt;"Serviço",AND(AUTOEVENTO="Manual",$M110=$A$15),$M110&gt;(ROW(PLE.lastrow)-ROW(PLE.firstrow))),0,
           IF(OFFSET(PLE!$G$15,$M110-$A$15,CH$13)="",10^12,OFFSET(PLE!$G$15,$M110-$A$15,CH$13)))</f>
        <v>1000000000000</v>
      </c>
      <c r="CI110" s="172" cm="1">
        <f t="array" aca="1" ref="CI110" ca="1">IF(OR($D110&lt;&gt;"Serviço",AND(AUTOEVENTO="Manual",$M110=$A$15),$M110&gt;(ROW(PLE.lastrow)-ROW(PLE.firstrow))),0,
           IF(OFFSET(PLE!$G$15,$M110-$A$15,CI$13)="",10^12,OFFSET(PLE!$G$15,$M110-$A$15,CI$13)))</f>
        <v>1000000000000</v>
      </c>
      <c r="CJ110" s="172" cm="1">
        <f t="array" aca="1" ref="CJ110" ca="1">IF(OR($D110&lt;&gt;"Serviço",AND(AUTOEVENTO="Manual",$M110=$A$15),$M110&gt;(ROW(PLE.lastrow)-ROW(PLE.firstrow))),0,
           IF(OFFSET(PLE!$G$15,$M110-$A$15,CJ$13)="",10^12,OFFSET(PLE!$G$15,$M110-$A$15,CJ$13)))</f>
        <v>1000000000000</v>
      </c>
      <c r="CK110" s="172" cm="1">
        <f t="array" aca="1" ref="CK110" ca="1">IF(OR($D110&lt;&gt;"Serviço",AND(AUTOEVENTO="Manual",$M110=$A$15),$M110&gt;(ROW(PLE.lastrow)-ROW(PLE.firstrow))),0,
           IF(OFFSET(PLE!$G$15,$M110-$A$15,CK$13)="",10^12,OFFSET(PLE!$G$15,$M110-$A$15,CK$13)))</f>
        <v>1000000000000</v>
      </c>
      <c r="CL110" s="172" cm="1">
        <f t="array" aca="1" ref="CL110" ca="1">IF(OR($D110&lt;&gt;"Serviço",AND(AUTOEVENTO="Manual",$M110=$A$15),$M110&gt;(ROW(PLE.lastrow)-ROW(PLE.firstrow))),0,
           IF(OFFSET(PLE!$G$15,$M110-$A$15,CL$13)="",10^12,OFFSET(PLE!$G$15,$M110-$A$15,CL$13)))</f>
        <v>1000000000000</v>
      </c>
      <c r="CM110" s="172" cm="1">
        <f t="array" aca="1" ref="CM110" ca="1">IF(OR($D110&lt;&gt;"Serviço",AND(AUTOEVENTO="Manual",$M110=$A$15),$M110&gt;(ROW(PLE.lastrow)-ROW(PLE.firstrow))),0,
           IF(OFFSET(PLE!$G$15,$M110-$A$15,CM$13)="",10^12,OFFSET(PLE!$G$15,$M110-$A$15,CM$13)))</f>
        <v>1000000000000</v>
      </c>
    </row>
    <row r="111" spans="1:91" s="670" customFormat="1" ht="12.75" x14ac:dyDescent="0.2">
      <c r="A111" s="668">
        <f t="shared" ca="1" si="12"/>
        <v>0</v>
      </c>
      <c r="B111" s="668">
        <f ca="1">OFFSET(ORÇAMENTO!C$15,$L111,0)</f>
        <v>2</v>
      </c>
      <c r="C111" s="668" t="str">
        <f ca="1">OFFSET(ORÇAMENTO!L$15,$L111,0)</f>
        <v>F</v>
      </c>
      <c r="D111" s="116" t="str">
        <f ca="1">OFFSET(ORÇAMENTO!N$15,$L111,0)</f>
        <v>Nível 2</v>
      </c>
      <c r="E111" s="117" t="str">
        <f ca="1">OFFSET(ORÇAMENTO!O$15,$L111,0)</f>
        <v>1.16.</v>
      </c>
      <c r="F111" s="163" t="str">
        <f ca="1">OFFSET(ORÇAMENTO!R$15,$L111,0)</f>
        <v>COBERTURA - Estação Elevatória de Água Tratada</v>
      </c>
      <c r="G111" s="164" t="str">
        <f ca="1">IF($D111&lt;&gt;"Serviço","",OFFSET(ORÇAMENTO!S$15,$L111,0))</f>
        <v/>
      </c>
      <c r="H111" s="122" cm="1">
        <f t="array" aca="1" ref="H111" ca="1">IF($D111&lt;&gt;"Serviço",0,IF(ACOMPANHAMENTO="BM",ROUND(OFFSET(ORÇAMENTO!AJ$15,$L111,0),15-13*ORÇAMENTO!$AF$7),IF(IFERROR(CÁLCULO.FrentesPreenchidas,0)=0,0,SUM(ROUND(OFFSET($P111,0,1,1,CÁLCULO.FrentesPreenchidas),15-13*ORÇAMENTO!$AF$7)))))</f>
        <v>0</v>
      </c>
      <c r="I111" s="468"/>
      <c r="J111" s="651" t="str" cm="1">
        <f t="array" aca="1" ref="J111" ca="1">IF(OR(B111&lt;&gt;"S",CÁLCULO.FrentesPreenchidas=0),"",IF(AND(ACOMPANHAMENTO="PLE",AUTOEVENTO="Manual",OR(H111&gt;0,ORÇAMENTO!AC111="QUANT."),OR(K111="",M111=0,N111="")),"►E",IF(AND(ACOMPANHAMENTO="PLE",ORÇAMENTO!AC111="QUANT."),"►Q",IF(AND(ACOMPANHAMENTO="PLE",H111&lt;&gt;SUMPRODUCT(($Q$1:$AI$1=1)*ROUND(Q111:AI111,15))),"►S",IF(AND(COUNTIF($P$11:$AI$11,"▼")=0,H111&gt;0,I111=""),"◄M","")))))</f>
        <v/>
      </c>
      <c r="K111" s="652"/>
      <c r="L111" s="165">
        <f t="shared" ca="1" si="13"/>
        <v>96</v>
      </c>
      <c r="M111" s="166" t="str">
        <f ca="1">IF($D111&lt;&gt;"Serviço","",
          IF(AUTOEVENTO="manual",$A111,
                IF(ISERROR(MATCH($A111,$A$15:OFFSET($A111,-1,0),0)),MAX($M$15:OFFSET(M111,-1,0))+1,
                      INDEX($M$15:OFFSET(M111,-1,0),MATCH($A111,$A$15:OFFSET($A111,-1,0),0)))))</f>
        <v/>
      </c>
      <c r="N111" s="167" t="str">
        <f ca="1">IF($D111&lt;&gt;"Serviço","",
         IF(AUTOEVENTO="Manual",
                IF($A111=0,"&lt;-- defina o número do agrupador",
                       OFFSET(EVENTOS!$D$15,$A111-$A$15,0)),
                OFFSET($F$15,$A111,0)))</f>
        <v/>
      </c>
      <c r="O111" s="168"/>
      <c r="Q111" s="168"/>
      <c r="R111" s="169"/>
      <c r="S111" s="169"/>
      <c r="T111" s="169"/>
      <c r="U111" s="169"/>
      <c r="V111" s="169" t="s">
        <v>250</v>
      </c>
      <c r="W111" s="169"/>
      <c r="X111" s="169"/>
      <c r="Y111" s="169"/>
      <c r="Z111" s="170"/>
      <c r="AA111" s="705"/>
      <c r="AB111" s="705"/>
      <c r="AC111" s="705"/>
      <c r="AD111" s="705"/>
      <c r="AE111" s="705"/>
      <c r="AF111" s="705"/>
      <c r="AG111" s="705"/>
      <c r="AH111" s="706"/>
      <c r="AJ111" s="453">
        <f ca="1">IF(AND($D111="Serviço",AJ$12&lt;&gt;0,$H111&gt;0,OR(AUTOEVENTO&lt;&gt;"manual",$M111&lt;&gt;$A$15)),
        IF(Import.TipoArredondamento&lt;&gt;"TransfereGOV",
              ROUND(OFFSET($P111,0,AJ$13),15-13*ORÇAMENTO!$AF$7)/$H111*OFFSET(ORÇAMENTO!$X$15,ROW(AJ111)-ROW(AJ$15),0),
              ROUND(ROUND(OFFSET($P111,0,AJ$13),15-13*ORÇAMENTO!$AF$7)*OFFSET(ORÇAMENTO!$W$15,ROW(AJ111)-ROW(AJ$15),0),15-13*ORÇAMENTO!$AF$11)),
         0)</f>
        <v>0</v>
      </c>
      <c r="AK111" s="453">
        <f ca="1">IF(AND($D111="Serviço",AK$12&lt;&gt;0,$H111&gt;0,OR(AUTOEVENTO&lt;&gt;"manual",$M111&lt;&gt;$A$15)),
        IF(Import.TipoArredondamento&lt;&gt;"TransfereGOV",
              ROUND(OFFSET($P111,0,AK$13),15-13*ORÇAMENTO!$AF$7)/$H111*OFFSET(ORÇAMENTO!$X$15,ROW(AK111)-ROW(AK$15),0),
              ROUND(ROUND(OFFSET($P111,0,AK$13),15-13*ORÇAMENTO!$AF$7)*OFFSET(ORÇAMENTO!$W$15,ROW(AK111)-ROW(AK$15),0),15-13*ORÇAMENTO!$AF$11)),
         0)</f>
        <v>0</v>
      </c>
      <c r="AL111" s="453">
        <f ca="1">IF(AND($D111="Serviço",AL$12&lt;&gt;0,$H111&gt;0,OR(AUTOEVENTO&lt;&gt;"manual",$M111&lt;&gt;$A$15)),
        IF(Import.TipoArredondamento&lt;&gt;"TransfereGOV",
              ROUND(OFFSET($P111,0,AL$13),15-13*ORÇAMENTO!$AF$7)/$H111*OFFSET(ORÇAMENTO!$X$15,ROW(AL111)-ROW(AL$15),0),
              ROUND(ROUND(OFFSET($P111,0,AL$13),15-13*ORÇAMENTO!$AF$7)*OFFSET(ORÇAMENTO!$W$15,ROW(AL111)-ROW(AL$15),0),15-13*ORÇAMENTO!$AF$11)),
         0)</f>
        <v>0</v>
      </c>
      <c r="AM111" s="453">
        <f ca="1">IF(AND($D111="Serviço",AM$12&lt;&gt;0,$H111&gt;0,OR(AUTOEVENTO&lt;&gt;"manual",$M111&lt;&gt;$A$15)),
        IF(Import.TipoArredondamento&lt;&gt;"TransfereGOV",
              ROUND(OFFSET($P111,0,AM$13),15-13*ORÇAMENTO!$AF$7)/$H111*OFFSET(ORÇAMENTO!$X$15,ROW(AM111)-ROW(AM$15),0),
              ROUND(ROUND(OFFSET($P111,0,AM$13),15-13*ORÇAMENTO!$AF$7)*OFFSET(ORÇAMENTO!$W$15,ROW(AM111)-ROW(AM$15),0),15-13*ORÇAMENTO!$AF$11)),
         0)</f>
        <v>0</v>
      </c>
      <c r="AN111" s="453">
        <f ca="1">IF(AND($D111="Serviço",AN$12&lt;&gt;0,$H111&gt;0,OR(AUTOEVENTO&lt;&gt;"manual",$M111&lt;&gt;$A$15)),
        IF(Import.TipoArredondamento&lt;&gt;"TransfereGOV",
              ROUND(OFFSET($P111,0,AN$13),15-13*ORÇAMENTO!$AF$7)/$H111*OFFSET(ORÇAMENTO!$X$15,ROW(AN111)-ROW(AN$15),0),
              ROUND(ROUND(OFFSET($P111,0,AN$13),15-13*ORÇAMENTO!$AF$7)*OFFSET(ORÇAMENTO!$W$15,ROW(AN111)-ROW(AN$15),0),15-13*ORÇAMENTO!$AF$11)),
         0)</f>
        <v>0</v>
      </c>
      <c r="AO111" s="453">
        <f ca="1">IF(AND($D111="Serviço",AO$12&lt;&gt;0,$H111&gt;0,OR(AUTOEVENTO&lt;&gt;"manual",$M111&lt;&gt;$A$15)),
        IF(Import.TipoArredondamento&lt;&gt;"TransfereGOV",
              ROUND(OFFSET($P111,0,AO$13),15-13*ORÇAMENTO!$AF$7)/$H111*OFFSET(ORÇAMENTO!$X$15,ROW(AO111)-ROW(AO$15),0),
              ROUND(ROUND(OFFSET($P111,0,AO$13),15-13*ORÇAMENTO!$AF$7)*OFFSET(ORÇAMENTO!$W$15,ROW(AO111)-ROW(AO$15),0),15-13*ORÇAMENTO!$AF$11)),
         0)</f>
        <v>0</v>
      </c>
      <c r="AP111" s="453">
        <f ca="1">IF(AND($D111="Serviço",AP$12&lt;&gt;0,$H111&gt;0,OR(AUTOEVENTO&lt;&gt;"manual",$M111&lt;&gt;$A$15)),
        IF(Import.TipoArredondamento&lt;&gt;"TransfereGOV",
              ROUND(OFFSET($P111,0,AP$13),15-13*ORÇAMENTO!$AF$7)/$H111*OFFSET(ORÇAMENTO!$X$15,ROW(AP111)-ROW(AP$15),0),
              ROUND(ROUND(OFFSET($P111,0,AP$13),15-13*ORÇAMENTO!$AF$7)*OFFSET(ORÇAMENTO!$W$15,ROW(AP111)-ROW(AP$15),0),15-13*ORÇAMENTO!$AF$11)),
         0)</f>
        <v>0</v>
      </c>
      <c r="AQ111" s="453">
        <f ca="1">IF(AND($D111="Serviço",AQ$12&lt;&gt;0,$H111&gt;0,OR(AUTOEVENTO&lt;&gt;"manual",$M111&lt;&gt;$A$15)),
        IF(Import.TipoArredondamento&lt;&gt;"TransfereGOV",
              ROUND(OFFSET($P111,0,AQ$13),15-13*ORÇAMENTO!$AF$7)/$H111*OFFSET(ORÇAMENTO!$X$15,ROW(AQ111)-ROW(AQ$15),0),
              ROUND(ROUND(OFFSET($P111,0,AQ$13),15-13*ORÇAMENTO!$AF$7)*OFFSET(ORÇAMENTO!$W$15,ROW(AQ111)-ROW(AQ$15),0),15-13*ORÇAMENTO!$AF$11)),
         0)</f>
        <v>0</v>
      </c>
      <c r="AR111" s="453">
        <f ca="1">IF(AND($D111="Serviço",AR$12&lt;&gt;0,$H111&gt;0,OR(AUTOEVENTO&lt;&gt;"manual",$M111&lt;&gt;$A$15)),
        IF(Import.TipoArredondamento&lt;&gt;"TransfereGOV",
              ROUND(OFFSET($P111,0,AR$13),15-13*ORÇAMENTO!$AF$7)/$H111*OFFSET(ORÇAMENTO!$X$15,ROW(AR111)-ROW(AR$15),0),
              ROUND(ROUND(OFFSET($P111,0,AR$13),15-13*ORÇAMENTO!$AF$7)*OFFSET(ORÇAMENTO!$W$15,ROW(AR111)-ROW(AR$15),0),15-13*ORÇAMENTO!$AF$11)),
         0)</f>
        <v>0</v>
      </c>
      <c r="AS111" s="453">
        <f ca="1">IF(AND($D111="Serviço",AS$12&lt;&gt;0,$H111&gt;0,OR(AUTOEVENTO&lt;&gt;"manual",$M111&lt;&gt;$A$15)),
        IF(Import.TipoArredondamento&lt;&gt;"TransfereGOV",
              ROUND(OFFSET($P111,0,AS$13),15-13*ORÇAMENTO!$AF$7)/$H111*OFFSET(ORÇAMENTO!$X$15,ROW(AS111)-ROW(AS$15),0),
              ROUND(ROUND(OFFSET($P111,0,AS$13),15-13*ORÇAMENTO!$AF$7)*OFFSET(ORÇAMENTO!$W$15,ROW(AS111)-ROW(AS$15),0),15-13*ORÇAMENTO!$AF$11)),
         0)</f>
        <v>0</v>
      </c>
      <c r="AT111" s="453">
        <f ca="1">IF(AND($D111="Serviço",AT$12&lt;&gt;0,$H111&gt;0,OR(AUTOEVENTO&lt;&gt;"manual",$M111&lt;&gt;$A$15)),
        IF(Import.TipoArredondamento&lt;&gt;"TransfereGOV",
              ROUND(OFFSET($P111,0,AT$13),15-13*ORÇAMENTO!$AF$7)/$H111*OFFSET(ORÇAMENTO!$X$15,ROW(AT111)-ROW(AT$15),0),
              ROUND(ROUND(OFFSET($P111,0,AT$13),15-13*ORÇAMENTO!$AF$7)*OFFSET(ORÇAMENTO!$W$15,ROW(AT111)-ROW(AT$15),0),15-13*ORÇAMENTO!$AF$11)),
         0)</f>
        <v>0</v>
      </c>
      <c r="AU111" s="453">
        <f ca="1">IF(AND($D111="Serviço",AU$12&lt;&gt;0,$H111&gt;0,OR(AUTOEVENTO&lt;&gt;"manual",$M111&lt;&gt;$A$15)),
        IF(Import.TipoArredondamento&lt;&gt;"TransfereGOV",
              ROUND(OFFSET($P111,0,AU$13),15-13*ORÇAMENTO!$AF$7)/$H111*OFFSET(ORÇAMENTO!$X$15,ROW(AU111)-ROW(AU$15),0),
              ROUND(ROUND(OFFSET($P111,0,AU$13),15-13*ORÇAMENTO!$AF$7)*OFFSET(ORÇAMENTO!$W$15,ROW(AU111)-ROW(AU$15),0),15-13*ORÇAMENTO!$AF$11)),
         0)</f>
        <v>0</v>
      </c>
      <c r="AV111" s="453">
        <f ca="1">IF(AND($D111="Serviço",AV$12&lt;&gt;0,$H111&gt;0,OR(AUTOEVENTO&lt;&gt;"manual",$M111&lt;&gt;$A$15)),
        IF(Import.TipoArredondamento&lt;&gt;"TransfereGOV",
              ROUND(OFFSET($P111,0,AV$13),15-13*ORÇAMENTO!$AF$7)/$H111*OFFSET(ORÇAMENTO!$X$15,ROW(AV111)-ROW(AV$15),0),
              ROUND(ROUND(OFFSET($P111,0,AV$13),15-13*ORÇAMENTO!$AF$7)*OFFSET(ORÇAMENTO!$W$15,ROW(AV111)-ROW(AV$15),0),15-13*ORÇAMENTO!$AF$11)),
         0)</f>
        <v>0</v>
      </c>
      <c r="AW111" s="453">
        <f ca="1">IF(AND($D111="Serviço",AW$12&lt;&gt;0,$H111&gt;0,OR(AUTOEVENTO&lt;&gt;"manual",$M111&lt;&gt;$A$15)),
        IF(Import.TipoArredondamento&lt;&gt;"TransfereGOV",
              ROUND(OFFSET($P111,0,AW$13),15-13*ORÇAMENTO!$AF$7)/$H111*OFFSET(ORÇAMENTO!$X$15,ROW(AW111)-ROW(AW$15),0),
              ROUND(ROUND(OFFSET($P111,0,AW$13),15-13*ORÇAMENTO!$AF$7)*OFFSET(ORÇAMENTO!$W$15,ROW(AW111)-ROW(AW$15),0),15-13*ORÇAMENTO!$AF$11)),
         0)</f>
        <v>0</v>
      </c>
      <c r="AX111" s="453">
        <f ca="1">IF(AND($D111="Serviço",AX$12&lt;&gt;0,$H111&gt;0,OR(AUTOEVENTO&lt;&gt;"manual",$M111&lt;&gt;$A$15)),
        IF(Import.TipoArredondamento&lt;&gt;"TransfereGOV",
              ROUND(OFFSET($P111,0,AX$13),15-13*ORÇAMENTO!$AF$7)/$H111*OFFSET(ORÇAMENTO!$X$15,ROW(AX111)-ROW(AX$15),0),
              ROUND(ROUND(OFFSET($P111,0,AX$13),15-13*ORÇAMENTO!$AF$7)*OFFSET(ORÇAMENTO!$W$15,ROW(AX111)-ROW(AX$15),0),15-13*ORÇAMENTO!$AF$11)),
         0)</f>
        <v>0</v>
      </c>
      <c r="AY111" s="453">
        <f ca="1">IF(AND($D111="Serviço",AY$12&lt;&gt;0,$H111&gt;0,OR(AUTOEVENTO&lt;&gt;"manual",$M111&lt;&gt;$A$15)),
        IF(Import.TipoArredondamento&lt;&gt;"TransfereGOV",
              ROUND(OFFSET($P111,0,AY$13),15-13*ORÇAMENTO!$AF$7)/$H111*OFFSET(ORÇAMENTO!$X$15,ROW(AY111)-ROW(AY$15),0),
              ROUND(ROUND(OFFSET($P111,0,AY$13),15-13*ORÇAMENTO!$AF$7)*OFFSET(ORÇAMENTO!$W$15,ROW(AY111)-ROW(AY$15),0),15-13*ORÇAMENTO!$AF$11)),
         0)</f>
        <v>0</v>
      </c>
      <c r="AZ111" s="453">
        <f ca="1">IF(AND($D111="Serviço",AZ$12&lt;&gt;0,$H111&gt;0,OR(AUTOEVENTO&lt;&gt;"manual",$M111&lt;&gt;$A$15)),
        IF(Import.TipoArredondamento&lt;&gt;"TransfereGOV",
              ROUND(OFFSET($P111,0,AZ$13),15-13*ORÇAMENTO!$AF$7)/$H111*OFFSET(ORÇAMENTO!$X$15,ROW(AZ111)-ROW(AZ$15),0),
              ROUND(ROUND(OFFSET($P111,0,AZ$13),15-13*ORÇAMENTO!$AF$7)*OFFSET(ORÇAMENTO!$W$15,ROW(AZ111)-ROW(AZ$15),0),15-13*ORÇAMENTO!$AF$11)),
         0)</f>
        <v>0</v>
      </c>
      <c r="BA111" s="453">
        <f ca="1">IF(AND($D111="Serviço",BA$12&lt;&gt;0,$H111&gt;0,OR(AUTOEVENTO&lt;&gt;"manual",$M111&lt;&gt;$A$15)),
        IF(Import.TipoArredondamento&lt;&gt;"TransfereGOV",
              ROUND(OFFSET($P111,0,BA$13),15-13*ORÇAMENTO!$AF$7)/$H111*OFFSET(ORÇAMENTO!$X$15,ROW(BA111)-ROW(BA$15),0),
              ROUND(ROUND(OFFSET($P111,0,BA$13),15-13*ORÇAMENTO!$AF$7)*OFFSET(ORÇAMENTO!$W$15,ROW(BA111)-ROW(BA$15),0),15-13*ORÇAMENTO!$AF$11)),
         0)</f>
        <v>0</v>
      </c>
      <c r="BC111" s="171">
        <f ca="1">IF(OR($D111&lt;&gt;"Serviço",AND(AUTOEVENTO="Manual",$M111=$A$15)),0,
         IF(OFFSET(CRONOPLE!$F$15,$M111-$A$15,BC$13)=0,10^12,OFFSET(CRONOPLE!$F$15,$M111-$A$15,BC$13)))</f>
        <v>0</v>
      </c>
      <c r="BD111" s="171">
        <f ca="1">IF(OR($D111&lt;&gt;"Serviço",AND(AUTOEVENTO="Manual",$M111=$A$15)),0,
         IF(OFFSET(CRONOPLE!$F$15,$M111-$A$15,BD$13)=0,10^12,OFFSET(CRONOPLE!$F$15,$M111-$A$15,BD$13)))</f>
        <v>0</v>
      </c>
      <c r="BE111" s="171">
        <f ca="1">IF(OR($D111&lt;&gt;"Serviço",AND(AUTOEVENTO="Manual",$M111=$A$15)),0,
         IF(OFFSET(CRONOPLE!$F$15,$M111-$A$15,BE$13)=0,10^12,OFFSET(CRONOPLE!$F$15,$M111-$A$15,BE$13)))</f>
        <v>0</v>
      </c>
      <c r="BF111" s="171">
        <f ca="1">IF(OR($D111&lt;&gt;"Serviço",AND(AUTOEVENTO="Manual",$M111=$A$15)),0,
         IF(OFFSET(CRONOPLE!$F$15,$M111-$A$15,BF$13)=0,10^12,OFFSET(CRONOPLE!$F$15,$M111-$A$15,BF$13)))</f>
        <v>0</v>
      </c>
      <c r="BG111" s="171">
        <f ca="1">IF(OR($D111&lt;&gt;"Serviço",AND(AUTOEVENTO="Manual",$M111=$A$15)),0,
         IF(OFFSET(CRONOPLE!$F$15,$M111-$A$15,BG$13)=0,10^12,OFFSET(CRONOPLE!$F$15,$M111-$A$15,BG$13)))</f>
        <v>0</v>
      </c>
      <c r="BH111" s="171">
        <f ca="1">IF(OR($D111&lt;&gt;"Serviço",AND(AUTOEVENTO="Manual",$M111=$A$15)),0,
         IF(OFFSET(CRONOPLE!$F$15,$M111-$A$15,BH$13)=0,10^12,OFFSET(CRONOPLE!$F$15,$M111-$A$15,BH$13)))</f>
        <v>0</v>
      </c>
      <c r="BI111" s="171">
        <f ca="1">IF(OR($D111&lt;&gt;"Serviço",AND(AUTOEVENTO="Manual",$M111=$A$15)),0,
         IF(OFFSET(CRONOPLE!$F$15,$M111-$A$15,BI$13)=0,10^12,OFFSET(CRONOPLE!$F$15,$M111-$A$15,BI$13)))</f>
        <v>0</v>
      </c>
      <c r="BJ111" s="171">
        <f ca="1">IF(OR($D111&lt;&gt;"Serviço",AND(AUTOEVENTO="Manual",$M111=$A$15)),0,
         IF(OFFSET(CRONOPLE!$F$15,$M111-$A$15,BJ$13)=0,10^12,OFFSET(CRONOPLE!$F$15,$M111-$A$15,BJ$13)))</f>
        <v>0</v>
      </c>
      <c r="BK111" s="171">
        <f ca="1">IF(OR($D111&lt;&gt;"Serviço",AND(AUTOEVENTO="Manual",$M111=$A$15)),0,
         IF(OFFSET(CRONOPLE!$F$15,$M111-$A$15,BK$13)=0,10^12,OFFSET(CRONOPLE!$F$15,$M111-$A$15,BK$13)))</f>
        <v>0</v>
      </c>
      <c r="BL111" s="171">
        <f ca="1">IF(OR($D111&lt;&gt;"Serviço",AND(AUTOEVENTO="Manual",$M111=$A$15)),0,
         IF(OFFSET(CRONOPLE!$F$15,$M111-$A$15,BL$13)=0,10^12,OFFSET(CRONOPLE!$F$15,$M111-$A$15,BL$13)))</f>
        <v>0</v>
      </c>
      <c r="BM111" s="171">
        <f ca="1">IF(OR($D111&lt;&gt;"Serviço",AND(AUTOEVENTO="Manual",$M111=$A$15)),0,
         IF(OFFSET(CRONOPLE!$F$15,$M111-$A$15,BM$13)=0,10^12,OFFSET(CRONOPLE!$F$15,$M111-$A$15,BM$13)))</f>
        <v>0</v>
      </c>
      <c r="BN111" s="171">
        <f ca="1">IF(OR($D111&lt;&gt;"Serviço",AND(AUTOEVENTO="Manual",$M111=$A$15)),0,
         IF(OFFSET(CRONOPLE!$F$15,$M111-$A$15,BN$13)=0,10^12,OFFSET(CRONOPLE!$F$15,$M111-$A$15,BN$13)))</f>
        <v>0</v>
      </c>
      <c r="BO111" s="171">
        <f ca="1">IF(OR($D111&lt;&gt;"Serviço",AND(AUTOEVENTO="Manual",$M111=$A$15)),0,
         IF(OFFSET(CRONOPLE!$F$15,$M111-$A$15,BO$13)=0,10^12,OFFSET(CRONOPLE!$F$15,$M111-$A$15,BO$13)))</f>
        <v>0</v>
      </c>
      <c r="BP111" s="171">
        <f ca="1">IF(OR($D111&lt;&gt;"Serviço",AND(AUTOEVENTO="Manual",$M111=$A$15)),0,
         IF(OFFSET(CRONOPLE!$F$15,$M111-$A$15,BP$13)=0,10^12,OFFSET(CRONOPLE!$F$15,$M111-$A$15,BP$13)))</f>
        <v>0</v>
      </c>
      <c r="BQ111" s="171">
        <f ca="1">IF(OR($D111&lt;&gt;"Serviço",AND(AUTOEVENTO="Manual",$M111=$A$15)),0,
         IF(OFFSET(CRONOPLE!$F$15,$M111-$A$15,BQ$13)=0,10^12,OFFSET(CRONOPLE!$F$15,$M111-$A$15,BQ$13)))</f>
        <v>0</v>
      </c>
      <c r="BR111" s="171">
        <f ca="1">IF(OR($D111&lt;&gt;"Serviço",AND(AUTOEVENTO="Manual",$M111=$A$15)),0,
         IF(OFFSET(CRONOPLE!$F$15,$M111-$A$15,BR$13)=0,10^12,OFFSET(CRONOPLE!$F$15,$M111-$A$15,BR$13)))</f>
        <v>0</v>
      </c>
      <c r="BS111" s="171">
        <f ca="1">IF(OR($D111&lt;&gt;"Serviço",AND(AUTOEVENTO="Manual",$M111=$A$15)),0,
         IF(OFFSET(CRONOPLE!$F$15,$M111-$A$15,BS$13)=0,10^12,OFFSET(CRONOPLE!$F$15,$M111-$A$15,BS$13)))</f>
        <v>0</v>
      </c>
      <c r="BT111" s="171">
        <f ca="1">IF(OR($D111&lt;&gt;"Serviço",AND(AUTOEVENTO="Manual",$M111=$A$15)),0,
         IF(OFFSET(CRONOPLE!$F$15,$M111-$A$15,BT$13)=0,10^12,OFFSET(CRONOPLE!$F$15,$M111-$A$15,BT$13)))</f>
        <v>0</v>
      </c>
      <c r="BV111" s="172" cm="1">
        <f t="array" aca="1" ref="BV111" ca="1">IF(OR($D111&lt;&gt;"Serviço",AND(AUTOEVENTO="Manual",$M111=$A$15),$M111&gt;(ROW(PLE.lastrow)-ROW(PLE.firstrow))),0,
           IF(OFFSET(PLE!$G$15,$M111-$A$15,BV$13)="",10^12,OFFSET(PLE!$G$15,$M111-$A$15,BV$13)))</f>
        <v>0</v>
      </c>
      <c r="BW111" s="172" cm="1">
        <f t="array" aca="1" ref="BW111" ca="1">IF(OR($D111&lt;&gt;"Serviço",AND(AUTOEVENTO="Manual",$M111=$A$15),$M111&gt;(ROW(PLE.lastrow)-ROW(PLE.firstrow))),0,
           IF(OFFSET(PLE!$G$15,$M111-$A$15,BW$13)="",10^12,OFFSET(PLE!$G$15,$M111-$A$15,BW$13)))</f>
        <v>0</v>
      </c>
      <c r="BX111" s="172" cm="1">
        <f t="array" aca="1" ref="BX111" ca="1">IF(OR($D111&lt;&gt;"Serviço",AND(AUTOEVENTO="Manual",$M111=$A$15),$M111&gt;(ROW(PLE.lastrow)-ROW(PLE.firstrow))),0,
           IF(OFFSET(PLE!$G$15,$M111-$A$15,BX$13)="",10^12,OFFSET(PLE!$G$15,$M111-$A$15,BX$13)))</f>
        <v>0</v>
      </c>
      <c r="BY111" s="172" cm="1">
        <f t="array" aca="1" ref="BY111" ca="1">IF(OR($D111&lt;&gt;"Serviço",AND(AUTOEVENTO="Manual",$M111=$A$15),$M111&gt;(ROW(PLE.lastrow)-ROW(PLE.firstrow))),0,
           IF(OFFSET(PLE!$G$15,$M111-$A$15,BY$13)="",10^12,OFFSET(PLE!$G$15,$M111-$A$15,BY$13)))</f>
        <v>0</v>
      </c>
      <c r="BZ111" s="172" cm="1">
        <f t="array" aca="1" ref="BZ111" ca="1">IF(OR($D111&lt;&gt;"Serviço",AND(AUTOEVENTO="Manual",$M111=$A$15),$M111&gt;(ROW(PLE.lastrow)-ROW(PLE.firstrow))),0,
           IF(OFFSET(PLE!$G$15,$M111-$A$15,BZ$13)="",10^12,OFFSET(PLE!$G$15,$M111-$A$15,BZ$13)))</f>
        <v>0</v>
      </c>
      <c r="CA111" s="172" cm="1">
        <f t="array" aca="1" ref="CA111" ca="1">IF(OR($D111&lt;&gt;"Serviço",AND(AUTOEVENTO="Manual",$M111=$A$15),$M111&gt;(ROW(PLE.lastrow)-ROW(PLE.firstrow))),0,
           IF(OFFSET(PLE!$G$15,$M111-$A$15,CA$13)="",10^12,OFFSET(PLE!$G$15,$M111-$A$15,CA$13)))</f>
        <v>0</v>
      </c>
      <c r="CB111" s="172" cm="1">
        <f t="array" aca="1" ref="CB111" ca="1">IF(OR($D111&lt;&gt;"Serviço",AND(AUTOEVENTO="Manual",$M111=$A$15),$M111&gt;(ROW(PLE.lastrow)-ROW(PLE.firstrow))),0,
           IF(OFFSET(PLE!$G$15,$M111-$A$15,CB$13)="",10^12,OFFSET(PLE!$G$15,$M111-$A$15,CB$13)))</f>
        <v>0</v>
      </c>
      <c r="CC111" s="172" cm="1">
        <f t="array" aca="1" ref="CC111" ca="1">IF(OR($D111&lt;&gt;"Serviço",AND(AUTOEVENTO="Manual",$M111=$A$15),$M111&gt;(ROW(PLE.lastrow)-ROW(PLE.firstrow))),0,
           IF(OFFSET(PLE!$G$15,$M111-$A$15,CC$13)="",10^12,OFFSET(PLE!$G$15,$M111-$A$15,CC$13)))</f>
        <v>0</v>
      </c>
      <c r="CD111" s="172" cm="1">
        <f t="array" aca="1" ref="CD111" ca="1">IF(OR($D111&lt;&gt;"Serviço",AND(AUTOEVENTO="Manual",$M111=$A$15),$M111&gt;(ROW(PLE.lastrow)-ROW(PLE.firstrow))),0,
           IF(OFFSET(PLE!$G$15,$M111-$A$15,CD$13)="",10^12,OFFSET(PLE!$G$15,$M111-$A$15,CD$13)))</f>
        <v>0</v>
      </c>
      <c r="CE111" s="172" cm="1">
        <f t="array" aca="1" ref="CE111" ca="1">IF(OR($D111&lt;&gt;"Serviço",AND(AUTOEVENTO="Manual",$M111=$A$15),$M111&gt;(ROW(PLE.lastrow)-ROW(PLE.firstrow))),0,
           IF(OFFSET(PLE!$G$15,$M111-$A$15,CE$13)="",10^12,OFFSET(PLE!$G$15,$M111-$A$15,CE$13)))</f>
        <v>0</v>
      </c>
      <c r="CF111" s="172" cm="1">
        <f t="array" aca="1" ref="CF111" ca="1">IF(OR($D111&lt;&gt;"Serviço",AND(AUTOEVENTO="Manual",$M111=$A$15),$M111&gt;(ROW(PLE.lastrow)-ROW(PLE.firstrow))),0,
           IF(OFFSET(PLE!$G$15,$M111-$A$15,CF$13)="",10^12,OFFSET(PLE!$G$15,$M111-$A$15,CF$13)))</f>
        <v>0</v>
      </c>
      <c r="CG111" s="172" cm="1">
        <f t="array" aca="1" ref="CG111" ca="1">IF(OR($D111&lt;&gt;"Serviço",AND(AUTOEVENTO="Manual",$M111=$A$15),$M111&gt;(ROW(PLE.lastrow)-ROW(PLE.firstrow))),0,
           IF(OFFSET(PLE!$G$15,$M111-$A$15,CG$13)="",10^12,OFFSET(PLE!$G$15,$M111-$A$15,CG$13)))</f>
        <v>0</v>
      </c>
      <c r="CH111" s="172" cm="1">
        <f t="array" aca="1" ref="CH111" ca="1">IF(OR($D111&lt;&gt;"Serviço",AND(AUTOEVENTO="Manual",$M111=$A$15),$M111&gt;(ROW(PLE.lastrow)-ROW(PLE.firstrow))),0,
           IF(OFFSET(PLE!$G$15,$M111-$A$15,CH$13)="",10^12,OFFSET(PLE!$G$15,$M111-$A$15,CH$13)))</f>
        <v>0</v>
      </c>
      <c r="CI111" s="172" cm="1">
        <f t="array" aca="1" ref="CI111" ca="1">IF(OR($D111&lt;&gt;"Serviço",AND(AUTOEVENTO="Manual",$M111=$A$15),$M111&gt;(ROW(PLE.lastrow)-ROW(PLE.firstrow))),0,
           IF(OFFSET(PLE!$G$15,$M111-$A$15,CI$13)="",10^12,OFFSET(PLE!$G$15,$M111-$A$15,CI$13)))</f>
        <v>0</v>
      </c>
      <c r="CJ111" s="172" cm="1">
        <f t="array" aca="1" ref="CJ111" ca="1">IF(OR($D111&lt;&gt;"Serviço",AND(AUTOEVENTO="Manual",$M111=$A$15),$M111&gt;(ROW(PLE.lastrow)-ROW(PLE.firstrow))),0,
           IF(OFFSET(PLE!$G$15,$M111-$A$15,CJ$13)="",10^12,OFFSET(PLE!$G$15,$M111-$A$15,CJ$13)))</f>
        <v>0</v>
      </c>
      <c r="CK111" s="172" cm="1">
        <f t="array" aca="1" ref="CK111" ca="1">IF(OR($D111&lt;&gt;"Serviço",AND(AUTOEVENTO="Manual",$M111=$A$15),$M111&gt;(ROW(PLE.lastrow)-ROW(PLE.firstrow))),0,
           IF(OFFSET(PLE!$G$15,$M111-$A$15,CK$13)="",10^12,OFFSET(PLE!$G$15,$M111-$A$15,CK$13)))</f>
        <v>0</v>
      </c>
      <c r="CL111" s="172" cm="1">
        <f t="array" aca="1" ref="CL111" ca="1">IF(OR($D111&lt;&gt;"Serviço",AND(AUTOEVENTO="Manual",$M111=$A$15),$M111&gt;(ROW(PLE.lastrow)-ROW(PLE.firstrow))),0,
           IF(OFFSET(PLE!$G$15,$M111-$A$15,CL$13)="",10^12,OFFSET(PLE!$G$15,$M111-$A$15,CL$13)))</f>
        <v>0</v>
      </c>
      <c r="CM111" s="172" cm="1">
        <f t="array" aca="1" ref="CM111" ca="1">IF(OR($D111&lt;&gt;"Serviço",AND(AUTOEVENTO="Manual",$M111=$A$15),$M111&gt;(ROW(PLE.lastrow)-ROW(PLE.firstrow))),0,
           IF(OFFSET(PLE!$G$15,$M111-$A$15,CM$13)="",10^12,OFFSET(PLE!$G$15,$M111-$A$15,CM$13)))</f>
        <v>0</v>
      </c>
    </row>
    <row r="112" spans="1:91" s="670" customFormat="1" ht="63.75" x14ac:dyDescent="0.2">
      <c r="A112" s="668">
        <f t="shared" ca="1" si="12"/>
        <v>21</v>
      </c>
      <c r="B112" s="668" t="str">
        <f ca="1">OFFSET(ORÇAMENTO!C$15,$L112,0)</f>
        <v>S</v>
      </c>
      <c r="C112" s="668" t="str">
        <f ca="1">OFFSET(ORÇAMENTO!L$15,$L112,0)</f>
        <v>F</v>
      </c>
      <c r="D112" s="116" t="str">
        <f ca="1">OFFSET(ORÇAMENTO!N$15,$L112,0)</f>
        <v>Serviço</v>
      </c>
      <c r="E112" s="117" t="str">
        <f ca="1">OFFSET(ORÇAMENTO!O$15,$L112,0)</f>
        <v>1.16.1.</v>
      </c>
      <c r="F112" s="163" t="str">
        <f ca="1">OFFSET(ORÇAMENTO!R$15,$L112,0)</f>
        <v>COBERTURA EM TELHA DE FIBROCIMENTO,TIPO CALHA ESTRUTURAL, LARGURA 49CM, (CANALETE 49/KALHETA), COM RECOBRIMENTO TRANSVERSAL E LONGITUDINAL, EXCLUSIVE CUMEEIRA E ENGRADAMENTO, INCLUSIVE ACESSÓRIOS DE FIXAÇÃO E IÇAMENTO MANUAL VERTICAL</v>
      </c>
      <c r="G112" s="164" t="str">
        <f ca="1">IF($D112&lt;&gt;"Serviço","",OFFSET(ORÇAMENTO!S$15,$L112,0))</f>
        <v>m2</v>
      </c>
      <c r="H112" s="122" cm="1">
        <f t="array" aca="1" ref="H112" ca="1">IF($D112&lt;&gt;"Serviço",0,IF(ACOMPANHAMENTO="BM",ROUND(OFFSET(ORÇAMENTO!AJ$15,$L112,0),15-13*ORÇAMENTO!$AF$7),IF(IFERROR(CÁLCULO.FrentesPreenchidas,0)=0,0,SUM(ROUND(OFFSET($P112,0,1,1,CÁLCULO.FrentesPreenchidas),15-13*ORÇAMENTO!$AF$7)))))</f>
        <v>74.5</v>
      </c>
      <c r="I112" s="468" t="s">
        <v>1176</v>
      </c>
      <c r="J112" s="651" t="str" cm="1">
        <f t="array" aca="1" ref="J112" ca="1">IF(OR(B112&lt;&gt;"S",CÁLCULO.FrentesPreenchidas=0),"",IF(AND(ACOMPANHAMENTO="PLE",AUTOEVENTO="Manual",OR(H112&gt;0,ORÇAMENTO!AC112="QUANT."),OR(K112="",M112=0,N112="")),"►E",IF(AND(ACOMPANHAMENTO="PLE",ORÇAMENTO!AC112="QUANT."),"►Q",IF(AND(ACOMPANHAMENTO="PLE",H112&lt;&gt;SUMPRODUCT(($Q$1:$AI$1=1)*ROUND(Q112:AI112,15))),"►S",IF(AND(COUNTIF($P$11:$AI$11,"▼")=0,H112&gt;0,I112=""),"◄M","")))))</f>
        <v/>
      </c>
      <c r="K112" s="652" t="s">
        <v>1358</v>
      </c>
      <c r="L112" s="165">
        <f t="shared" ca="1" si="13"/>
        <v>97</v>
      </c>
      <c r="M112" s="166">
        <f ca="1">IF($D112&lt;&gt;"Serviço","",
          IF(AUTOEVENTO="manual",$A112,
                IF(ISERROR(MATCH($A112,$A$15:OFFSET($A112,-1,0),0)),MAX($M$15:OFFSET(M112,-1,0))+1,
                      INDEX($M$15:OFFSET(M112,-1,0),MATCH($A112,$A$15:OFFSET($A112,-1,0),0)))))</f>
        <v>21</v>
      </c>
      <c r="N112" s="167" t="str">
        <f ca="1">IF($D112&lt;&gt;"Serviço","",
         IF(AUTOEVENTO="Manual",
                IF($A112=0,"&lt;-- defina o número do agrupador",
                       OFFSET(EVENTOS!$D$15,$A112-$A$15,0)),
                OFFSET($F$15,$A112,0)))</f>
        <v>Cobertura</v>
      </c>
      <c r="O112" s="168"/>
      <c r="Q112" s="168"/>
      <c r="R112" s="169"/>
      <c r="S112" s="169"/>
      <c r="T112" s="169"/>
      <c r="U112" s="169"/>
      <c r="V112" s="169">
        <v>74.5</v>
      </c>
      <c r="W112" s="169"/>
      <c r="X112" s="169"/>
      <c r="Y112" s="169"/>
      <c r="Z112" s="170"/>
      <c r="AA112" s="705"/>
      <c r="AB112" s="705"/>
      <c r="AC112" s="705"/>
      <c r="AD112" s="705"/>
      <c r="AE112" s="705"/>
      <c r="AF112" s="705"/>
      <c r="AG112" s="705"/>
      <c r="AH112" s="706"/>
      <c r="AJ112" s="453">
        <f ca="1">IF(AND($D112="Serviço",AJ$12&lt;&gt;0,$H112&gt;0,OR(AUTOEVENTO&lt;&gt;"manual",$M112&lt;&gt;$A$15)),
        IF(Import.TipoArredondamento&lt;&gt;"TransfereGOV",
              ROUND(OFFSET($P112,0,AJ$13),15-13*ORÇAMENTO!$AF$7)/$H112*OFFSET(ORÇAMENTO!$X$15,ROW(AJ112)-ROW(AJ$15),0),
              ROUND(ROUND(OFFSET($P112,0,AJ$13),15-13*ORÇAMENTO!$AF$7)*OFFSET(ORÇAMENTO!$W$15,ROW(AJ112)-ROW(AJ$15),0),15-13*ORÇAMENTO!$AF$11)),
         0)</f>
        <v>0</v>
      </c>
      <c r="AK112" s="453">
        <f ca="1">IF(AND($D112="Serviço",AK$12&lt;&gt;0,$H112&gt;0,OR(AUTOEVENTO&lt;&gt;"manual",$M112&lt;&gt;$A$15)),
        IF(Import.TipoArredondamento&lt;&gt;"TransfereGOV",
              ROUND(OFFSET($P112,0,AK$13),15-13*ORÇAMENTO!$AF$7)/$H112*OFFSET(ORÇAMENTO!$X$15,ROW(AK112)-ROW(AK$15),0),
              ROUND(ROUND(OFFSET($P112,0,AK$13),15-13*ORÇAMENTO!$AF$7)*OFFSET(ORÇAMENTO!$W$15,ROW(AK112)-ROW(AK$15),0),15-13*ORÇAMENTO!$AF$11)),
         0)</f>
        <v>0</v>
      </c>
      <c r="AL112" s="453">
        <f ca="1">IF(AND($D112="Serviço",AL$12&lt;&gt;0,$H112&gt;0,OR(AUTOEVENTO&lt;&gt;"manual",$M112&lt;&gt;$A$15)),
        IF(Import.TipoArredondamento&lt;&gt;"TransfereGOV",
              ROUND(OFFSET($P112,0,AL$13),15-13*ORÇAMENTO!$AF$7)/$H112*OFFSET(ORÇAMENTO!$X$15,ROW(AL112)-ROW(AL$15),0),
              ROUND(ROUND(OFFSET($P112,0,AL$13),15-13*ORÇAMENTO!$AF$7)*OFFSET(ORÇAMENTO!$W$15,ROW(AL112)-ROW(AL$15),0),15-13*ORÇAMENTO!$AF$11)),
         0)</f>
        <v>0</v>
      </c>
      <c r="AM112" s="453">
        <f ca="1">IF(AND($D112="Serviço",AM$12&lt;&gt;0,$H112&gt;0,OR(AUTOEVENTO&lt;&gt;"manual",$M112&lt;&gt;$A$15)),
        IF(Import.TipoArredondamento&lt;&gt;"TransfereGOV",
              ROUND(OFFSET($P112,0,AM$13),15-13*ORÇAMENTO!$AF$7)/$H112*OFFSET(ORÇAMENTO!$X$15,ROW(AM112)-ROW(AM$15),0),
              ROUND(ROUND(OFFSET($P112,0,AM$13),15-13*ORÇAMENTO!$AF$7)*OFFSET(ORÇAMENTO!$W$15,ROW(AM112)-ROW(AM$15),0),15-13*ORÇAMENTO!$AF$11)),
         0)</f>
        <v>0</v>
      </c>
      <c r="AN112" s="453">
        <f ca="1">IF(AND($D112="Serviço",AN$12&lt;&gt;0,$H112&gt;0,OR(AUTOEVENTO&lt;&gt;"manual",$M112&lt;&gt;$A$15)),
        IF(Import.TipoArredondamento&lt;&gt;"TransfereGOV",
              ROUND(OFFSET($P112,0,AN$13),15-13*ORÇAMENTO!$AF$7)/$H112*OFFSET(ORÇAMENTO!$X$15,ROW(AN112)-ROW(AN$15),0),
              ROUND(ROUND(OFFSET($P112,0,AN$13),15-13*ORÇAMENTO!$AF$7)*OFFSET(ORÇAMENTO!$W$15,ROW(AN112)-ROW(AN$15),0),15-13*ORÇAMENTO!$AF$11)),
         0)</f>
        <v>0</v>
      </c>
      <c r="AO112" s="453">
        <f ca="1">IF(AND($D112="Serviço",AO$12&lt;&gt;0,$H112&gt;0,OR(AUTOEVENTO&lt;&gt;"manual",$M112&lt;&gt;$A$15)),
        IF(Import.TipoArredondamento&lt;&gt;"TransfereGOV",
              ROUND(OFFSET($P112,0,AO$13),15-13*ORÇAMENTO!$AF$7)/$H112*OFFSET(ORÇAMENTO!$X$15,ROW(AO112)-ROW(AO$15),0),
              ROUND(ROUND(OFFSET($P112,0,AO$13),15-13*ORÇAMENTO!$AF$7)*OFFSET(ORÇAMENTO!$W$15,ROW(AO112)-ROW(AO$15),0),15-13*ORÇAMENTO!$AF$11)),
         0)</f>
        <v>18992.29</v>
      </c>
      <c r="AP112" s="453">
        <f ca="1">IF(AND($D112="Serviço",AP$12&lt;&gt;0,$H112&gt;0,OR(AUTOEVENTO&lt;&gt;"manual",$M112&lt;&gt;$A$15)),
        IF(Import.TipoArredondamento&lt;&gt;"TransfereGOV",
              ROUND(OFFSET($P112,0,AP$13),15-13*ORÇAMENTO!$AF$7)/$H112*OFFSET(ORÇAMENTO!$X$15,ROW(AP112)-ROW(AP$15),0),
              ROUND(ROUND(OFFSET($P112,0,AP$13),15-13*ORÇAMENTO!$AF$7)*OFFSET(ORÇAMENTO!$W$15,ROW(AP112)-ROW(AP$15),0),15-13*ORÇAMENTO!$AF$11)),
         0)</f>
        <v>0</v>
      </c>
      <c r="AQ112" s="453">
        <f ca="1">IF(AND($D112="Serviço",AQ$12&lt;&gt;0,$H112&gt;0,OR(AUTOEVENTO&lt;&gt;"manual",$M112&lt;&gt;$A$15)),
        IF(Import.TipoArredondamento&lt;&gt;"TransfereGOV",
              ROUND(OFFSET($P112,0,AQ$13),15-13*ORÇAMENTO!$AF$7)/$H112*OFFSET(ORÇAMENTO!$X$15,ROW(AQ112)-ROW(AQ$15),0),
              ROUND(ROUND(OFFSET($P112,0,AQ$13),15-13*ORÇAMENTO!$AF$7)*OFFSET(ORÇAMENTO!$W$15,ROW(AQ112)-ROW(AQ$15),0),15-13*ORÇAMENTO!$AF$11)),
         0)</f>
        <v>0</v>
      </c>
      <c r="AR112" s="453">
        <f ca="1">IF(AND($D112="Serviço",AR$12&lt;&gt;0,$H112&gt;0,OR(AUTOEVENTO&lt;&gt;"manual",$M112&lt;&gt;$A$15)),
        IF(Import.TipoArredondamento&lt;&gt;"TransfereGOV",
              ROUND(OFFSET($P112,0,AR$13),15-13*ORÇAMENTO!$AF$7)/$H112*OFFSET(ORÇAMENTO!$X$15,ROW(AR112)-ROW(AR$15),0),
              ROUND(ROUND(OFFSET($P112,0,AR$13),15-13*ORÇAMENTO!$AF$7)*OFFSET(ORÇAMENTO!$W$15,ROW(AR112)-ROW(AR$15),0),15-13*ORÇAMENTO!$AF$11)),
         0)</f>
        <v>0</v>
      </c>
      <c r="AS112" s="453">
        <f ca="1">IF(AND($D112="Serviço",AS$12&lt;&gt;0,$H112&gt;0,OR(AUTOEVENTO&lt;&gt;"manual",$M112&lt;&gt;$A$15)),
        IF(Import.TipoArredondamento&lt;&gt;"TransfereGOV",
              ROUND(OFFSET($P112,0,AS$13),15-13*ORÇAMENTO!$AF$7)/$H112*OFFSET(ORÇAMENTO!$X$15,ROW(AS112)-ROW(AS$15),0),
              ROUND(ROUND(OFFSET($P112,0,AS$13),15-13*ORÇAMENTO!$AF$7)*OFFSET(ORÇAMENTO!$W$15,ROW(AS112)-ROW(AS$15),0),15-13*ORÇAMENTO!$AF$11)),
         0)</f>
        <v>0</v>
      </c>
      <c r="AT112" s="453">
        <f ca="1">IF(AND($D112="Serviço",AT$12&lt;&gt;0,$H112&gt;0,OR(AUTOEVENTO&lt;&gt;"manual",$M112&lt;&gt;$A$15)),
        IF(Import.TipoArredondamento&lt;&gt;"TransfereGOV",
              ROUND(OFFSET($P112,0,AT$13),15-13*ORÇAMENTO!$AF$7)/$H112*OFFSET(ORÇAMENTO!$X$15,ROW(AT112)-ROW(AT$15),0),
              ROUND(ROUND(OFFSET($P112,0,AT$13),15-13*ORÇAMENTO!$AF$7)*OFFSET(ORÇAMENTO!$W$15,ROW(AT112)-ROW(AT$15),0),15-13*ORÇAMENTO!$AF$11)),
         0)</f>
        <v>0</v>
      </c>
      <c r="AU112" s="453">
        <f ca="1">IF(AND($D112="Serviço",AU$12&lt;&gt;0,$H112&gt;0,OR(AUTOEVENTO&lt;&gt;"manual",$M112&lt;&gt;$A$15)),
        IF(Import.TipoArredondamento&lt;&gt;"TransfereGOV",
              ROUND(OFFSET($P112,0,AU$13),15-13*ORÇAMENTO!$AF$7)/$H112*OFFSET(ORÇAMENTO!$X$15,ROW(AU112)-ROW(AU$15),0),
              ROUND(ROUND(OFFSET($P112,0,AU$13),15-13*ORÇAMENTO!$AF$7)*OFFSET(ORÇAMENTO!$W$15,ROW(AU112)-ROW(AU$15),0),15-13*ORÇAMENTO!$AF$11)),
         0)</f>
        <v>0</v>
      </c>
      <c r="AV112" s="453">
        <f ca="1">IF(AND($D112="Serviço",AV$12&lt;&gt;0,$H112&gt;0,OR(AUTOEVENTO&lt;&gt;"manual",$M112&lt;&gt;$A$15)),
        IF(Import.TipoArredondamento&lt;&gt;"TransfereGOV",
              ROUND(OFFSET($P112,0,AV$13),15-13*ORÇAMENTO!$AF$7)/$H112*OFFSET(ORÇAMENTO!$X$15,ROW(AV112)-ROW(AV$15),0),
              ROUND(ROUND(OFFSET($P112,0,AV$13),15-13*ORÇAMENTO!$AF$7)*OFFSET(ORÇAMENTO!$W$15,ROW(AV112)-ROW(AV$15),0),15-13*ORÇAMENTO!$AF$11)),
         0)</f>
        <v>0</v>
      </c>
      <c r="AW112" s="453">
        <f ca="1">IF(AND($D112="Serviço",AW$12&lt;&gt;0,$H112&gt;0,OR(AUTOEVENTO&lt;&gt;"manual",$M112&lt;&gt;$A$15)),
        IF(Import.TipoArredondamento&lt;&gt;"TransfereGOV",
              ROUND(OFFSET($P112,0,AW$13),15-13*ORÇAMENTO!$AF$7)/$H112*OFFSET(ORÇAMENTO!$X$15,ROW(AW112)-ROW(AW$15),0),
              ROUND(ROUND(OFFSET($P112,0,AW$13),15-13*ORÇAMENTO!$AF$7)*OFFSET(ORÇAMENTO!$W$15,ROW(AW112)-ROW(AW$15),0),15-13*ORÇAMENTO!$AF$11)),
         0)</f>
        <v>0</v>
      </c>
      <c r="AX112" s="453">
        <f ca="1">IF(AND($D112="Serviço",AX$12&lt;&gt;0,$H112&gt;0,OR(AUTOEVENTO&lt;&gt;"manual",$M112&lt;&gt;$A$15)),
        IF(Import.TipoArredondamento&lt;&gt;"TransfereGOV",
              ROUND(OFFSET($P112,0,AX$13),15-13*ORÇAMENTO!$AF$7)/$H112*OFFSET(ORÇAMENTO!$X$15,ROW(AX112)-ROW(AX$15),0),
              ROUND(ROUND(OFFSET($P112,0,AX$13),15-13*ORÇAMENTO!$AF$7)*OFFSET(ORÇAMENTO!$W$15,ROW(AX112)-ROW(AX$15),0),15-13*ORÇAMENTO!$AF$11)),
         0)</f>
        <v>0</v>
      </c>
      <c r="AY112" s="453">
        <f ca="1">IF(AND($D112="Serviço",AY$12&lt;&gt;0,$H112&gt;0,OR(AUTOEVENTO&lt;&gt;"manual",$M112&lt;&gt;$A$15)),
        IF(Import.TipoArredondamento&lt;&gt;"TransfereGOV",
              ROUND(OFFSET($P112,0,AY$13),15-13*ORÇAMENTO!$AF$7)/$H112*OFFSET(ORÇAMENTO!$X$15,ROW(AY112)-ROW(AY$15),0),
              ROUND(ROUND(OFFSET($P112,0,AY$13),15-13*ORÇAMENTO!$AF$7)*OFFSET(ORÇAMENTO!$W$15,ROW(AY112)-ROW(AY$15),0),15-13*ORÇAMENTO!$AF$11)),
         0)</f>
        <v>0</v>
      </c>
      <c r="AZ112" s="453">
        <f ca="1">IF(AND($D112="Serviço",AZ$12&lt;&gt;0,$H112&gt;0,OR(AUTOEVENTO&lt;&gt;"manual",$M112&lt;&gt;$A$15)),
        IF(Import.TipoArredondamento&lt;&gt;"TransfereGOV",
              ROUND(OFFSET($P112,0,AZ$13),15-13*ORÇAMENTO!$AF$7)/$H112*OFFSET(ORÇAMENTO!$X$15,ROW(AZ112)-ROW(AZ$15),0),
              ROUND(ROUND(OFFSET($P112,0,AZ$13),15-13*ORÇAMENTO!$AF$7)*OFFSET(ORÇAMENTO!$W$15,ROW(AZ112)-ROW(AZ$15),0),15-13*ORÇAMENTO!$AF$11)),
         0)</f>
        <v>0</v>
      </c>
      <c r="BA112" s="453">
        <f ca="1">IF(AND($D112="Serviço",BA$12&lt;&gt;0,$H112&gt;0,OR(AUTOEVENTO&lt;&gt;"manual",$M112&lt;&gt;$A$15)),
        IF(Import.TipoArredondamento&lt;&gt;"TransfereGOV",
              ROUND(OFFSET($P112,0,BA$13),15-13*ORÇAMENTO!$AF$7)/$H112*OFFSET(ORÇAMENTO!$X$15,ROW(BA112)-ROW(BA$15),0),
              ROUND(ROUND(OFFSET($P112,0,BA$13),15-13*ORÇAMENTO!$AF$7)*OFFSET(ORÇAMENTO!$W$15,ROW(BA112)-ROW(BA$15),0),15-13*ORÇAMENTO!$AF$11)),
         0)</f>
        <v>0</v>
      </c>
      <c r="BC112" s="171">
        <f ca="1">IF(OR($D112&lt;&gt;"Serviço",AND(AUTOEVENTO="Manual",$M112=$A$15)),0,
         IF(OFFSET(CRONOPLE!$F$15,$M112-$A$15,BC$13)=0,10^12,OFFSET(CRONOPLE!$F$15,$M112-$A$15,BC$13)))</f>
        <v>1000000000000</v>
      </c>
      <c r="BD112" s="171">
        <f ca="1">IF(OR($D112&lt;&gt;"Serviço",AND(AUTOEVENTO="Manual",$M112=$A$15)),0,
         IF(OFFSET(CRONOPLE!$F$15,$M112-$A$15,BD$13)=0,10^12,OFFSET(CRONOPLE!$F$15,$M112-$A$15,BD$13)))</f>
        <v>1000000000000</v>
      </c>
      <c r="BE112" s="171">
        <f ca="1">IF(OR($D112&lt;&gt;"Serviço",AND(AUTOEVENTO="Manual",$M112=$A$15)),0,
         IF(OFFSET(CRONOPLE!$F$15,$M112-$A$15,BE$13)=0,10^12,OFFSET(CRONOPLE!$F$15,$M112-$A$15,BE$13)))</f>
        <v>1000000000000</v>
      </c>
      <c r="BF112" s="171">
        <f ca="1">IF(OR($D112&lt;&gt;"Serviço",AND(AUTOEVENTO="Manual",$M112=$A$15)),0,
         IF(OFFSET(CRONOPLE!$F$15,$M112-$A$15,BF$13)=0,10^12,OFFSET(CRONOPLE!$F$15,$M112-$A$15,BF$13)))</f>
        <v>1000000000000</v>
      </c>
      <c r="BG112" s="171">
        <f ca="1">IF(OR($D112&lt;&gt;"Serviço",AND(AUTOEVENTO="Manual",$M112=$A$15)),0,
         IF(OFFSET(CRONOPLE!$F$15,$M112-$A$15,BG$13)=0,10^12,OFFSET(CRONOPLE!$F$15,$M112-$A$15,BG$13)))</f>
        <v>1000000000000</v>
      </c>
      <c r="BH112" s="171">
        <f ca="1">IF(OR($D112&lt;&gt;"Serviço",AND(AUTOEVENTO="Manual",$M112=$A$15)),0,
         IF(OFFSET(CRONOPLE!$F$15,$M112-$A$15,BH$13)=0,10^12,OFFSET(CRONOPLE!$F$15,$M112-$A$15,BH$13)))</f>
        <v>9</v>
      </c>
      <c r="BI112" s="171">
        <f ca="1">IF(OR($D112&lt;&gt;"Serviço",AND(AUTOEVENTO="Manual",$M112=$A$15)),0,
         IF(OFFSET(CRONOPLE!$F$15,$M112-$A$15,BI$13)=0,10^12,OFFSET(CRONOPLE!$F$15,$M112-$A$15,BI$13)))</f>
        <v>1000000000000</v>
      </c>
      <c r="BJ112" s="171">
        <f ca="1">IF(OR($D112&lt;&gt;"Serviço",AND(AUTOEVENTO="Manual",$M112=$A$15)),0,
         IF(OFFSET(CRONOPLE!$F$15,$M112-$A$15,BJ$13)=0,10^12,OFFSET(CRONOPLE!$F$15,$M112-$A$15,BJ$13)))</f>
        <v>1000000000000</v>
      </c>
      <c r="BK112" s="171">
        <f ca="1">IF(OR($D112&lt;&gt;"Serviço",AND(AUTOEVENTO="Manual",$M112=$A$15)),0,
         IF(OFFSET(CRONOPLE!$F$15,$M112-$A$15,BK$13)=0,10^12,OFFSET(CRONOPLE!$F$15,$M112-$A$15,BK$13)))</f>
        <v>1000000000000</v>
      </c>
      <c r="BL112" s="171">
        <f ca="1">IF(OR($D112&lt;&gt;"Serviço",AND(AUTOEVENTO="Manual",$M112=$A$15)),0,
         IF(OFFSET(CRONOPLE!$F$15,$M112-$A$15,BL$13)=0,10^12,OFFSET(CRONOPLE!$F$15,$M112-$A$15,BL$13)))</f>
        <v>1000000000000</v>
      </c>
      <c r="BM112" s="171">
        <f ca="1">IF(OR($D112&lt;&gt;"Serviço",AND(AUTOEVENTO="Manual",$M112=$A$15)),0,
         IF(OFFSET(CRONOPLE!$F$15,$M112-$A$15,BM$13)=0,10^12,OFFSET(CRONOPLE!$F$15,$M112-$A$15,BM$13)))</f>
        <v>1000000000000</v>
      </c>
      <c r="BN112" s="171">
        <f ca="1">IF(OR($D112&lt;&gt;"Serviço",AND(AUTOEVENTO="Manual",$M112=$A$15)),0,
         IF(OFFSET(CRONOPLE!$F$15,$M112-$A$15,BN$13)=0,10^12,OFFSET(CRONOPLE!$F$15,$M112-$A$15,BN$13)))</f>
        <v>1000000000000</v>
      </c>
      <c r="BO112" s="171">
        <f ca="1">IF(OR($D112&lt;&gt;"Serviço",AND(AUTOEVENTO="Manual",$M112=$A$15)),0,
         IF(OFFSET(CRONOPLE!$F$15,$M112-$A$15,BO$13)=0,10^12,OFFSET(CRONOPLE!$F$15,$M112-$A$15,BO$13)))</f>
        <v>1000000000000</v>
      </c>
      <c r="BP112" s="171">
        <f ca="1">IF(OR($D112&lt;&gt;"Serviço",AND(AUTOEVENTO="Manual",$M112=$A$15)),0,
         IF(OFFSET(CRONOPLE!$F$15,$M112-$A$15,BP$13)=0,10^12,OFFSET(CRONOPLE!$F$15,$M112-$A$15,BP$13)))</f>
        <v>1000000000000</v>
      </c>
      <c r="BQ112" s="171">
        <f ca="1">IF(OR($D112&lt;&gt;"Serviço",AND(AUTOEVENTO="Manual",$M112=$A$15)),0,
         IF(OFFSET(CRONOPLE!$F$15,$M112-$A$15,BQ$13)=0,10^12,OFFSET(CRONOPLE!$F$15,$M112-$A$15,BQ$13)))</f>
        <v>1000000000000</v>
      </c>
      <c r="BR112" s="171">
        <f ca="1">IF(OR($D112&lt;&gt;"Serviço",AND(AUTOEVENTO="Manual",$M112=$A$15)),0,
         IF(OFFSET(CRONOPLE!$F$15,$M112-$A$15,BR$13)=0,10^12,OFFSET(CRONOPLE!$F$15,$M112-$A$15,BR$13)))</f>
        <v>1000000000000</v>
      </c>
      <c r="BS112" s="171">
        <f ca="1">IF(OR($D112&lt;&gt;"Serviço",AND(AUTOEVENTO="Manual",$M112=$A$15)),0,
         IF(OFFSET(CRONOPLE!$F$15,$M112-$A$15,BS$13)=0,10^12,OFFSET(CRONOPLE!$F$15,$M112-$A$15,BS$13)))</f>
        <v>1000000000000</v>
      </c>
      <c r="BT112" s="171">
        <f ca="1">IF(OR($D112&lt;&gt;"Serviço",AND(AUTOEVENTO="Manual",$M112=$A$15)),0,
         IF(OFFSET(CRONOPLE!$F$15,$M112-$A$15,BT$13)=0,10^12,OFFSET(CRONOPLE!$F$15,$M112-$A$15,BT$13)))</f>
        <v>1000000000000</v>
      </c>
      <c r="BV112" s="172" cm="1">
        <f t="array" aca="1" ref="BV112" ca="1">IF(OR($D112&lt;&gt;"Serviço",AND(AUTOEVENTO="Manual",$M112=$A$15),$M112&gt;(ROW(PLE.lastrow)-ROW(PLE.firstrow))),0,
           IF(OFFSET(PLE!$G$15,$M112-$A$15,BV$13)="",10^12,OFFSET(PLE!$G$15,$M112-$A$15,BV$13)))</f>
        <v>1000000000000</v>
      </c>
      <c r="BW112" s="172" cm="1">
        <f t="array" aca="1" ref="BW112" ca="1">IF(OR($D112&lt;&gt;"Serviço",AND(AUTOEVENTO="Manual",$M112=$A$15),$M112&gt;(ROW(PLE.lastrow)-ROW(PLE.firstrow))),0,
           IF(OFFSET(PLE!$G$15,$M112-$A$15,BW$13)="",10^12,OFFSET(PLE!$G$15,$M112-$A$15,BW$13)))</f>
        <v>1000000000000</v>
      </c>
      <c r="BX112" s="172" cm="1">
        <f t="array" aca="1" ref="BX112" ca="1">IF(OR($D112&lt;&gt;"Serviço",AND(AUTOEVENTO="Manual",$M112=$A$15),$M112&gt;(ROW(PLE.lastrow)-ROW(PLE.firstrow))),0,
           IF(OFFSET(PLE!$G$15,$M112-$A$15,BX$13)="",10^12,OFFSET(PLE!$G$15,$M112-$A$15,BX$13)))</f>
        <v>1000000000000</v>
      </c>
      <c r="BY112" s="172" cm="1">
        <f t="array" aca="1" ref="BY112" ca="1">IF(OR($D112&lt;&gt;"Serviço",AND(AUTOEVENTO="Manual",$M112=$A$15),$M112&gt;(ROW(PLE.lastrow)-ROW(PLE.firstrow))),0,
           IF(OFFSET(PLE!$G$15,$M112-$A$15,BY$13)="",10^12,OFFSET(PLE!$G$15,$M112-$A$15,BY$13)))</f>
        <v>1000000000000</v>
      </c>
      <c r="BZ112" s="172" cm="1">
        <f t="array" aca="1" ref="BZ112" ca="1">IF(OR($D112&lt;&gt;"Serviço",AND(AUTOEVENTO="Manual",$M112=$A$15),$M112&gt;(ROW(PLE.lastrow)-ROW(PLE.firstrow))),0,
           IF(OFFSET(PLE!$G$15,$M112-$A$15,BZ$13)="",10^12,OFFSET(PLE!$G$15,$M112-$A$15,BZ$13)))</f>
        <v>1000000000000</v>
      </c>
      <c r="CA112" s="172" cm="1">
        <f t="array" aca="1" ref="CA112" ca="1">IF(OR($D112&lt;&gt;"Serviço",AND(AUTOEVENTO="Manual",$M112=$A$15),$M112&gt;(ROW(PLE.lastrow)-ROW(PLE.firstrow))),0,
           IF(OFFSET(PLE!$G$15,$M112-$A$15,CA$13)="",10^12,OFFSET(PLE!$G$15,$M112-$A$15,CA$13)))</f>
        <v>1000000000000</v>
      </c>
      <c r="CB112" s="172" cm="1">
        <f t="array" aca="1" ref="CB112" ca="1">IF(OR($D112&lt;&gt;"Serviço",AND(AUTOEVENTO="Manual",$M112=$A$15),$M112&gt;(ROW(PLE.lastrow)-ROW(PLE.firstrow))),0,
           IF(OFFSET(PLE!$G$15,$M112-$A$15,CB$13)="",10^12,OFFSET(PLE!$G$15,$M112-$A$15,CB$13)))</f>
        <v>1000000000000</v>
      </c>
      <c r="CC112" s="172" cm="1">
        <f t="array" aca="1" ref="CC112" ca="1">IF(OR($D112&lt;&gt;"Serviço",AND(AUTOEVENTO="Manual",$M112=$A$15),$M112&gt;(ROW(PLE.lastrow)-ROW(PLE.firstrow))),0,
           IF(OFFSET(PLE!$G$15,$M112-$A$15,CC$13)="",10^12,OFFSET(PLE!$G$15,$M112-$A$15,CC$13)))</f>
        <v>1000000000000</v>
      </c>
      <c r="CD112" s="172" cm="1">
        <f t="array" aca="1" ref="CD112" ca="1">IF(OR($D112&lt;&gt;"Serviço",AND(AUTOEVENTO="Manual",$M112=$A$15),$M112&gt;(ROW(PLE.lastrow)-ROW(PLE.firstrow))),0,
           IF(OFFSET(PLE!$G$15,$M112-$A$15,CD$13)="",10^12,OFFSET(PLE!$G$15,$M112-$A$15,CD$13)))</f>
        <v>1000000000000</v>
      </c>
      <c r="CE112" s="172" cm="1">
        <f t="array" aca="1" ref="CE112" ca="1">IF(OR($D112&lt;&gt;"Serviço",AND(AUTOEVENTO="Manual",$M112=$A$15),$M112&gt;(ROW(PLE.lastrow)-ROW(PLE.firstrow))),0,
           IF(OFFSET(PLE!$G$15,$M112-$A$15,CE$13)="",10^12,OFFSET(PLE!$G$15,$M112-$A$15,CE$13)))</f>
        <v>1000000000000</v>
      </c>
      <c r="CF112" s="172" cm="1">
        <f t="array" aca="1" ref="CF112" ca="1">IF(OR($D112&lt;&gt;"Serviço",AND(AUTOEVENTO="Manual",$M112=$A$15),$M112&gt;(ROW(PLE.lastrow)-ROW(PLE.firstrow))),0,
           IF(OFFSET(PLE!$G$15,$M112-$A$15,CF$13)="",10^12,OFFSET(PLE!$G$15,$M112-$A$15,CF$13)))</f>
        <v>1000000000000</v>
      </c>
      <c r="CG112" s="172" cm="1">
        <f t="array" aca="1" ref="CG112" ca="1">IF(OR($D112&lt;&gt;"Serviço",AND(AUTOEVENTO="Manual",$M112=$A$15),$M112&gt;(ROW(PLE.lastrow)-ROW(PLE.firstrow))),0,
           IF(OFFSET(PLE!$G$15,$M112-$A$15,CG$13)="",10^12,OFFSET(PLE!$G$15,$M112-$A$15,CG$13)))</f>
        <v>1000000000000</v>
      </c>
      <c r="CH112" s="172" cm="1">
        <f t="array" aca="1" ref="CH112" ca="1">IF(OR($D112&lt;&gt;"Serviço",AND(AUTOEVENTO="Manual",$M112=$A$15),$M112&gt;(ROW(PLE.lastrow)-ROW(PLE.firstrow))),0,
           IF(OFFSET(PLE!$G$15,$M112-$A$15,CH$13)="",10^12,OFFSET(PLE!$G$15,$M112-$A$15,CH$13)))</f>
        <v>1000000000000</v>
      </c>
      <c r="CI112" s="172" cm="1">
        <f t="array" aca="1" ref="CI112" ca="1">IF(OR($D112&lt;&gt;"Serviço",AND(AUTOEVENTO="Manual",$M112=$A$15),$M112&gt;(ROW(PLE.lastrow)-ROW(PLE.firstrow))),0,
           IF(OFFSET(PLE!$G$15,$M112-$A$15,CI$13)="",10^12,OFFSET(PLE!$G$15,$M112-$A$15,CI$13)))</f>
        <v>1000000000000</v>
      </c>
      <c r="CJ112" s="172" cm="1">
        <f t="array" aca="1" ref="CJ112" ca="1">IF(OR($D112&lt;&gt;"Serviço",AND(AUTOEVENTO="Manual",$M112=$A$15),$M112&gt;(ROW(PLE.lastrow)-ROW(PLE.firstrow))),0,
           IF(OFFSET(PLE!$G$15,$M112-$A$15,CJ$13)="",10^12,OFFSET(PLE!$G$15,$M112-$A$15,CJ$13)))</f>
        <v>1000000000000</v>
      </c>
      <c r="CK112" s="172" cm="1">
        <f t="array" aca="1" ref="CK112" ca="1">IF(OR($D112&lt;&gt;"Serviço",AND(AUTOEVENTO="Manual",$M112=$A$15),$M112&gt;(ROW(PLE.lastrow)-ROW(PLE.firstrow))),0,
           IF(OFFSET(PLE!$G$15,$M112-$A$15,CK$13)="",10^12,OFFSET(PLE!$G$15,$M112-$A$15,CK$13)))</f>
        <v>1000000000000</v>
      </c>
      <c r="CL112" s="172" cm="1">
        <f t="array" aca="1" ref="CL112" ca="1">IF(OR($D112&lt;&gt;"Serviço",AND(AUTOEVENTO="Manual",$M112=$A$15),$M112&gt;(ROW(PLE.lastrow)-ROW(PLE.firstrow))),0,
           IF(OFFSET(PLE!$G$15,$M112-$A$15,CL$13)="",10^12,OFFSET(PLE!$G$15,$M112-$A$15,CL$13)))</f>
        <v>1000000000000</v>
      </c>
      <c r="CM112" s="172" cm="1">
        <f t="array" aca="1" ref="CM112" ca="1">IF(OR($D112&lt;&gt;"Serviço",AND(AUTOEVENTO="Manual",$M112=$A$15),$M112&gt;(ROW(PLE.lastrow)-ROW(PLE.firstrow))),0,
           IF(OFFSET(PLE!$G$15,$M112-$A$15,CM$13)="",10^12,OFFSET(PLE!$G$15,$M112-$A$15,CM$13)))</f>
        <v>1000000000000</v>
      </c>
    </row>
    <row r="113" spans="1:91" s="670" customFormat="1" ht="51" x14ac:dyDescent="0.2">
      <c r="A113" s="668">
        <f t="shared" ca="1" si="12"/>
        <v>21</v>
      </c>
      <c r="B113" s="668" t="str">
        <f ca="1">OFFSET(ORÇAMENTO!C$15,$L113,0)</f>
        <v>S</v>
      </c>
      <c r="C113" s="668" t="str">
        <f ca="1">OFFSET(ORÇAMENTO!L$15,$L113,0)</f>
        <v>F</v>
      </c>
      <c r="D113" s="116" t="str">
        <f ca="1">OFFSET(ORÇAMENTO!N$15,$L113,0)</f>
        <v>Serviço</v>
      </c>
      <c r="E113" s="117" t="str">
        <f ca="1">OFFSET(ORÇAMENTO!O$15,$L113,0)</f>
        <v>1.16.2.</v>
      </c>
      <c r="F113" s="163" t="str">
        <f ca="1">OFFSET(ORÇAMENTO!R$15,$L113,0)</f>
        <v>TRAMA DE MADEIRA COMPOSTA POR TERÇAS PARA TELHADOS DE ATÉ 2 ÁGUAS PARA TELHA ONDULADA DE FIBROCIMENTO, METÁLICA, PLÁSTICA OU TERMOACÚSTICA, INCLUSO TRANSPORTE VERTICAL. AF_10/2025</v>
      </c>
      <c r="G113" s="164" t="str">
        <f ca="1">IF($D113&lt;&gt;"Serviço","",OFFSET(ORÇAMENTO!S$15,$L113,0))</f>
        <v>M2</v>
      </c>
      <c r="H113" s="122" cm="1">
        <f t="array" aca="1" ref="H113" ca="1">IF($D113&lt;&gt;"Serviço",0,IF(ACOMPANHAMENTO="BM",ROUND(OFFSET(ORÇAMENTO!AJ$15,$L113,0),15-13*ORÇAMENTO!$AF$7),IF(IFERROR(CÁLCULO.FrentesPreenchidas,0)=0,0,SUM(ROUND(OFFSET($P113,0,1,1,CÁLCULO.FrentesPreenchidas),15-13*ORÇAMENTO!$AF$7)))))</f>
        <v>74.5</v>
      </c>
      <c r="I113" s="468" t="s">
        <v>1175</v>
      </c>
      <c r="J113" s="651" t="str" cm="1">
        <f t="array" aca="1" ref="J113" ca="1">IF(OR(B113&lt;&gt;"S",CÁLCULO.FrentesPreenchidas=0),"",IF(AND(ACOMPANHAMENTO="PLE",AUTOEVENTO="Manual",OR(H113&gt;0,ORÇAMENTO!AC113="QUANT."),OR(K113="",M113=0,N113="")),"►E",IF(AND(ACOMPANHAMENTO="PLE",ORÇAMENTO!AC113="QUANT."),"►Q",IF(AND(ACOMPANHAMENTO="PLE",H113&lt;&gt;SUMPRODUCT(($Q$1:$AI$1=1)*ROUND(Q113:AI113,15))),"►S",IF(AND(COUNTIF($P$11:$AI$11,"▼")=0,H113&gt;0,I113=""),"◄M","")))))</f>
        <v/>
      </c>
      <c r="K113" s="652" t="s">
        <v>1358</v>
      </c>
      <c r="L113" s="165">
        <f t="shared" ca="1" si="13"/>
        <v>98</v>
      </c>
      <c r="M113" s="166">
        <f ca="1">IF($D113&lt;&gt;"Serviço","",
          IF(AUTOEVENTO="manual",$A113,
                IF(ISERROR(MATCH($A113,$A$15:OFFSET($A113,-1,0),0)),MAX($M$15:OFFSET(M113,-1,0))+1,
                      INDEX($M$15:OFFSET(M113,-1,0),MATCH($A113,$A$15:OFFSET($A113,-1,0),0)))))</f>
        <v>21</v>
      </c>
      <c r="N113" s="167" t="str">
        <f ca="1">IF($D113&lt;&gt;"Serviço","",
         IF(AUTOEVENTO="Manual",
                IF($A113=0,"&lt;-- defina o número do agrupador",
                       OFFSET(EVENTOS!$D$15,$A113-$A$15,0)),
                OFFSET($F$15,$A113,0)))</f>
        <v>Cobertura</v>
      </c>
      <c r="O113" s="168"/>
      <c r="Q113" s="168"/>
      <c r="R113" s="169"/>
      <c r="S113" s="169"/>
      <c r="T113" s="169"/>
      <c r="U113" s="169"/>
      <c r="V113" s="169">
        <v>74.5</v>
      </c>
      <c r="W113" s="169"/>
      <c r="X113" s="169"/>
      <c r="Y113" s="169"/>
      <c r="Z113" s="170"/>
      <c r="AA113" s="705"/>
      <c r="AB113" s="705"/>
      <c r="AC113" s="705"/>
      <c r="AD113" s="705"/>
      <c r="AE113" s="705"/>
      <c r="AF113" s="705"/>
      <c r="AG113" s="705"/>
      <c r="AH113" s="706"/>
      <c r="AJ113" s="453">
        <f ca="1">IF(AND($D113="Serviço",AJ$12&lt;&gt;0,$H113&gt;0,OR(AUTOEVENTO&lt;&gt;"manual",$M113&lt;&gt;$A$15)),
        IF(Import.TipoArredondamento&lt;&gt;"TransfereGOV",
              ROUND(OFFSET($P113,0,AJ$13),15-13*ORÇAMENTO!$AF$7)/$H113*OFFSET(ORÇAMENTO!$X$15,ROW(AJ113)-ROW(AJ$15),0),
              ROUND(ROUND(OFFSET($P113,0,AJ$13),15-13*ORÇAMENTO!$AF$7)*OFFSET(ORÇAMENTO!$W$15,ROW(AJ113)-ROW(AJ$15),0),15-13*ORÇAMENTO!$AF$11)),
         0)</f>
        <v>0</v>
      </c>
      <c r="AK113" s="453">
        <f ca="1">IF(AND($D113="Serviço",AK$12&lt;&gt;0,$H113&gt;0,OR(AUTOEVENTO&lt;&gt;"manual",$M113&lt;&gt;$A$15)),
        IF(Import.TipoArredondamento&lt;&gt;"TransfereGOV",
              ROUND(OFFSET($P113,0,AK$13),15-13*ORÇAMENTO!$AF$7)/$H113*OFFSET(ORÇAMENTO!$X$15,ROW(AK113)-ROW(AK$15),0),
              ROUND(ROUND(OFFSET($P113,0,AK$13),15-13*ORÇAMENTO!$AF$7)*OFFSET(ORÇAMENTO!$W$15,ROW(AK113)-ROW(AK$15),0),15-13*ORÇAMENTO!$AF$11)),
         0)</f>
        <v>0</v>
      </c>
      <c r="AL113" s="453">
        <f ca="1">IF(AND($D113="Serviço",AL$12&lt;&gt;0,$H113&gt;0,OR(AUTOEVENTO&lt;&gt;"manual",$M113&lt;&gt;$A$15)),
        IF(Import.TipoArredondamento&lt;&gt;"TransfereGOV",
              ROUND(OFFSET($P113,0,AL$13),15-13*ORÇAMENTO!$AF$7)/$H113*OFFSET(ORÇAMENTO!$X$15,ROW(AL113)-ROW(AL$15),0),
              ROUND(ROUND(OFFSET($P113,0,AL$13),15-13*ORÇAMENTO!$AF$7)*OFFSET(ORÇAMENTO!$W$15,ROW(AL113)-ROW(AL$15),0),15-13*ORÇAMENTO!$AF$11)),
         0)</f>
        <v>0</v>
      </c>
      <c r="AM113" s="453">
        <f ca="1">IF(AND($D113="Serviço",AM$12&lt;&gt;0,$H113&gt;0,OR(AUTOEVENTO&lt;&gt;"manual",$M113&lt;&gt;$A$15)),
        IF(Import.TipoArredondamento&lt;&gt;"TransfereGOV",
              ROUND(OFFSET($P113,0,AM$13),15-13*ORÇAMENTO!$AF$7)/$H113*OFFSET(ORÇAMENTO!$X$15,ROW(AM113)-ROW(AM$15),0),
              ROUND(ROUND(OFFSET($P113,0,AM$13),15-13*ORÇAMENTO!$AF$7)*OFFSET(ORÇAMENTO!$W$15,ROW(AM113)-ROW(AM$15),0),15-13*ORÇAMENTO!$AF$11)),
         0)</f>
        <v>0</v>
      </c>
      <c r="AN113" s="453">
        <f ca="1">IF(AND($D113="Serviço",AN$12&lt;&gt;0,$H113&gt;0,OR(AUTOEVENTO&lt;&gt;"manual",$M113&lt;&gt;$A$15)),
        IF(Import.TipoArredondamento&lt;&gt;"TransfereGOV",
              ROUND(OFFSET($P113,0,AN$13),15-13*ORÇAMENTO!$AF$7)/$H113*OFFSET(ORÇAMENTO!$X$15,ROW(AN113)-ROW(AN$15),0),
              ROUND(ROUND(OFFSET($P113,0,AN$13),15-13*ORÇAMENTO!$AF$7)*OFFSET(ORÇAMENTO!$W$15,ROW(AN113)-ROW(AN$15),0),15-13*ORÇAMENTO!$AF$11)),
         0)</f>
        <v>0</v>
      </c>
      <c r="AO113" s="453">
        <f ca="1">IF(AND($D113="Serviço",AO$12&lt;&gt;0,$H113&gt;0,OR(AUTOEVENTO&lt;&gt;"manual",$M113&lt;&gt;$A$15)),
        IF(Import.TipoArredondamento&lt;&gt;"TransfereGOV",
              ROUND(OFFSET($P113,0,AO$13),15-13*ORÇAMENTO!$AF$7)/$H113*OFFSET(ORÇAMENTO!$X$15,ROW(AO113)-ROW(AO$15),0),
              ROUND(ROUND(OFFSET($P113,0,AO$13),15-13*ORÇAMENTO!$AF$7)*OFFSET(ORÇAMENTO!$W$15,ROW(AO113)-ROW(AO$15),0),15-13*ORÇAMENTO!$AF$11)),
         0)</f>
        <v>3249.69</v>
      </c>
      <c r="AP113" s="453">
        <f ca="1">IF(AND($D113="Serviço",AP$12&lt;&gt;0,$H113&gt;0,OR(AUTOEVENTO&lt;&gt;"manual",$M113&lt;&gt;$A$15)),
        IF(Import.TipoArredondamento&lt;&gt;"TransfereGOV",
              ROUND(OFFSET($P113,0,AP$13),15-13*ORÇAMENTO!$AF$7)/$H113*OFFSET(ORÇAMENTO!$X$15,ROW(AP113)-ROW(AP$15),0),
              ROUND(ROUND(OFFSET($P113,0,AP$13),15-13*ORÇAMENTO!$AF$7)*OFFSET(ORÇAMENTO!$W$15,ROW(AP113)-ROW(AP$15),0),15-13*ORÇAMENTO!$AF$11)),
         0)</f>
        <v>0</v>
      </c>
      <c r="AQ113" s="453">
        <f ca="1">IF(AND($D113="Serviço",AQ$12&lt;&gt;0,$H113&gt;0,OR(AUTOEVENTO&lt;&gt;"manual",$M113&lt;&gt;$A$15)),
        IF(Import.TipoArredondamento&lt;&gt;"TransfereGOV",
              ROUND(OFFSET($P113,0,AQ$13),15-13*ORÇAMENTO!$AF$7)/$H113*OFFSET(ORÇAMENTO!$X$15,ROW(AQ113)-ROW(AQ$15),0),
              ROUND(ROUND(OFFSET($P113,0,AQ$13),15-13*ORÇAMENTO!$AF$7)*OFFSET(ORÇAMENTO!$W$15,ROW(AQ113)-ROW(AQ$15),0),15-13*ORÇAMENTO!$AF$11)),
         0)</f>
        <v>0</v>
      </c>
      <c r="AR113" s="453">
        <f ca="1">IF(AND($D113="Serviço",AR$12&lt;&gt;0,$H113&gt;0,OR(AUTOEVENTO&lt;&gt;"manual",$M113&lt;&gt;$A$15)),
        IF(Import.TipoArredondamento&lt;&gt;"TransfereGOV",
              ROUND(OFFSET($P113,0,AR$13),15-13*ORÇAMENTO!$AF$7)/$H113*OFFSET(ORÇAMENTO!$X$15,ROW(AR113)-ROW(AR$15),0),
              ROUND(ROUND(OFFSET($P113,0,AR$13),15-13*ORÇAMENTO!$AF$7)*OFFSET(ORÇAMENTO!$W$15,ROW(AR113)-ROW(AR$15),0),15-13*ORÇAMENTO!$AF$11)),
         0)</f>
        <v>0</v>
      </c>
      <c r="AS113" s="453">
        <f ca="1">IF(AND($D113="Serviço",AS$12&lt;&gt;0,$H113&gt;0,OR(AUTOEVENTO&lt;&gt;"manual",$M113&lt;&gt;$A$15)),
        IF(Import.TipoArredondamento&lt;&gt;"TransfereGOV",
              ROUND(OFFSET($P113,0,AS$13),15-13*ORÇAMENTO!$AF$7)/$H113*OFFSET(ORÇAMENTO!$X$15,ROW(AS113)-ROW(AS$15),0),
              ROUND(ROUND(OFFSET($P113,0,AS$13),15-13*ORÇAMENTO!$AF$7)*OFFSET(ORÇAMENTO!$W$15,ROW(AS113)-ROW(AS$15),0),15-13*ORÇAMENTO!$AF$11)),
         0)</f>
        <v>0</v>
      </c>
      <c r="AT113" s="453">
        <f ca="1">IF(AND($D113="Serviço",AT$12&lt;&gt;0,$H113&gt;0,OR(AUTOEVENTO&lt;&gt;"manual",$M113&lt;&gt;$A$15)),
        IF(Import.TipoArredondamento&lt;&gt;"TransfereGOV",
              ROUND(OFFSET($P113,0,AT$13),15-13*ORÇAMENTO!$AF$7)/$H113*OFFSET(ORÇAMENTO!$X$15,ROW(AT113)-ROW(AT$15),0),
              ROUND(ROUND(OFFSET($P113,0,AT$13),15-13*ORÇAMENTO!$AF$7)*OFFSET(ORÇAMENTO!$W$15,ROW(AT113)-ROW(AT$15),0),15-13*ORÇAMENTO!$AF$11)),
         0)</f>
        <v>0</v>
      </c>
      <c r="AU113" s="453">
        <f ca="1">IF(AND($D113="Serviço",AU$12&lt;&gt;0,$H113&gt;0,OR(AUTOEVENTO&lt;&gt;"manual",$M113&lt;&gt;$A$15)),
        IF(Import.TipoArredondamento&lt;&gt;"TransfereGOV",
              ROUND(OFFSET($P113,0,AU$13),15-13*ORÇAMENTO!$AF$7)/$H113*OFFSET(ORÇAMENTO!$X$15,ROW(AU113)-ROW(AU$15),0),
              ROUND(ROUND(OFFSET($P113,0,AU$13),15-13*ORÇAMENTO!$AF$7)*OFFSET(ORÇAMENTO!$W$15,ROW(AU113)-ROW(AU$15),0),15-13*ORÇAMENTO!$AF$11)),
         0)</f>
        <v>0</v>
      </c>
      <c r="AV113" s="453">
        <f ca="1">IF(AND($D113="Serviço",AV$12&lt;&gt;0,$H113&gt;0,OR(AUTOEVENTO&lt;&gt;"manual",$M113&lt;&gt;$A$15)),
        IF(Import.TipoArredondamento&lt;&gt;"TransfereGOV",
              ROUND(OFFSET($P113,0,AV$13),15-13*ORÇAMENTO!$AF$7)/$H113*OFFSET(ORÇAMENTO!$X$15,ROW(AV113)-ROW(AV$15),0),
              ROUND(ROUND(OFFSET($P113,0,AV$13),15-13*ORÇAMENTO!$AF$7)*OFFSET(ORÇAMENTO!$W$15,ROW(AV113)-ROW(AV$15),0),15-13*ORÇAMENTO!$AF$11)),
         0)</f>
        <v>0</v>
      </c>
      <c r="AW113" s="453">
        <f ca="1">IF(AND($D113="Serviço",AW$12&lt;&gt;0,$H113&gt;0,OR(AUTOEVENTO&lt;&gt;"manual",$M113&lt;&gt;$A$15)),
        IF(Import.TipoArredondamento&lt;&gt;"TransfereGOV",
              ROUND(OFFSET($P113,0,AW$13),15-13*ORÇAMENTO!$AF$7)/$H113*OFFSET(ORÇAMENTO!$X$15,ROW(AW113)-ROW(AW$15),0),
              ROUND(ROUND(OFFSET($P113,0,AW$13),15-13*ORÇAMENTO!$AF$7)*OFFSET(ORÇAMENTO!$W$15,ROW(AW113)-ROW(AW$15),0),15-13*ORÇAMENTO!$AF$11)),
         0)</f>
        <v>0</v>
      </c>
      <c r="AX113" s="453">
        <f ca="1">IF(AND($D113="Serviço",AX$12&lt;&gt;0,$H113&gt;0,OR(AUTOEVENTO&lt;&gt;"manual",$M113&lt;&gt;$A$15)),
        IF(Import.TipoArredondamento&lt;&gt;"TransfereGOV",
              ROUND(OFFSET($P113,0,AX$13),15-13*ORÇAMENTO!$AF$7)/$H113*OFFSET(ORÇAMENTO!$X$15,ROW(AX113)-ROW(AX$15),0),
              ROUND(ROUND(OFFSET($P113,0,AX$13),15-13*ORÇAMENTO!$AF$7)*OFFSET(ORÇAMENTO!$W$15,ROW(AX113)-ROW(AX$15),0),15-13*ORÇAMENTO!$AF$11)),
         0)</f>
        <v>0</v>
      </c>
      <c r="AY113" s="453">
        <f ca="1">IF(AND($D113="Serviço",AY$12&lt;&gt;0,$H113&gt;0,OR(AUTOEVENTO&lt;&gt;"manual",$M113&lt;&gt;$A$15)),
        IF(Import.TipoArredondamento&lt;&gt;"TransfereGOV",
              ROUND(OFFSET($P113,0,AY$13),15-13*ORÇAMENTO!$AF$7)/$H113*OFFSET(ORÇAMENTO!$X$15,ROW(AY113)-ROW(AY$15),0),
              ROUND(ROUND(OFFSET($P113,0,AY$13),15-13*ORÇAMENTO!$AF$7)*OFFSET(ORÇAMENTO!$W$15,ROW(AY113)-ROW(AY$15),0),15-13*ORÇAMENTO!$AF$11)),
         0)</f>
        <v>0</v>
      </c>
      <c r="AZ113" s="453">
        <f ca="1">IF(AND($D113="Serviço",AZ$12&lt;&gt;0,$H113&gt;0,OR(AUTOEVENTO&lt;&gt;"manual",$M113&lt;&gt;$A$15)),
        IF(Import.TipoArredondamento&lt;&gt;"TransfereGOV",
              ROUND(OFFSET($P113,0,AZ$13),15-13*ORÇAMENTO!$AF$7)/$H113*OFFSET(ORÇAMENTO!$X$15,ROW(AZ113)-ROW(AZ$15),0),
              ROUND(ROUND(OFFSET($P113,0,AZ$13),15-13*ORÇAMENTO!$AF$7)*OFFSET(ORÇAMENTO!$W$15,ROW(AZ113)-ROW(AZ$15),0),15-13*ORÇAMENTO!$AF$11)),
         0)</f>
        <v>0</v>
      </c>
      <c r="BA113" s="453">
        <f ca="1">IF(AND($D113="Serviço",BA$12&lt;&gt;0,$H113&gt;0,OR(AUTOEVENTO&lt;&gt;"manual",$M113&lt;&gt;$A$15)),
        IF(Import.TipoArredondamento&lt;&gt;"TransfereGOV",
              ROUND(OFFSET($P113,0,BA$13),15-13*ORÇAMENTO!$AF$7)/$H113*OFFSET(ORÇAMENTO!$X$15,ROW(BA113)-ROW(BA$15),0),
              ROUND(ROUND(OFFSET($P113,0,BA$13),15-13*ORÇAMENTO!$AF$7)*OFFSET(ORÇAMENTO!$W$15,ROW(BA113)-ROW(BA$15),0),15-13*ORÇAMENTO!$AF$11)),
         0)</f>
        <v>0</v>
      </c>
      <c r="BC113" s="171">
        <f ca="1">IF(OR($D113&lt;&gt;"Serviço",AND(AUTOEVENTO="Manual",$M113=$A$15)),0,
         IF(OFFSET(CRONOPLE!$F$15,$M113-$A$15,BC$13)=0,10^12,OFFSET(CRONOPLE!$F$15,$M113-$A$15,BC$13)))</f>
        <v>1000000000000</v>
      </c>
      <c r="BD113" s="171">
        <f ca="1">IF(OR($D113&lt;&gt;"Serviço",AND(AUTOEVENTO="Manual",$M113=$A$15)),0,
         IF(OFFSET(CRONOPLE!$F$15,$M113-$A$15,BD$13)=0,10^12,OFFSET(CRONOPLE!$F$15,$M113-$A$15,BD$13)))</f>
        <v>1000000000000</v>
      </c>
      <c r="BE113" s="171">
        <f ca="1">IF(OR($D113&lt;&gt;"Serviço",AND(AUTOEVENTO="Manual",$M113=$A$15)),0,
         IF(OFFSET(CRONOPLE!$F$15,$M113-$A$15,BE$13)=0,10^12,OFFSET(CRONOPLE!$F$15,$M113-$A$15,BE$13)))</f>
        <v>1000000000000</v>
      </c>
      <c r="BF113" s="171">
        <f ca="1">IF(OR($D113&lt;&gt;"Serviço",AND(AUTOEVENTO="Manual",$M113=$A$15)),0,
         IF(OFFSET(CRONOPLE!$F$15,$M113-$A$15,BF$13)=0,10^12,OFFSET(CRONOPLE!$F$15,$M113-$A$15,BF$13)))</f>
        <v>1000000000000</v>
      </c>
      <c r="BG113" s="171">
        <f ca="1">IF(OR($D113&lt;&gt;"Serviço",AND(AUTOEVENTO="Manual",$M113=$A$15)),0,
         IF(OFFSET(CRONOPLE!$F$15,$M113-$A$15,BG$13)=0,10^12,OFFSET(CRONOPLE!$F$15,$M113-$A$15,BG$13)))</f>
        <v>1000000000000</v>
      </c>
      <c r="BH113" s="171">
        <f ca="1">IF(OR($D113&lt;&gt;"Serviço",AND(AUTOEVENTO="Manual",$M113=$A$15)),0,
         IF(OFFSET(CRONOPLE!$F$15,$M113-$A$15,BH$13)=0,10^12,OFFSET(CRONOPLE!$F$15,$M113-$A$15,BH$13)))</f>
        <v>9</v>
      </c>
      <c r="BI113" s="171">
        <f ca="1">IF(OR($D113&lt;&gt;"Serviço",AND(AUTOEVENTO="Manual",$M113=$A$15)),0,
         IF(OFFSET(CRONOPLE!$F$15,$M113-$A$15,BI$13)=0,10^12,OFFSET(CRONOPLE!$F$15,$M113-$A$15,BI$13)))</f>
        <v>1000000000000</v>
      </c>
      <c r="BJ113" s="171">
        <f ca="1">IF(OR($D113&lt;&gt;"Serviço",AND(AUTOEVENTO="Manual",$M113=$A$15)),0,
         IF(OFFSET(CRONOPLE!$F$15,$M113-$A$15,BJ$13)=0,10^12,OFFSET(CRONOPLE!$F$15,$M113-$A$15,BJ$13)))</f>
        <v>1000000000000</v>
      </c>
      <c r="BK113" s="171">
        <f ca="1">IF(OR($D113&lt;&gt;"Serviço",AND(AUTOEVENTO="Manual",$M113=$A$15)),0,
         IF(OFFSET(CRONOPLE!$F$15,$M113-$A$15,BK$13)=0,10^12,OFFSET(CRONOPLE!$F$15,$M113-$A$15,BK$13)))</f>
        <v>1000000000000</v>
      </c>
      <c r="BL113" s="171">
        <f ca="1">IF(OR($D113&lt;&gt;"Serviço",AND(AUTOEVENTO="Manual",$M113=$A$15)),0,
         IF(OFFSET(CRONOPLE!$F$15,$M113-$A$15,BL$13)=0,10^12,OFFSET(CRONOPLE!$F$15,$M113-$A$15,BL$13)))</f>
        <v>1000000000000</v>
      </c>
      <c r="BM113" s="171">
        <f ca="1">IF(OR($D113&lt;&gt;"Serviço",AND(AUTOEVENTO="Manual",$M113=$A$15)),0,
         IF(OFFSET(CRONOPLE!$F$15,$M113-$A$15,BM$13)=0,10^12,OFFSET(CRONOPLE!$F$15,$M113-$A$15,BM$13)))</f>
        <v>1000000000000</v>
      </c>
      <c r="BN113" s="171">
        <f ca="1">IF(OR($D113&lt;&gt;"Serviço",AND(AUTOEVENTO="Manual",$M113=$A$15)),0,
         IF(OFFSET(CRONOPLE!$F$15,$M113-$A$15,BN$13)=0,10^12,OFFSET(CRONOPLE!$F$15,$M113-$A$15,BN$13)))</f>
        <v>1000000000000</v>
      </c>
      <c r="BO113" s="171">
        <f ca="1">IF(OR($D113&lt;&gt;"Serviço",AND(AUTOEVENTO="Manual",$M113=$A$15)),0,
         IF(OFFSET(CRONOPLE!$F$15,$M113-$A$15,BO$13)=0,10^12,OFFSET(CRONOPLE!$F$15,$M113-$A$15,BO$13)))</f>
        <v>1000000000000</v>
      </c>
      <c r="BP113" s="171">
        <f ca="1">IF(OR($D113&lt;&gt;"Serviço",AND(AUTOEVENTO="Manual",$M113=$A$15)),0,
         IF(OFFSET(CRONOPLE!$F$15,$M113-$A$15,BP$13)=0,10^12,OFFSET(CRONOPLE!$F$15,$M113-$A$15,BP$13)))</f>
        <v>1000000000000</v>
      </c>
      <c r="BQ113" s="171">
        <f ca="1">IF(OR($D113&lt;&gt;"Serviço",AND(AUTOEVENTO="Manual",$M113=$A$15)),0,
         IF(OFFSET(CRONOPLE!$F$15,$M113-$A$15,BQ$13)=0,10^12,OFFSET(CRONOPLE!$F$15,$M113-$A$15,BQ$13)))</f>
        <v>1000000000000</v>
      </c>
      <c r="BR113" s="171">
        <f ca="1">IF(OR($D113&lt;&gt;"Serviço",AND(AUTOEVENTO="Manual",$M113=$A$15)),0,
         IF(OFFSET(CRONOPLE!$F$15,$M113-$A$15,BR$13)=0,10^12,OFFSET(CRONOPLE!$F$15,$M113-$A$15,BR$13)))</f>
        <v>1000000000000</v>
      </c>
      <c r="BS113" s="171">
        <f ca="1">IF(OR($D113&lt;&gt;"Serviço",AND(AUTOEVENTO="Manual",$M113=$A$15)),0,
         IF(OFFSET(CRONOPLE!$F$15,$M113-$A$15,BS$13)=0,10^12,OFFSET(CRONOPLE!$F$15,$M113-$A$15,BS$13)))</f>
        <v>1000000000000</v>
      </c>
      <c r="BT113" s="171">
        <f ca="1">IF(OR($D113&lt;&gt;"Serviço",AND(AUTOEVENTO="Manual",$M113=$A$15)),0,
         IF(OFFSET(CRONOPLE!$F$15,$M113-$A$15,BT$13)=0,10^12,OFFSET(CRONOPLE!$F$15,$M113-$A$15,BT$13)))</f>
        <v>1000000000000</v>
      </c>
      <c r="BV113" s="172" cm="1">
        <f t="array" aca="1" ref="BV113" ca="1">IF(OR($D113&lt;&gt;"Serviço",AND(AUTOEVENTO="Manual",$M113=$A$15),$M113&gt;(ROW(PLE.lastrow)-ROW(PLE.firstrow))),0,
           IF(OFFSET(PLE!$G$15,$M113-$A$15,BV$13)="",10^12,OFFSET(PLE!$G$15,$M113-$A$15,BV$13)))</f>
        <v>1000000000000</v>
      </c>
      <c r="BW113" s="172" cm="1">
        <f t="array" aca="1" ref="BW113" ca="1">IF(OR($D113&lt;&gt;"Serviço",AND(AUTOEVENTO="Manual",$M113=$A$15),$M113&gt;(ROW(PLE.lastrow)-ROW(PLE.firstrow))),0,
           IF(OFFSET(PLE!$G$15,$M113-$A$15,BW$13)="",10^12,OFFSET(PLE!$G$15,$M113-$A$15,BW$13)))</f>
        <v>1000000000000</v>
      </c>
      <c r="BX113" s="172" cm="1">
        <f t="array" aca="1" ref="BX113" ca="1">IF(OR($D113&lt;&gt;"Serviço",AND(AUTOEVENTO="Manual",$M113=$A$15),$M113&gt;(ROW(PLE.lastrow)-ROW(PLE.firstrow))),0,
           IF(OFFSET(PLE!$G$15,$M113-$A$15,BX$13)="",10^12,OFFSET(PLE!$G$15,$M113-$A$15,BX$13)))</f>
        <v>1000000000000</v>
      </c>
      <c r="BY113" s="172" cm="1">
        <f t="array" aca="1" ref="BY113" ca="1">IF(OR($D113&lt;&gt;"Serviço",AND(AUTOEVENTO="Manual",$M113=$A$15),$M113&gt;(ROW(PLE.lastrow)-ROW(PLE.firstrow))),0,
           IF(OFFSET(PLE!$G$15,$M113-$A$15,BY$13)="",10^12,OFFSET(PLE!$G$15,$M113-$A$15,BY$13)))</f>
        <v>1000000000000</v>
      </c>
      <c r="BZ113" s="172" cm="1">
        <f t="array" aca="1" ref="BZ113" ca="1">IF(OR($D113&lt;&gt;"Serviço",AND(AUTOEVENTO="Manual",$M113=$A$15),$M113&gt;(ROW(PLE.lastrow)-ROW(PLE.firstrow))),0,
           IF(OFFSET(PLE!$G$15,$M113-$A$15,BZ$13)="",10^12,OFFSET(PLE!$G$15,$M113-$A$15,BZ$13)))</f>
        <v>1000000000000</v>
      </c>
      <c r="CA113" s="172" cm="1">
        <f t="array" aca="1" ref="CA113" ca="1">IF(OR($D113&lt;&gt;"Serviço",AND(AUTOEVENTO="Manual",$M113=$A$15),$M113&gt;(ROW(PLE.lastrow)-ROW(PLE.firstrow))),0,
           IF(OFFSET(PLE!$G$15,$M113-$A$15,CA$13)="",10^12,OFFSET(PLE!$G$15,$M113-$A$15,CA$13)))</f>
        <v>1000000000000</v>
      </c>
      <c r="CB113" s="172" cm="1">
        <f t="array" aca="1" ref="CB113" ca="1">IF(OR($D113&lt;&gt;"Serviço",AND(AUTOEVENTO="Manual",$M113=$A$15),$M113&gt;(ROW(PLE.lastrow)-ROW(PLE.firstrow))),0,
           IF(OFFSET(PLE!$G$15,$M113-$A$15,CB$13)="",10^12,OFFSET(PLE!$G$15,$M113-$A$15,CB$13)))</f>
        <v>1000000000000</v>
      </c>
      <c r="CC113" s="172" cm="1">
        <f t="array" aca="1" ref="CC113" ca="1">IF(OR($D113&lt;&gt;"Serviço",AND(AUTOEVENTO="Manual",$M113=$A$15),$M113&gt;(ROW(PLE.lastrow)-ROW(PLE.firstrow))),0,
           IF(OFFSET(PLE!$G$15,$M113-$A$15,CC$13)="",10^12,OFFSET(PLE!$G$15,$M113-$A$15,CC$13)))</f>
        <v>1000000000000</v>
      </c>
      <c r="CD113" s="172" cm="1">
        <f t="array" aca="1" ref="CD113" ca="1">IF(OR($D113&lt;&gt;"Serviço",AND(AUTOEVENTO="Manual",$M113=$A$15),$M113&gt;(ROW(PLE.lastrow)-ROW(PLE.firstrow))),0,
           IF(OFFSET(PLE!$G$15,$M113-$A$15,CD$13)="",10^12,OFFSET(PLE!$G$15,$M113-$A$15,CD$13)))</f>
        <v>1000000000000</v>
      </c>
      <c r="CE113" s="172" cm="1">
        <f t="array" aca="1" ref="CE113" ca="1">IF(OR($D113&lt;&gt;"Serviço",AND(AUTOEVENTO="Manual",$M113=$A$15),$M113&gt;(ROW(PLE.lastrow)-ROW(PLE.firstrow))),0,
           IF(OFFSET(PLE!$G$15,$M113-$A$15,CE$13)="",10^12,OFFSET(PLE!$G$15,$M113-$A$15,CE$13)))</f>
        <v>1000000000000</v>
      </c>
      <c r="CF113" s="172" cm="1">
        <f t="array" aca="1" ref="CF113" ca="1">IF(OR($D113&lt;&gt;"Serviço",AND(AUTOEVENTO="Manual",$M113=$A$15),$M113&gt;(ROW(PLE.lastrow)-ROW(PLE.firstrow))),0,
           IF(OFFSET(PLE!$G$15,$M113-$A$15,CF$13)="",10^12,OFFSET(PLE!$G$15,$M113-$A$15,CF$13)))</f>
        <v>1000000000000</v>
      </c>
      <c r="CG113" s="172" cm="1">
        <f t="array" aca="1" ref="CG113" ca="1">IF(OR($D113&lt;&gt;"Serviço",AND(AUTOEVENTO="Manual",$M113=$A$15),$M113&gt;(ROW(PLE.lastrow)-ROW(PLE.firstrow))),0,
           IF(OFFSET(PLE!$G$15,$M113-$A$15,CG$13)="",10^12,OFFSET(PLE!$G$15,$M113-$A$15,CG$13)))</f>
        <v>1000000000000</v>
      </c>
      <c r="CH113" s="172" cm="1">
        <f t="array" aca="1" ref="CH113" ca="1">IF(OR($D113&lt;&gt;"Serviço",AND(AUTOEVENTO="Manual",$M113=$A$15),$M113&gt;(ROW(PLE.lastrow)-ROW(PLE.firstrow))),0,
           IF(OFFSET(PLE!$G$15,$M113-$A$15,CH$13)="",10^12,OFFSET(PLE!$G$15,$M113-$A$15,CH$13)))</f>
        <v>1000000000000</v>
      </c>
      <c r="CI113" s="172" cm="1">
        <f t="array" aca="1" ref="CI113" ca="1">IF(OR($D113&lt;&gt;"Serviço",AND(AUTOEVENTO="Manual",$M113=$A$15),$M113&gt;(ROW(PLE.lastrow)-ROW(PLE.firstrow))),0,
           IF(OFFSET(PLE!$G$15,$M113-$A$15,CI$13)="",10^12,OFFSET(PLE!$G$15,$M113-$A$15,CI$13)))</f>
        <v>1000000000000</v>
      </c>
      <c r="CJ113" s="172" cm="1">
        <f t="array" aca="1" ref="CJ113" ca="1">IF(OR($D113&lt;&gt;"Serviço",AND(AUTOEVENTO="Manual",$M113=$A$15),$M113&gt;(ROW(PLE.lastrow)-ROW(PLE.firstrow))),0,
           IF(OFFSET(PLE!$G$15,$M113-$A$15,CJ$13)="",10^12,OFFSET(PLE!$G$15,$M113-$A$15,CJ$13)))</f>
        <v>1000000000000</v>
      </c>
      <c r="CK113" s="172" cm="1">
        <f t="array" aca="1" ref="CK113" ca="1">IF(OR($D113&lt;&gt;"Serviço",AND(AUTOEVENTO="Manual",$M113=$A$15),$M113&gt;(ROW(PLE.lastrow)-ROW(PLE.firstrow))),0,
           IF(OFFSET(PLE!$G$15,$M113-$A$15,CK$13)="",10^12,OFFSET(PLE!$G$15,$M113-$A$15,CK$13)))</f>
        <v>1000000000000</v>
      </c>
      <c r="CL113" s="172" cm="1">
        <f t="array" aca="1" ref="CL113" ca="1">IF(OR($D113&lt;&gt;"Serviço",AND(AUTOEVENTO="Manual",$M113=$A$15),$M113&gt;(ROW(PLE.lastrow)-ROW(PLE.firstrow))),0,
           IF(OFFSET(PLE!$G$15,$M113-$A$15,CL$13)="",10^12,OFFSET(PLE!$G$15,$M113-$A$15,CL$13)))</f>
        <v>1000000000000</v>
      </c>
      <c r="CM113" s="172" cm="1">
        <f t="array" aca="1" ref="CM113" ca="1">IF(OR($D113&lt;&gt;"Serviço",AND(AUTOEVENTO="Manual",$M113=$A$15),$M113&gt;(ROW(PLE.lastrow)-ROW(PLE.firstrow))),0,
           IF(OFFSET(PLE!$G$15,$M113-$A$15,CM$13)="",10^12,OFFSET(PLE!$G$15,$M113-$A$15,CM$13)))</f>
        <v>1000000000000</v>
      </c>
    </row>
    <row r="114" spans="1:91" s="670" customFormat="1" ht="12.75" x14ac:dyDescent="0.2">
      <c r="A114" s="668">
        <f t="shared" ca="1" si="12"/>
        <v>0</v>
      </c>
      <c r="B114" s="668">
        <f ca="1">OFFSET(ORÇAMENTO!C$15,$L114,0)</f>
        <v>2</v>
      </c>
      <c r="C114" s="668" t="str">
        <f ca="1">OFFSET(ORÇAMENTO!L$15,$L114,0)</f>
        <v>F</v>
      </c>
      <c r="D114" s="116" t="str">
        <f ca="1">OFFSET(ORÇAMENTO!N$15,$L114,0)</f>
        <v>Nível 2</v>
      </c>
      <c r="E114" s="117" t="str">
        <f ca="1">OFFSET(ORÇAMENTO!O$15,$L114,0)</f>
        <v>1.17.</v>
      </c>
      <c r="F114" s="163" t="str">
        <f ca="1">OFFSET(ORÇAMENTO!R$15,$L114,0)</f>
        <v>INSTALAÇÕES ELETRICAS - Estação Elevatória de Água Tratada</v>
      </c>
      <c r="G114" s="164" t="str">
        <f ca="1">IF($D114&lt;&gt;"Serviço","",OFFSET(ORÇAMENTO!S$15,$L114,0))</f>
        <v/>
      </c>
      <c r="H114" s="122" cm="1">
        <f t="array" aca="1" ref="H114" ca="1">IF($D114&lt;&gt;"Serviço",0,IF(ACOMPANHAMENTO="BM",ROUND(OFFSET(ORÇAMENTO!AJ$15,$L114,0),15-13*ORÇAMENTO!$AF$7),IF(IFERROR(CÁLCULO.FrentesPreenchidas,0)=0,0,SUM(ROUND(OFFSET($P114,0,1,1,CÁLCULO.FrentesPreenchidas),15-13*ORÇAMENTO!$AF$7)))))</f>
        <v>0</v>
      </c>
      <c r="I114" s="468"/>
      <c r="J114" s="651" t="str" cm="1">
        <f t="array" aca="1" ref="J114" ca="1">IF(OR(B114&lt;&gt;"S",CÁLCULO.FrentesPreenchidas=0),"",IF(AND(ACOMPANHAMENTO="PLE",AUTOEVENTO="Manual",OR(H114&gt;0,ORÇAMENTO!AC114="QUANT."),OR(K114="",M114=0,N114="")),"►E",IF(AND(ACOMPANHAMENTO="PLE",ORÇAMENTO!AC114="QUANT."),"►Q",IF(AND(ACOMPANHAMENTO="PLE",H114&lt;&gt;SUMPRODUCT(($Q$1:$AI$1=1)*ROUND(Q114:AI114,15))),"►S",IF(AND(COUNTIF($P$11:$AI$11,"▼")=0,H114&gt;0,I114=""),"◄M","")))))</f>
        <v/>
      </c>
      <c r="K114" s="652"/>
      <c r="L114" s="165">
        <f t="shared" ca="1" si="13"/>
        <v>99</v>
      </c>
      <c r="M114" s="166" t="str">
        <f ca="1">IF($D114&lt;&gt;"Serviço","",
          IF(AUTOEVENTO="manual",$A114,
                IF(ISERROR(MATCH($A114,$A$15:OFFSET($A114,-1,0),0)),MAX($M$15:OFFSET(M114,-1,0))+1,
                      INDEX($M$15:OFFSET(M114,-1,0),MATCH($A114,$A$15:OFFSET($A114,-1,0),0)))))</f>
        <v/>
      </c>
      <c r="N114" s="167" t="str">
        <f ca="1">IF($D114&lt;&gt;"Serviço","",
         IF(AUTOEVENTO="Manual",
                IF($A114=0,"&lt;-- defina o número do agrupador",
                       OFFSET(EVENTOS!$D$15,$A114-$A$15,0)),
                OFFSET($F$15,$A114,0)))</f>
        <v/>
      </c>
      <c r="O114" s="168"/>
      <c r="Q114" s="168"/>
      <c r="R114" s="169"/>
      <c r="S114" s="169"/>
      <c r="T114" s="169"/>
      <c r="U114" s="169"/>
      <c r="V114" s="169" t="s">
        <v>250</v>
      </c>
      <c r="W114" s="169"/>
      <c r="X114" s="169"/>
      <c r="Y114" s="169"/>
      <c r="Z114" s="170"/>
      <c r="AA114" s="705"/>
      <c r="AB114" s="705"/>
      <c r="AC114" s="705"/>
      <c r="AD114" s="705"/>
      <c r="AE114" s="705"/>
      <c r="AF114" s="705"/>
      <c r="AG114" s="705"/>
      <c r="AH114" s="706"/>
      <c r="AJ114" s="453">
        <f ca="1">IF(AND($D114="Serviço",AJ$12&lt;&gt;0,$H114&gt;0,OR(AUTOEVENTO&lt;&gt;"manual",$M114&lt;&gt;$A$15)),
        IF(Import.TipoArredondamento&lt;&gt;"TransfereGOV",
              ROUND(OFFSET($P114,0,AJ$13),15-13*ORÇAMENTO!$AF$7)/$H114*OFFSET(ORÇAMENTO!$X$15,ROW(AJ114)-ROW(AJ$15),0),
              ROUND(ROUND(OFFSET($P114,0,AJ$13),15-13*ORÇAMENTO!$AF$7)*OFFSET(ORÇAMENTO!$W$15,ROW(AJ114)-ROW(AJ$15),0),15-13*ORÇAMENTO!$AF$11)),
         0)</f>
        <v>0</v>
      </c>
      <c r="AK114" s="453">
        <f ca="1">IF(AND($D114="Serviço",AK$12&lt;&gt;0,$H114&gt;0,OR(AUTOEVENTO&lt;&gt;"manual",$M114&lt;&gt;$A$15)),
        IF(Import.TipoArredondamento&lt;&gt;"TransfereGOV",
              ROUND(OFFSET($P114,0,AK$13),15-13*ORÇAMENTO!$AF$7)/$H114*OFFSET(ORÇAMENTO!$X$15,ROW(AK114)-ROW(AK$15),0),
              ROUND(ROUND(OFFSET($P114,0,AK$13),15-13*ORÇAMENTO!$AF$7)*OFFSET(ORÇAMENTO!$W$15,ROW(AK114)-ROW(AK$15),0),15-13*ORÇAMENTO!$AF$11)),
         0)</f>
        <v>0</v>
      </c>
      <c r="AL114" s="453">
        <f ca="1">IF(AND($D114="Serviço",AL$12&lt;&gt;0,$H114&gt;0,OR(AUTOEVENTO&lt;&gt;"manual",$M114&lt;&gt;$A$15)),
        IF(Import.TipoArredondamento&lt;&gt;"TransfereGOV",
              ROUND(OFFSET($P114,0,AL$13),15-13*ORÇAMENTO!$AF$7)/$H114*OFFSET(ORÇAMENTO!$X$15,ROW(AL114)-ROW(AL$15),0),
              ROUND(ROUND(OFFSET($P114,0,AL$13),15-13*ORÇAMENTO!$AF$7)*OFFSET(ORÇAMENTO!$W$15,ROW(AL114)-ROW(AL$15),0),15-13*ORÇAMENTO!$AF$11)),
         0)</f>
        <v>0</v>
      </c>
      <c r="AM114" s="453">
        <f ca="1">IF(AND($D114="Serviço",AM$12&lt;&gt;0,$H114&gt;0,OR(AUTOEVENTO&lt;&gt;"manual",$M114&lt;&gt;$A$15)),
        IF(Import.TipoArredondamento&lt;&gt;"TransfereGOV",
              ROUND(OFFSET($P114,0,AM$13),15-13*ORÇAMENTO!$AF$7)/$H114*OFFSET(ORÇAMENTO!$X$15,ROW(AM114)-ROW(AM$15),0),
              ROUND(ROUND(OFFSET($P114,0,AM$13),15-13*ORÇAMENTO!$AF$7)*OFFSET(ORÇAMENTO!$W$15,ROW(AM114)-ROW(AM$15),0),15-13*ORÇAMENTO!$AF$11)),
         0)</f>
        <v>0</v>
      </c>
      <c r="AN114" s="453">
        <f ca="1">IF(AND($D114="Serviço",AN$12&lt;&gt;0,$H114&gt;0,OR(AUTOEVENTO&lt;&gt;"manual",$M114&lt;&gt;$A$15)),
        IF(Import.TipoArredondamento&lt;&gt;"TransfereGOV",
              ROUND(OFFSET($P114,0,AN$13),15-13*ORÇAMENTO!$AF$7)/$H114*OFFSET(ORÇAMENTO!$X$15,ROW(AN114)-ROW(AN$15),0),
              ROUND(ROUND(OFFSET($P114,0,AN$13),15-13*ORÇAMENTO!$AF$7)*OFFSET(ORÇAMENTO!$W$15,ROW(AN114)-ROW(AN$15),0),15-13*ORÇAMENTO!$AF$11)),
         0)</f>
        <v>0</v>
      </c>
      <c r="AO114" s="453">
        <f ca="1">IF(AND($D114="Serviço",AO$12&lt;&gt;0,$H114&gt;0,OR(AUTOEVENTO&lt;&gt;"manual",$M114&lt;&gt;$A$15)),
        IF(Import.TipoArredondamento&lt;&gt;"TransfereGOV",
              ROUND(OFFSET($P114,0,AO$13),15-13*ORÇAMENTO!$AF$7)/$H114*OFFSET(ORÇAMENTO!$X$15,ROW(AO114)-ROW(AO$15),0),
              ROUND(ROUND(OFFSET($P114,0,AO$13),15-13*ORÇAMENTO!$AF$7)*OFFSET(ORÇAMENTO!$W$15,ROW(AO114)-ROW(AO$15),0),15-13*ORÇAMENTO!$AF$11)),
         0)</f>
        <v>0</v>
      </c>
      <c r="AP114" s="453">
        <f ca="1">IF(AND($D114="Serviço",AP$12&lt;&gt;0,$H114&gt;0,OR(AUTOEVENTO&lt;&gt;"manual",$M114&lt;&gt;$A$15)),
        IF(Import.TipoArredondamento&lt;&gt;"TransfereGOV",
              ROUND(OFFSET($P114,0,AP$13),15-13*ORÇAMENTO!$AF$7)/$H114*OFFSET(ORÇAMENTO!$X$15,ROW(AP114)-ROW(AP$15),0),
              ROUND(ROUND(OFFSET($P114,0,AP$13),15-13*ORÇAMENTO!$AF$7)*OFFSET(ORÇAMENTO!$W$15,ROW(AP114)-ROW(AP$15),0),15-13*ORÇAMENTO!$AF$11)),
         0)</f>
        <v>0</v>
      </c>
      <c r="AQ114" s="453">
        <f ca="1">IF(AND($D114="Serviço",AQ$12&lt;&gt;0,$H114&gt;0,OR(AUTOEVENTO&lt;&gt;"manual",$M114&lt;&gt;$A$15)),
        IF(Import.TipoArredondamento&lt;&gt;"TransfereGOV",
              ROUND(OFFSET($P114,0,AQ$13),15-13*ORÇAMENTO!$AF$7)/$H114*OFFSET(ORÇAMENTO!$X$15,ROW(AQ114)-ROW(AQ$15),0),
              ROUND(ROUND(OFFSET($P114,0,AQ$13),15-13*ORÇAMENTO!$AF$7)*OFFSET(ORÇAMENTO!$W$15,ROW(AQ114)-ROW(AQ$15),0),15-13*ORÇAMENTO!$AF$11)),
         0)</f>
        <v>0</v>
      </c>
      <c r="AR114" s="453">
        <f ca="1">IF(AND($D114="Serviço",AR$12&lt;&gt;0,$H114&gt;0,OR(AUTOEVENTO&lt;&gt;"manual",$M114&lt;&gt;$A$15)),
        IF(Import.TipoArredondamento&lt;&gt;"TransfereGOV",
              ROUND(OFFSET($P114,0,AR$13),15-13*ORÇAMENTO!$AF$7)/$H114*OFFSET(ORÇAMENTO!$X$15,ROW(AR114)-ROW(AR$15),0),
              ROUND(ROUND(OFFSET($P114,0,AR$13),15-13*ORÇAMENTO!$AF$7)*OFFSET(ORÇAMENTO!$W$15,ROW(AR114)-ROW(AR$15),0),15-13*ORÇAMENTO!$AF$11)),
         0)</f>
        <v>0</v>
      </c>
      <c r="AS114" s="453">
        <f ca="1">IF(AND($D114="Serviço",AS$12&lt;&gt;0,$H114&gt;0,OR(AUTOEVENTO&lt;&gt;"manual",$M114&lt;&gt;$A$15)),
        IF(Import.TipoArredondamento&lt;&gt;"TransfereGOV",
              ROUND(OFFSET($P114,0,AS$13),15-13*ORÇAMENTO!$AF$7)/$H114*OFFSET(ORÇAMENTO!$X$15,ROW(AS114)-ROW(AS$15),0),
              ROUND(ROUND(OFFSET($P114,0,AS$13),15-13*ORÇAMENTO!$AF$7)*OFFSET(ORÇAMENTO!$W$15,ROW(AS114)-ROW(AS$15),0),15-13*ORÇAMENTO!$AF$11)),
         0)</f>
        <v>0</v>
      </c>
      <c r="AT114" s="453">
        <f ca="1">IF(AND($D114="Serviço",AT$12&lt;&gt;0,$H114&gt;0,OR(AUTOEVENTO&lt;&gt;"manual",$M114&lt;&gt;$A$15)),
        IF(Import.TipoArredondamento&lt;&gt;"TransfereGOV",
              ROUND(OFFSET($P114,0,AT$13),15-13*ORÇAMENTO!$AF$7)/$H114*OFFSET(ORÇAMENTO!$X$15,ROW(AT114)-ROW(AT$15),0),
              ROUND(ROUND(OFFSET($P114,0,AT$13),15-13*ORÇAMENTO!$AF$7)*OFFSET(ORÇAMENTO!$W$15,ROW(AT114)-ROW(AT$15),0),15-13*ORÇAMENTO!$AF$11)),
         0)</f>
        <v>0</v>
      </c>
      <c r="AU114" s="453">
        <f ca="1">IF(AND($D114="Serviço",AU$12&lt;&gt;0,$H114&gt;0,OR(AUTOEVENTO&lt;&gt;"manual",$M114&lt;&gt;$A$15)),
        IF(Import.TipoArredondamento&lt;&gt;"TransfereGOV",
              ROUND(OFFSET($P114,0,AU$13),15-13*ORÇAMENTO!$AF$7)/$H114*OFFSET(ORÇAMENTO!$X$15,ROW(AU114)-ROW(AU$15),0),
              ROUND(ROUND(OFFSET($P114,0,AU$13),15-13*ORÇAMENTO!$AF$7)*OFFSET(ORÇAMENTO!$W$15,ROW(AU114)-ROW(AU$15),0),15-13*ORÇAMENTO!$AF$11)),
         0)</f>
        <v>0</v>
      </c>
      <c r="AV114" s="453">
        <f ca="1">IF(AND($D114="Serviço",AV$12&lt;&gt;0,$H114&gt;0,OR(AUTOEVENTO&lt;&gt;"manual",$M114&lt;&gt;$A$15)),
        IF(Import.TipoArredondamento&lt;&gt;"TransfereGOV",
              ROUND(OFFSET($P114,0,AV$13),15-13*ORÇAMENTO!$AF$7)/$H114*OFFSET(ORÇAMENTO!$X$15,ROW(AV114)-ROW(AV$15),0),
              ROUND(ROUND(OFFSET($P114,0,AV$13),15-13*ORÇAMENTO!$AF$7)*OFFSET(ORÇAMENTO!$W$15,ROW(AV114)-ROW(AV$15),0),15-13*ORÇAMENTO!$AF$11)),
         0)</f>
        <v>0</v>
      </c>
      <c r="AW114" s="453">
        <f ca="1">IF(AND($D114="Serviço",AW$12&lt;&gt;0,$H114&gt;0,OR(AUTOEVENTO&lt;&gt;"manual",$M114&lt;&gt;$A$15)),
        IF(Import.TipoArredondamento&lt;&gt;"TransfereGOV",
              ROUND(OFFSET($P114,0,AW$13),15-13*ORÇAMENTO!$AF$7)/$H114*OFFSET(ORÇAMENTO!$X$15,ROW(AW114)-ROW(AW$15),0),
              ROUND(ROUND(OFFSET($P114,0,AW$13),15-13*ORÇAMENTO!$AF$7)*OFFSET(ORÇAMENTO!$W$15,ROW(AW114)-ROW(AW$15),0),15-13*ORÇAMENTO!$AF$11)),
         0)</f>
        <v>0</v>
      </c>
      <c r="AX114" s="453">
        <f ca="1">IF(AND($D114="Serviço",AX$12&lt;&gt;0,$H114&gt;0,OR(AUTOEVENTO&lt;&gt;"manual",$M114&lt;&gt;$A$15)),
        IF(Import.TipoArredondamento&lt;&gt;"TransfereGOV",
              ROUND(OFFSET($P114,0,AX$13),15-13*ORÇAMENTO!$AF$7)/$H114*OFFSET(ORÇAMENTO!$X$15,ROW(AX114)-ROW(AX$15),0),
              ROUND(ROUND(OFFSET($P114,0,AX$13),15-13*ORÇAMENTO!$AF$7)*OFFSET(ORÇAMENTO!$W$15,ROW(AX114)-ROW(AX$15),0),15-13*ORÇAMENTO!$AF$11)),
         0)</f>
        <v>0</v>
      </c>
      <c r="AY114" s="453">
        <f ca="1">IF(AND($D114="Serviço",AY$12&lt;&gt;0,$H114&gt;0,OR(AUTOEVENTO&lt;&gt;"manual",$M114&lt;&gt;$A$15)),
        IF(Import.TipoArredondamento&lt;&gt;"TransfereGOV",
              ROUND(OFFSET($P114,0,AY$13),15-13*ORÇAMENTO!$AF$7)/$H114*OFFSET(ORÇAMENTO!$X$15,ROW(AY114)-ROW(AY$15),0),
              ROUND(ROUND(OFFSET($P114,0,AY$13),15-13*ORÇAMENTO!$AF$7)*OFFSET(ORÇAMENTO!$W$15,ROW(AY114)-ROW(AY$15),0),15-13*ORÇAMENTO!$AF$11)),
         0)</f>
        <v>0</v>
      </c>
      <c r="AZ114" s="453">
        <f ca="1">IF(AND($D114="Serviço",AZ$12&lt;&gt;0,$H114&gt;0,OR(AUTOEVENTO&lt;&gt;"manual",$M114&lt;&gt;$A$15)),
        IF(Import.TipoArredondamento&lt;&gt;"TransfereGOV",
              ROUND(OFFSET($P114,0,AZ$13),15-13*ORÇAMENTO!$AF$7)/$H114*OFFSET(ORÇAMENTO!$X$15,ROW(AZ114)-ROW(AZ$15),0),
              ROUND(ROUND(OFFSET($P114,0,AZ$13),15-13*ORÇAMENTO!$AF$7)*OFFSET(ORÇAMENTO!$W$15,ROW(AZ114)-ROW(AZ$15),0),15-13*ORÇAMENTO!$AF$11)),
         0)</f>
        <v>0</v>
      </c>
      <c r="BA114" s="453">
        <f ca="1">IF(AND($D114="Serviço",BA$12&lt;&gt;0,$H114&gt;0,OR(AUTOEVENTO&lt;&gt;"manual",$M114&lt;&gt;$A$15)),
        IF(Import.TipoArredondamento&lt;&gt;"TransfereGOV",
              ROUND(OFFSET($P114,0,BA$13),15-13*ORÇAMENTO!$AF$7)/$H114*OFFSET(ORÇAMENTO!$X$15,ROW(BA114)-ROW(BA$15),0),
              ROUND(ROUND(OFFSET($P114,0,BA$13),15-13*ORÇAMENTO!$AF$7)*OFFSET(ORÇAMENTO!$W$15,ROW(BA114)-ROW(BA$15),0),15-13*ORÇAMENTO!$AF$11)),
         0)</f>
        <v>0</v>
      </c>
      <c r="BC114" s="171">
        <f ca="1">IF(OR($D114&lt;&gt;"Serviço",AND(AUTOEVENTO="Manual",$M114=$A$15)),0,
         IF(OFFSET(CRONOPLE!$F$15,$M114-$A$15,BC$13)=0,10^12,OFFSET(CRONOPLE!$F$15,$M114-$A$15,BC$13)))</f>
        <v>0</v>
      </c>
      <c r="BD114" s="171">
        <f ca="1">IF(OR($D114&lt;&gt;"Serviço",AND(AUTOEVENTO="Manual",$M114=$A$15)),0,
         IF(OFFSET(CRONOPLE!$F$15,$M114-$A$15,BD$13)=0,10^12,OFFSET(CRONOPLE!$F$15,$M114-$A$15,BD$13)))</f>
        <v>0</v>
      </c>
      <c r="BE114" s="171">
        <f ca="1">IF(OR($D114&lt;&gt;"Serviço",AND(AUTOEVENTO="Manual",$M114=$A$15)),0,
         IF(OFFSET(CRONOPLE!$F$15,$M114-$A$15,BE$13)=0,10^12,OFFSET(CRONOPLE!$F$15,$M114-$A$15,BE$13)))</f>
        <v>0</v>
      </c>
      <c r="BF114" s="171">
        <f ca="1">IF(OR($D114&lt;&gt;"Serviço",AND(AUTOEVENTO="Manual",$M114=$A$15)),0,
         IF(OFFSET(CRONOPLE!$F$15,$M114-$A$15,BF$13)=0,10^12,OFFSET(CRONOPLE!$F$15,$M114-$A$15,BF$13)))</f>
        <v>0</v>
      </c>
      <c r="BG114" s="171">
        <f ca="1">IF(OR($D114&lt;&gt;"Serviço",AND(AUTOEVENTO="Manual",$M114=$A$15)),0,
         IF(OFFSET(CRONOPLE!$F$15,$M114-$A$15,BG$13)=0,10^12,OFFSET(CRONOPLE!$F$15,$M114-$A$15,BG$13)))</f>
        <v>0</v>
      </c>
      <c r="BH114" s="171">
        <f ca="1">IF(OR($D114&lt;&gt;"Serviço",AND(AUTOEVENTO="Manual",$M114=$A$15)),0,
         IF(OFFSET(CRONOPLE!$F$15,$M114-$A$15,BH$13)=0,10^12,OFFSET(CRONOPLE!$F$15,$M114-$A$15,BH$13)))</f>
        <v>0</v>
      </c>
      <c r="BI114" s="171">
        <f ca="1">IF(OR($D114&lt;&gt;"Serviço",AND(AUTOEVENTO="Manual",$M114=$A$15)),0,
         IF(OFFSET(CRONOPLE!$F$15,$M114-$A$15,BI$13)=0,10^12,OFFSET(CRONOPLE!$F$15,$M114-$A$15,BI$13)))</f>
        <v>0</v>
      </c>
      <c r="BJ114" s="171">
        <f ca="1">IF(OR($D114&lt;&gt;"Serviço",AND(AUTOEVENTO="Manual",$M114=$A$15)),0,
         IF(OFFSET(CRONOPLE!$F$15,$M114-$A$15,BJ$13)=0,10^12,OFFSET(CRONOPLE!$F$15,$M114-$A$15,BJ$13)))</f>
        <v>0</v>
      </c>
      <c r="BK114" s="171">
        <f ca="1">IF(OR($D114&lt;&gt;"Serviço",AND(AUTOEVENTO="Manual",$M114=$A$15)),0,
         IF(OFFSET(CRONOPLE!$F$15,$M114-$A$15,BK$13)=0,10^12,OFFSET(CRONOPLE!$F$15,$M114-$A$15,BK$13)))</f>
        <v>0</v>
      </c>
      <c r="BL114" s="171">
        <f ca="1">IF(OR($D114&lt;&gt;"Serviço",AND(AUTOEVENTO="Manual",$M114=$A$15)),0,
         IF(OFFSET(CRONOPLE!$F$15,$M114-$A$15,BL$13)=0,10^12,OFFSET(CRONOPLE!$F$15,$M114-$A$15,BL$13)))</f>
        <v>0</v>
      </c>
      <c r="BM114" s="171">
        <f ca="1">IF(OR($D114&lt;&gt;"Serviço",AND(AUTOEVENTO="Manual",$M114=$A$15)),0,
         IF(OFFSET(CRONOPLE!$F$15,$M114-$A$15,BM$13)=0,10^12,OFFSET(CRONOPLE!$F$15,$M114-$A$15,BM$13)))</f>
        <v>0</v>
      </c>
      <c r="BN114" s="171">
        <f ca="1">IF(OR($D114&lt;&gt;"Serviço",AND(AUTOEVENTO="Manual",$M114=$A$15)),0,
         IF(OFFSET(CRONOPLE!$F$15,$M114-$A$15,BN$13)=0,10^12,OFFSET(CRONOPLE!$F$15,$M114-$A$15,BN$13)))</f>
        <v>0</v>
      </c>
      <c r="BO114" s="171">
        <f ca="1">IF(OR($D114&lt;&gt;"Serviço",AND(AUTOEVENTO="Manual",$M114=$A$15)),0,
         IF(OFFSET(CRONOPLE!$F$15,$M114-$A$15,BO$13)=0,10^12,OFFSET(CRONOPLE!$F$15,$M114-$A$15,BO$13)))</f>
        <v>0</v>
      </c>
      <c r="BP114" s="171">
        <f ca="1">IF(OR($D114&lt;&gt;"Serviço",AND(AUTOEVENTO="Manual",$M114=$A$15)),0,
         IF(OFFSET(CRONOPLE!$F$15,$M114-$A$15,BP$13)=0,10^12,OFFSET(CRONOPLE!$F$15,$M114-$A$15,BP$13)))</f>
        <v>0</v>
      </c>
      <c r="BQ114" s="171">
        <f ca="1">IF(OR($D114&lt;&gt;"Serviço",AND(AUTOEVENTO="Manual",$M114=$A$15)),0,
         IF(OFFSET(CRONOPLE!$F$15,$M114-$A$15,BQ$13)=0,10^12,OFFSET(CRONOPLE!$F$15,$M114-$A$15,BQ$13)))</f>
        <v>0</v>
      </c>
      <c r="BR114" s="171">
        <f ca="1">IF(OR($D114&lt;&gt;"Serviço",AND(AUTOEVENTO="Manual",$M114=$A$15)),0,
         IF(OFFSET(CRONOPLE!$F$15,$M114-$A$15,BR$13)=0,10^12,OFFSET(CRONOPLE!$F$15,$M114-$A$15,BR$13)))</f>
        <v>0</v>
      </c>
      <c r="BS114" s="171">
        <f ca="1">IF(OR($D114&lt;&gt;"Serviço",AND(AUTOEVENTO="Manual",$M114=$A$15)),0,
         IF(OFFSET(CRONOPLE!$F$15,$M114-$A$15,BS$13)=0,10^12,OFFSET(CRONOPLE!$F$15,$M114-$A$15,BS$13)))</f>
        <v>0</v>
      </c>
      <c r="BT114" s="171">
        <f ca="1">IF(OR($D114&lt;&gt;"Serviço",AND(AUTOEVENTO="Manual",$M114=$A$15)),0,
         IF(OFFSET(CRONOPLE!$F$15,$M114-$A$15,BT$13)=0,10^12,OFFSET(CRONOPLE!$F$15,$M114-$A$15,BT$13)))</f>
        <v>0</v>
      </c>
      <c r="BV114" s="172" cm="1">
        <f t="array" aca="1" ref="BV114" ca="1">IF(OR($D114&lt;&gt;"Serviço",AND(AUTOEVENTO="Manual",$M114=$A$15),$M114&gt;(ROW(PLE.lastrow)-ROW(PLE.firstrow))),0,
           IF(OFFSET(PLE!$G$15,$M114-$A$15,BV$13)="",10^12,OFFSET(PLE!$G$15,$M114-$A$15,BV$13)))</f>
        <v>0</v>
      </c>
      <c r="BW114" s="172" cm="1">
        <f t="array" aca="1" ref="BW114" ca="1">IF(OR($D114&lt;&gt;"Serviço",AND(AUTOEVENTO="Manual",$M114=$A$15),$M114&gt;(ROW(PLE.lastrow)-ROW(PLE.firstrow))),0,
           IF(OFFSET(PLE!$G$15,$M114-$A$15,BW$13)="",10^12,OFFSET(PLE!$G$15,$M114-$A$15,BW$13)))</f>
        <v>0</v>
      </c>
      <c r="BX114" s="172" cm="1">
        <f t="array" aca="1" ref="BX114" ca="1">IF(OR($D114&lt;&gt;"Serviço",AND(AUTOEVENTO="Manual",$M114=$A$15),$M114&gt;(ROW(PLE.lastrow)-ROW(PLE.firstrow))),0,
           IF(OFFSET(PLE!$G$15,$M114-$A$15,BX$13)="",10^12,OFFSET(PLE!$G$15,$M114-$A$15,BX$13)))</f>
        <v>0</v>
      </c>
      <c r="BY114" s="172" cm="1">
        <f t="array" aca="1" ref="BY114" ca="1">IF(OR($D114&lt;&gt;"Serviço",AND(AUTOEVENTO="Manual",$M114=$A$15),$M114&gt;(ROW(PLE.lastrow)-ROW(PLE.firstrow))),0,
           IF(OFFSET(PLE!$G$15,$M114-$A$15,BY$13)="",10^12,OFFSET(PLE!$G$15,$M114-$A$15,BY$13)))</f>
        <v>0</v>
      </c>
      <c r="BZ114" s="172" cm="1">
        <f t="array" aca="1" ref="BZ114" ca="1">IF(OR($D114&lt;&gt;"Serviço",AND(AUTOEVENTO="Manual",$M114=$A$15),$M114&gt;(ROW(PLE.lastrow)-ROW(PLE.firstrow))),0,
           IF(OFFSET(PLE!$G$15,$M114-$A$15,BZ$13)="",10^12,OFFSET(PLE!$G$15,$M114-$A$15,BZ$13)))</f>
        <v>0</v>
      </c>
      <c r="CA114" s="172" cm="1">
        <f t="array" aca="1" ref="CA114" ca="1">IF(OR($D114&lt;&gt;"Serviço",AND(AUTOEVENTO="Manual",$M114=$A$15),$M114&gt;(ROW(PLE.lastrow)-ROW(PLE.firstrow))),0,
           IF(OFFSET(PLE!$G$15,$M114-$A$15,CA$13)="",10^12,OFFSET(PLE!$G$15,$M114-$A$15,CA$13)))</f>
        <v>0</v>
      </c>
      <c r="CB114" s="172" cm="1">
        <f t="array" aca="1" ref="CB114" ca="1">IF(OR($D114&lt;&gt;"Serviço",AND(AUTOEVENTO="Manual",$M114=$A$15),$M114&gt;(ROW(PLE.lastrow)-ROW(PLE.firstrow))),0,
           IF(OFFSET(PLE!$G$15,$M114-$A$15,CB$13)="",10^12,OFFSET(PLE!$G$15,$M114-$A$15,CB$13)))</f>
        <v>0</v>
      </c>
      <c r="CC114" s="172" cm="1">
        <f t="array" aca="1" ref="CC114" ca="1">IF(OR($D114&lt;&gt;"Serviço",AND(AUTOEVENTO="Manual",$M114=$A$15),$M114&gt;(ROW(PLE.lastrow)-ROW(PLE.firstrow))),0,
           IF(OFFSET(PLE!$G$15,$M114-$A$15,CC$13)="",10^12,OFFSET(PLE!$G$15,$M114-$A$15,CC$13)))</f>
        <v>0</v>
      </c>
      <c r="CD114" s="172" cm="1">
        <f t="array" aca="1" ref="CD114" ca="1">IF(OR($D114&lt;&gt;"Serviço",AND(AUTOEVENTO="Manual",$M114=$A$15),$M114&gt;(ROW(PLE.lastrow)-ROW(PLE.firstrow))),0,
           IF(OFFSET(PLE!$G$15,$M114-$A$15,CD$13)="",10^12,OFFSET(PLE!$G$15,$M114-$A$15,CD$13)))</f>
        <v>0</v>
      </c>
      <c r="CE114" s="172" cm="1">
        <f t="array" aca="1" ref="CE114" ca="1">IF(OR($D114&lt;&gt;"Serviço",AND(AUTOEVENTO="Manual",$M114=$A$15),$M114&gt;(ROW(PLE.lastrow)-ROW(PLE.firstrow))),0,
           IF(OFFSET(PLE!$G$15,$M114-$A$15,CE$13)="",10^12,OFFSET(PLE!$G$15,$M114-$A$15,CE$13)))</f>
        <v>0</v>
      </c>
      <c r="CF114" s="172" cm="1">
        <f t="array" aca="1" ref="CF114" ca="1">IF(OR($D114&lt;&gt;"Serviço",AND(AUTOEVENTO="Manual",$M114=$A$15),$M114&gt;(ROW(PLE.lastrow)-ROW(PLE.firstrow))),0,
           IF(OFFSET(PLE!$G$15,$M114-$A$15,CF$13)="",10^12,OFFSET(PLE!$G$15,$M114-$A$15,CF$13)))</f>
        <v>0</v>
      </c>
      <c r="CG114" s="172" cm="1">
        <f t="array" aca="1" ref="CG114" ca="1">IF(OR($D114&lt;&gt;"Serviço",AND(AUTOEVENTO="Manual",$M114=$A$15),$M114&gt;(ROW(PLE.lastrow)-ROW(PLE.firstrow))),0,
           IF(OFFSET(PLE!$G$15,$M114-$A$15,CG$13)="",10^12,OFFSET(PLE!$G$15,$M114-$A$15,CG$13)))</f>
        <v>0</v>
      </c>
      <c r="CH114" s="172" cm="1">
        <f t="array" aca="1" ref="CH114" ca="1">IF(OR($D114&lt;&gt;"Serviço",AND(AUTOEVENTO="Manual",$M114=$A$15),$M114&gt;(ROW(PLE.lastrow)-ROW(PLE.firstrow))),0,
           IF(OFFSET(PLE!$G$15,$M114-$A$15,CH$13)="",10^12,OFFSET(PLE!$G$15,$M114-$A$15,CH$13)))</f>
        <v>0</v>
      </c>
      <c r="CI114" s="172" cm="1">
        <f t="array" aca="1" ref="CI114" ca="1">IF(OR($D114&lt;&gt;"Serviço",AND(AUTOEVENTO="Manual",$M114=$A$15),$M114&gt;(ROW(PLE.lastrow)-ROW(PLE.firstrow))),0,
           IF(OFFSET(PLE!$G$15,$M114-$A$15,CI$13)="",10^12,OFFSET(PLE!$G$15,$M114-$A$15,CI$13)))</f>
        <v>0</v>
      </c>
      <c r="CJ114" s="172" cm="1">
        <f t="array" aca="1" ref="CJ114" ca="1">IF(OR($D114&lt;&gt;"Serviço",AND(AUTOEVENTO="Manual",$M114=$A$15),$M114&gt;(ROW(PLE.lastrow)-ROW(PLE.firstrow))),0,
           IF(OFFSET(PLE!$G$15,$M114-$A$15,CJ$13)="",10^12,OFFSET(PLE!$G$15,$M114-$A$15,CJ$13)))</f>
        <v>0</v>
      </c>
      <c r="CK114" s="172" cm="1">
        <f t="array" aca="1" ref="CK114" ca="1">IF(OR($D114&lt;&gt;"Serviço",AND(AUTOEVENTO="Manual",$M114=$A$15),$M114&gt;(ROW(PLE.lastrow)-ROW(PLE.firstrow))),0,
           IF(OFFSET(PLE!$G$15,$M114-$A$15,CK$13)="",10^12,OFFSET(PLE!$G$15,$M114-$A$15,CK$13)))</f>
        <v>0</v>
      </c>
      <c r="CL114" s="172" cm="1">
        <f t="array" aca="1" ref="CL114" ca="1">IF(OR($D114&lt;&gt;"Serviço",AND(AUTOEVENTO="Manual",$M114=$A$15),$M114&gt;(ROW(PLE.lastrow)-ROW(PLE.firstrow))),0,
           IF(OFFSET(PLE!$G$15,$M114-$A$15,CL$13)="",10^12,OFFSET(PLE!$G$15,$M114-$A$15,CL$13)))</f>
        <v>0</v>
      </c>
      <c r="CM114" s="172" cm="1">
        <f t="array" aca="1" ref="CM114" ca="1">IF(OR($D114&lt;&gt;"Serviço",AND(AUTOEVENTO="Manual",$M114=$A$15),$M114&gt;(ROW(PLE.lastrow)-ROW(PLE.firstrow))),0,
           IF(OFFSET(PLE!$G$15,$M114-$A$15,CM$13)="",10^12,OFFSET(PLE!$G$15,$M114-$A$15,CM$13)))</f>
        <v>0</v>
      </c>
    </row>
    <row r="115" spans="1:91" s="670" customFormat="1" ht="51" x14ac:dyDescent="0.2">
      <c r="A115" s="668">
        <f t="shared" ca="1" si="12"/>
        <v>25</v>
      </c>
      <c r="B115" s="668" t="str">
        <f ca="1">OFFSET(ORÇAMENTO!C$15,$L115,0)</f>
        <v>S</v>
      </c>
      <c r="C115" s="668" t="str">
        <f ca="1">OFFSET(ORÇAMENTO!L$15,$L115,0)</f>
        <v>F</v>
      </c>
      <c r="D115" s="116" t="str">
        <f ca="1">OFFSET(ORÇAMENTO!N$15,$L115,0)</f>
        <v>Serviço</v>
      </c>
      <c r="E115" s="117" t="str">
        <f ca="1">OFFSET(ORÇAMENTO!O$15,$L115,0)</f>
        <v>1.17.1.</v>
      </c>
      <c r="F115" s="163" t="str">
        <f ca="1">OFFSET(ORÇAMENTO!R$15,$L115,0)</f>
        <v>ELETRODUTO DE AÇO GALVANIZADO MÉDIO, DIÂMETRO DE 32MM (1.1/4"), INSTALAÇÃO APARENTE OU SOBRE FORRO COM ABRAÇADEIRA METÁLICA DE CUNHA, TIPO "D", INCLUSIVE ACESSÓRIOS PARA FIXAÇÃO E CONEXÕES</v>
      </c>
      <c r="G115" s="164" t="str">
        <f ca="1">IF($D115&lt;&gt;"Serviço","",OFFSET(ORÇAMENTO!S$15,$L115,0))</f>
        <v>m</v>
      </c>
      <c r="H115" s="122" cm="1">
        <f t="array" aca="1" ref="H115" ca="1">IF($D115&lt;&gt;"Serviço",0,IF(ACOMPANHAMENTO="BM",ROUND(OFFSET(ORÇAMENTO!AJ$15,$L115,0),15-13*ORÇAMENTO!$AF$7),IF(IFERROR(CÁLCULO.FrentesPreenchidas,0)=0,0,SUM(ROUND(OFFSET($P115,0,1,1,CÁLCULO.FrentesPreenchidas),15-13*ORÇAMENTO!$AF$7)))))</f>
        <v>4</v>
      </c>
      <c r="I115" s="468" t="s">
        <v>1177</v>
      </c>
      <c r="J115" s="651" t="str" cm="1">
        <f t="array" aca="1" ref="J115" ca="1">IF(OR(B115&lt;&gt;"S",CÁLCULO.FrentesPreenchidas=0),"",IF(AND(ACOMPANHAMENTO="PLE",AUTOEVENTO="Manual",OR(H115&gt;0,ORÇAMENTO!AC115="QUANT."),OR(K115="",M115=0,N115="")),"►E",IF(AND(ACOMPANHAMENTO="PLE",ORÇAMENTO!AC115="QUANT."),"►Q",IF(AND(ACOMPANHAMENTO="PLE",H115&lt;&gt;SUMPRODUCT(($Q$1:$AI$1=1)*ROUND(Q115:AI115,15))),"►S",IF(AND(COUNTIF($P$11:$AI$11,"▼")=0,H115&gt;0,I115=""),"◄M","")))))</f>
        <v/>
      </c>
      <c r="K115" s="652" t="s">
        <v>1359</v>
      </c>
      <c r="L115" s="165">
        <f t="shared" ca="1" si="13"/>
        <v>100</v>
      </c>
      <c r="M115" s="166">
        <f ca="1">IF($D115&lt;&gt;"Serviço","",
          IF(AUTOEVENTO="manual",$A115,
                IF(ISERROR(MATCH($A115,$A$15:OFFSET($A115,-1,0),0)),MAX($M$15:OFFSET(M115,-1,0))+1,
                      INDEX($M$15:OFFSET(M115,-1,0),MATCH($A115,$A$15:OFFSET($A115,-1,0),0)))))</f>
        <v>25</v>
      </c>
      <c r="N115" s="167" t="str">
        <f ca="1">IF($D115&lt;&gt;"Serviço","",
         IF(AUTOEVENTO="Manual",
                IF($A115=0,"&lt;-- defina o número do agrupador",
                       OFFSET(EVENTOS!$D$15,$A115-$A$15,0)),
                OFFSET($F$15,$A115,0)))</f>
        <v>Instalações elétricas</v>
      </c>
      <c r="O115" s="168"/>
      <c r="Q115" s="168"/>
      <c r="R115" s="169"/>
      <c r="S115" s="169"/>
      <c r="T115" s="169"/>
      <c r="U115" s="169"/>
      <c r="V115" s="169">
        <v>4</v>
      </c>
      <c r="W115" s="169"/>
      <c r="X115" s="169"/>
      <c r="Y115" s="169"/>
      <c r="Z115" s="170"/>
      <c r="AA115" s="705"/>
      <c r="AB115" s="705"/>
      <c r="AC115" s="705"/>
      <c r="AD115" s="705"/>
      <c r="AE115" s="705"/>
      <c r="AF115" s="705"/>
      <c r="AG115" s="705"/>
      <c r="AH115" s="706"/>
      <c r="AJ115" s="453">
        <f ca="1">IF(AND($D115="Serviço",AJ$12&lt;&gt;0,$H115&gt;0,OR(AUTOEVENTO&lt;&gt;"manual",$M115&lt;&gt;$A$15)),
        IF(Import.TipoArredondamento&lt;&gt;"TransfereGOV",
              ROUND(OFFSET($P115,0,AJ$13),15-13*ORÇAMENTO!$AF$7)/$H115*OFFSET(ORÇAMENTO!$X$15,ROW(AJ115)-ROW(AJ$15),0),
              ROUND(ROUND(OFFSET($P115,0,AJ$13),15-13*ORÇAMENTO!$AF$7)*OFFSET(ORÇAMENTO!$W$15,ROW(AJ115)-ROW(AJ$15),0),15-13*ORÇAMENTO!$AF$11)),
         0)</f>
        <v>0</v>
      </c>
      <c r="AK115" s="453">
        <f ca="1">IF(AND($D115="Serviço",AK$12&lt;&gt;0,$H115&gt;0,OR(AUTOEVENTO&lt;&gt;"manual",$M115&lt;&gt;$A$15)),
        IF(Import.TipoArredondamento&lt;&gt;"TransfereGOV",
              ROUND(OFFSET($P115,0,AK$13),15-13*ORÇAMENTO!$AF$7)/$H115*OFFSET(ORÇAMENTO!$X$15,ROW(AK115)-ROW(AK$15),0),
              ROUND(ROUND(OFFSET($P115,0,AK$13),15-13*ORÇAMENTO!$AF$7)*OFFSET(ORÇAMENTO!$W$15,ROW(AK115)-ROW(AK$15),0),15-13*ORÇAMENTO!$AF$11)),
         0)</f>
        <v>0</v>
      </c>
      <c r="AL115" s="453">
        <f ca="1">IF(AND($D115="Serviço",AL$12&lt;&gt;0,$H115&gt;0,OR(AUTOEVENTO&lt;&gt;"manual",$M115&lt;&gt;$A$15)),
        IF(Import.TipoArredondamento&lt;&gt;"TransfereGOV",
              ROUND(OFFSET($P115,0,AL$13),15-13*ORÇAMENTO!$AF$7)/$H115*OFFSET(ORÇAMENTO!$X$15,ROW(AL115)-ROW(AL$15),0),
              ROUND(ROUND(OFFSET($P115,0,AL$13),15-13*ORÇAMENTO!$AF$7)*OFFSET(ORÇAMENTO!$W$15,ROW(AL115)-ROW(AL$15),0),15-13*ORÇAMENTO!$AF$11)),
         0)</f>
        <v>0</v>
      </c>
      <c r="AM115" s="453">
        <f ca="1">IF(AND($D115="Serviço",AM$12&lt;&gt;0,$H115&gt;0,OR(AUTOEVENTO&lt;&gt;"manual",$M115&lt;&gt;$A$15)),
        IF(Import.TipoArredondamento&lt;&gt;"TransfereGOV",
              ROUND(OFFSET($P115,0,AM$13),15-13*ORÇAMENTO!$AF$7)/$H115*OFFSET(ORÇAMENTO!$X$15,ROW(AM115)-ROW(AM$15),0),
              ROUND(ROUND(OFFSET($P115,0,AM$13),15-13*ORÇAMENTO!$AF$7)*OFFSET(ORÇAMENTO!$W$15,ROW(AM115)-ROW(AM$15),0),15-13*ORÇAMENTO!$AF$11)),
         0)</f>
        <v>0</v>
      </c>
      <c r="AN115" s="453">
        <f ca="1">IF(AND($D115="Serviço",AN$12&lt;&gt;0,$H115&gt;0,OR(AUTOEVENTO&lt;&gt;"manual",$M115&lt;&gt;$A$15)),
        IF(Import.TipoArredondamento&lt;&gt;"TransfereGOV",
              ROUND(OFFSET($P115,0,AN$13),15-13*ORÇAMENTO!$AF$7)/$H115*OFFSET(ORÇAMENTO!$X$15,ROW(AN115)-ROW(AN$15),0),
              ROUND(ROUND(OFFSET($P115,0,AN$13),15-13*ORÇAMENTO!$AF$7)*OFFSET(ORÇAMENTO!$W$15,ROW(AN115)-ROW(AN$15),0),15-13*ORÇAMENTO!$AF$11)),
         0)</f>
        <v>0</v>
      </c>
      <c r="AO115" s="453">
        <f ca="1">IF(AND($D115="Serviço",AO$12&lt;&gt;0,$H115&gt;0,OR(AUTOEVENTO&lt;&gt;"manual",$M115&lt;&gt;$A$15)),
        IF(Import.TipoArredondamento&lt;&gt;"TransfereGOV",
              ROUND(OFFSET($P115,0,AO$13),15-13*ORÇAMENTO!$AF$7)/$H115*OFFSET(ORÇAMENTO!$X$15,ROW(AO115)-ROW(AO$15),0),
              ROUND(ROUND(OFFSET($P115,0,AO$13),15-13*ORÇAMENTO!$AF$7)*OFFSET(ORÇAMENTO!$W$15,ROW(AO115)-ROW(AO$15),0),15-13*ORÇAMENTO!$AF$11)),
         0)</f>
        <v>232.92</v>
      </c>
      <c r="AP115" s="453">
        <f ca="1">IF(AND($D115="Serviço",AP$12&lt;&gt;0,$H115&gt;0,OR(AUTOEVENTO&lt;&gt;"manual",$M115&lt;&gt;$A$15)),
        IF(Import.TipoArredondamento&lt;&gt;"TransfereGOV",
              ROUND(OFFSET($P115,0,AP$13),15-13*ORÇAMENTO!$AF$7)/$H115*OFFSET(ORÇAMENTO!$X$15,ROW(AP115)-ROW(AP$15),0),
              ROUND(ROUND(OFFSET($P115,0,AP$13),15-13*ORÇAMENTO!$AF$7)*OFFSET(ORÇAMENTO!$W$15,ROW(AP115)-ROW(AP$15),0),15-13*ORÇAMENTO!$AF$11)),
         0)</f>
        <v>0</v>
      </c>
      <c r="AQ115" s="453">
        <f ca="1">IF(AND($D115="Serviço",AQ$12&lt;&gt;0,$H115&gt;0,OR(AUTOEVENTO&lt;&gt;"manual",$M115&lt;&gt;$A$15)),
        IF(Import.TipoArredondamento&lt;&gt;"TransfereGOV",
              ROUND(OFFSET($P115,0,AQ$13),15-13*ORÇAMENTO!$AF$7)/$H115*OFFSET(ORÇAMENTO!$X$15,ROW(AQ115)-ROW(AQ$15),0),
              ROUND(ROUND(OFFSET($P115,0,AQ$13),15-13*ORÇAMENTO!$AF$7)*OFFSET(ORÇAMENTO!$W$15,ROW(AQ115)-ROW(AQ$15),0),15-13*ORÇAMENTO!$AF$11)),
         0)</f>
        <v>0</v>
      </c>
      <c r="AR115" s="453">
        <f ca="1">IF(AND($D115="Serviço",AR$12&lt;&gt;0,$H115&gt;0,OR(AUTOEVENTO&lt;&gt;"manual",$M115&lt;&gt;$A$15)),
        IF(Import.TipoArredondamento&lt;&gt;"TransfereGOV",
              ROUND(OFFSET($P115,0,AR$13),15-13*ORÇAMENTO!$AF$7)/$H115*OFFSET(ORÇAMENTO!$X$15,ROW(AR115)-ROW(AR$15),0),
              ROUND(ROUND(OFFSET($P115,0,AR$13),15-13*ORÇAMENTO!$AF$7)*OFFSET(ORÇAMENTO!$W$15,ROW(AR115)-ROW(AR$15),0),15-13*ORÇAMENTO!$AF$11)),
         0)</f>
        <v>0</v>
      </c>
      <c r="AS115" s="453">
        <f ca="1">IF(AND($D115="Serviço",AS$12&lt;&gt;0,$H115&gt;0,OR(AUTOEVENTO&lt;&gt;"manual",$M115&lt;&gt;$A$15)),
        IF(Import.TipoArredondamento&lt;&gt;"TransfereGOV",
              ROUND(OFFSET($P115,0,AS$13),15-13*ORÇAMENTO!$AF$7)/$H115*OFFSET(ORÇAMENTO!$X$15,ROW(AS115)-ROW(AS$15),0),
              ROUND(ROUND(OFFSET($P115,0,AS$13),15-13*ORÇAMENTO!$AF$7)*OFFSET(ORÇAMENTO!$W$15,ROW(AS115)-ROW(AS$15),0),15-13*ORÇAMENTO!$AF$11)),
         0)</f>
        <v>0</v>
      </c>
      <c r="AT115" s="453">
        <f ca="1">IF(AND($D115="Serviço",AT$12&lt;&gt;0,$H115&gt;0,OR(AUTOEVENTO&lt;&gt;"manual",$M115&lt;&gt;$A$15)),
        IF(Import.TipoArredondamento&lt;&gt;"TransfereGOV",
              ROUND(OFFSET($P115,0,AT$13),15-13*ORÇAMENTO!$AF$7)/$H115*OFFSET(ORÇAMENTO!$X$15,ROW(AT115)-ROW(AT$15),0),
              ROUND(ROUND(OFFSET($P115,0,AT$13),15-13*ORÇAMENTO!$AF$7)*OFFSET(ORÇAMENTO!$W$15,ROW(AT115)-ROW(AT$15),0),15-13*ORÇAMENTO!$AF$11)),
         0)</f>
        <v>0</v>
      </c>
      <c r="AU115" s="453">
        <f ca="1">IF(AND($D115="Serviço",AU$12&lt;&gt;0,$H115&gt;0,OR(AUTOEVENTO&lt;&gt;"manual",$M115&lt;&gt;$A$15)),
        IF(Import.TipoArredondamento&lt;&gt;"TransfereGOV",
              ROUND(OFFSET($P115,0,AU$13),15-13*ORÇAMENTO!$AF$7)/$H115*OFFSET(ORÇAMENTO!$X$15,ROW(AU115)-ROW(AU$15),0),
              ROUND(ROUND(OFFSET($P115,0,AU$13),15-13*ORÇAMENTO!$AF$7)*OFFSET(ORÇAMENTO!$W$15,ROW(AU115)-ROW(AU$15),0),15-13*ORÇAMENTO!$AF$11)),
         0)</f>
        <v>0</v>
      </c>
      <c r="AV115" s="453">
        <f ca="1">IF(AND($D115="Serviço",AV$12&lt;&gt;0,$H115&gt;0,OR(AUTOEVENTO&lt;&gt;"manual",$M115&lt;&gt;$A$15)),
        IF(Import.TipoArredondamento&lt;&gt;"TransfereGOV",
              ROUND(OFFSET($P115,0,AV$13),15-13*ORÇAMENTO!$AF$7)/$H115*OFFSET(ORÇAMENTO!$X$15,ROW(AV115)-ROW(AV$15),0),
              ROUND(ROUND(OFFSET($P115,0,AV$13),15-13*ORÇAMENTO!$AF$7)*OFFSET(ORÇAMENTO!$W$15,ROW(AV115)-ROW(AV$15),0),15-13*ORÇAMENTO!$AF$11)),
         0)</f>
        <v>0</v>
      </c>
      <c r="AW115" s="453">
        <f ca="1">IF(AND($D115="Serviço",AW$12&lt;&gt;0,$H115&gt;0,OR(AUTOEVENTO&lt;&gt;"manual",$M115&lt;&gt;$A$15)),
        IF(Import.TipoArredondamento&lt;&gt;"TransfereGOV",
              ROUND(OFFSET($P115,0,AW$13),15-13*ORÇAMENTO!$AF$7)/$H115*OFFSET(ORÇAMENTO!$X$15,ROW(AW115)-ROW(AW$15),0),
              ROUND(ROUND(OFFSET($P115,0,AW$13),15-13*ORÇAMENTO!$AF$7)*OFFSET(ORÇAMENTO!$W$15,ROW(AW115)-ROW(AW$15),0),15-13*ORÇAMENTO!$AF$11)),
         0)</f>
        <v>0</v>
      </c>
      <c r="AX115" s="453">
        <f ca="1">IF(AND($D115="Serviço",AX$12&lt;&gt;0,$H115&gt;0,OR(AUTOEVENTO&lt;&gt;"manual",$M115&lt;&gt;$A$15)),
        IF(Import.TipoArredondamento&lt;&gt;"TransfereGOV",
              ROUND(OFFSET($P115,0,AX$13),15-13*ORÇAMENTO!$AF$7)/$H115*OFFSET(ORÇAMENTO!$X$15,ROW(AX115)-ROW(AX$15),0),
              ROUND(ROUND(OFFSET($P115,0,AX$13),15-13*ORÇAMENTO!$AF$7)*OFFSET(ORÇAMENTO!$W$15,ROW(AX115)-ROW(AX$15),0),15-13*ORÇAMENTO!$AF$11)),
         0)</f>
        <v>0</v>
      </c>
      <c r="AY115" s="453">
        <f ca="1">IF(AND($D115="Serviço",AY$12&lt;&gt;0,$H115&gt;0,OR(AUTOEVENTO&lt;&gt;"manual",$M115&lt;&gt;$A$15)),
        IF(Import.TipoArredondamento&lt;&gt;"TransfereGOV",
              ROUND(OFFSET($P115,0,AY$13),15-13*ORÇAMENTO!$AF$7)/$H115*OFFSET(ORÇAMENTO!$X$15,ROW(AY115)-ROW(AY$15),0),
              ROUND(ROUND(OFFSET($P115,0,AY$13),15-13*ORÇAMENTO!$AF$7)*OFFSET(ORÇAMENTO!$W$15,ROW(AY115)-ROW(AY$15),0),15-13*ORÇAMENTO!$AF$11)),
         0)</f>
        <v>0</v>
      </c>
      <c r="AZ115" s="453">
        <f ca="1">IF(AND($D115="Serviço",AZ$12&lt;&gt;0,$H115&gt;0,OR(AUTOEVENTO&lt;&gt;"manual",$M115&lt;&gt;$A$15)),
        IF(Import.TipoArredondamento&lt;&gt;"TransfereGOV",
              ROUND(OFFSET($P115,0,AZ$13),15-13*ORÇAMENTO!$AF$7)/$H115*OFFSET(ORÇAMENTO!$X$15,ROW(AZ115)-ROW(AZ$15),0),
              ROUND(ROUND(OFFSET($P115,0,AZ$13),15-13*ORÇAMENTO!$AF$7)*OFFSET(ORÇAMENTO!$W$15,ROW(AZ115)-ROW(AZ$15),0),15-13*ORÇAMENTO!$AF$11)),
         0)</f>
        <v>0</v>
      </c>
      <c r="BA115" s="453">
        <f ca="1">IF(AND($D115="Serviço",BA$12&lt;&gt;0,$H115&gt;0,OR(AUTOEVENTO&lt;&gt;"manual",$M115&lt;&gt;$A$15)),
        IF(Import.TipoArredondamento&lt;&gt;"TransfereGOV",
              ROUND(OFFSET($P115,0,BA$13),15-13*ORÇAMENTO!$AF$7)/$H115*OFFSET(ORÇAMENTO!$X$15,ROW(BA115)-ROW(BA$15),0),
              ROUND(ROUND(OFFSET($P115,0,BA$13),15-13*ORÇAMENTO!$AF$7)*OFFSET(ORÇAMENTO!$W$15,ROW(BA115)-ROW(BA$15),0),15-13*ORÇAMENTO!$AF$11)),
         0)</f>
        <v>0</v>
      </c>
      <c r="BC115" s="171">
        <f ca="1">IF(OR($D115&lt;&gt;"Serviço",AND(AUTOEVENTO="Manual",$M115=$A$15)),0,
         IF(OFFSET(CRONOPLE!$F$15,$M115-$A$15,BC$13)=0,10^12,OFFSET(CRONOPLE!$F$15,$M115-$A$15,BC$13)))</f>
        <v>1000000000000</v>
      </c>
      <c r="BD115" s="171">
        <f ca="1">IF(OR($D115&lt;&gt;"Serviço",AND(AUTOEVENTO="Manual",$M115=$A$15)),0,
         IF(OFFSET(CRONOPLE!$F$15,$M115-$A$15,BD$13)=0,10^12,OFFSET(CRONOPLE!$F$15,$M115-$A$15,BD$13)))</f>
        <v>1000000000000</v>
      </c>
      <c r="BE115" s="171">
        <f ca="1">IF(OR($D115&lt;&gt;"Serviço",AND(AUTOEVENTO="Manual",$M115=$A$15)),0,
         IF(OFFSET(CRONOPLE!$F$15,$M115-$A$15,BE$13)=0,10^12,OFFSET(CRONOPLE!$F$15,$M115-$A$15,BE$13)))</f>
        <v>1000000000000</v>
      </c>
      <c r="BF115" s="171">
        <f ca="1">IF(OR($D115&lt;&gt;"Serviço",AND(AUTOEVENTO="Manual",$M115=$A$15)),0,
         IF(OFFSET(CRONOPLE!$F$15,$M115-$A$15,BF$13)=0,10^12,OFFSET(CRONOPLE!$F$15,$M115-$A$15,BF$13)))</f>
        <v>1000000000000</v>
      </c>
      <c r="BG115" s="171">
        <f ca="1">IF(OR($D115&lt;&gt;"Serviço",AND(AUTOEVENTO="Manual",$M115=$A$15)),0,
         IF(OFFSET(CRONOPLE!$F$15,$M115-$A$15,BG$13)=0,10^12,OFFSET(CRONOPLE!$F$15,$M115-$A$15,BG$13)))</f>
        <v>1000000000000</v>
      </c>
      <c r="BH115" s="171">
        <f ca="1">IF(OR($D115&lt;&gt;"Serviço",AND(AUTOEVENTO="Manual",$M115=$A$15)),0,
         IF(OFFSET(CRONOPLE!$F$15,$M115-$A$15,BH$13)=0,10^12,OFFSET(CRONOPLE!$F$15,$M115-$A$15,BH$13)))</f>
        <v>9</v>
      </c>
      <c r="BI115" s="171">
        <f ca="1">IF(OR($D115&lt;&gt;"Serviço",AND(AUTOEVENTO="Manual",$M115=$A$15)),0,
         IF(OFFSET(CRONOPLE!$F$15,$M115-$A$15,BI$13)=0,10^12,OFFSET(CRONOPLE!$F$15,$M115-$A$15,BI$13)))</f>
        <v>1000000000000</v>
      </c>
      <c r="BJ115" s="171">
        <f ca="1">IF(OR($D115&lt;&gt;"Serviço",AND(AUTOEVENTO="Manual",$M115=$A$15)),0,
         IF(OFFSET(CRONOPLE!$F$15,$M115-$A$15,BJ$13)=0,10^12,OFFSET(CRONOPLE!$F$15,$M115-$A$15,BJ$13)))</f>
        <v>1000000000000</v>
      </c>
      <c r="BK115" s="171">
        <f ca="1">IF(OR($D115&lt;&gt;"Serviço",AND(AUTOEVENTO="Manual",$M115=$A$15)),0,
         IF(OFFSET(CRONOPLE!$F$15,$M115-$A$15,BK$13)=0,10^12,OFFSET(CRONOPLE!$F$15,$M115-$A$15,BK$13)))</f>
        <v>1000000000000</v>
      </c>
      <c r="BL115" s="171">
        <f ca="1">IF(OR($D115&lt;&gt;"Serviço",AND(AUTOEVENTO="Manual",$M115=$A$15)),0,
         IF(OFFSET(CRONOPLE!$F$15,$M115-$A$15,BL$13)=0,10^12,OFFSET(CRONOPLE!$F$15,$M115-$A$15,BL$13)))</f>
        <v>1000000000000</v>
      </c>
      <c r="BM115" s="171">
        <f ca="1">IF(OR($D115&lt;&gt;"Serviço",AND(AUTOEVENTO="Manual",$M115=$A$15)),0,
         IF(OFFSET(CRONOPLE!$F$15,$M115-$A$15,BM$13)=0,10^12,OFFSET(CRONOPLE!$F$15,$M115-$A$15,BM$13)))</f>
        <v>1000000000000</v>
      </c>
      <c r="BN115" s="171">
        <f ca="1">IF(OR($D115&lt;&gt;"Serviço",AND(AUTOEVENTO="Manual",$M115=$A$15)),0,
         IF(OFFSET(CRONOPLE!$F$15,$M115-$A$15,BN$13)=0,10^12,OFFSET(CRONOPLE!$F$15,$M115-$A$15,BN$13)))</f>
        <v>1000000000000</v>
      </c>
      <c r="BO115" s="171">
        <f ca="1">IF(OR($D115&lt;&gt;"Serviço",AND(AUTOEVENTO="Manual",$M115=$A$15)),0,
         IF(OFFSET(CRONOPLE!$F$15,$M115-$A$15,BO$13)=0,10^12,OFFSET(CRONOPLE!$F$15,$M115-$A$15,BO$13)))</f>
        <v>1000000000000</v>
      </c>
      <c r="BP115" s="171">
        <f ca="1">IF(OR($D115&lt;&gt;"Serviço",AND(AUTOEVENTO="Manual",$M115=$A$15)),0,
         IF(OFFSET(CRONOPLE!$F$15,$M115-$A$15,BP$13)=0,10^12,OFFSET(CRONOPLE!$F$15,$M115-$A$15,BP$13)))</f>
        <v>1000000000000</v>
      </c>
      <c r="BQ115" s="171">
        <f ca="1">IF(OR($D115&lt;&gt;"Serviço",AND(AUTOEVENTO="Manual",$M115=$A$15)),0,
         IF(OFFSET(CRONOPLE!$F$15,$M115-$A$15,BQ$13)=0,10^12,OFFSET(CRONOPLE!$F$15,$M115-$A$15,BQ$13)))</f>
        <v>1000000000000</v>
      </c>
      <c r="BR115" s="171">
        <f ca="1">IF(OR($D115&lt;&gt;"Serviço",AND(AUTOEVENTO="Manual",$M115=$A$15)),0,
         IF(OFFSET(CRONOPLE!$F$15,$M115-$A$15,BR$13)=0,10^12,OFFSET(CRONOPLE!$F$15,$M115-$A$15,BR$13)))</f>
        <v>1000000000000</v>
      </c>
      <c r="BS115" s="171">
        <f ca="1">IF(OR($D115&lt;&gt;"Serviço",AND(AUTOEVENTO="Manual",$M115=$A$15)),0,
         IF(OFFSET(CRONOPLE!$F$15,$M115-$A$15,BS$13)=0,10^12,OFFSET(CRONOPLE!$F$15,$M115-$A$15,BS$13)))</f>
        <v>1000000000000</v>
      </c>
      <c r="BT115" s="171">
        <f ca="1">IF(OR($D115&lt;&gt;"Serviço",AND(AUTOEVENTO="Manual",$M115=$A$15)),0,
         IF(OFFSET(CRONOPLE!$F$15,$M115-$A$15,BT$13)=0,10^12,OFFSET(CRONOPLE!$F$15,$M115-$A$15,BT$13)))</f>
        <v>1000000000000</v>
      </c>
      <c r="BV115" s="172" cm="1">
        <f t="array" aca="1" ref="BV115" ca="1">IF(OR($D115&lt;&gt;"Serviço",AND(AUTOEVENTO="Manual",$M115=$A$15),$M115&gt;(ROW(PLE.lastrow)-ROW(PLE.firstrow))),0,
           IF(OFFSET(PLE!$G$15,$M115-$A$15,BV$13)="",10^12,OFFSET(PLE!$G$15,$M115-$A$15,BV$13)))</f>
        <v>1000000000000</v>
      </c>
      <c r="BW115" s="172" cm="1">
        <f t="array" aca="1" ref="BW115" ca="1">IF(OR($D115&lt;&gt;"Serviço",AND(AUTOEVENTO="Manual",$M115=$A$15),$M115&gt;(ROW(PLE.lastrow)-ROW(PLE.firstrow))),0,
           IF(OFFSET(PLE!$G$15,$M115-$A$15,BW$13)="",10^12,OFFSET(PLE!$G$15,$M115-$A$15,BW$13)))</f>
        <v>1000000000000</v>
      </c>
      <c r="BX115" s="172" cm="1">
        <f t="array" aca="1" ref="BX115" ca="1">IF(OR($D115&lt;&gt;"Serviço",AND(AUTOEVENTO="Manual",$M115=$A$15),$M115&gt;(ROW(PLE.lastrow)-ROW(PLE.firstrow))),0,
           IF(OFFSET(PLE!$G$15,$M115-$A$15,BX$13)="",10^12,OFFSET(PLE!$G$15,$M115-$A$15,BX$13)))</f>
        <v>1000000000000</v>
      </c>
      <c r="BY115" s="172" cm="1">
        <f t="array" aca="1" ref="BY115" ca="1">IF(OR($D115&lt;&gt;"Serviço",AND(AUTOEVENTO="Manual",$M115=$A$15),$M115&gt;(ROW(PLE.lastrow)-ROW(PLE.firstrow))),0,
           IF(OFFSET(PLE!$G$15,$M115-$A$15,BY$13)="",10^12,OFFSET(PLE!$G$15,$M115-$A$15,BY$13)))</f>
        <v>1000000000000</v>
      </c>
      <c r="BZ115" s="172" cm="1">
        <f t="array" aca="1" ref="BZ115" ca="1">IF(OR($D115&lt;&gt;"Serviço",AND(AUTOEVENTO="Manual",$M115=$A$15),$M115&gt;(ROW(PLE.lastrow)-ROW(PLE.firstrow))),0,
           IF(OFFSET(PLE!$G$15,$M115-$A$15,BZ$13)="",10^12,OFFSET(PLE!$G$15,$M115-$A$15,BZ$13)))</f>
        <v>1000000000000</v>
      </c>
      <c r="CA115" s="172" cm="1">
        <f t="array" aca="1" ref="CA115" ca="1">IF(OR($D115&lt;&gt;"Serviço",AND(AUTOEVENTO="Manual",$M115=$A$15),$M115&gt;(ROW(PLE.lastrow)-ROW(PLE.firstrow))),0,
           IF(OFFSET(PLE!$G$15,$M115-$A$15,CA$13)="",10^12,OFFSET(PLE!$G$15,$M115-$A$15,CA$13)))</f>
        <v>1000000000000</v>
      </c>
      <c r="CB115" s="172" cm="1">
        <f t="array" aca="1" ref="CB115" ca="1">IF(OR($D115&lt;&gt;"Serviço",AND(AUTOEVENTO="Manual",$M115=$A$15),$M115&gt;(ROW(PLE.lastrow)-ROW(PLE.firstrow))),0,
           IF(OFFSET(PLE!$G$15,$M115-$A$15,CB$13)="",10^12,OFFSET(PLE!$G$15,$M115-$A$15,CB$13)))</f>
        <v>1000000000000</v>
      </c>
      <c r="CC115" s="172" cm="1">
        <f t="array" aca="1" ref="CC115" ca="1">IF(OR($D115&lt;&gt;"Serviço",AND(AUTOEVENTO="Manual",$M115=$A$15),$M115&gt;(ROW(PLE.lastrow)-ROW(PLE.firstrow))),0,
           IF(OFFSET(PLE!$G$15,$M115-$A$15,CC$13)="",10^12,OFFSET(PLE!$G$15,$M115-$A$15,CC$13)))</f>
        <v>1000000000000</v>
      </c>
      <c r="CD115" s="172" cm="1">
        <f t="array" aca="1" ref="CD115" ca="1">IF(OR($D115&lt;&gt;"Serviço",AND(AUTOEVENTO="Manual",$M115=$A$15),$M115&gt;(ROW(PLE.lastrow)-ROW(PLE.firstrow))),0,
           IF(OFFSET(PLE!$G$15,$M115-$A$15,CD$13)="",10^12,OFFSET(PLE!$G$15,$M115-$A$15,CD$13)))</f>
        <v>1000000000000</v>
      </c>
      <c r="CE115" s="172" cm="1">
        <f t="array" aca="1" ref="CE115" ca="1">IF(OR($D115&lt;&gt;"Serviço",AND(AUTOEVENTO="Manual",$M115=$A$15),$M115&gt;(ROW(PLE.lastrow)-ROW(PLE.firstrow))),0,
           IF(OFFSET(PLE!$G$15,$M115-$A$15,CE$13)="",10^12,OFFSET(PLE!$G$15,$M115-$A$15,CE$13)))</f>
        <v>1000000000000</v>
      </c>
      <c r="CF115" s="172" cm="1">
        <f t="array" aca="1" ref="CF115" ca="1">IF(OR($D115&lt;&gt;"Serviço",AND(AUTOEVENTO="Manual",$M115=$A$15),$M115&gt;(ROW(PLE.lastrow)-ROW(PLE.firstrow))),0,
           IF(OFFSET(PLE!$G$15,$M115-$A$15,CF$13)="",10^12,OFFSET(PLE!$G$15,$M115-$A$15,CF$13)))</f>
        <v>1000000000000</v>
      </c>
      <c r="CG115" s="172" cm="1">
        <f t="array" aca="1" ref="CG115" ca="1">IF(OR($D115&lt;&gt;"Serviço",AND(AUTOEVENTO="Manual",$M115=$A$15),$M115&gt;(ROW(PLE.lastrow)-ROW(PLE.firstrow))),0,
           IF(OFFSET(PLE!$G$15,$M115-$A$15,CG$13)="",10^12,OFFSET(PLE!$G$15,$M115-$A$15,CG$13)))</f>
        <v>1000000000000</v>
      </c>
      <c r="CH115" s="172" cm="1">
        <f t="array" aca="1" ref="CH115" ca="1">IF(OR($D115&lt;&gt;"Serviço",AND(AUTOEVENTO="Manual",$M115=$A$15),$M115&gt;(ROW(PLE.lastrow)-ROW(PLE.firstrow))),0,
           IF(OFFSET(PLE!$G$15,$M115-$A$15,CH$13)="",10^12,OFFSET(PLE!$G$15,$M115-$A$15,CH$13)))</f>
        <v>1000000000000</v>
      </c>
      <c r="CI115" s="172" cm="1">
        <f t="array" aca="1" ref="CI115" ca="1">IF(OR($D115&lt;&gt;"Serviço",AND(AUTOEVENTO="Manual",$M115=$A$15),$M115&gt;(ROW(PLE.lastrow)-ROW(PLE.firstrow))),0,
           IF(OFFSET(PLE!$G$15,$M115-$A$15,CI$13)="",10^12,OFFSET(PLE!$G$15,$M115-$A$15,CI$13)))</f>
        <v>1000000000000</v>
      </c>
      <c r="CJ115" s="172" cm="1">
        <f t="array" aca="1" ref="CJ115" ca="1">IF(OR($D115&lt;&gt;"Serviço",AND(AUTOEVENTO="Manual",$M115=$A$15),$M115&gt;(ROW(PLE.lastrow)-ROW(PLE.firstrow))),0,
           IF(OFFSET(PLE!$G$15,$M115-$A$15,CJ$13)="",10^12,OFFSET(PLE!$G$15,$M115-$A$15,CJ$13)))</f>
        <v>1000000000000</v>
      </c>
      <c r="CK115" s="172" cm="1">
        <f t="array" aca="1" ref="CK115" ca="1">IF(OR($D115&lt;&gt;"Serviço",AND(AUTOEVENTO="Manual",$M115=$A$15),$M115&gt;(ROW(PLE.lastrow)-ROW(PLE.firstrow))),0,
           IF(OFFSET(PLE!$G$15,$M115-$A$15,CK$13)="",10^12,OFFSET(PLE!$G$15,$M115-$A$15,CK$13)))</f>
        <v>1000000000000</v>
      </c>
      <c r="CL115" s="172" cm="1">
        <f t="array" aca="1" ref="CL115" ca="1">IF(OR($D115&lt;&gt;"Serviço",AND(AUTOEVENTO="Manual",$M115=$A$15),$M115&gt;(ROW(PLE.lastrow)-ROW(PLE.firstrow))),0,
           IF(OFFSET(PLE!$G$15,$M115-$A$15,CL$13)="",10^12,OFFSET(PLE!$G$15,$M115-$A$15,CL$13)))</f>
        <v>1000000000000</v>
      </c>
      <c r="CM115" s="172" cm="1">
        <f t="array" aca="1" ref="CM115" ca="1">IF(OR($D115&lt;&gt;"Serviço",AND(AUTOEVENTO="Manual",$M115=$A$15),$M115&gt;(ROW(PLE.lastrow)-ROW(PLE.firstrow))),0,
           IF(OFFSET(PLE!$G$15,$M115-$A$15,CM$13)="",10^12,OFFSET(PLE!$G$15,$M115-$A$15,CM$13)))</f>
        <v>1000000000000</v>
      </c>
    </row>
    <row r="116" spans="1:91" s="670" customFormat="1" ht="51" x14ac:dyDescent="0.2">
      <c r="A116" s="668">
        <f t="shared" ca="1" si="12"/>
        <v>25</v>
      </c>
      <c r="B116" s="668" t="str">
        <f ca="1">OFFSET(ORÇAMENTO!C$15,$L116,0)</f>
        <v>S</v>
      </c>
      <c r="C116" s="668" t="str">
        <f ca="1">OFFSET(ORÇAMENTO!L$15,$L116,0)</f>
        <v>F</v>
      </c>
      <c r="D116" s="116" t="str">
        <f ca="1">OFFSET(ORÇAMENTO!N$15,$L116,0)</f>
        <v>Serviço</v>
      </c>
      <c r="E116" s="117" t="str">
        <f ca="1">OFFSET(ORÇAMENTO!O$15,$L116,0)</f>
        <v>1.17.2.</v>
      </c>
      <c r="F116" s="163" t="str">
        <f ca="1">OFFSET(ORÇAMENTO!R$15,$L116,0)</f>
        <v>ELETRODUTO DE AÇO GALVANIZADO MÉDIO, DIÂMETRO DE 50MM (2"), INSTALAÇÃO APARENTE OU SOBRE FORRO COM ABRAÇADEIRA METÁLICA DE CUNHA, TIPO "D", INCLUSIVE ACESSÓRIOS PARA FIXAÇÃO E CONEXÕES</v>
      </c>
      <c r="G116" s="164" t="str">
        <f ca="1">IF($D116&lt;&gt;"Serviço","",OFFSET(ORÇAMENTO!S$15,$L116,0))</f>
        <v>m</v>
      </c>
      <c r="H116" s="122" cm="1">
        <f t="array" aca="1" ref="H116" ca="1">IF($D116&lt;&gt;"Serviço",0,IF(ACOMPANHAMENTO="BM",ROUND(OFFSET(ORÇAMENTO!AJ$15,$L116,0),15-13*ORÇAMENTO!$AF$7),IF(IFERROR(CÁLCULO.FrentesPreenchidas,0)=0,0,SUM(ROUND(OFFSET($P116,0,1,1,CÁLCULO.FrentesPreenchidas),15-13*ORÇAMENTO!$AF$7)))))</f>
        <v>5</v>
      </c>
      <c r="I116" s="468" t="s">
        <v>1177</v>
      </c>
      <c r="J116" s="651" t="str" cm="1">
        <f t="array" aca="1" ref="J116" ca="1">IF(OR(B116&lt;&gt;"S",CÁLCULO.FrentesPreenchidas=0),"",IF(AND(ACOMPANHAMENTO="PLE",AUTOEVENTO="Manual",OR(H116&gt;0,ORÇAMENTO!AC116="QUANT."),OR(K116="",M116=0,N116="")),"►E",IF(AND(ACOMPANHAMENTO="PLE",ORÇAMENTO!AC116="QUANT."),"►Q",IF(AND(ACOMPANHAMENTO="PLE",H116&lt;&gt;SUMPRODUCT(($Q$1:$AI$1=1)*ROUND(Q116:AI116,15))),"►S",IF(AND(COUNTIF($P$11:$AI$11,"▼")=0,H116&gt;0,I116=""),"◄M","")))))</f>
        <v/>
      </c>
      <c r="K116" s="652" t="s">
        <v>1359</v>
      </c>
      <c r="L116" s="165">
        <f t="shared" ca="1" si="13"/>
        <v>101</v>
      </c>
      <c r="M116" s="166">
        <f ca="1">IF($D116&lt;&gt;"Serviço","",
          IF(AUTOEVENTO="manual",$A116,
                IF(ISERROR(MATCH($A116,$A$15:OFFSET($A116,-1,0),0)),MAX($M$15:OFFSET(M116,-1,0))+1,
                      INDEX($M$15:OFFSET(M116,-1,0),MATCH($A116,$A$15:OFFSET($A116,-1,0),0)))))</f>
        <v>25</v>
      </c>
      <c r="N116" s="167" t="str">
        <f ca="1">IF($D116&lt;&gt;"Serviço","",
         IF(AUTOEVENTO="Manual",
                IF($A116=0,"&lt;-- defina o número do agrupador",
                       OFFSET(EVENTOS!$D$15,$A116-$A$15,0)),
                OFFSET($F$15,$A116,0)))</f>
        <v>Instalações elétricas</v>
      </c>
      <c r="O116" s="168"/>
      <c r="Q116" s="168"/>
      <c r="R116" s="169"/>
      <c r="S116" s="169"/>
      <c r="T116" s="169"/>
      <c r="U116" s="169"/>
      <c r="V116" s="169">
        <v>5</v>
      </c>
      <c r="W116" s="169"/>
      <c r="X116" s="169"/>
      <c r="Y116" s="169"/>
      <c r="Z116" s="170"/>
      <c r="AA116" s="705"/>
      <c r="AB116" s="705"/>
      <c r="AC116" s="705"/>
      <c r="AD116" s="705"/>
      <c r="AE116" s="705"/>
      <c r="AF116" s="705"/>
      <c r="AG116" s="705"/>
      <c r="AH116" s="706"/>
      <c r="AJ116" s="453">
        <f ca="1">IF(AND($D116="Serviço",AJ$12&lt;&gt;0,$H116&gt;0,OR(AUTOEVENTO&lt;&gt;"manual",$M116&lt;&gt;$A$15)),
        IF(Import.TipoArredondamento&lt;&gt;"TransfereGOV",
              ROUND(OFFSET($P116,0,AJ$13),15-13*ORÇAMENTO!$AF$7)/$H116*OFFSET(ORÇAMENTO!$X$15,ROW(AJ116)-ROW(AJ$15),0),
              ROUND(ROUND(OFFSET($P116,0,AJ$13),15-13*ORÇAMENTO!$AF$7)*OFFSET(ORÇAMENTO!$W$15,ROW(AJ116)-ROW(AJ$15),0),15-13*ORÇAMENTO!$AF$11)),
         0)</f>
        <v>0</v>
      </c>
      <c r="AK116" s="453">
        <f ca="1">IF(AND($D116="Serviço",AK$12&lt;&gt;0,$H116&gt;0,OR(AUTOEVENTO&lt;&gt;"manual",$M116&lt;&gt;$A$15)),
        IF(Import.TipoArredondamento&lt;&gt;"TransfereGOV",
              ROUND(OFFSET($P116,0,AK$13),15-13*ORÇAMENTO!$AF$7)/$H116*OFFSET(ORÇAMENTO!$X$15,ROW(AK116)-ROW(AK$15),0),
              ROUND(ROUND(OFFSET($P116,0,AK$13),15-13*ORÇAMENTO!$AF$7)*OFFSET(ORÇAMENTO!$W$15,ROW(AK116)-ROW(AK$15),0),15-13*ORÇAMENTO!$AF$11)),
         0)</f>
        <v>0</v>
      </c>
      <c r="AL116" s="453">
        <f ca="1">IF(AND($D116="Serviço",AL$12&lt;&gt;0,$H116&gt;0,OR(AUTOEVENTO&lt;&gt;"manual",$M116&lt;&gt;$A$15)),
        IF(Import.TipoArredondamento&lt;&gt;"TransfereGOV",
              ROUND(OFFSET($P116,0,AL$13),15-13*ORÇAMENTO!$AF$7)/$H116*OFFSET(ORÇAMENTO!$X$15,ROW(AL116)-ROW(AL$15),0),
              ROUND(ROUND(OFFSET($P116,0,AL$13),15-13*ORÇAMENTO!$AF$7)*OFFSET(ORÇAMENTO!$W$15,ROW(AL116)-ROW(AL$15),0),15-13*ORÇAMENTO!$AF$11)),
         0)</f>
        <v>0</v>
      </c>
      <c r="AM116" s="453">
        <f ca="1">IF(AND($D116="Serviço",AM$12&lt;&gt;0,$H116&gt;0,OR(AUTOEVENTO&lt;&gt;"manual",$M116&lt;&gt;$A$15)),
        IF(Import.TipoArredondamento&lt;&gt;"TransfereGOV",
              ROUND(OFFSET($P116,0,AM$13),15-13*ORÇAMENTO!$AF$7)/$H116*OFFSET(ORÇAMENTO!$X$15,ROW(AM116)-ROW(AM$15),0),
              ROUND(ROUND(OFFSET($P116,0,AM$13),15-13*ORÇAMENTO!$AF$7)*OFFSET(ORÇAMENTO!$W$15,ROW(AM116)-ROW(AM$15),0),15-13*ORÇAMENTO!$AF$11)),
         0)</f>
        <v>0</v>
      </c>
      <c r="AN116" s="453">
        <f ca="1">IF(AND($D116="Serviço",AN$12&lt;&gt;0,$H116&gt;0,OR(AUTOEVENTO&lt;&gt;"manual",$M116&lt;&gt;$A$15)),
        IF(Import.TipoArredondamento&lt;&gt;"TransfereGOV",
              ROUND(OFFSET($P116,0,AN$13),15-13*ORÇAMENTO!$AF$7)/$H116*OFFSET(ORÇAMENTO!$X$15,ROW(AN116)-ROW(AN$15),0),
              ROUND(ROUND(OFFSET($P116,0,AN$13),15-13*ORÇAMENTO!$AF$7)*OFFSET(ORÇAMENTO!$W$15,ROW(AN116)-ROW(AN$15),0),15-13*ORÇAMENTO!$AF$11)),
         0)</f>
        <v>0</v>
      </c>
      <c r="AO116" s="453">
        <f ca="1">IF(AND($D116="Serviço",AO$12&lt;&gt;0,$H116&gt;0,OR(AUTOEVENTO&lt;&gt;"manual",$M116&lt;&gt;$A$15)),
        IF(Import.TipoArredondamento&lt;&gt;"TransfereGOV",
              ROUND(OFFSET($P116,0,AO$13),15-13*ORÇAMENTO!$AF$7)/$H116*OFFSET(ORÇAMENTO!$X$15,ROW(AO116)-ROW(AO$15),0),
              ROUND(ROUND(OFFSET($P116,0,AO$13),15-13*ORÇAMENTO!$AF$7)*OFFSET(ORÇAMENTO!$W$15,ROW(AO116)-ROW(AO$15),0),15-13*ORÇAMENTO!$AF$11)),
         0)</f>
        <v>277</v>
      </c>
      <c r="AP116" s="453">
        <f ca="1">IF(AND($D116="Serviço",AP$12&lt;&gt;0,$H116&gt;0,OR(AUTOEVENTO&lt;&gt;"manual",$M116&lt;&gt;$A$15)),
        IF(Import.TipoArredondamento&lt;&gt;"TransfereGOV",
              ROUND(OFFSET($P116,0,AP$13),15-13*ORÇAMENTO!$AF$7)/$H116*OFFSET(ORÇAMENTO!$X$15,ROW(AP116)-ROW(AP$15),0),
              ROUND(ROUND(OFFSET($P116,0,AP$13),15-13*ORÇAMENTO!$AF$7)*OFFSET(ORÇAMENTO!$W$15,ROW(AP116)-ROW(AP$15),0),15-13*ORÇAMENTO!$AF$11)),
         0)</f>
        <v>0</v>
      </c>
      <c r="AQ116" s="453">
        <f ca="1">IF(AND($D116="Serviço",AQ$12&lt;&gt;0,$H116&gt;0,OR(AUTOEVENTO&lt;&gt;"manual",$M116&lt;&gt;$A$15)),
        IF(Import.TipoArredondamento&lt;&gt;"TransfereGOV",
              ROUND(OFFSET($P116,0,AQ$13),15-13*ORÇAMENTO!$AF$7)/$H116*OFFSET(ORÇAMENTO!$X$15,ROW(AQ116)-ROW(AQ$15),0),
              ROUND(ROUND(OFFSET($P116,0,AQ$13),15-13*ORÇAMENTO!$AF$7)*OFFSET(ORÇAMENTO!$W$15,ROW(AQ116)-ROW(AQ$15),0),15-13*ORÇAMENTO!$AF$11)),
         0)</f>
        <v>0</v>
      </c>
      <c r="AR116" s="453">
        <f ca="1">IF(AND($D116="Serviço",AR$12&lt;&gt;0,$H116&gt;0,OR(AUTOEVENTO&lt;&gt;"manual",$M116&lt;&gt;$A$15)),
        IF(Import.TipoArredondamento&lt;&gt;"TransfereGOV",
              ROUND(OFFSET($P116,0,AR$13),15-13*ORÇAMENTO!$AF$7)/$H116*OFFSET(ORÇAMENTO!$X$15,ROW(AR116)-ROW(AR$15),0),
              ROUND(ROUND(OFFSET($P116,0,AR$13),15-13*ORÇAMENTO!$AF$7)*OFFSET(ORÇAMENTO!$W$15,ROW(AR116)-ROW(AR$15),0),15-13*ORÇAMENTO!$AF$11)),
         0)</f>
        <v>0</v>
      </c>
      <c r="AS116" s="453">
        <f ca="1">IF(AND($D116="Serviço",AS$12&lt;&gt;0,$H116&gt;0,OR(AUTOEVENTO&lt;&gt;"manual",$M116&lt;&gt;$A$15)),
        IF(Import.TipoArredondamento&lt;&gt;"TransfereGOV",
              ROUND(OFFSET($P116,0,AS$13),15-13*ORÇAMENTO!$AF$7)/$H116*OFFSET(ORÇAMENTO!$X$15,ROW(AS116)-ROW(AS$15),0),
              ROUND(ROUND(OFFSET($P116,0,AS$13),15-13*ORÇAMENTO!$AF$7)*OFFSET(ORÇAMENTO!$W$15,ROW(AS116)-ROW(AS$15),0),15-13*ORÇAMENTO!$AF$11)),
         0)</f>
        <v>0</v>
      </c>
      <c r="AT116" s="453">
        <f ca="1">IF(AND($D116="Serviço",AT$12&lt;&gt;0,$H116&gt;0,OR(AUTOEVENTO&lt;&gt;"manual",$M116&lt;&gt;$A$15)),
        IF(Import.TipoArredondamento&lt;&gt;"TransfereGOV",
              ROUND(OFFSET($P116,0,AT$13),15-13*ORÇAMENTO!$AF$7)/$H116*OFFSET(ORÇAMENTO!$X$15,ROW(AT116)-ROW(AT$15),0),
              ROUND(ROUND(OFFSET($P116,0,AT$13),15-13*ORÇAMENTO!$AF$7)*OFFSET(ORÇAMENTO!$W$15,ROW(AT116)-ROW(AT$15),0),15-13*ORÇAMENTO!$AF$11)),
         0)</f>
        <v>0</v>
      </c>
      <c r="AU116" s="453">
        <f ca="1">IF(AND($D116="Serviço",AU$12&lt;&gt;0,$H116&gt;0,OR(AUTOEVENTO&lt;&gt;"manual",$M116&lt;&gt;$A$15)),
        IF(Import.TipoArredondamento&lt;&gt;"TransfereGOV",
              ROUND(OFFSET($P116,0,AU$13),15-13*ORÇAMENTO!$AF$7)/$H116*OFFSET(ORÇAMENTO!$X$15,ROW(AU116)-ROW(AU$15),0),
              ROUND(ROUND(OFFSET($P116,0,AU$13),15-13*ORÇAMENTO!$AF$7)*OFFSET(ORÇAMENTO!$W$15,ROW(AU116)-ROW(AU$15),0),15-13*ORÇAMENTO!$AF$11)),
         0)</f>
        <v>0</v>
      </c>
      <c r="AV116" s="453">
        <f ca="1">IF(AND($D116="Serviço",AV$12&lt;&gt;0,$H116&gt;0,OR(AUTOEVENTO&lt;&gt;"manual",$M116&lt;&gt;$A$15)),
        IF(Import.TipoArredondamento&lt;&gt;"TransfereGOV",
              ROUND(OFFSET($P116,0,AV$13),15-13*ORÇAMENTO!$AF$7)/$H116*OFFSET(ORÇAMENTO!$X$15,ROW(AV116)-ROW(AV$15),0),
              ROUND(ROUND(OFFSET($P116,0,AV$13),15-13*ORÇAMENTO!$AF$7)*OFFSET(ORÇAMENTO!$W$15,ROW(AV116)-ROW(AV$15),0),15-13*ORÇAMENTO!$AF$11)),
         0)</f>
        <v>0</v>
      </c>
      <c r="AW116" s="453">
        <f ca="1">IF(AND($D116="Serviço",AW$12&lt;&gt;0,$H116&gt;0,OR(AUTOEVENTO&lt;&gt;"manual",$M116&lt;&gt;$A$15)),
        IF(Import.TipoArredondamento&lt;&gt;"TransfereGOV",
              ROUND(OFFSET($P116,0,AW$13),15-13*ORÇAMENTO!$AF$7)/$H116*OFFSET(ORÇAMENTO!$X$15,ROW(AW116)-ROW(AW$15),0),
              ROUND(ROUND(OFFSET($P116,0,AW$13),15-13*ORÇAMENTO!$AF$7)*OFFSET(ORÇAMENTO!$W$15,ROW(AW116)-ROW(AW$15),0),15-13*ORÇAMENTO!$AF$11)),
         0)</f>
        <v>0</v>
      </c>
      <c r="AX116" s="453">
        <f ca="1">IF(AND($D116="Serviço",AX$12&lt;&gt;0,$H116&gt;0,OR(AUTOEVENTO&lt;&gt;"manual",$M116&lt;&gt;$A$15)),
        IF(Import.TipoArredondamento&lt;&gt;"TransfereGOV",
              ROUND(OFFSET($P116,0,AX$13),15-13*ORÇAMENTO!$AF$7)/$H116*OFFSET(ORÇAMENTO!$X$15,ROW(AX116)-ROW(AX$15),0),
              ROUND(ROUND(OFFSET($P116,0,AX$13),15-13*ORÇAMENTO!$AF$7)*OFFSET(ORÇAMENTO!$W$15,ROW(AX116)-ROW(AX$15),0),15-13*ORÇAMENTO!$AF$11)),
         0)</f>
        <v>0</v>
      </c>
      <c r="AY116" s="453">
        <f ca="1">IF(AND($D116="Serviço",AY$12&lt;&gt;0,$H116&gt;0,OR(AUTOEVENTO&lt;&gt;"manual",$M116&lt;&gt;$A$15)),
        IF(Import.TipoArredondamento&lt;&gt;"TransfereGOV",
              ROUND(OFFSET($P116,0,AY$13),15-13*ORÇAMENTO!$AF$7)/$H116*OFFSET(ORÇAMENTO!$X$15,ROW(AY116)-ROW(AY$15),0),
              ROUND(ROUND(OFFSET($P116,0,AY$13),15-13*ORÇAMENTO!$AF$7)*OFFSET(ORÇAMENTO!$W$15,ROW(AY116)-ROW(AY$15),0),15-13*ORÇAMENTO!$AF$11)),
         0)</f>
        <v>0</v>
      </c>
      <c r="AZ116" s="453">
        <f ca="1">IF(AND($D116="Serviço",AZ$12&lt;&gt;0,$H116&gt;0,OR(AUTOEVENTO&lt;&gt;"manual",$M116&lt;&gt;$A$15)),
        IF(Import.TipoArredondamento&lt;&gt;"TransfereGOV",
              ROUND(OFFSET($P116,0,AZ$13),15-13*ORÇAMENTO!$AF$7)/$H116*OFFSET(ORÇAMENTO!$X$15,ROW(AZ116)-ROW(AZ$15),0),
              ROUND(ROUND(OFFSET($P116,0,AZ$13),15-13*ORÇAMENTO!$AF$7)*OFFSET(ORÇAMENTO!$W$15,ROW(AZ116)-ROW(AZ$15),0),15-13*ORÇAMENTO!$AF$11)),
         0)</f>
        <v>0</v>
      </c>
      <c r="BA116" s="453">
        <f ca="1">IF(AND($D116="Serviço",BA$12&lt;&gt;0,$H116&gt;0,OR(AUTOEVENTO&lt;&gt;"manual",$M116&lt;&gt;$A$15)),
        IF(Import.TipoArredondamento&lt;&gt;"TransfereGOV",
              ROUND(OFFSET($P116,0,BA$13),15-13*ORÇAMENTO!$AF$7)/$H116*OFFSET(ORÇAMENTO!$X$15,ROW(BA116)-ROW(BA$15),0),
              ROUND(ROUND(OFFSET($P116,0,BA$13),15-13*ORÇAMENTO!$AF$7)*OFFSET(ORÇAMENTO!$W$15,ROW(BA116)-ROW(BA$15),0),15-13*ORÇAMENTO!$AF$11)),
         0)</f>
        <v>0</v>
      </c>
      <c r="BC116" s="171">
        <f ca="1">IF(OR($D116&lt;&gt;"Serviço",AND(AUTOEVENTO="Manual",$M116=$A$15)),0,
         IF(OFFSET(CRONOPLE!$F$15,$M116-$A$15,BC$13)=0,10^12,OFFSET(CRONOPLE!$F$15,$M116-$A$15,BC$13)))</f>
        <v>1000000000000</v>
      </c>
      <c r="BD116" s="171">
        <f ca="1">IF(OR($D116&lt;&gt;"Serviço",AND(AUTOEVENTO="Manual",$M116=$A$15)),0,
         IF(OFFSET(CRONOPLE!$F$15,$M116-$A$15,BD$13)=0,10^12,OFFSET(CRONOPLE!$F$15,$M116-$A$15,BD$13)))</f>
        <v>1000000000000</v>
      </c>
      <c r="BE116" s="171">
        <f ca="1">IF(OR($D116&lt;&gt;"Serviço",AND(AUTOEVENTO="Manual",$M116=$A$15)),0,
         IF(OFFSET(CRONOPLE!$F$15,$M116-$A$15,BE$13)=0,10^12,OFFSET(CRONOPLE!$F$15,$M116-$A$15,BE$13)))</f>
        <v>1000000000000</v>
      </c>
      <c r="BF116" s="171">
        <f ca="1">IF(OR($D116&lt;&gt;"Serviço",AND(AUTOEVENTO="Manual",$M116=$A$15)),0,
         IF(OFFSET(CRONOPLE!$F$15,$M116-$A$15,BF$13)=0,10^12,OFFSET(CRONOPLE!$F$15,$M116-$A$15,BF$13)))</f>
        <v>1000000000000</v>
      </c>
      <c r="BG116" s="171">
        <f ca="1">IF(OR($D116&lt;&gt;"Serviço",AND(AUTOEVENTO="Manual",$M116=$A$15)),0,
         IF(OFFSET(CRONOPLE!$F$15,$M116-$A$15,BG$13)=0,10^12,OFFSET(CRONOPLE!$F$15,$M116-$A$15,BG$13)))</f>
        <v>1000000000000</v>
      </c>
      <c r="BH116" s="171">
        <f ca="1">IF(OR($D116&lt;&gt;"Serviço",AND(AUTOEVENTO="Manual",$M116=$A$15)),0,
         IF(OFFSET(CRONOPLE!$F$15,$M116-$A$15,BH$13)=0,10^12,OFFSET(CRONOPLE!$F$15,$M116-$A$15,BH$13)))</f>
        <v>9</v>
      </c>
      <c r="BI116" s="171">
        <f ca="1">IF(OR($D116&lt;&gt;"Serviço",AND(AUTOEVENTO="Manual",$M116=$A$15)),0,
         IF(OFFSET(CRONOPLE!$F$15,$M116-$A$15,BI$13)=0,10^12,OFFSET(CRONOPLE!$F$15,$M116-$A$15,BI$13)))</f>
        <v>1000000000000</v>
      </c>
      <c r="BJ116" s="171">
        <f ca="1">IF(OR($D116&lt;&gt;"Serviço",AND(AUTOEVENTO="Manual",$M116=$A$15)),0,
         IF(OFFSET(CRONOPLE!$F$15,$M116-$A$15,BJ$13)=0,10^12,OFFSET(CRONOPLE!$F$15,$M116-$A$15,BJ$13)))</f>
        <v>1000000000000</v>
      </c>
      <c r="BK116" s="171">
        <f ca="1">IF(OR($D116&lt;&gt;"Serviço",AND(AUTOEVENTO="Manual",$M116=$A$15)),0,
         IF(OFFSET(CRONOPLE!$F$15,$M116-$A$15,BK$13)=0,10^12,OFFSET(CRONOPLE!$F$15,$M116-$A$15,BK$13)))</f>
        <v>1000000000000</v>
      </c>
      <c r="BL116" s="171">
        <f ca="1">IF(OR($D116&lt;&gt;"Serviço",AND(AUTOEVENTO="Manual",$M116=$A$15)),0,
         IF(OFFSET(CRONOPLE!$F$15,$M116-$A$15,BL$13)=0,10^12,OFFSET(CRONOPLE!$F$15,$M116-$A$15,BL$13)))</f>
        <v>1000000000000</v>
      </c>
      <c r="BM116" s="171">
        <f ca="1">IF(OR($D116&lt;&gt;"Serviço",AND(AUTOEVENTO="Manual",$M116=$A$15)),0,
         IF(OFFSET(CRONOPLE!$F$15,$M116-$A$15,BM$13)=0,10^12,OFFSET(CRONOPLE!$F$15,$M116-$A$15,BM$13)))</f>
        <v>1000000000000</v>
      </c>
      <c r="BN116" s="171">
        <f ca="1">IF(OR($D116&lt;&gt;"Serviço",AND(AUTOEVENTO="Manual",$M116=$A$15)),0,
         IF(OFFSET(CRONOPLE!$F$15,$M116-$A$15,BN$13)=0,10^12,OFFSET(CRONOPLE!$F$15,$M116-$A$15,BN$13)))</f>
        <v>1000000000000</v>
      </c>
      <c r="BO116" s="171">
        <f ca="1">IF(OR($D116&lt;&gt;"Serviço",AND(AUTOEVENTO="Manual",$M116=$A$15)),0,
         IF(OFFSET(CRONOPLE!$F$15,$M116-$A$15,BO$13)=0,10^12,OFFSET(CRONOPLE!$F$15,$M116-$A$15,BO$13)))</f>
        <v>1000000000000</v>
      </c>
      <c r="BP116" s="171">
        <f ca="1">IF(OR($D116&lt;&gt;"Serviço",AND(AUTOEVENTO="Manual",$M116=$A$15)),0,
         IF(OFFSET(CRONOPLE!$F$15,$M116-$A$15,BP$13)=0,10^12,OFFSET(CRONOPLE!$F$15,$M116-$A$15,BP$13)))</f>
        <v>1000000000000</v>
      </c>
      <c r="BQ116" s="171">
        <f ca="1">IF(OR($D116&lt;&gt;"Serviço",AND(AUTOEVENTO="Manual",$M116=$A$15)),0,
         IF(OFFSET(CRONOPLE!$F$15,$M116-$A$15,BQ$13)=0,10^12,OFFSET(CRONOPLE!$F$15,$M116-$A$15,BQ$13)))</f>
        <v>1000000000000</v>
      </c>
      <c r="BR116" s="171">
        <f ca="1">IF(OR($D116&lt;&gt;"Serviço",AND(AUTOEVENTO="Manual",$M116=$A$15)),0,
         IF(OFFSET(CRONOPLE!$F$15,$M116-$A$15,BR$13)=0,10^12,OFFSET(CRONOPLE!$F$15,$M116-$A$15,BR$13)))</f>
        <v>1000000000000</v>
      </c>
      <c r="BS116" s="171">
        <f ca="1">IF(OR($D116&lt;&gt;"Serviço",AND(AUTOEVENTO="Manual",$M116=$A$15)),0,
         IF(OFFSET(CRONOPLE!$F$15,$M116-$A$15,BS$13)=0,10^12,OFFSET(CRONOPLE!$F$15,$M116-$A$15,BS$13)))</f>
        <v>1000000000000</v>
      </c>
      <c r="BT116" s="171">
        <f ca="1">IF(OR($D116&lt;&gt;"Serviço",AND(AUTOEVENTO="Manual",$M116=$A$15)),0,
         IF(OFFSET(CRONOPLE!$F$15,$M116-$A$15,BT$13)=0,10^12,OFFSET(CRONOPLE!$F$15,$M116-$A$15,BT$13)))</f>
        <v>1000000000000</v>
      </c>
      <c r="BV116" s="172" cm="1">
        <f t="array" aca="1" ref="BV116" ca="1">IF(OR($D116&lt;&gt;"Serviço",AND(AUTOEVENTO="Manual",$M116=$A$15),$M116&gt;(ROW(PLE.lastrow)-ROW(PLE.firstrow))),0,
           IF(OFFSET(PLE!$G$15,$M116-$A$15,BV$13)="",10^12,OFFSET(PLE!$G$15,$M116-$A$15,BV$13)))</f>
        <v>1000000000000</v>
      </c>
      <c r="BW116" s="172" cm="1">
        <f t="array" aca="1" ref="BW116" ca="1">IF(OR($D116&lt;&gt;"Serviço",AND(AUTOEVENTO="Manual",$M116=$A$15),$M116&gt;(ROW(PLE.lastrow)-ROW(PLE.firstrow))),0,
           IF(OFFSET(PLE!$G$15,$M116-$A$15,BW$13)="",10^12,OFFSET(PLE!$G$15,$M116-$A$15,BW$13)))</f>
        <v>1000000000000</v>
      </c>
      <c r="BX116" s="172" cm="1">
        <f t="array" aca="1" ref="BX116" ca="1">IF(OR($D116&lt;&gt;"Serviço",AND(AUTOEVENTO="Manual",$M116=$A$15),$M116&gt;(ROW(PLE.lastrow)-ROW(PLE.firstrow))),0,
           IF(OFFSET(PLE!$G$15,$M116-$A$15,BX$13)="",10^12,OFFSET(PLE!$G$15,$M116-$A$15,BX$13)))</f>
        <v>1000000000000</v>
      </c>
      <c r="BY116" s="172" cm="1">
        <f t="array" aca="1" ref="BY116" ca="1">IF(OR($D116&lt;&gt;"Serviço",AND(AUTOEVENTO="Manual",$M116=$A$15),$M116&gt;(ROW(PLE.lastrow)-ROW(PLE.firstrow))),0,
           IF(OFFSET(PLE!$G$15,$M116-$A$15,BY$13)="",10^12,OFFSET(PLE!$G$15,$M116-$A$15,BY$13)))</f>
        <v>1000000000000</v>
      </c>
      <c r="BZ116" s="172" cm="1">
        <f t="array" aca="1" ref="BZ116" ca="1">IF(OR($D116&lt;&gt;"Serviço",AND(AUTOEVENTO="Manual",$M116=$A$15),$M116&gt;(ROW(PLE.lastrow)-ROW(PLE.firstrow))),0,
           IF(OFFSET(PLE!$G$15,$M116-$A$15,BZ$13)="",10^12,OFFSET(PLE!$G$15,$M116-$A$15,BZ$13)))</f>
        <v>1000000000000</v>
      </c>
      <c r="CA116" s="172" cm="1">
        <f t="array" aca="1" ref="CA116" ca="1">IF(OR($D116&lt;&gt;"Serviço",AND(AUTOEVENTO="Manual",$M116=$A$15),$M116&gt;(ROW(PLE.lastrow)-ROW(PLE.firstrow))),0,
           IF(OFFSET(PLE!$G$15,$M116-$A$15,CA$13)="",10^12,OFFSET(PLE!$G$15,$M116-$A$15,CA$13)))</f>
        <v>1000000000000</v>
      </c>
      <c r="CB116" s="172" cm="1">
        <f t="array" aca="1" ref="CB116" ca="1">IF(OR($D116&lt;&gt;"Serviço",AND(AUTOEVENTO="Manual",$M116=$A$15),$M116&gt;(ROW(PLE.lastrow)-ROW(PLE.firstrow))),0,
           IF(OFFSET(PLE!$G$15,$M116-$A$15,CB$13)="",10^12,OFFSET(PLE!$G$15,$M116-$A$15,CB$13)))</f>
        <v>1000000000000</v>
      </c>
      <c r="CC116" s="172" cm="1">
        <f t="array" aca="1" ref="CC116" ca="1">IF(OR($D116&lt;&gt;"Serviço",AND(AUTOEVENTO="Manual",$M116=$A$15),$M116&gt;(ROW(PLE.lastrow)-ROW(PLE.firstrow))),0,
           IF(OFFSET(PLE!$G$15,$M116-$A$15,CC$13)="",10^12,OFFSET(PLE!$G$15,$M116-$A$15,CC$13)))</f>
        <v>1000000000000</v>
      </c>
      <c r="CD116" s="172" cm="1">
        <f t="array" aca="1" ref="CD116" ca="1">IF(OR($D116&lt;&gt;"Serviço",AND(AUTOEVENTO="Manual",$M116=$A$15),$M116&gt;(ROW(PLE.lastrow)-ROW(PLE.firstrow))),0,
           IF(OFFSET(PLE!$G$15,$M116-$A$15,CD$13)="",10^12,OFFSET(PLE!$G$15,$M116-$A$15,CD$13)))</f>
        <v>1000000000000</v>
      </c>
      <c r="CE116" s="172" cm="1">
        <f t="array" aca="1" ref="CE116" ca="1">IF(OR($D116&lt;&gt;"Serviço",AND(AUTOEVENTO="Manual",$M116=$A$15),$M116&gt;(ROW(PLE.lastrow)-ROW(PLE.firstrow))),0,
           IF(OFFSET(PLE!$G$15,$M116-$A$15,CE$13)="",10^12,OFFSET(PLE!$G$15,$M116-$A$15,CE$13)))</f>
        <v>1000000000000</v>
      </c>
      <c r="CF116" s="172" cm="1">
        <f t="array" aca="1" ref="CF116" ca="1">IF(OR($D116&lt;&gt;"Serviço",AND(AUTOEVENTO="Manual",$M116=$A$15),$M116&gt;(ROW(PLE.lastrow)-ROW(PLE.firstrow))),0,
           IF(OFFSET(PLE!$G$15,$M116-$A$15,CF$13)="",10^12,OFFSET(PLE!$G$15,$M116-$A$15,CF$13)))</f>
        <v>1000000000000</v>
      </c>
      <c r="CG116" s="172" cm="1">
        <f t="array" aca="1" ref="CG116" ca="1">IF(OR($D116&lt;&gt;"Serviço",AND(AUTOEVENTO="Manual",$M116=$A$15),$M116&gt;(ROW(PLE.lastrow)-ROW(PLE.firstrow))),0,
           IF(OFFSET(PLE!$G$15,$M116-$A$15,CG$13)="",10^12,OFFSET(PLE!$G$15,$M116-$A$15,CG$13)))</f>
        <v>1000000000000</v>
      </c>
      <c r="CH116" s="172" cm="1">
        <f t="array" aca="1" ref="CH116" ca="1">IF(OR($D116&lt;&gt;"Serviço",AND(AUTOEVENTO="Manual",$M116=$A$15),$M116&gt;(ROW(PLE.lastrow)-ROW(PLE.firstrow))),0,
           IF(OFFSET(PLE!$G$15,$M116-$A$15,CH$13)="",10^12,OFFSET(PLE!$G$15,$M116-$A$15,CH$13)))</f>
        <v>1000000000000</v>
      </c>
      <c r="CI116" s="172" cm="1">
        <f t="array" aca="1" ref="CI116" ca="1">IF(OR($D116&lt;&gt;"Serviço",AND(AUTOEVENTO="Manual",$M116=$A$15),$M116&gt;(ROW(PLE.lastrow)-ROW(PLE.firstrow))),0,
           IF(OFFSET(PLE!$G$15,$M116-$A$15,CI$13)="",10^12,OFFSET(PLE!$G$15,$M116-$A$15,CI$13)))</f>
        <v>1000000000000</v>
      </c>
      <c r="CJ116" s="172" cm="1">
        <f t="array" aca="1" ref="CJ116" ca="1">IF(OR($D116&lt;&gt;"Serviço",AND(AUTOEVENTO="Manual",$M116=$A$15),$M116&gt;(ROW(PLE.lastrow)-ROW(PLE.firstrow))),0,
           IF(OFFSET(PLE!$G$15,$M116-$A$15,CJ$13)="",10^12,OFFSET(PLE!$G$15,$M116-$A$15,CJ$13)))</f>
        <v>1000000000000</v>
      </c>
      <c r="CK116" s="172" cm="1">
        <f t="array" aca="1" ref="CK116" ca="1">IF(OR($D116&lt;&gt;"Serviço",AND(AUTOEVENTO="Manual",$M116=$A$15),$M116&gt;(ROW(PLE.lastrow)-ROW(PLE.firstrow))),0,
           IF(OFFSET(PLE!$G$15,$M116-$A$15,CK$13)="",10^12,OFFSET(PLE!$G$15,$M116-$A$15,CK$13)))</f>
        <v>1000000000000</v>
      </c>
      <c r="CL116" s="172" cm="1">
        <f t="array" aca="1" ref="CL116" ca="1">IF(OR($D116&lt;&gt;"Serviço",AND(AUTOEVENTO="Manual",$M116=$A$15),$M116&gt;(ROW(PLE.lastrow)-ROW(PLE.firstrow))),0,
           IF(OFFSET(PLE!$G$15,$M116-$A$15,CL$13)="",10^12,OFFSET(PLE!$G$15,$M116-$A$15,CL$13)))</f>
        <v>1000000000000</v>
      </c>
      <c r="CM116" s="172" cm="1">
        <f t="array" aca="1" ref="CM116" ca="1">IF(OR($D116&lt;&gt;"Serviço",AND(AUTOEVENTO="Manual",$M116=$A$15),$M116&gt;(ROW(PLE.lastrow)-ROW(PLE.firstrow))),0,
           IF(OFFSET(PLE!$G$15,$M116-$A$15,CM$13)="",10^12,OFFSET(PLE!$G$15,$M116-$A$15,CM$13)))</f>
        <v>1000000000000</v>
      </c>
    </row>
    <row r="117" spans="1:91" s="670" customFormat="1" ht="25.5" x14ac:dyDescent="0.2">
      <c r="A117" s="668">
        <f t="shared" ca="1" si="12"/>
        <v>25</v>
      </c>
      <c r="B117" s="668" t="str">
        <f ca="1">OFFSET(ORÇAMENTO!C$15,$L117,0)</f>
        <v>S</v>
      </c>
      <c r="C117" s="668" t="str">
        <f ca="1">OFFSET(ORÇAMENTO!L$15,$L117,0)</f>
        <v>F</v>
      </c>
      <c r="D117" s="116" t="str">
        <f ca="1">OFFSET(ORÇAMENTO!N$15,$L117,0)</f>
        <v>Serviço</v>
      </c>
      <c r="E117" s="117" t="str">
        <f ca="1">OFFSET(ORÇAMENTO!O$15,$L117,0)</f>
        <v>1.17.3.</v>
      </c>
      <c r="F117" s="163" t="str">
        <f ca="1">OFFSET(ORÇAMENTO!R$15,$L117,0)</f>
        <v>CAIXA DE PASSAGEM EM ALUMÍNIO COM TAMPA E VEDAÇÃO 20X20CM</v>
      </c>
      <c r="G117" s="164" t="str">
        <f ca="1">IF($D117&lt;&gt;"Serviço","",OFFSET(ORÇAMENTO!S$15,$L117,0))</f>
        <v>UNIDADE</v>
      </c>
      <c r="H117" s="122" cm="1">
        <f t="array" aca="1" ref="H117" ca="1">IF($D117&lt;&gt;"Serviço",0,IF(ACOMPANHAMENTO="BM",ROUND(OFFSET(ORÇAMENTO!AJ$15,$L117,0),15-13*ORÇAMENTO!$AF$7),IF(IFERROR(CÁLCULO.FrentesPreenchidas,0)=0,0,SUM(ROUND(OFFSET($P117,0,1,1,CÁLCULO.FrentesPreenchidas),15-13*ORÇAMENTO!$AF$7)))))</f>
        <v>32</v>
      </c>
      <c r="I117" s="679" t="s">
        <v>1178</v>
      </c>
      <c r="J117" s="651" t="str" cm="1">
        <f t="array" aca="1" ref="J117" ca="1">IF(OR(B117&lt;&gt;"S",CÁLCULO.FrentesPreenchidas=0),"",IF(AND(ACOMPANHAMENTO="PLE",AUTOEVENTO="Manual",OR(H117&gt;0,ORÇAMENTO!AC117="QUANT."),OR(K117="",M117=0,N117="")),"►E",IF(AND(ACOMPANHAMENTO="PLE",ORÇAMENTO!AC117="QUANT."),"►Q",IF(AND(ACOMPANHAMENTO="PLE",H117&lt;&gt;SUMPRODUCT(($Q$1:$AI$1=1)*ROUND(Q117:AI117,15))),"►S",IF(AND(COUNTIF($P$11:$AI$11,"▼")=0,H117&gt;0,I117=""),"◄M","")))))</f>
        <v/>
      </c>
      <c r="K117" s="652" t="s">
        <v>1359</v>
      </c>
      <c r="L117" s="165">
        <f t="shared" ca="1" si="13"/>
        <v>102</v>
      </c>
      <c r="M117" s="166">
        <f ca="1">IF($D117&lt;&gt;"Serviço","",
          IF(AUTOEVENTO="manual",$A117,
                IF(ISERROR(MATCH($A117,$A$15:OFFSET($A117,-1,0),0)),MAX($M$15:OFFSET(M117,-1,0))+1,
                      INDEX($M$15:OFFSET(M117,-1,0),MATCH($A117,$A$15:OFFSET($A117,-1,0),0)))))</f>
        <v>25</v>
      </c>
      <c r="N117" s="167" t="str">
        <f ca="1">IF($D117&lt;&gt;"Serviço","",
         IF(AUTOEVENTO="Manual",
                IF($A117=0,"&lt;-- defina o número do agrupador",
                       OFFSET(EVENTOS!$D$15,$A117-$A$15,0)),
                OFFSET($F$15,$A117,0)))</f>
        <v>Instalações elétricas</v>
      </c>
      <c r="O117" s="168"/>
      <c r="Q117" s="168"/>
      <c r="R117" s="169"/>
      <c r="S117" s="169"/>
      <c r="T117" s="169"/>
      <c r="U117" s="169"/>
      <c r="V117" s="169">
        <v>32</v>
      </c>
      <c r="W117" s="169"/>
      <c r="X117" s="169"/>
      <c r="Y117" s="169"/>
      <c r="Z117" s="170"/>
      <c r="AA117" s="705"/>
      <c r="AB117" s="705"/>
      <c r="AC117" s="705"/>
      <c r="AD117" s="705"/>
      <c r="AE117" s="705"/>
      <c r="AF117" s="705"/>
      <c r="AG117" s="705"/>
      <c r="AH117" s="706"/>
      <c r="AJ117" s="453">
        <f ca="1">IF(AND($D117="Serviço",AJ$12&lt;&gt;0,$H117&gt;0,OR(AUTOEVENTO&lt;&gt;"manual",$M117&lt;&gt;$A$15)),
        IF(Import.TipoArredondamento&lt;&gt;"TransfereGOV",
              ROUND(OFFSET($P117,0,AJ$13),15-13*ORÇAMENTO!$AF$7)/$H117*OFFSET(ORÇAMENTO!$X$15,ROW(AJ117)-ROW(AJ$15),0),
              ROUND(ROUND(OFFSET($P117,0,AJ$13),15-13*ORÇAMENTO!$AF$7)*OFFSET(ORÇAMENTO!$W$15,ROW(AJ117)-ROW(AJ$15),0),15-13*ORÇAMENTO!$AF$11)),
         0)</f>
        <v>0</v>
      </c>
      <c r="AK117" s="453">
        <f ca="1">IF(AND($D117="Serviço",AK$12&lt;&gt;0,$H117&gt;0,OR(AUTOEVENTO&lt;&gt;"manual",$M117&lt;&gt;$A$15)),
        IF(Import.TipoArredondamento&lt;&gt;"TransfereGOV",
              ROUND(OFFSET($P117,0,AK$13),15-13*ORÇAMENTO!$AF$7)/$H117*OFFSET(ORÇAMENTO!$X$15,ROW(AK117)-ROW(AK$15),0),
              ROUND(ROUND(OFFSET($P117,0,AK$13),15-13*ORÇAMENTO!$AF$7)*OFFSET(ORÇAMENTO!$W$15,ROW(AK117)-ROW(AK$15),0),15-13*ORÇAMENTO!$AF$11)),
         0)</f>
        <v>0</v>
      </c>
      <c r="AL117" s="453">
        <f ca="1">IF(AND($D117="Serviço",AL$12&lt;&gt;0,$H117&gt;0,OR(AUTOEVENTO&lt;&gt;"manual",$M117&lt;&gt;$A$15)),
        IF(Import.TipoArredondamento&lt;&gt;"TransfereGOV",
              ROUND(OFFSET($P117,0,AL$13),15-13*ORÇAMENTO!$AF$7)/$H117*OFFSET(ORÇAMENTO!$X$15,ROW(AL117)-ROW(AL$15),0),
              ROUND(ROUND(OFFSET($P117,0,AL$13),15-13*ORÇAMENTO!$AF$7)*OFFSET(ORÇAMENTO!$W$15,ROW(AL117)-ROW(AL$15),0),15-13*ORÇAMENTO!$AF$11)),
         0)</f>
        <v>0</v>
      </c>
      <c r="AM117" s="453">
        <f ca="1">IF(AND($D117="Serviço",AM$12&lt;&gt;0,$H117&gt;0,OR(AUTOEVENTO&lt;&gt;"manual",$M117&lt;&gt;$A$15)),
        IF(Import.TipoArredondamento&lt;&gt;"TransfereGOV",
              ROUND(OFFSET($P117,0,AM$13),15-13*ORÇAMENTO!$AF$7)/$H117*OFFSET(ORÇAMENTO!$X$15,ROW(AM117)-ROW(AM$15),0),
              ROUND(ROUND(OFFSET($P117,0,AM$13),15-13*ORÇAMENTO!$AF$7)*OFFSET(ORÇAMENTO!$W$15,ROW(AM117)-ROW(AM$15),0),15-13*ORÇAMENTO!$AF$11)),
         0)</f>
        <v>0</v>
      </c>
      <c r="AN117" s="453">
        <f ca="1">IF(AND($D117="Serviço",AN$12&lt;&gt;0,$H117&gt;0,OR(AUTOEVENTO&lt;&gt;"manual",$M117&lt;&gt;$A$15)),
        IF(Import.TipoArredondamento&lt;&gt;"TransfereGOV",
              ROUND(OFFSET($P117,0,AN$13),15-13*ORÇAMENTO!$AF$7)/$H117*OFFSET(ORÇAMENTO!$X$15,ROW(AN117)-ROW(AN$15),0),
              ROUND(ROUND(OFFSET($P117,0,AN$13),15-13*ORÇAMENTO!$AF$7)*OFFSET(ORÇAMENTO!$W$15,ROW(AN117)-ROW(AN$15),0),15-13*ORÇAMENTO!$AF$11)),
         0)</f>
        <v>0</v>
      </c>
      <c r="AO117" s="453">
        <f ca="1">IF(AND($D117="Serviço",AO$12&lt;&gt;0,$H117&gt;0,OR(AUTOEVENTO&lt;&gt;"manual",$M117&lt;&gt;$A$15)),
        IF(Import.TipoArredondamento&lt;&gt;"TransfereGOV",
              ROUND(OFFSET($P117,0,AO$13),15-13*ORÇAMENTO!$AF$7)/$H117*OFFSET(ORÇAMENTO!$X$15,ROW(AO117)-ROW(AO$15),0),
              ROUND(ROUND(OFFSET($P117,0,AO$13),15-13*ORÇAMENTO!$AF$7)*OFFSET(ORÇAMENTO!$W$15,ROW(AO117)-ROW(AO$15),0),15-13*ORÇAMENTO!$AF$11)),
         0)</f>
        <v>4621.12</v>
      </c>
      <c r="AP117" s="453">
        <f ca="1">IF(AND($D117="Serviço",AP$12&lt;&gt;0,$H117&gt;0,OR(AUTOEVENTO&lt;&gt;"manual",$M117&lt;&gt;$A$15)),
        IF(Import.TipoArredondamento&lt;&gt;"TransfereGOV",
              ROUND(OFFSET($P117,0,AP$13),15-13*ORÇAMENTO!$AF$7)/$H117*OFFSET(ORÇAMENTO!$X$15,ROW(AP117)-ROW(AP$15),0),
              ROUND(ROUND(OFFSET($P117,0,AP$13),15-13*ORÇAMENTO!$AF$7)*OFFSET(ORÇAMENTO!$W$15,ROW(AP117)-ROW(AP$15),0),15-13*ORÇAMENTO!$AF$11)),
         0)</f>
        <v>0</v>
      </c>
      <c r="AQ117" s="453">
        <f ca="1">IF(AND($D117="Serviço",AQ$12&lt;&gt;0,$H117&gt;0,OR(AUTOEVENTO&lt;&gt;"manual",$M117&lt;&gt;$A$15)),
        IF(Import.TipoArredondamento&lt;&gt;"TransfereGOV",
              ROUND(OFFSET($P117,0,AQ$13),15-13*ORÇAMENTO!$AF$7)/$H117*OFFSET(ORÇAMENTO!$X$15,ROW(AQ117)-ROW(AQ$15),0),
              ROUND(ROUND(OFFSET($P117,0,AQ$13),15-13*ORÇAMENTO!$AF$7)*OFFSET(ORÇAMENTO!$W$15,ROW(AQ117)-ROW(AQ$15),0),15-13*ORÇAMENTO!$AF$11)),
         0)</f>
        <v>0</v>
      </c>
      <c r="AR117" s="453">
        <f ca="1">IF(AND($D117="Serviço",AR$12&lt;&gt;0,$H117&gt;0,OR(AUTOEVENTO&lt;&gt;"manual",$M117&lt;&gt;$A$15)),
        IF(Import.TipoArredondamento&lt;&gt;"TransfereGOV",
              ROUND(OFFSET($P117,0,AR$13),15-13*ORÇAMENTO!$AF$7)/$H117*OFFSET(ORÇAMENTO!$X$15,ROW(AR117)-ROW(AR$15),0),
              ROUND(ROUND(OFFSET($P117,0,AR$13),15-13*ORÇAMENTO!$AF$7)*OFFSET(ORÇAMENTO!$W$15,ROW(AR117)-ROW(AR$15),0),15-13*ORÇAMENTO!$AF$11)),
         0)</f>
        <v>0</v>
      </c>
      <c r="AS117" s="453">
        <f ca="1">IF(AND($D117="Serviço",AS$12&lt;&gt;0,$H117&gt;0,OR(AUTOEVENTO&lt;&gt;"manual",$M117&lt;&gt;$A$15)),
        IF(Import.TipoArredondamento&lt;&gt;"TransfereGOV",
              ROUND(OFFSET($P117,0,AS$13),15-13*ORÇAMENTO!$AF$7)/$H117*OFFSET(ORÇAMENTO!$X$15,ROW(AS117)-ROW(AS$15),0),
              ROUND(ROUND(OFFSET($P117,0,AS$13),15-13*ORÇAMENTO!$AF$7)*OFFSET(ORÇAMENTO!$W$15,ROW(AS117)-ROW(AS$15),0),15-13*ORÇAMENTO!$AF$11)),
         0)</f>
        <v>0</v>
      </c>
      <c r="AT117" s="453">
        <f ca="1">IF(AND($D117="Serviço",AT$12&lt;&gt;0,$H117&gt;0,OR(AUTOEVENTO&lt;&gt;"manual",$M117&lt;&gt;$A$15)),
        IF(Import.TipoArredondamento&lt;&gt;"TransfereGOV",
              ROUND(OFFSET($P117,0,AT$13),15-13*ORÇAMENTO!$AF$7)/$H117*OFFSET(ORÇAMENTO!$X$15,ROW(AT117)-ROW(AT$15),0),
              ROUND(ROUND(OFFSET($P117,0,AT$13),15-13*ORÇAMENTO!$AF$7)*OFFSET(ORÇAMENTO!$W$15,ROW(AT117)-ROW(AT$15),0),15-13*ORÇAMENTO!$AF$11)),
         0)</f>
        <v>0</v>
      </c>
      <c r="AU117" s="453">
        <f ca="1">IF(AND($D117="Serviço",AU$12&lt;&gt;0,$H117&gt;0,OR(AUTOEVENTO&lt;&gt;"manual",$M117&lt;&gt;$A$15)),
        IF(Import.TipoArredondamento&lt;&gt;"TransfereGOV",
              ROUND(OFFSET($P117,0,AU$13),15-13*ORÇAMENTO!$AF$7)/$H117*OFFSET(ORÇAMENTO!$X$15,ROW(AU117)-ROW(AU$15),0),
              ROUND(ROUND(OFFSET($P117,0,AU$13),15-13*ORÇAMENTO!$AF$7)*OFFSET(ORÇAMENTO!$W$15,ROW(AU117)-ROW(AU$15),0),15-13*ORÇAMENTO!$AF$11)),
         0)</f>
        <v>0</v>
      </c>
      <c r="AV117" s="453">
        <f ca="1">IF(AND($D117="Serviço",AV$12&lt;&gt;0,$H117&gt;0,OR(AUTOEVENTO&lt;&gt;"manual",$M117&lt;&gt;$A$15)),
        IF(Import.TipoArredondamento&lt;&gt;"TransfereGOV",
              ROUND(OFFSET($P117,0,AV$13),15-13*ORÇAMENTO!$AF$7)/$H117*OFFSET(ORÇAMENTO!$X$15,ROW(AV117)-ROW(AV$15),0),
              ROUND(ROUND(OFFSET($P117,0,AV$13),15-13*ORÇAMENTO!$AF$7)*OFFSET(ORÇAMENTO!$W$15,ROW(AV117)-ROW(AV$15),0),15-13*ORÇAMENTO!$AF$11)),
         0)</f>
        <v>0</v>
      </c>
      <c r="AW117" s="453">
        <f ca="1">IF(AND($D117="Serviço",AW$12&lt;&gt;0,$H117&gt;0,OR(AUTOEVENTO&lt;&gt;"manual",$M117&lt;&gt;$A$15)),
        IF(Import.TipoArredondamento&lt;&gt;"TransfereGOV",
              ROUND(OFFSET($P117,0,AW$13),15-13*ORÇAMENTO!$AF$7)/$H117*OFFSET(ORÇAMENTO!$X$15,ROW(AW117)-ROW(AW$15),0),
              ROUND(ROUND(OFFSET($P117,0,AW$13),15-13*ORÇAMENTO!$AF$7)*OFFSET(ORÇAMENTO!$W$15,ROW(AW117)-ROW(AW$15),0),15-13*ORÇAMENTO!$AF$11)),
         0)</f>
        <v>0</v>
      </c>
      <c r="AX117" s="453">
        <f ca="1">IF(AND($D117="Serviço",AX$12&lt;&gt;0,$H117&gt;0,OR(AUTOEVENTO&lt;&gt;"manual",$M117&lt;&gt;$A$15)),
        IF(Import.TipoArredondamento&lt;&gt;"TransfereGOV",
              ROUND(OFFSET($P117,0,AX$13),15-13*ORÇAMENTO!$AF$7)/$H117*OFFSET(ORÇAMENTO!$X$15,ROW(AX117)-ROW(AX$15),0),
              ROUND(ROUND(OFFSET($P117,0,AX$13),15-13*ORÇAMENTO!$AF$7)*OFFSET(ORÇAMENTO!$W$15,ROW(AX117)-ROW(AX$15),0),15-13*ORÇAMENTO!$AF$11)),
         0)</f>
        <v>0</v>
      </c>
      <c r="AY117" s="453">
        <f ca="1">IF(AND($D117="Serviço",AY$12&lt;&gt;0,$H117&gt;0,OR(AUTOEVENTO&lt;&gt;"manual",$M117&lt;&gt;$A$15)),
        IF(Import.TipoArredondamento&lt;&gt;"TransfereGOV",
              ROUND(OFFSET($P117,0,AY$13),15-13*ORÇAMENTO!$AF$7)/$H117*OFFSET(ORÇAMENTO!$X$15,ROW(AY117)-ROW(AY$15),0),
              ROUND(ROUND(OFFSET($P117,0,AY$13),15-13*ORÇAMENTO!$AF$7)*OFFSET(ORÇAMENTO!$W$15,ROW(AY117)-ROW(AY$15),0),15-13*ORÇAMENTO!$AF$11)),
         0)</f>
        <v>0</v>
      </c>
      <c r="AZ117" s="453">
        <f ca="1">IF(AND($D117="Serviço",AZ$12&lt;&gt;0,$H117&gt;0,OR(AUTOEVENTO&lt;&gt;"manual",$M117&lt;&gt;$A$15)),
        IF(Import.TipoArredondamento&lt;&gt;"TransfereGOV",
              ROUND(OFFSET($P117,0,AZ$13),15-13*ORÇAMENTO!$AF$7)/$H117*OFFSET(ORÇAMENTO!$X$15,ROW(AZ117)-ROW(AZ$15),0),
              ROUND(ROUND(OFFSET($P117,0,AZ$13),15-13*ORÇAMENTO!$AF$7)*OFFSET(ORÇAMENTO!$W$15,ROW(AZ117)-ROW(AZ$15),0),15-13*ORÇAMENTO!$AF$11)),
         0)</f>
        <v>0</v>
      </c>
      <c r="BA117" s="453">
        <f ca="1">IF(AND($D117="Serviço",BA$12&lt;&gt;0,$H117&gt;0,OR(AUTOEVENTO&lt;&gt;"manual",$M117&lt;&gt;$A$15)),
        IF(Import.TipoArredondamento&lt;&gt;"TransfereGOV",
              ROUND(OFFSET($P117,0,BA$13),15-13*ORÇAMENTO!$AF$7)/$H117*OFFSET(ORÇAMENTO!$X$15,ROW(BA117)-ROW(BA$15),0),
              ROUND(ROUND(OFFSET($P117,0,BA$13),15-13*ORÇAMENTO!$AF$7)*OFFSET(ORÇAMENTO!$W$15,ROW(BA117)-ROW(BA$15),0),15-13*ORÇAMENTO!$AF$11)),
         0)</f>
        <v>0</v>
      </c>
      <c r="BC117" s="171">
        <f ca="1">IF(OR($D117&lt;&gt;"Serviço",AND(AUTOEVENTO="Manual",$M117=$A$15)),0,
         IF(OFFSET(CRONOPLE!$F$15,$M117-$A$15,BC$13)=0,10^12,OFFSET(CRONOPLE!$F$15,$M117-$A$15,BC$13)))</f>
        <v>1000000000000</v>
      </c>
      <c r="BD117" s="171">
        <f ca="1">IF(OR($D117&lt;&gt;"Serviço",AND(AUTOEVENTO="Manual",$M117=$A$15)),0,
         IF(OFFSET(CRONOPLE!$F$15,$M117-$A$15,BD$13)=0,10^12,OFFSET(CRONOPLE!$F$15,$M117-$A$15,BD$13)))</f>
        <v>1000000000000</v>
      </c>
      <c r="BE117" s="171">
        <f ca="1">IF(OR($D117&lt;&gt;"Serviço",AND(AUTOEVENTO="Manual",$M117=$A$15)),0,
         IF(OFFSET(CRONOPLE!$F$15,$M117-$A$15,BE$13)=0,10^12,OFFSET(CRONOPLE!$F$15,$M117-$A$15,BE$13)))</f>
        <v>1000000000000</v>
      </c>
      <c r="BF117" s="171">
        <f ca="1">IF(OR($D117&lt;&gt;"Serviço",AND(AUTOEVENTO="Manual",$M117=$A$15)),0,
         IF(OFFSET(CRONOPLE!$F$15,$M117-$A$15,BF$13)=0,10^12,OFFSET(CRONOPLE!$F$15,$M117-$A$15,BF$13)))</f>
        <v>1000000000000</v>
      </c>
      <c r="BG117" s="171">
        <f ca="1">IF(OR($D117&lt;&gt;"Serviço",AND(AUTOEVENTO="Manual",$M117=$A$15)),0,
         IF(OFFSET(CRONOPLE!$F$15,$M117-$A$15,BG$13)=0,10^12,OFFSET(CRONOPLE!$F$15,$M117-$A$15,BG$13)))</f>
        <v>1000000000000</v>
      </c>
      <c r="BH117" s="171">
        <f ca="1">IF(OR($D117&lt;&gt;"Serviço",AND(AUTOEVENTO="Manual",$M117=$A$15)),0,
         IF(OFFSET(CRONOPLE!$F$15,$M117-$A$15,BH$13)=0,10^12,OFFSET(CRONOPLE!$F$15,$M117-$A$15,BH$13)))</f>
        <v>9</v>
      </c>
      <c r="BI117" s="171">
        <f ca="1">IF(OR($D117&lt;&gt;"Serviço",AND(AUTOEVENTO="Manual",$M117=$A$15)),0,
         IF(OFFSET(CRONOPLE!$F$15,$M117-$A$15,BI$13)=0,10^12,OFFSET(CRONOPLE!$F$15,$M117-$A$15,BI$13)))</f>
        <v>1000000000000</v>
      </c>
      <c r="BJ117" s="171">
        <f ca="1">IF(OR($D117&lt;&gt;"Serviço",AND(AUTOEVENTO="Manual",$M117=$A$15)),0,
         IF(OFFSET(CRONOPLE!$F$15,$M117-$A$15,BJ$13)=0,10^12,OFFSET(CRONOPLE!$F$15,$M117-$A$15,BJ$13)))</f>
        <v>1000000000000</v>
      </c>
      <c r="BK117" s="171">
        <f ca="1">IF(OR($D117&lt;&gt;"Serviço",AND(AUTOEVENTO="Manual",$M117=$A$15)),0,
         IF(OFFSET(CRONOPLE!$F$15,$M117-$A$15,BK$13)=0,10^12,OFFSET(CRONOPLE!$F$15,$M117-$A$15,BK$13)))</f>
        <v>1000000000000</v>
      </c>
      <c r="BL117" s="171">
        <f ca="1">IF(OR($D117&lt;&gt;"Serviço",AND(AUTOEVENTO="Manual",$M117=$A$15)),0,
         IF(OFFSET(CRONOPLE!$F$15,$M117-$A$15,BL$13)=0,10^12,OFFSET(CRONOPLE!$F$15,$M117-$A$15,BL$13)))</f>
        <v>1000000000000</v>
      </c>
      <c r="BM117" s="171">
        <f ca="1">IF(OR($D117&lt;&gt;"Serviço",AND(AUTOEVENTO="Manual",$M117=$A$15)),0,
         IF(OFFSET(CRONOPLE!$F$15,$M117-$A$15,BM$13)=0,10^12,OFFSET(CRONOPLE!$F$15,$M117-$A$15,BM$13)))</f>
        <v>1000000000000</v>
      </c>
      <c r="BN117" s="171">
        <f ca="1">IF(OR($D117&lt;&gt;"Serviço",AND(AUTOEVENTO="Manual",$M117=$A$15)),0,
         IF(OFFSET(CRONOPLE!$F$15,$M117-$A$15,BN$13)=0,10^12,OFFSET(CRONOPLE!$F$15,$M117-$A$15,BN$13)))</f>
        <v>1000000000000</v>
      </c>
      <c r="BO117" s="171">
        <f ca="1">IF(OR($D117&lt;&gt;"Serviço",AND(AUTOEVENTO="Manual",$M117=$A$15)),0,
         IF(OFFSET(CRONOPLE!$F$15,$M117-$A$15,BO$13)=0,10^12,OFFSET(CRONOPLE!$F$15,$M117-$A$15,BO$13)))</f>
        <v>1000000000000</v>
      </c>
      <c r="BP117" s="171">
        <f ca="1">IF(OR($D117&lt;&gt;"Serviço",AND(AUTOEVENTO="Manual",$M117=$A$15)),0,
         IF(OFFSET(CRONOPLE!$F$15,$M117-$A$15,BP$13)=0,10^12,OFFSET(CRONOPLE!$F$15,$M117-$A$15,BP$13)))</f>
        <v>1000000000000</v>
      </c>
      <c r="BQ117" s="171">
        <f ca="1">IF(OR($D117&lt;&gt;"Serviço",AND(AUTOEVENTO="Manual",$M117=$A$15)),0,
         IF(OFFSET(CRONOPLE!$F$15,$M117-$A$15,BQ$13)=0,10^12,OFFSET(CRONOPLE!$F$15,$M117-$A$15,BQ$13)))</f>
        <v>1000000000000</v>
      </c>
      <c r="BR117" s="171">
        <f ca="1">IF(OR($D117&lt;&gt;"Serviço",AND(AUTOEVENTO="Manual",$M117=$A$15)),0,
         IF(OFFSET(CRONOPLE!$F$15,$M117-$A$15,BR$13)=0,10^12,OFFSET(CRONOPLE!$F$15,$M117-$A$15,BR$13)))</f>
        <v>1000000000000</v>
      </c>
      <c r="BS117" s="171">
        <f ca="1">IF(OR($D117&lt;&gt;"Serviço",AND(AUTOEVENTO="Manual",$M117=$A$15)),0,
         IF(OFFSET(CRONOPLE!$F$15,$M117-$A$15,BS$13)=0,10^12,OFFSET(CRONOPLE!$F$15,$M117-$A$15,BS$13)))</f>
        <v>1000000000000</v>
      </c>
      <c r="BT117" s="171">
        <f ca="1">IF(OR($D117&lt;&gt;"Serviço",AND(AUTOEVENTO="Manual",$M117=$A$15)),0,
         IF(OFFSET(CRONOPLE!$F$15,$M117-$A$15,BT$13)=0,10^12,OFFSET(CRONOPLE!$F$15,$M117-$A$15,BT$13)))</f>
        <v>1000000000000</v>
      </c>
      <c r="BV117" s="172" cm="1">
        <f t="array" aca="1" ref="BV117" ca="1">IF(OR($D117&lt;&gt;"Serviço",AND(AUTOEVENTO="Manual",$M117=$A$15),$M117&gt;(ROW(PLE.lastrow)-ROW(PLE.firstrow))),0,
           IF(OFFSET(PLE!$G$15,$M117-$A$15,BV$13)="",10^12,OFFSET(PLE!$G$15,$M117-$A$15,BV$13)))</f>
        <v>1000000000000</v>
      </c>
      <c r="BW117" s="172" cm="1">
        <f t="array" aca="1" ref="BW117" ca="1">IF(OR($D117&lt;&gt;"Serviço",AND(AUTOEVENTO="Manual",$M117=$A$15),$M117&gt;(ROW(PLE.lastrow)-ROW(PLE.firstrow))),0,
           IF(OFFSET(PLE!$G$15,$M117-$A$15,BW$13)="",10^12,OFFSET(PLE!$G$15,$M117-$A$15,BW$13)))</f>
        <v>1000000000000</v>
      </c>
      <c r="BX117" s="172" cm="1">
        <f t="array" aca="1" ref="BX117" ca="1">IF(OR($D117&lt;&gt;"Serviço",AND(AUTOEVENTO="Manual",$M117=$A$15),$M117&gt;(ROW(PLE.lastrow)-ROW(PLE.firstrow))),0,
           IF(OFFSET(PLE!$G$15,$M117-$A$15,BX$13)="",10^12,OFFSET(PLE!$G$15,$M117-$A$15,BX$13)))</f>
        <v>1000000000000</v>
      </c>
      <c r="BY117" s="172" cm="1">
        <f t="array" aca="1" ref="BY117" ca="1">IF(OR($D117&lt;&gt;"Serviço",AND(AUTOEVENTO="Manual",$M117=$A$15),$M117&gt;(ROW(PLE.lastrow)-ROW(PLE.firstrow))),0,
           IF(OFFSET(PLE!$G$15,$M117-$A$15,BY$13)="",10^12,OFFSET(PLE!$G$15,$M117-$A$15,BY$13)))</f>
        <v>1000000000000</v>
      </c>
      <c r="BZ117" s="172" cm="1">
        <f t="array" aca="1" ref="BZ117" ca="1">IF(OR($D117&lt;&gt;"Serviço",AND(AUTOEVENTO="Manual",$M117=$A$15),$M117&gt;(ROW(PLE.lastrow)-ROW(PLE.firstrow))),0,
           IF(OFFSET(PLE!$G$15,$M117-$A$15,BZ$13)="",10^12,OFFSET(PLE!$G$15,$M117-$A$15,BZ$13)))</f>
        <v>1000000000000</v>
      </c>
      <c r="CA117" s="172" cm="1">
        <f t="array" aca="1" ref="CA117" ca="1">IF(OR($D117&lt;&gt;"Serviço",AND(AUTOEVENTO="Manual",$M117=$A$15),$M117&gt;(ROW(PLE.lastrow)-ROW(PLE.firstrow))),0,
           IF(OFFSET(PLE!$G$15,$M117-$A$15,CA$13)="",10^12,OFFSET(PLE!$G$15,$M117-$A$15,CA$13)))</f>
        <v>1000000000000</v>
      </c>
      <c r="CB117" s="172" cm="1">
        <f t="array" aca="1" ref="CB117" ca="1">IF(OR($D117&lt;&gt;"Serviço",AND(AUTOEVENTO="Manual",$M117=$A$15),$M117&gt;(ROW(PLE.lastrow)-ROW(PLE.firstrow))),0,
           IF(OFFSET(PLE!$G$15,$M117-$A$15,CB$13)="",10^12,OFFSET(PLE!$G$15,$M117-$A$15,CB$13)))</f>
        <v>1000000000000</v>
      </c>
      <c r="CC117" s="172" cm="1">
        <f t="array" aca="1" ref="CC117" ca="1">IF(OR($D117&lt;&gt;"Serviço",AND(AUTOEVENTO="Manual",$M117=$A$15),$M117&gt;(ROW(PLE.lastrow)-ROW(PLE.firstrow))),0,
           IF(OFFSET(PLE!$G$15,$M117-$A$15,CC$13)="",10^12,OFFSET(PLE!$G$15,$M117-$A$15,CC$13)))</f>
        <v>1000000000000</v>
      </c>
      <c r="CD117" s="172" cm="1">
        <f t="array" aca="1" ref="CD117" ca="1">IF(OR($D117&lt;&gt;"Serviço",AND(AUTOEVENTO="Manual",$M117=$A$15),$M117&gt;(ROW(PLE.lastrow)-ROW(PLE.firstrow))),0,
           IF(OFFSET(PLE!$G$15,$M117-$A$15,CD$13)="",10^12,OFFSET(PLE!$G$15,$M117-$A$15,CD$13)))</f>
        <v>1000000000000</v>
      </c>
      <c r="CE117" s="172" cm="1">
        <f t="array" aca="1" ref="CE117" ca="1">IF(OR($D117&lt;&gt;"Serviço",AND(AUTOEVENTO="Manual",$M117=$A$15),$M117&gt;(ROW(PLE.lastrow)-ROW(PLE.firstrow))),0,
           IF(OFFSET(PLE!$G$15,$M117-$A$15,CE$13)="",10^12,OFFSET(PLE!$G$15,$M117-$A$15,CE$13)))</f>
        <v>1000000000000</v>
      </c>
      <c r="CF117" s="172" cm="1">
        <f t="array" aca="1" ref="CF117" ca="1">IF(OR($D117&lt;&gt;"Serviço",AND(AUTOEVENTO="Manual",$M117=$A$15),$M117&gt;(ROW(PLE.lastrow)-ROW(PLE.firstrow))),0,
           IF(OFFSET(PLE!$G$15,$M117-$A$15,CF$13)="",10^12,OFFSET(PLE!$G$15,$M117-$A$15,CF$13)))</f>
        <v>1000000000000</v>
      </c>
      <c r="CG117" s="172" cm="1">
        <f t="array" aca="1" ref="CG117" ca="1">IF(OR($D117&lt;&gt;"Serviço",AND(AUTOEVENTO="Manual",$M117=$A$15),$M117&gt;(ROW(PLE.lastrow)-ROW(PLE.firstrow))),0,
           IF(OFFSET(PLE!$G$15,$M117-$A$15,CG$13)="",10^12,OFFSET(PLE!$G$15,$M117-$A$15,CG$13)))</f>
        <v>1000000000000</v>
      </c>
      <c r="CH117" s="172" cm="1">
        <f t="array" aca="1" ref="CH117" ca="1">IF(OR($D117&lt;&gt;"Serviço",AND(AUTOEVENTO="Manual",$M117=$A$15),$M117&gt;(ROW(PLE.lastrow)-ROW(PLE.firstrow))),0,
           IF(OFFSET(PLE!$G$15,$M117-$A$15,CH$13)="",10^12,OFFSET(PLE!$G$15,$M117-$A$15,CH$13)))</f>
        <v>1000000000000</v>
      </c>
      <c r="CI117" s="172" cm="1">
        <f t="array" aca="1" ref="CI117" ca="1">IF(OR($D117&lt;&gt;"Serviço",AND(AUTOEVENTO="Manual",$M117=$A$15),$M117&gt;(ROW(PLE.lastrow)-ROW(PLE.firstrow))),0,
           IF(OFFSET(PLE!$G$15,$M117-$A$15,CI$13)="",10^12,OFFSET(PLE!$G$15,$M117-$A$15,CI$13)))</f>
        <v>1000000000000</v>
      </c>
      <c r="CJ117" s="172" cm="1">
        <f t="array" aca="1" ref="CJ117" ca="1">IF(OR($D117&lt;&gt;"Serviço",AND(AUTOEVENTO="Manual",$M117=$A$15),$M117&gt;(ROW(PLE.lastrow)-ROW(PLE.firstrow))),0,
           IF(OFFSET(PLE!$G$15,$M117-$A$15,CJ$13)="",10^12,OFFSET(PLE!$G$15,$M117-$A$15,CJ$13)))</f>
        <v>1000000000000</v>
      </c>
      <c r="CK117" s="172" cm="1">
        <f t="array" aca="1" ref="CK117" ca="1">IF(OR($D117&lt;&gt;"Serviço",AND(AUTOEVENTO="Manual",$M117=$A$15),$M117&gt;(ROW(PLE.lastrow)-ROW(PLE.firstrow))),0,
           IF(OFFSET(PLE!$G$15,$M117-$A$15,CK$13)="",10^12,OFFSET(PLE!$G$15,$M117-$A$15,CK$13)))</f>
        <v>1000000000000</v>
      </c>
      <c r="CL117" s="172" cm="1">
        <f t="array" aca="1" ref="CL117" ca="1">IF(OR($D117&lt;&gt;"Serviço",AND(AUTOEVENTO="Manual",$M117=$A$15),$M117&gt;(ROW(PLE.lastrow)-ROW(PLE.firstrow))),0,
           IF(OFFSET(PLE!$G$15,$M117-$A$15,CL$13)="",10^12,OFFSET(PLE!$G$15,$M117-$A$15,CL$13)))</f>
        <v>1000000000000</v>
      </c>
      <c r="CM117" s="172" cm="1">
        <f t="array" aca="1" ref="CM117" ca="1">IF(OR($D117&lt;&gt;"Serviço",AND(AUTOEVENTO="Manual",$M117=$A$15),$M117&gt;(ROW(PLE.lastrow)-ROW(PLE.firstrow))),0,
           IF(OFFSET(PLE!$G$15,$M117-$A$15,CM$13)="",10^12,OFFSET(PLE!$G$15,$M117-$A$15,CM$13)))</f>
        <v>1000000000000</v>
      </c>
    </row>
    <row r="118" spans="1:91" s="670" customFormat="1" ht="38.25" x14ac:dyDescent="0.2">
      <c r="A118" s="668">
        <f t="shared" ca="1" si="12"/>
        <v>25</v>
      </c>
      <c r="B118" s="668" t="str">
        <f ca="1">OFFSET(ORÇAMENTO!C$15,$L118,0)</f>
        <v>S</v>
      </c>
      <c r="C118" s="668" t="str">
        <f ca="1">OFFSET(ORÇAMENTO!L$15,$L118,0)</f>
        <v>F</v>
      </c>
      <c r="D118" s="116" t="str">
        <f ca="1">OFFSET(ORÇAMENTO!N$15,$L118,0)</f>
        <v>Serviço</v>
      </c>
      <c r="E118" s="117" t="str">
        <f ca="1">OFFSET(ORÇAMENTO!O$15,$L118,0)</f>
        <v>1.17.4.</v>
      </c>
      <c r="F118" s="163" t="str">
        <f ca="1">OFFSET(ORÇAMENTO!R$15,$L118,0)</f>
        <v>DUTO CORRUGADO HELICOIDAL, EM POLIETILENO DE ALTA DENSIDADE (PEAD), DIÂMETRO DE 1.1/4", PARA CABO SUBTERRÂNEO, EXCLUSIVE ESCAVAÇÃO</v>
      </c>
      <c r="G118" s="164" t="str">
        <f ca="1">IF($D118&lt;&gt;"Serviço","",OFFSET(ORÇAMENTO!S$15,$L118,0))</f>
        <v>m</v>
      </c>
      <c r="H118" s="122" cm="1">
        <f t="array" aca="1" ref="H118" ca="1">IF($D118&lt;&gt;"Serviço",0,IF(ACOMPANHAMENTO="BM",ROUND(OFFSET(ORÇAMENTO!AJ$15,$L118,0),15-13*ORÇAMENTO!$AF$7),IF(IFERROR(CÁLCULO.FrentesPreenchidas,0)=0,0,SUM(ROUND(OFFSET($P118,0,1,1,CÁLCULO.FrentesPreenchidas),15-13*ORÇAMENTO!$AF$7)))))</f>
        <v>65</v>
      </c>
      <c r="I118" s="468" t="s">
        <v>1326</v>
      </c>
      <c r="J118" s="651" t="str" cm="1">
        <f t="array" aca="1" ref="J118" ca="1">IF(OR(B118&lt;&gt;"S",CÁLCULO.FrentesPreenchidas=0),"",IF(AND(ACOMPANHAMENTO="PLE",AUTOEVENTO="Manual",OR(H118&gt;0,ORÇAMENTO!AC118="QUANT."),OR(K118="",M118=0,N118="")),"►E",IF(AND(ACOMPANHAMENTO="PLE",ORÇAMENTO!AC118="QUANT."),"►Q",IF(AND(ACOMPANHAMENTO="PLE",H118&lt;&gt;SUMPRODUCT(($Q$1:$AI$1=1)*ROUND(Q118:AI118,15))),"►S",IF(AND(COUNTIF($P$11:$AI$11,"▼")=0,H118&gt;0,I118=""),"◄M","")))))</f>
        <v/>
      </c>
      <c r="K118" s="652" t="s">
        <v>1359</v>
      </c>
      <c r="L118" s="165">
        <f t="shared" ca="1" si="13"/>
        <v>103</v>
      </c>
      <c r="M118" s="166">
        <f ca="1">IF($D118&lt;&gt;"Serviço","",
          IF(AUTOEVENTO="manual",$A118,
                IF(ISERROR(MATCH($A118,$A$15:OFFSET($A118,-1,0),0)),MAX($M$15:OFFSET(M118,-1,0))+1,
                      INDEX($M$15:OFFSET(M118,-1,0),MATCH($A118,$A$15:OFFSET($A118,-1,0),0)))))</f>
        <v>25</v>
      </c>
      <c r="N118" s="167" t="str">
        <f ca="1">IF($D118&lt;&gt;"Serviço","",
         IF(AUTOEVENTO="Manual",
                IF($A118=0,"&lt;-- defina o número do agrupador",
                       OFFSET(EVENTOS!$D$15,$A118-$A$15,0)),
                OFFSET($F$15,$A118,0)))</f>
        <v>Instalações elétricas</v>
      </c>
      <c r="O118" s="168"/>
      <c r="Q118" s="168"/>
      <c r="R118" s="169"/>
      <c r="S118" s="169"/>
      <c r="T118" s="169"/>
      <c r="U118" s="169"/>
      <c r="V118" s="169">
        <v>65</v>
      </c>
      <c r="W118" s="169"/>
      <c r="X118" s="169"/>
      <c r="Y118" s="169"/>
      <c r="Z118" s="170"/>
      <c r="AA118" s="705"/>
      <c r="AB118" s="705"/>
      <c r="AC118" s="705"/>
      <c r="AD118" s="705"/>
      <c r="AE118" s="705"/>
      <c r="AF118" s="705"/>
      <c r="AG118" s="705"/>
      <c r="AH118" s="706"/>
      <c r="AJ118" s="453">
        <f ca="1">IF(AND($D118="Serviço",AJ$12&lt;&gt;0,$H118&gt;0,OR(AUTOEVENTO&lt;&gt;"manual",$M118&lt;&gt;$A$15)),
        IF(Import.TipoArredondamento&lt;&gt;"TransfereGOV",
              ROUND(OFFSET($P118,0,AJ$13),15-13*ORÇAMENTO!$AF$7)/$H118*OFFSET(ORÇAMENTO!$X$15,ROW(AJ118)-ROW(AJ$15),0),
              ROUND(ROUND(OFFSET($P118,0,AJ$13),15-13*ORÇAMENTO!$AF$7)*OFFSET(ORÇAMENTO!$W$15,ROW(AJ118)-ROW(AJ$15),0),15-13*ORÇAMENTO!$AF$11)),
         0)</f>
        <v>0</v>
      </c>
      <c r="AK118" s="453">
        <f ca="1">IF(AND($D118="Serviço",AK$12&lt;&gt;0,$H118&gt;0,OR(AUTOEVENTO&lt;&gt;"manual",$M118&lt;&gt;$A$15)),
        IF(Import.TipoArredondamento&lt;&gt;"TransfereGOV",
              ROUND(OFFSET($P118,0,AK$13),15-13*ORÇAMENTO!$AF$7)/$H118*OFFSET(ORÇAMENTO!$X$15,ROW(AK118)-ROW(AK$15),0),
              ROUND(ROUND(OFFSET($P118,0,AK$13),15-13*ORÇAMENTO!$AF$7)*OFFSET(ORÇAMENTO!$W$15,ROW(AK118)-ROW(AK$15),0),15-13*ORÇAMENTO!$AF$11)),
         0)</f>
        <v>0</v>
      </c>
      <c r="AL118" s="453">
        <f ca="1">IF(AND($D118="Serviço",AL$12&lt;&gt;0,$H118&gt;0,OR(AUTOEVENTO&lt;&gt;"manual",$M118&lt;&gt;$A$15)),
        IF(Import.TipoArredondamento&lt;&gt;"TransfereGOV",
              ROUND(OFFSET($P118,0,AL$13),15-13*ORÇAMENTO!$AF$7)/$H118*OFFSET(ORÇAMENTO!$X$15,ROW(AL118)-ROW(AL$15),0),
              ROUND(ROUND(OFFSET($P118,0,AL$13),15-13*ORÇAMENTO!$AF$7)*OFFSET(ORÇAMENTO!$W$15,ROW(AL118)-ROW(AL$15),0),15-13*ORÇAMENTO!$AF$11)),
         0)</f>
        <v>0</v>
      </c>
      <c r="AM118" s="453">
        <f ca="1">IF(AND($D118="Serviço",AM$12&lt;&gt;0,$H118&gt;0,OR(AUTOEVENTO&lt;&gt;"manual",$M118&lt;&gt;$A$15)),
        IF(Import.TipoArredondamento&lt;&gt;"TransfereGOV",
              ROUND(OFFSET($P118,0,AM$13),15-13*ORÇAMENTO!$AF$7)/$H118*OFFSET(ORÇAMENTO!$X$15,ROW(AM118)-ROW(AM$15),0),
              ROUND(ROUND(OFFSET($P118,0,AM$13),15-13*ORÇAMENTO!$AF$7)*OFFSET(ORÇAMENTO!$W$15,ROW(AM118)-ROW(AM$15),0),15-13*ORÇAMENTO!$AF$11)),
         0)</f>
        <v>0</v>
      </c>
      <c r="AN118" s="453">
        <f ca="1">IF(AND($D118="Serviço",AN$12&lt;&gt;0,$H118&gt;0,OR(AUTOEVENTO&lt;&gt;"manual",$M118&lt;&gt;$A$15)),
        IF(Import.TipoArredondamento&lt;&gt;"TransfereGOV",
              ROUND(OFFSET($P118,0,AN$13),15-13*ORÇAMENTO!$AF$7)/$H118*OFFSET(ORÇAMENTO!$X$15,ROW(AN118)-ROW(AN$15),0),
              ROUND(ROUND(OFFSET($P118,0,AN$13),15-13*ORÇAMENTO!$AF$7)*OFFSET(ORÇAMENTO!$W$15,ROW(AN118)-ROW(AN$15),0),15-13*ORÇAMENTO!$AF$11)),
         0)</f>
        <v>0</v>
      </c>
      <c r="AO118" s="453">
        <f ca="1">IF(AND($D118="Serviço",AO$12&lt;&gt;0,$H118&gt;0,OR(AUTOEVENTO&lt;&gt;"manual",$M118&lt;&gt;$A$15)),
        IF(Import.TipoArredondamento&lt;&gt;"TransfereGOV",
              ROUND(OFFSET($P118,0,AO$13),15-13*ORÇAMENTO!$AF$7)/$H118*OFFSET(ORÇAMENTO!$X$15,ROW(AO118)-ROW(AO$15),0),
              ROUND(ROUND(OFFSET($P118,0,AO$13),15-13*ORÇAMENTO!$AF$7)*OFFSET(ORÇAMENTO!$W$15,ROW(AO118)-ROW(AO$15),0),15-13*ORÇAMENTO!$AF$11)),
         0)</f>
        <v>581.75</v>
      </c>
      <c r="AP118" s="453">
        <f ca="1">IF(AND($D118="Serviço",AP$12&lt;&gt;0,$H118&gt;0,OR(AUTOEVENTO&lt;&gt;"manual",$M118&lt;&gt;$A$15)),
        IF(Import.TipoArredondamento&lt;&gt;"TransfereGOV",
              ROUND(OFFSET($P118,0,AP$13),15-13*ORÇAMENTO!$AF$7)/$H118*OFFSET(ORÇAMENTO!$X$15,ROW(AP118)-ROW(AP$15),0),
              ROUND(ROUND(OFFSET($P118,0,AP$13),15-13*ORÇAMENTO!$AF$7)*OFFSET(ORÇAMENTO!$W$15,ROW(AP118)-ROW(AP$15),0),15-13*ORÇAMENTO!$AF$11)),
         0)</f>
        <v>0</v>
      </c>
      <c r="AQ118" s="453">
        <f ca="1">IF(AND($D118="Serviço",AQ$12&lt;&gt;0,$H118&gt;0,OR(AUTOEVENTO&lt;&gt;"manual",$M118&lt;&gt;$A$15)),
        IF(Import.TipoArredondamento&lt;&gt;"TransfereGOV",
              ROUND(OFFSET($P118,0,AQ$13),15-13*ORÇAMENTO!$AF$7)/$H118*OFFSET(ORÇAMENTO!$X$15,ROW(AQ118)-ROW(AQ$15),0),
              ROUND(ROUND(OFFSET($P118,0,AQ$13),15-13*ORÇAMENTO!$AF$7)*OFFSET(ORÇAMENTO!$W$15,ROW(AQ118)-ROW(AQ$15),0),15-13*ORÇAMENTO!$AF$11)),
         0)</f>
        <v>0</v>
      </c>
      <c r="AR118" s="453">
        <f ca="1">IF(AND($D118="Serviço",AR$12&lt;&gt;0,$H118&gt;0,OR(AUTOEVENTO&lt;&gt;"manual",$M118&lt;&gt;$A$15)),
        IF(Import.TipoArredondamento&lt;&gt;"TransfereGOV",
              ROUND(OFFSET($P118,0,AR$13),15-13*ORÇAMENTO!$AF$7)/$H118*OFFSET(ORÇAMENTO!$X$15,ROW(AR118)-ROW(AR$15),0),
              ROUND(ROUND(OFFSET($P118,0,AR$13),15-13*ORÇAMENTO!$AF$7)*OFFSET(ORÇAMENTO!$W$15,ROW(AR118)-ROW(AR$15),0),15-13*ORÇAMENTO!$AF$11)),
         0)</f>
        <v>0</v>
      </c>
      <c r="AS118" s="453">
        <f ca="1">IF(AND($D118="Serviço",AS$12&lt;&gt;0,$H118&gt;0,OR(AUTOEVENTO&lt;&gt;"manual",$M118&lt;&gt;$A$15)),
        IF(Import.TipoArredondamento&lt;&gt;"TransfereGOV",
              ROUND(OFFSET($P118,0,AS$13),15-13*ORÇAMENTO!$AF$7)/$H118*OFFSET(ORÇAMENTO!$X$15,ROW(AS118)-ROW(AS$15),0),
              ROUND(ROUND(OFFSET($P118,0,AS$13),15-13*ORÇAMENTO!$AF$7)*OFFSET(ORÇAMENTO!$W$15,ROW(AS118)-ROW(AS$15),0),15-13*ORÇAMENTO!$AF$11)),
         0)</f>
        <v>0</v>
      </c>
      <c r="AT118" s="453">
        <f ca="1">IF(AND($D118="Serviço",AT$12&lt;&gt;0,$H118&gt;0,OR(AUTOEVENTO&lt;&gt;"manual",$M118&lt;&gt;$A$15)),
        IF(Import.TipoArredondamento&lt;&gt;"TransfereGOV",
              ROUND(OFFSET($P118,0,AT$13),15-13*ORÇAMENTO!$AF$7)/$H118*OFFSET(ORÇAMENTO!$X$15,ROW(AT118)-ROW(AT$15),0),
              ROUND(ROUND(OFFSET($P118,0,AT$13),15-13*ORÇAMENTO!$AF$7)*OFFSET(ORÇAMENTO!$W$15,ROW(AT118)-ROW(AT$15),0),15-13*ORÇAMENTO!$AF$11)),
         0)</f>
        <v>0</v>
      </c>
      <c r="AU118" s="453">
        <f ca="1">IF(AND($D118="Serviço",AU$12&lt;&gt;0,$H118&gt;0,OR(AUTOEVENTO&lt;&gt;"manual",$M118&lt;&gt;$A$15)),
        IF(Import.TipoArredondamento&lt;&gt;"TransfereGOV",
              ROUND(OFFSET($P118,0,AU$13),15-13*ORÇAMENTO!$AF$7)/$H118*OFFSET(ORÇAMENTO!$X$15,ROW(AU118)-ROW(AU$15),0),
              ROUND(ROUND(OFFSET($P118,0,AU$13),15-13*ORÇAMENTO!$AF$7)*OFFSET(ORÇAMENTO!$W$15,ROW(AU118)-ROW(AU$15),0),15-13*ORÇAMENTO!$AF$11)),
         0)</f>
        <v>0</v>
      </c>
      <c r="AV118" s="453">
        <f ca="1">IF(AND($D118="Serviço",AV$12&lt;&gt;0,$H118&gt;0,OR(AUTOEVENTO&lt;&gt;"manual",$M118&lt;&gt;$A$15)),
        IF(Import.TipoArredondamento&lt;&gt;"TransfereGOV",
              ROUND(OFFSET($P118,0,AV$13),15-13*ORÇAMENTO!$AF$7)/$H118*OFFSET(ORÇAMENTO!$X$15,ROW(AV118)-ROW(AV$15),0),
              ROUND(ROUND(OFFSET($P118,0,AV$13),15-13*ORÇAMENTO!$AF$7)*OFFSET(ORÇAMENTO!$W$15,ROW(AV118)-ROW(AV$15),0),15-13*ORÇAMENTO!$AF$11)),
         0)</f>
        <v>0</v>
      </c>
      <c r="AW118" s="453">
        <f ca="1">IF(AND($D118="Serviço",AW$12&lt;&gt;0,$H118&gt;0,OR(AUTOEVENTO&lt;&gt;"manual",$M118&lt;&gt;$A$15)),
        IF(Import.TipoArredondamento&lt;&gt;"TransfereGOV",
              ROUND(OFFSET($P118,0,AW$13),15-13*ORÇAMENTO!$AF$7)/$H118*OFFSET(ORÇAMENTO!$X$15,ROW(AW118)-ROW(AW$15),0),
              ROUND(ROUND(OFFSET($P118,0,AW$13),15-13*ORÇAMENTO!$AF$7)*OFFSET(ORÇAMENTO!$W$15,ROW(AW118)-ROW(AW$15),0),15-13*ORÇAMENTO!$AF$11)),
         0)</f>
        <v>0</v>
      </c>
      <c r="AX118" s="453">
        <f ca="1">IF(AND($D118="Serviço",AX$12&lt;&gt;0,$H118&gt;0,OR(AUTOEVENTO&lt;&gt;"manual",$M118&lt;&gt;$A$15)),
        IF(Import.TipoArredondamento&lt;&gt;"TransfereGOV",
              ROUND(OFFSET($P118,0,AX$13),15-13*ORÇAMENTO!$AF$7)/$H118*OFFSET(ORÇAMENTO!$X$15,ROW(AX118)-ROW(AX$15),0),
              ROUND(ROUND(OFFSET($P118,0,AX$13),15-13*ORÇAMENTO!$AF$7)*OFFSET(ORÇAMENTO!$W$15,ROW(AX118)-ROW(AX$15),0),15-13*ORÇAMENTO!$AF$11)),
         0)</f>
        <v>0</v>
      </c>
      <c r="AY118" s="453">
        <f ca="1">IF(AND($D118="Serviço",AY$12&lt;&gt;0,$H118&gt;0,OR(AUTOEVENTO&lt;&gt;"manual",$M118&lt;&gt;$A$15)),
        IF(Import.TipoArredondamento&lt;&gt;"TransfereGOV",
              ROUND(OFFSET($P118,0,AY$13),15-13*ORÇAMENTO!$AF$7)/$H118*OFFSET(ORÇAMENTO!$X$15,ROW(AY118)-ROW(AY$15),0),
              ROUND(ROUND(OFFSET($P118,0,AY$13),15-13*ORÇAMENTO!$AF$7)*OFFSET(ORÇAMENTO!$W$15,ROW(AY118)-ROW(AY$15),0),15-13*ORÇAMENTO!$AF$11)),
         0)</f>
        <v>0</v>
      </c>
      <c r="AZ118" s="453">
        <f ca="1">IF(AND($D118="Serviço",AZ$12&lt;&gt;0,$H118&gt;0,OR(AUTOEVENTO&lt;&gt;"manual",$M118&lt;&gt;$A$15)),
        IF(Import.TipoArredondamento&lt;&gt;"TransfereGOV",
              ROUND(OFFSET($P118,0,AZ$13),15-13*ORÇAMENTO!$AF$7)/$H118*OFFSET(ORÇAMENTO!$X$15,ROW(AZ118)-ROW(AZ$15),0),
              ROUND(ROUND(OFFSET($P118,0,AZ$13),15-13*ORÇAMENTO!$AF$7)*OFFSET(ORÇAMENTO!$W$15,ROW(AZ118)-ROW(AZ$15),0),15-13*ORÇAMENTO!$AF$11)),
         0)</f>
        <v>0</v>
      </c>
      <c r="BA118" s="453">
        <f ca="1">IF(AND($D118="Serviço",BA$12&lt;&gt;0,$H118&gt;0,OR(AUTOEVENTO&lt;&gt;"manual",$M118&lt;&gt;$A$15)),
        IF(Import.TipoArredondamento&lt;&gt;"TransfereGOV",
              ROUND(OFFSET($P118,0,BA$13),15-13*ORÇAMENTO!$AF$7)/$H118*OFFSET(ORÇAMENTO!$X$15,ROW(BA118)-ROW(BA$15),0),
              ROUND(ROUND(OFFSET($P118,0,BA$13),15-13*ORÇAMENTO!$AF$7)*OFFSET(ORÇAMENTO!$W$15,ROW(BA118)-ROW(BA$15),0),15-13*ORÇAMENTO!$AF$11)),
         0)</f>
        <v>0</v>
      </c>
      <c r="BC118" s="171">
        <f ca="1">IF(OR($D118&lt;&gt;"Serviço",AND(AUTOEVENTO="Manual",$M118=$A$15)),0,
         IF(OFFSET(CRONOPLE!$F$15,$M118-$A$15,BC$13)=0,10^12,OFFSET(CRONOPLE!$F$15,$M118-$A$15,BC$13)))</f>
        <v>1000000000000</v>
      </c>
      <c r="BD118" s="171">
        <f ca="1">IF(OR($D118&lt;&gt;"Serviço",AND(AUTOEVENTO="Manual",$M118=$A$15)),0,
         IF(OFFSET(CRONOPLE!$F$15,$M118-$A$15,BD$13)=0,10^12,OFFSET(CRONOPLE!$F$15,$M118-$A$15,BD$13)))</f>
        <v>1000000000000</v>
      </c>
      <c r="BE118" s="171">
        <f ca="1">IF(OR($D118&lt;&gt;"Serviço",AND(AUTOEVENTO="Manual",$M118=$A$15)),0,
         IF(OFFSET(CRONOPLE!$F$15,$M118-$A$15,BE$13)=0,10^12,OFFSET(CRONOPLE!$F$15,$M118-$A$15,BE$13)))</f>
        <v>1000000000000</v>
      </c>
      <c r="BF118" s="171">
        <f ca="1">IF(OR($D118&lt;&gt;"Serviço",AND(AUTOEVENTO="Manual",$M118=$A$15)),0,
         IF(OFFSET(CRONOPLE!$F$15,$M118-$A$15,BF$13)=0,10^12,OFFSET(CRONOPLE!$F$15,$M118-$A$15,BF$13)))</f>
        <v>1000000000000</v>
      </c>
      <c r="BG118" s="171">
        <f ca="1">IF(OR($D118&lt;&gt;"Serviço",AND(AUTOEVENTO="Manual",$M118=$A$15)),0,
         IF(OFFSET(CRONOPLE!$F$15,$M118-$A$15,BG$13)=0,10^12,OFFSET(CRONOPLE!$F$15,$M118-$A$15,BG$13)))</f>
        <v>1000000000000</v>
      </c>
      <c r="BH118" s="171">
        <f ca="1">IF(OR($D118&lt;&gt;"Serviço",AND(AUTOEVENTO="Manual",$M118=$A$15)),0,
         IF(OFFSET(CRONOPLE!$F$15,$M118-$A$15,BH$13)=0,10^12,OFFSET(CRONOPLE!$F$15,$M118-$A$15,BH$13)))</f>
        <v>9</v>
      </c>
      <c r="BI118" s="171">
        <f ca="1">IF(OR($D118&lt;&gt;"Serviço",AND(AUTOEVENTO="Manual",$M118=$A$15)),0,
         IF(OFFSET(CRONOPLE!$F$15,$M118-$A$15,BI$13)=0,10^12,OFFSET(CRONOPLE!$F$15,$M118-$A$15,BI$13)))</f>
        <v>1000000000000</v>
      </c>
      <c r="BJ118" s="171">
        <f ca="1">IF(OR($D118&lt;&gt;"Serviço",AND(AUTOEVENTO="Manual",$M118=$A$15)),0,
         IF(OFFSET(CRONOPLE!$F$15,$M118-$A$15,BJ$13)=0,10^12,OFFSET(CRONOPLE!$F$15,$M118-$A$15,BJ$13)))</f>
        <v>1000000000000</v>
      </c>
      <c r="BK118" s="171">
        <f ca="1">IF(OR($D118&lt;&gt;"Serviço",AND(AUTOEVENTO="Manual",$M118=$A$15)),0,
         IF(OFFSET(CRONOPLE!$F$15,$M118-$A$15,BK$13)=0,10^12,OFFSET(CRONOPLE!$F$15,$M118-$A$15,BK$13)))</f>
        <v>1000000000000</v>
      </c>
      <c r="BL118" s="171">
        <f ca="1">IF(OR($D118&lt;&gt;"Serviço",AND(AUTOEVENTO="Manual",$M118=$A$15)),0,
         IF(OFFSET(CRONOPLE!$F$15,$M118-$A$15,BL$13)=0,10^12,OFFSET(CRONOPLE!$F$15,$M118-$A$15,BL$13)))</f>
        <v>1000000000000</v>
      </c>
      <c r="BM118" s="171">
        <f ca="1">IF(OR($D118&lt;&gt;"Serviço",AND(AUTOEVENTO="Manual",$M118=$A$15)),0,
         IF(OFFSET(CRONOPLE!$F$15,$M118-$A$15,BM$13)=0,10^12,OFFSET(CRONOPLE!$F$15,$M118-$A$15,BM$13)))</f>
        <v>1000000000000</v>
      </c>
      <c r="BN118" s="171">
        <f ca="1">IF(OR($D118&lt;&gt;"Serviço",AND(AUTOEVENTO="Manual",$M118=$A$15)),0,
         IF(OFFSET(CRONOPLE!$F$15,$M118-$A$15,BN$13)=0,10^12,OFFSET(CRONOPLE!$F$15,$M118-$A$15,BN$13)))</f>
        <v>1000000000000</v>
      </c>
      <c r="BO118" s="171">
        <f ca="1">IF(OR($D118&lt;&gt;"Serviço",AND(AUTOEVENTO="Manual",$M118=$A$15)),0,
         IF(OFFSET(CRONOPLE!$F$15,$M118-$A$15,BO$13)=0,10^12,OFFSET(CRONOPLE!$F$15,$M118-$A$15,BO$13)))</f>
        <v>1000000000000</v>
      </c>
      <c r="BP118" s="171">
        <f ca="1">IF(OR($D118&lt;&gt;"Serviço",AND(AUTOEVENTO="Manual",$M118=$A$15)),0,
         IF(OFFSET(CRONOPLE!$F$15,$M118-$A$15,BP$13)=0,10^12,OFFSET(CRONOPLE!$F$15,$M118-$A$15,BP$13)))</f>
        <v>1000000000000</v>
      </c>
      <c r="BQ118" s="171">
        <f ca="1">IF(OR($D118&lt;&gt;"Serviço",AND(AUTOEVENTO="Manual",$M118=$A$15)),0,
         IF(OFFSET(CRONOPLE!$F$15,$M118-$A$15,BQ$13)=0,10^12,OFFSET(CRONOPLE!$F$15,$M118-$A$15,BQ$13)))</f>
        <v>1000000000000</v>
      </c>
      <c r="BR118" s="171">
        <f ca="1">IF(OR($D118&lt;&gt;"Serviço",AND(AUTOEVENTO="Manual",$M118=$A$15)),0,
         IF(OFFSET(CRONOPLE!$F$15,$M118-$A$15,BR$13)=0,10^12,OFFSET(CRONOPLE!$F$15,$M118-$A$15,BR$13)))</f>
        <v>1000000000000</v>
      </c>
      <c r="BS118" s="171">
        <f ca="1">IF(OR($D118&lt;&gt;"Serviço",AND(AUTOEVENTO="Manual",$M118=$A$15)),0,
         IF(OFFSET(CRONOPLE!$F$15,$M118-$A$15,BS$13)=0,10^12,OFFSET(CRONOPLE!$F$15,$M118-$A$15,BS$13)))</f>
        <v>1000000000000</v>
      </c>
      <c r="BT118" s="171">
        <f ca="1">IF(OR($D118&lt;&gt;"Serviço",AND(AUTOEVENTO="Manual",$M118=$A$15)),0,
         IF(OFFSET(CRONOPLE!$F$15,$M118-$A$15,BT$13)=0,10^12,OFFSET(CRONOPLE!$F$15,$M118-$A$15,BT$13)))</f>
        <v>1000000000000</v>
      </c>
      <c r="BV118" s="172" cm="1">
        <f t="array" aca="1" ref="BV118" ca="1">IF(OR($D118&lt;&gt;"Serviço",AND(AUTOEVENTO="Manual",$M118=$A$15),$M118&gt;(ROW(PLE.lastrow)-ROW(PLE.firstrow))),0,
           IF(OFFSET(PLE!$G$15,$M118-$A$15,BV$13)="",10^12,OFFSET(PLE!$G$15,$M118-$A$15,BV$13)))</f>
        <v>1000000000000</v>
      </c>
      <c r="BW118" s="172" cm="1">
        <f t="array" aca="1" ref="BW118" ca="1">IF(OR($D118&lt;&gt;"Serviço",AND(AUTOEVENTO="Manual",$M118=$A$15),$M118&gt;(ROW(PLE.lastrow)-ROW(PLE.firstrow))),0,
           IF(OFFSET(PLE!$G$15,$M118-$A$15,BW$13)="",10^12,OFFSET(PLE!$G$15,$M118-$A$15,BW$13)))</f>
        <v>1000000000000</v>
      </c>
      <c r="BX118" s="172" cm="1">
        <f t="array" aca="1" ref="BX118" ca="1">IF(OR($D118&lt;&gt;"Serviço",AND(AUTOEVENTO="Manual",$M118=$A$15),$M118&gt;(ROW(PLE.lastrow)-ROW(PLE.firstrow))),0,
           IF(OFFSET(PLE!$G$15,$M118-$A$15,BX$13)="",10^12,OFFSET(PLE!$G$15,$M118-$A$15,BX$13)))</f>
        <v>1000000000000</v>
      </c>
      <c r="BY118" s="172" cm="1">
        <f t="array" aca="1" ref="BY118" ca="1">IF(OR($D118&lt;&gt;"Serviço",AND(AUTOEVENTO="Manual",$M118=$A$15),$M118&gt;(ROW(PLE.lastrow)-ROW(PLE.firstrow))),0,
           IF(OFFSET(PLE!$G$15,$M118-$A$15,BY$13)="",10^12,OFFSET(PLE!$G$15,$M118-$A$15,BY$13)))</f>
        <v>1000000000000</v>
      </c>
      <c r="BZ118" s="172" cm="1">
        <f t="array" aca="1" ref="BZ118" ca="1">IF(OR($D118&lt;&gt;"Serviço",AND(AUTOEVENTO="Manual",$M118=$A$15),$M118&gt;(ROW(PLE.lastrow)-ROW(PLE.firstrow))),0,
           IF(OFFSET(PLE!$G$15,$M118-$A$15,BZ$13)="",10^12,OFFSET(PLE!$G$15,$M118-$A$15,BZ$13)))</f>
        <v>1000000000000</v>
      </c>
      <c r="CA118" s="172" cm="1">
        <f t="array" aca="1" ref="CA118" ca="1">IF(OR($D118&lt;&gt;"Serviço",AND(AUTOEVENTO="Manual",$M118=$A$15),$M118&gt;(ROW(PLE.lastrow)-ROW(PLE.firstrow))),0,
           IF(OFFSET(PLE!$G$15,$M118-$A$15,CA$13)="",10^12,OFFSET(PLE!$G$15,$M118-$A$15,CA$13)))</f>
        <v>1000000000000</v>
      </c>
      <c r="CB118" s="172" cm="1">
        <f t="array" aca="1" ref="CB118" ca="1">IF(OR($D118&lt;&gt;"Serviço",AND(AUTOEVENTO="Manual",$M118=$A$15),$M118&gt;(ROW(PLE.lastrow)-ROW(PLE.firstrow))),0,
           IF(OFFSET(PLE!$G$15,$M118-$A$15,CB$13)="",10^12,OFFSET(PLE!$G$15,$M118-$A$15,CB$13)))</f>
        <v>1000000000000</v>
      </c>
      <c r="CC118" s="172" cm="1">
        <f t="array" aca="1" ref="CC118" ca="1">IF(OR($D118&lt;&gt;"Serviço",AND(AUTOEVENTO="Manual",$M118=$A$15),$M118&gt;(ROW(PLE.lastrow)-ROW(PLE.firstrow))),0,
           IF(OFFSET(PLE!$G$15,$M118-$A$15,CC$13)="",10^12,OFFSET(PLE!$G$15,$M118-$A$15,CC$13)))</f>
        <v>1000000000000</v>
      </c>
      <c r="CD118" s="172" cm="1">
        <f t="array" aca="1" ref="CD118" ca="1">IF(OR($D118&lt;&gt;"Serviço",AND(AUTOEVENTO="Manual",$M118=$A$15),$M118&gt;(ROW(PLE.lastrow)-ROW(PLE.firstrow))),0,
           IF(OFFSET(PLE!$G$15,$M118-$A$15,CD$13)="",10^12,OFFSET(PLE!$G$15,$M118-$A$15,CD$13)))</f>
        <v>1000000000000</v>
      </c>
      <c r="CE118" s="172" cm="1">
        <f t="array" aca="1" ref="CE118" ca="1">IF(OR($D118&lt;&gt;"Serviço",AND(AUTOEVENTO="Manual",$M118=$A$15),$M118&gt;(ROW(PLE.lastrow)-ROW(PLE.firstrow))),0,
           IF(OFFSET(PLE!$G$15,$M118-$A$15,CE$13)="",10^12,OFFSET(PLE!$G$15,$M118-$A$15,CE$13)))</f>
        <v>1000000000000</v>
      </c>
      <c r="CF118" s="172" cm="1">
        <f t="array" aca="1" ref="CF118" ca="1">IF(OR($D118&lt;&gt;"Serviço",AND(AUTOEVENTO="Manual",$M118=$A$15),$M118&gt;(ROW(PLE.lastrow)-ROW(PLE.firstrow))),0,
           IF(OFFSET(PLE!$G$15,$M118-$A$15,CF$13)="",10^12,OFFSET(PLE!$G$15,$M118-$A$15,CF$13)))</f>
        <v>1000000000000</v>
      </c>
      <c r="CG118" s="172" cm="1">
        <f t="array" aca="1" ref="CG118" ca="1">IF(OR($D118&lt;&gt;"Serviço",AND(AUTOEVENTO="Manual",$M118=$A$15),$M118&gt;(ROW(PLE.lastrow)-ROW(PLE.firstrow))),0,
           IF(OFFSET(PLE!$G$15,$M118-$A$15,CG$13)="",10^12,OFFSET(PLE!$G$15,$M118-$A$15,CG$13)))</f>
        <v>1000000000000</v>
      </c>
      <c r="CH118" s="172" cm="1">
        <f t="array" aca="1" ref="CH118" ca="1">IF(OR($D118&lt;&gt;"Serviço",AND(AUTOEVENTO="Manual",$M118=$A$15),$M118&gt;(ROW(PLE.lastrow)-ROW(PLE.firstrow))),0,
           IF(OFFSET(PLE!$G$15,$M118-$A$15,CH$13)="",10^12,OFFSET(PLE!$G$15,$M118-$A$15,CH$13)))</f>
        <v>1000000000000</v>
      </c>
      <c r="CI118" s="172" cm="1">
        <f t="array" aca="1" ref="CI118" ca="1">IF(OR($D118&lt;&gt;"Serviço",AND(AUTOEVENTO="Manual",$M118=$A$15),$M118&gt;(ROW(PLE.lastrow)-ROW(PLE.firstrow))),0,
           IF(OFFSET(PLE!$G$15,$M118-$A$15,CI$13)="",10^12,OFFSET(PLE!$G$15,$M118-$A$15,CI$13)))</f>
        <v>1000000000000</v>
      </c>
      <c r="CJ118" s="172" cm="1">
        <f t="array" aca="1" ref="CJ118" ca="1">IF(OR($D118&lt;&gt;"Serviço",AND(AUTOEVENTO="Manual",$M118=$A$15),$M118&gt;(ROW(PLE.lastrow)-ROW(PLE.firstrow))),0,
           IF(OFFSET(PLE!$G$15,$M118-$A$15,CJ$13)="",10^12,OFFSET(PLE!$G$15,$M118-$A$15,CJ$13)))</f>
        <v>1000000000000</v>
      </c>
      <c r="CK118" s="172" cm="1">
        <f t="array" aca="1" ref="CK118" ca="1">IF(OR($D118&lt;&gt;"Serviço",AND(AUTOEVENTO="Manual",$M118=$A$15),$M118&gt;(ROW(PLE.lastrow)-ROW(PLE.firstrow))),0,
           IF(OFFSET(PLE!$G$15,$M118-$A$15,CK$13)="",10^12,OFFSET(PLE!$G$15,$M118-$A$15,CK$13)))</f>
        <v>1000000000000</v>
      </c>
      <c r="CL118" s="172" cm="1">
        <f t="array" aca="1" ref="CL118" ca="1">IF(OR($D118&lt;&gt;"Serviço",AND(AUTOEVENTO="Manual",$M118=$A$15),$M118&gt;(ROW(PLE.lastrow)-ROW(PLE.firstrow))),0,
           IF(OFFSET(PLE!$G$15,$M118-$A$15,CL$13)="",10^12,OFFSET(PLE!$G$15,$M118-$A$15,CL$13)))</f>
        <v>1000000000000</v>
      </c>
      <c r="CM118" s="172" cm="1">
        <f t="array" aca="1" ref="CM118" ca="1">IF(OR($D118&lt;&gt;"Serviço",AND(AUTOEVENTO="Manual",$M118=$A$15),$M118&gt;(ROW(PLE.lastrow)-ROW(PLE.firstrow))),0,
           IF(OFFSET(PLE!$G$15,$M118-$A$15,CM$13)="",10^12,OFFSET(PLE!$G$15,$M118-$A$15,CM$13)))</f>
        <v>1000000000000</v>
      </c>
    </row>
    <row r="119" spans="1:91" s="670" customFormat="1" ht="38.25" x14ac:dyDescent="0.2">
      <c r="A119" s="668">
        <f t="shared" ca="1" si="12"/>
        <v>25</v>
      </c>
      <c r="B119" s="668" t="str">
        <f ca="1">OFFSET(ORÇAMENTO!C$15,$L119,0)</f>
        <v>S</v>
      </c>
      <c r="C119" s="668" t="str">
        <f ca="1">OFFSET(ORÇAMENTO!L$15,$L119,0)</f>
        <v>F</v>
      </c>
      <c r="D119" s="116" t="str">
        <f ca="1">OFFSET(ORÇAMENTO!N$15,$L119,0)</f>
        <v>Serviço</v>
      </c>
      <c r="E119" s="117" t="str">
        <f ca="1">OFFSET(ORÇAMENTO!O$15,$L119,0)</f>
        <v>1.17.5.</v>
      </c>
      <c r="F119" s="163" t="str">
        <f ca="1">OFFSET(ORÇAMENTO!R$15,$L119,0)</f>
        <v>ELETRODUTO FLEXÍVEL CORRUGADO, PEAD, DN 50 (1 1/2"), PARA REDE ENTERRADA DE DISTRIBUIÇÃO DE ENERGIA ELÉTRICA - FORNECIMENTO E INSTALAÇÃO. AF_12/2021</v>
      </c>
      <c r="G119" s="164" t="str">
        <f ca="1">IF($D119&lt;&gt;"Serviço","",OFFSET(ORÇAMENTO!S$15,$L119,0))</f>
        <v>M</v>
      </c>
      <c r="H119" s="122" cm="1">
        <f t="array" aca="1" ref="H119" ca="1">IF($D119&lt;&gt;"Serviço",0,IF(ACOMPANHAMENTO="BM",ROUND(OFFSET(ORÇAMENTO!AJ$15,$L119,0),15-13*ORÇAMENTO!$AF$7),IF(IFERROR(CÁLCULO.FrentesPreenchidas,0)=0,0,SUM(ROUND(OFFSET($P119,0,1,1,CÁLCULO.FrentesPreenchidas),15-13*ORÇAMENTO!$AF$7)))))</f>
        <v>8</v>
      </c>
      <c r="I119" s="468"/>
      <c r="J119" s="651" t="str" cm="1">
        <f t="array" aca="1" ref="J119" ca="1">IF(OR(B119&lt;&gt;"S",CÁLCULO.FrentesPreenchidas=0),"",IF(AND(ACOMPANHAMENTO="PLE",AUTOEVENTO="Manual",OR(H119&gt;0,ORÇAMENTO!AC119="QUANT."),OR(K119="",M119=0,N119="")),"►E",IF(AND(ACOMPANHAMENTO="PLE",ORÇAMENTO!AC119="QUANT."),"►Q",IF(AND(ACOMPANHAMENTO="PLE",H119&lt;&gt;SUMPRODUCT(($Q$1:$AI$1=1)*ROUND(Q119:AI119,15))),"►S",IF(AND(COUNTIF($P$11:$AI$11,"▼")=0,H119&gt;0,I119=""),"◄M","")))))</f>
        <v>◄M</v>
      </c>
      <c r="K119" s="652" t="s">
        <v>1359</v>
      </c>
      <c r="L119" s="165">
        <f t="shared" ca="1" si="13"/>
        <v>104</v>
      </c>
      <c r="M119" s="166">
        <f ca="1">IF($D119&lt;&gt;"Serviço","",
          IF(AUTOEVENTO="manual",$A119,
                IF(ISERROR(MATCH($A119,$A$15:OFFSET($A119,-1,0),0)),MAX($M$15:OFFSET(M119,-1,0))+1,
                      INDEX($M$15:OFFSET(M119,-1,0),MATCH($A119,$A$15:OFFSET($A119,-1,0),0)))))</f>
        <v>25</v>
      </c>
      <c r="N119" s="167" t="str">
        <f ca="1">IF($D119&lt;&gt;"Serviço","",
         IF(AUTOEVENTO="Manual",
                IF($A119=0,"&lt;-- defina o número do agrupador",
                       OFFSET(EVENTOS!$D$15,$A119-$A$15,0)),
                OFFSET($F$15,$A119,0)))</f>
        <v>Instalações elétricas</v>
      </c>
      <c r="O119" s="168"/>
      <c r="Q119" s="168"/>
      <c r="R119" s="169"/>
      <c r="S119" s="169"/>
      <c r="T119" s="169"/>
      <c r="U119" s="169"/>
      <c r="V119" s="169">
        <v>8</v>
      </c>
      <c r="W119" s="169"/>
      <c r="X119" s="169"/>
      <c r="Y119" s="169"/>
      <c r="Z119" s="170"/>
      <c r="AA119" s="705"/>
      <c r="AB119" s="705"/>
      <c r="AC119" s="705"/>
      <c r="AD119" s="705"/>
      <c r="AE119" s="705"/>
      <c r="AF119" s="705"/>
      <c r="AG119" s="705"/>
      <c r="AH119" s="706"/>
      <c r="AJ119" s="453">
        <f ca="1">IF(AND($D119="Serviço",AJ$12&lt;&gt;0,$H119&gt;0,OR(AUTOEVENTO&lt;&gt;"manual",$M119&lt;&gt;$A$15)),
        IF(Import.TipoArredondamento&lt;&gt;"TransfereGOV",
              ROUND(OFFSET($P119,0,AJ$13),15-13*ORÇAMENTO!$AF$7)/$H119*OFFSET(ORÇAMENTO!$X$15,ROW(AJ119)-ROW(AJ$15),0),
              ROUND(ROUND(OFFSET($P119,0,AJ$13),15-13*ORÇAMENTO!$AF$7)*OFFSET(ORÇAMENTO!$W$15,ROW(AJ119)-ROW(AJ$15),0),15-13*ORÇAMENTO!$AF$11)),
         0)</f>
        <v>0</v>
      </c>
      <c r="AK119" s="453">
        <f ca="1">IF(AND($D119="Serviço",AK$12&lt;&gt;0,$H119&gt;0,OR(AUTOEVENTO&lt;&gt;"manual",$M119&lt;&gt;$A$15)),
        IF(Import.TipoArredondamento&lt;&gt;"TransfereGOV",
              ROUND(OFFSET($P119,0,AK$13),15-13*ORÇAMENTO!$AF$7)/$H119*OFFSET(ORÇAMENTO!$X$15,ROW(AK119)-ROW(AK$15),0),
              ROUND(ROUND(OFFSET($P119,0,AK$13),15-13*ORÇAMENTO!$AF$7)*OFFSET(ORÇAMENTO!$W$15,ROW(AK119)-ROW(AK$15),0),15-13*ORÇAMENTO!$AF$11)),
         0)</f>
        <v>0</v>
      </c>
      <c r="AL119" s="453">
        <f ca="1">IF(AND($D119="Serviço",AL$12&lt;&gt;0,$H119&gt;0,OR(AUTOEVENTO&lt;&gt;"manual",$M119&lt;&gt;$A$15)),
        IF(Import.TipoArredondamento&lt;&gt;"TransfereGOV",
              ROUND(OFFSET($P119,0,AL$13),15-13*ORÇAMENTO!$AF$7)/$H119*OFFSET(ORÇAMENTO!$X$15,ROW(AL119)-ROW(AL$15),0),
              ROUND(ROUND(OFFSET($P119,0,AL$13),15-13*ORÇAMENTO!$AF$7)*OFFSET(ORÇAMENTO!$W$15,ROW(AL119)-ROW(AL$15),0),15-13*ORÇAMENTO!$AF$11)),
         0)</f>
        <v>0</v>
      </c>
      <c r="AM119" s="453">
        <f ca="1">IF(AND($D119="Serviço",AM$12&lt;&gt;0,$H119&gt;0,OR(AUTOEVENTO&lt;&gt;"manual",$M119&lt;&gt;$A$15)),
        IF(Import.TipoArredondamento&lt;&gt;"TransfereGOV",
              ROUND(OFFSET($P119,0,AM$13),15-13*ORÇAMENTO!$AF$7)/$H119*OFFSET(ORÇAMENTO!$X$15,ROW(AM119)-ROW(AM$15),0),
              ROUND(ROUND(OFFSET($P119,0,AM$13),15-13*ORÇAMENTO!$AF$7)*OFFSET(ORÇAMENTO!$W$15,ROW(AM119)-ROW(AM$15),0),15-13*ORÇAMENTO!$AF$11)),
         0)</f>
        <v>0</v>
      </c>
      <c r="AN119" s="453">
        <f ca="1">IF(AND($D119="Serviço",AN$12&lt;&gt;0,$H119&gt;0,OR(AUTOEVENTO&lt;&gt;"manual",$M119&lt;&gt;$A$15)),
        IF(Import.TipoArredondamento&lt;&gt;"TransfereGOV",
              ROUND(OFFSET($P119,0,AN$13),15-13*ORÇAMENTO!$AF$7)/$H119*OFFSET(ORÇAMENTO!$X$15,ROW(AN119)-ROW(AN$15),0),
              ROUND(ROUND(OFFSET($P119,0,AN$13),15-13*ORÇAMENTO!$AF$7)*OFFSET(ORÇAMENTO!$W$15,ROW(AN119)-ROW(AN$15),0),15-13*ORÇAMENTO!$AF$11)),
         0)</f>
        <v>0</v>
      </c>
      <c r="AO119" s="453">
        <f ca="1">IF(AND($D119="Serviço",AO$12&lt;&gt;0,$H119&gt;0,OR(AUTOEVENTO&lt;&gt;"manual",$M119&lt;&gt;$A$15)),
        IF(Import.TipoArredondamento&lt;&gt;"TransfereGOV",
              ROUND(OFFSET($P119,0,AO$13),15-13*ORÇAMENTO!$AF$7)/$H119*OFFSET(ORÇAMENTO!$X$15,ROW(AO119)-ROW(AO$15),0),
              ROUND(ROUND(OFFSET($P119,0,AO$13),15-13*ORÇAMENTO!$AF$7)*OFFSET(ORÇAMENTO!$W$15,ROW(AO119)-ROW(AO$15),0),15-13*ORÇAMENTO!$AF$11)),
         0)</f>
        <v>78.64</v>
      </c>
      <c r="AP119" s="453">
        <f ca="1">IF(AND($D119="Serviço",AP$12&lt;&gt;0,$H119&gt;0,OR(AUTOEVENTO&lt;&gt;"manual",$M119&lt;&gt;$A$15)),
        IF(Import.TipoArredondamento&lt;&gt;"TransfereGOV",
              ROUND(OFFSET($P119,0,AP$13),15-13*ORÇAMENTO!$AF$7)/$H119*OFFSET(ORÇAMENTO!$X$15,ROW(AP119)-ROW(AP$15),0),
              ROUND(ROUND(OFFSET($P119,0,AP$13),15-13*ORÇAMENTO!$AF$7)*OFFSET(ORÇAMENTO!$W$15,ROW(AP119)-ROW(AP$15),0),15-13*ORÇAMENTO!$AF$11)),
         0)</f>
        <v>0</v>
      </c>
      <c r="AQ119" s="453">
        <f ca="1">IF(AND($D119="Serviço",AQ$12&lt;&gt;0,$H119&gt;0,OR(AUTOEVENTO&lt;&gt;"manual",$M119&lt;&gt;$A$15)),
        IF(Import.TipoArredondamento&lt;&gt;"TransfereGOV",
              ROUND(OFFSET($P119,0,AQ$13),15-13*ORÇAMENTO!$AF$7)/$H119*OFFSET(ORÇAMENTO!$X$15,ROW(AQ119)-ROW(AQ$15),0),
              ROUND(ROUND(OFFSET($P119,0,AQ$13),15-13*ORÇAMENTO!$AF$7)*OFFSET(ORÇAMENTO!$W$15,ROW(AQ119)-ROW(AQ$15),0),15-13*ORÇAMENTO!$AF$11)),
         0)</f>
        <v>0</v>
      </c>
      <c r="AR119" s="453">
        <f ca="1">IF(AND($D119="Serviço",AR$12&lt;&gt;0,$H119&gt;0,OR(AUTOEVENTO&lt;&gt;"manual",$M119&lt;&gt;$A$15)),
        IF(Import.TipoArredondamento&lt;&gt;"TransfereGOV",
              ROUND(OFFSET($P119,0,AR$13),15-13*ORÇAMENTO!$AF$7)/$H119*OFFSET(ORÇAMENTO!$X$15,ROW(AR119)-ROW(AR$15),0),
              ROUND(ROUND(OFFSET($P119,0,AR$13),15-13*ORÇAMENTO!$AF$7)*OFFSET(ORÇAMENTO!$W$15,ROW(AR119)-ROW(AR$15),0),15-13*ORÇAMENTO!$AF$11)),
         0)</f>
        <v>0</v>
      </c>
      <c r="AS119" s="453">
        <f ca="1">IF(AND($D119="Serviço",AS$12&lt;&gt;0,$H119&gt;0,OR(AUTOEVENTO&lt;&gt;"manual",$M119&lt;&gt;$A$15)),
        IF(Import.TipoArredondamento&lt;&gt;"TransfereGOV",
              ROUND(OFFSET($P119,0,AS$13),15-13*ORÇAMENTO!$AF$7)/$H119*OFFSET(ORÇAMENTO!$X$15,ROW(AS119)-ROW(AS$15),0),
              ROUND(ROUND(OFFSET($P119,0,AS$13),15-13*ORÇAMENTO!$AF$7)*OFFSET(ORÇAMENTO!$W$15,ROW(AS119)-ROW(AS$15),0),15-13*ORÇAMENTO!$AF$11)),
         0)</f>
        <v>0</v>
      </c>
      <c r="AT119" s="453">
        <f ca="1">IF(AND($D119="Serviço",AT$12&lt;&gt;0,$H119&gt;0,OR(AUTOEVENTO&lt;&gt;"manual",$M119&lt;&gt;$A$15)),
        IF(Import.TipoArredondamento&lt;&gt;"TransfereGOV",
              ROUND(OFFSET($P119,0,AT$13),15-13*ORÇAMENTO!$AF$7)/$H119*OFFSET(ORÇAMENTO!$X$15,ROW(AT119)-ROW(AT$15),0),
              ROUND(ROUND(OFFSET($P119,0,AT$13),15-13*ORÇAMENTO!$AF$7)*OFFSET(ORÇAMENTO!$W$15,ROW(AT119)-ROW(AT$15),0),15-13*ORÇAMENTO!$AF$11)),
         0)</f>
        <v>0</v>
      </c>
      <c r="AU119" s="453">
        <f ca="1">IF(AND($D119="Serviço",AU$12&lt;&gt;0,$H119&gt;0,OR(AUTOEVENTO&lt;&gt;"manual",$M119&lt;&gt;$A$15)),
        IF(Import.TipoArredondamento&lt;&gt;"TransfereGOV",
              ROUND(OFFSET($P119,0,AU$13),15-13*ORÇAMENTO!$AF$7)/$H119*OFFSET(ORÇAMENTO!$X$15,ROW(AU119)-ROW(AU$15),0),
              ROUND(ROUND(OFFSET($P119,0,AU$13),15-13*ORÇAMENTO!$AF$7)*OFFSET(ORÇAMENTO!$W$15,ROW(AU119)-ROW(AU$15),0),15-13*ORÇAMENTO!$AF$11)),
         0)</f>
        <v>0</v>
      </c>
      <c r="AV119" s="453">
        <f ca="1">IF(AND($D119="Serviço",AV$12&lt;&gt;0,$H119&gt;0,OR(AUTOEVENTO&lt;&gt;"manual",$M119&lt;&gt;$A$15)),
        IF(Import.TipoArredondamento&lt;&gt;"TransfereGOV",
              ROUND(OFFSET($P119,0,AV$13),15-13*ORÇAMENTO!$AF$7)/$H119*OFFSET(ORÇAMENTO!$X$15,ROW(AV119)-ROW(AV$15),0),
              ROUND(ROUND(OFFSET($P119,0,AV$13),15-13*ORÇAMENTO!$AF$7)*OFFSET(ORÇAMENTO!$W$15,ROW(AV119)-ROW(AV$15),0),15-13*ORÇAMENTO!$AF$11)),
         0)</f>
        <v>0</v>
      </c>
      <c r="AW119" s="453">
        <f ca="1">IF(AND($D119="Serviço",AW$12&lt;&gt;0,$H119&gt;0,OR(AUTOEVENTO&lt;&gt;"manual",$M119&lt;&gt;$A$15)),
        IF(Import.TipoArredondamento&lt;&gt;"TransfereGOV",
              ROUND(OFFSET($P119,0,AW$13),15-13*ORÇAMENTO!$AF$7)/$H119*OFFSET(ORÇAMENTO!$X$15,ROW(AW119)-ROW(AW$15),0),
              ROUND(ROUND(OFFSET($P119,0,AW$13),15-13*ORÇAMENTO!$AF$7)*OFFSET(ORÇAMENTO!$W$15,ROW(AW119)-ROW(AW$15),0),15-13*ORÇAMENTO!$AF$11)),
         0)</f>
        <v>0</v>
      </c>
      <c r="AX119" s="453">
        <f ca="1">IF(AND($D119="Serviço",AX$12&lt;&gt;0,$H119&gt;0,OR(AUTOEVENTO&lt;&gt;"manual",$M119&lt;&gt;$A$15)),
        IF(Import.TipoArredondamento&lt;&gt;"TransfereGOV",
              ROUND(OFFSET($P119,0,AX$13),15-13*ORÇAMENTO!$AF$7)/$H119*OFFSET(ORÇAMENTO!$X$15,ROW(AX119)-ROW(AX$15),0),
              ROUND(ROUND(OFFSET($P119,0,AX$13),15-13*ORÇAMENTO!$AF$7)*OFFSET(ORÇAMENTO!$W$15,ROW(AX119)-ROW(AX$15),0),15-13*ORÇAMENTO!$AF$11)),
         0)</f>
        <v>0</v>
      </c>
      <c r="AY119" s="453">
        <f ca="1">IF(AND($D119="Serviço",AY$12&lt;&gt;0,$H119&gt;0,OR(AUTOEVENTO&lt;&gt;"manual",$M119&lt;&gt;$A$15)),
        IF(Import.TipoArredondamento&lt;&gt;"TransfereGOV",
              ROUND(OFFSET($P119,0,AY$13),15-13*ORÇAMENTO!$AF$7)/$H119*OFFSET(ORÇAMENTO!$X$15,ROW(AY119)-ROW(AY$15),0),
              ROUND(ROUND(OFFSET($P119,0,AY$13),15-13*ORÇAMENTO!$AF$7)*OFFSET(ORÇAMENTO!$W$15,ROW(AY119)-ROW(AY$15),0),15-13*ORÇAMENTO!$AF$11)),
         0)</f>
        <v>0</v>
      </c>
      <c r="AZ119" s="453">
        <f ca="1">IF(AND($D119="Serviço",AZ$12&lt;&gt;0,$H119&gt;0,OR(AUTOEVENTO&lt;&gt;"manual",$M119&lt;&gt;$A$15)),
        IF(Import.TipoArredondamento&lt;&gt;"TransfereGOV",
              ROUND(OFFSET($P119,0,AZ$13),15-13*ORÇAMENTO!$AF$7)/$H119*OFFSET(ORÇAMENTO!$X$15,ROW(AZ119)-ROW(AZ$15),0),
              ROUND(ROUND(OFFSET($P119,0,AZ$13),15-13*ORÇAMENTO!$AF$7)*OFFSET(ORÇAMENTO!$W$15,ROW(AZ119)-ROW(AZ$15),0),15-13*ORÇAMENTO!$AF$11)),
         0)</f>
        <v>0</v>
      </c>
      <c r="BA119" s="453">
        <f ca="1">IF(AND($D119="Serviço",BA$12&lt;&gt;0,$H119&gt;0,OR(AUTOEVENTO&lt;&gt;"manual",$M119&lt;&gt;$A$15)),
        IF(Import.TipoArredondamento&lt;&gt;"TransfereGOV",
              ROUND(OFFSET($P119,0,BA$13),15-13*ORÇAMENTO!$AF$7)/$H119*OFFSET(ORÇAMENTO!$X$15,ROW(BA119)-ROW(BA$15),0),
              ROUND(ROUND(OFFSET($P119,0,BA$13),15-13*ORÇAMENTO!$AF$7)*OFFSET(ORÇAMENTO!$W$15,ROW(BA119)-ROW(BA$15),0),15-13*ORÇAMENTO!$AF$11)),
         0)</f>
        <v>0</v>
      </c>
      <c r="BC119" s="171">
        <f ca="1">IF(OR($D119&lt;&gt;"Serviço",AND(AUTOEVENTO="Manual",$M119=$A$15)),0,
         IF(OFFSET(CRONOPLE!$F$15,$M119-$A$15,BC$13)=0,10^12,OFFSET(CRONOPLE!$F$15,$M119-$A$15,BC$13)))</f>
        <v>1000000000000</v>
      </c>
      <c r="BD119" s="171">
        <f ca="1">IF(OR($D119&lt;&gt;"Serviço",AND(AUTOEVENTO="Manual",$M119=$A$15)),0,
         IF(OFFSET(CRONOPLE!$F$15,$M119-$A$15,BD$13)=0,10^12,OFFSET(CRONOPLE!$F$15,$M119-$A$15,BD$13)))</f>
        <v>1000000000000</v>
      </c>
      <c r="BE119" s="171">
        <f ca="1">IF(OR($D119&lt;&gt;"Serviço",AND(AUTOEVENTO="Manual",$M119=$A$15)),0,
         IF(OFFSET(CRONOPLE!$F$15,$M119-$A$15,BE$13)=0,10^12,OFFSET(CRONOPLE!$F$15,$M119-$A$15,BE$13)))</f>
        <v>1000000000000</v>
      </c>
      <c r="BF119" s="171">
        <f ca="1">IF(OR($D119&lt;&gt;"Serviço",AND(AUTOEVENTO="Manual",$M119=$A$15)),0,
         IF(OFFSET(CRONOPLE!$F$15,$M119-$A$15,BF$13)=0,10^12,OFFSET(CRONOPLE!$F$15,$M119-$A$15,BF$13)))</f>
        <v>1000000000000</v>
      </c>
      <c r="BG119" s="171">
        <f ca="1">IF(OR($D119&lt;&gt;"Serviço",AND(AUTOEVENTO="Manual",$M119=$A$15)),0,
         IF(OFFSET(CRONOPLE!$F$15,$M119-$A$15,BG$13)=0,10^12,OFFSET(CRONOPLE!$F$15,$M119-$A$15,BG$13)))</f>
        <v>1000000000000</v>
      </c>
      <c r="BH119" s="171">
        <f ca="1">IF(OR($D119&lt;&gt;"Serviço",AND(AUTOEVENTO="Manual",$M119=$A$15)),0,
         IF(OFFSET(CRONOPLE!$F$15,$M119-$A$15,BH$13)=0,10^12,OFFSET(CRONOPLE!$F$15,$M119-$A$15,BH$13)))</f>
        <v>9</v>
      </c>
      <c r="BI119" s="171">
        <f ca="1">IF(OR($D119&lt;&gt;"Serviço",AND(AUTOEVENTO="Manual",$M119=$A$15)),0,
         IF(OFFSET(CRONOPLE!$F$15,$M119-$A$15,BI$13)=0,10^12,OFFSET(CRONOPLE!$F$15,$M119-$A$15,BI$13)))</f>
        <v>1000000000000</v>
      </c>
      <c r="BJ119" s="171">
        <f ca="1">IF(OR($D119&lt;&gt;"Serviço",AND(AUTOEVENTO="Manual",$M119=$A$15)),0,
         IF(OFFSET(CRONOPLE!$F$15,$M119-$A$15,BJ$13)=0,10^12,OFFSET(CRONOPLE!$F$15,$M119-$A$15,BJ$13)))</f>
        <v>1000000000000</v>
      </c>
      <c r="BK119" s="171">
        <f ca="1">IF(OR($D119&lt;&gt;"Serviço",AND(AUTOEVENTO="Manual",$M119=$A$15)),0,
         IF(OFFSET(CRONOPLE!$F$15,$M119-$A$15,BK$13)=0,10^12,OFFSET(CRONOPLE!$F$15,$M119-$A$15,BK$13)))</f>
        <v>1000000000000</v>
      </c>
      <c r="BL119" s="171">
        <f ca="1">IF(OR($D119&lt;&gt;"Serviço",AND(AUTOEVENTO="Manual",$M119=$A$15)),0,
         IF(OFFSET(CRONOPLE!$F$15,$M119-$A$15,BL$13)=0,10^12,OFFSET(CRONOPLE!$F$15,$M119-$A$15,BL$13)))</f>
        <v>1000000000000</v>
      </c>
      <c r="BM119" s="171">
        <f ca="1">IF(OR($D119&lt;&gt;"Serviço",AND(AUTOEVENTO="Manual",$M119=$A$15)),0,
         IF(OFFSET(CRONOPLE!$F$15,$M119-$A$15,BM$13)=0,10^12,OFFSET(CRONOPLE!$F$15,$M119-$A$15,BM$13)))</f>
        <v>1000000000000</v>
      </c>
      <c r="BN119" s="171">
        <f ca="1">IF(OR($D119&lt;&gt;"Serviço",AND(AUTOEVENTO="Manual",$M119=$A$15)),0,
         IF(OFFSET(CRONOPLE!$F$15,$M119-$A$15,BN$13)=0,10^12,OFFSET(CRONOPLE!$F$15,$M119-$A$15,BN$13)))</f>
        <v>1000000000000</v>
      </c>
      <c r="BO119" s="171">
        <f ca="1">IF(OR($D119&lt;&gt;"Serviço",AND(AUTOEVENTO="Manual",$M119=$A$15)),0,
         IF(OFFSET(CRONOPLE!$F$15,$M119-$A$15,BO$13)=0,10^12,OFFSET(CRONOPLE!$F$15,$M119-$A$15,BO$13)))</f>
        <v>1000000000000</v>
      </c>
      <c r="BP119" s="171">
        <f ca="1">IF(OR($D119&lt;&gt;"Serviço",AND(AUTOEVENTO="Manual",$M119=$A$15)),0,
         IF(OFFSET(CRONOPLE!$F$15,$M119-$A$15,BP$13)=0,10^12,OFFSET(CRONOPLE!$F$15,$M119-$A$15,BP$13)))</f>
        <v>1000000000000</v>
      </c>
      <c r="BQ119" s="171">
        <f ca="1">IF(OR($D119&lt;&gt;"Serviço",AND(AUTOEVENTO="Manual",$M119=$A$15)),0,
         IF(OFFSET(CRONOPLE!$F$15,$M119-$A$15,BQ$13)=0,10^12,OFFSET(CRONOPLE!$F$15,$M119-$A$15,BQ$13)))</f>
        <v>1000000000000</v>
      </c>
      <c r="BR119" s="171">
        <f ca="1">IF(OR($D119&lt;&gt;"Serviço",AND(AUTOEVENTO="Manual",$M119=$A$15)),0,
         IF(OFFSET(CRONOPLE!$F$15,$M119-$A$15,BR$13)=0,10^12,OFFSET(CRONOPLE!$F$15,$M119-$A$15,BR$13)))</f>
        <v>1000000000000</v>
      </c>
      <c r="BS119" s="171">
        <f ca="1">IF(OR($D119&lt;&gt;"Serviço",AND(AUTOEVENTO="Manual",$M119=$A$15)),0,
         IF(OFFSET(CRONOPLE!$F$15,$M119-$A$15,BS$13)=0,10^12,OFFSET(CRONOPLE!$F$15,$M119-$A$15,BS$13)))</f>
        <v>1000000000000</v>
      </c>
      <c r="BT119" s="171">
        <f ca="1">IF(OR($D119&lt;&gt;"Serviço",AND(AUTOEVENTO="Manual",$M119=$A$15)),0,
         IF(OFFSET(CRONOPLE!$F$15,$M119-$A$15,BT$13)=0,10^12,OFFSET(CRONOPLE!$F$15,$M119-$A$15,BT$13)))</f>
        <v>1000000000000</v>
      </c>
      <c r="BV119" s="172" cm="1">
        <f t="array" aca="1" ref="BV119" ca="1">IF(OR($D119&lt;&gt;"Serviço",AND(AUTOEVENTO="Manual",$M119=$A$15),$M119&gt;(ROW(PLE.lastrow)-ROW(PLE.firstrow))),0,
           IF(OFFSET(PLE!$G$15,$M119-$A$15,BV$13)="",10^12,OFFSET(PLE!$G$15,$M119-$A$15,BV$13)))</f>
        <v>1000000000000</v>
      </c>
      <c r="BW119" s="172" cm="1">
        <f t="array" aca="1" ref="BW119" ca="1">IF(OR($D119&lt;&gt;"Serviço",AND(AUTOEVENTO="Manual",$M119=$A$15),$M119&gt;(ROW(PLE.lastrow)-ROW(PLE.firstrow))),0,
           IF(OFFSET(PLE!$G$15,$M119-$A$15,BW$13)="",10^12,OFFSET(PLE!$G$15,$M119-$A$15,BW$13)))</f>
        <v>1000000000000</v>
      </c>
      <c r="BX119" s="172" cm="1">
        <f t="array" aca="1" ref="BX119" ca="1">IF(OR($D119&lt;&gt;"Serviço",AND(AUTOEVENTO="Manual",$M119=$A$15),$M119&gt;(ROW(PLE.lastrow)-ROW(PLE.firstrow))),0,
           IF(OFFSET(PLE!$G$15,$M119-$A$15,BX$13)="",10^12,OFFSET(PLE!$G$15,$M119-$A$15,BX$13)))</f>
        <v>1000000000000</v>
      </c>
      <c r="BY119" s="172" cm="1">
        <f t="array" aca="1" ref="BY119" ca="1">IF(OR($D119&lt;&gt;"Serviço",AND(AUTOEVENTO="Manual",$M119=$A$15),$M119&gt;(ROW(PLE.lastrow)-ROW(PLE.firstrow))),0,
           IF(OFFSET(PLE!$G$15,$M119-$A$15,BY$13)="",10^12,OFFSET(PLE!$G$15,$M119-$A$15,BY$13)))</f>
        <v>1000000000000</v>
      </c>
      <c r="BZ119" s="172" cm="1">
        <f t="array" aca="1" ref="BZ119" ca="1">IF(OR($D119&lt;&gt;"Serviço",AND(AUTOEVENTO="Manual",$M119=$A$15),$M119&gt;(ROW(PLE.lastrow)-ROW(PLE.firstrow))),0,
           IF(OFFSET(PLE!$G$15,$M119-$A$15,BZ$13)="",10^12,OFFSET(PLE!$G$15,$M119-$A$15,BZ$13)))</f>
        <v>1000000000000</v>
      </c>
      <c r="CA119" s="172" cm="1">
        <f t="array" aca="1" ref="CA119" ca="1">IF(OR($D119&lt;&gt;"Serviço",AND(AUTOEVENTO="Manual",$M119=$A$15),$M119&gt;(ROW(PLE.lastrow)-ROW(PLE.firstrow))),0,
           IF(OFFSET(PLE!$G$15,$M119-$A$15,CA$13)="",10^12,OFFSET(PLE!$G$15,$M119-$A$15,CA$13)))</f>
        <v>1000000000000</v>
      </c>
      <c r="CB119" s="172" cm="1">
        <f t="array" aca="1" ref="CB119" ca="1">IF(OR($D119&lt;&gt;"Serviço",AND(AUTOEVENTO="Manual",$M119=$A$15),$M119&gt;(ROW(PLE.lastrow)-ROW(PLE.firstrow))),0,
           IF(OFFSET(PLE!$G$15,$M119-$A$15,CB$13)="",10^12,OFFSET(PLE!$G$15,$M119-$A$15,CB$13)))</f>
        <v>1000000000000</v>
      </c>
      <c r="CC119" s="172" cm="1">
        <f t="array" aca="1" ref="CC119" ca="1">IF(OR($D119&lt;&gt;"Serviço",AND(AUTOEVENTO="Manual",$M119=$A$15),$M119&gt;(ROW(PLE.lastrow)-ROW(PLE.firstrow))),0,
           IF(OFFSET(PLE!$G$15,$M119-$A$15,CC$13)="",10^12,OFFSET(PLE!$G$15,$M119-$A$15,CC$13)))</f>
        <v>1000000000000</v>
      </c>
      <c r="CD119" s="172" cm="1">
        <f t="array" aca="1" ref="CD119" ca="1">IF(OR($D119&lt;&gt;"Serviço",AND(AUTOEVENTO="Manual",$M119=$A$15),$M119&gt;(ROW(PLE.lastrow)-ROW(PLE.firstrow))),0,
           IF(OFFSET(PLE!$G$15,$M119-$A$15,CD$13)="",10^12,OFFSET(PLE!$G$15,$M119-$A$15,CD$13)))</f>
        <v>1000000000000</v>
      </c>
      <c r="CE119" s="172" cm="1">
        <f t="array" aca="1" ref="CE119" ca="1">IF(OR($D119&lt;&gt;"Serviço",AND(AUTOEVENTO="Manual",$M119=$A$15),$M119&gt;(ROW(PLE.lastrow)-ROW(PLE.firstrow))),0,
           IF(OFFSET(PLE!$G$15,$M119-$A$15,CE$13)="",10^12,OFFSET(PLE!$G$15,$M119-$A$15,CE$13)))</f>
        <v>1000000000000</v>
      </c>
      <c r="CF119" s="172" cm="1">
        <f t="array" aca="1" ref="CF119" ca="1">IF(OR($D119&lt;&gt;"Serviço",AND(AUTOEVENTO="Manual",$M119=$A$15),$M119&gt;(ROW(PLE.lastrow)-ROW(PLE.firstrow))),0,
           IF(OFFSET(PLE!$G$15,$M119-$A$15,CF$13)="",10^12,OFFSET(PLE!$G$15,$M119-$A$15,CF$13)))</f>
        <v>1000000000000</v>
      </c>
      <c r="CG119" s="172" cm="1">
        <f t="array" aca="1" ref="CG119" ca="1">IF(OR($D119&lt;&gt;"Serviço",AND(AUTOEVENTO="Manual",$M119=$A$15),$M119&gt;(ROW(PLE.lastrow)-ROW(PLE.firstrow))),0,
           IF(OFFSET(PLE!$G$15,$M119-$A$15,CG$13)="",10^12,OFFSET(PLE!$G$15,$M119-$A$15,CG$13)))</f>
        <v>1000000000000</v>
      </c>
      <c r="CH119" s="172" cm="1">
        <f t="array" aca="1" ref="CH119" ca="1">IF(OR($D119&lt;&gt;"Serviço",AND(AUTOEVENTO="Manual",$M119=$A$15),$M119&gt;(ROW(PLE.lastrow)-ROW(PLE.firstrow))),0,
           IF(OFFSET(PLE!$G$15,$M119-$A$15,CH$13)="",10^12,OFFSET(PLE!$G$15,$M119-$A$15,CH$13)))</f>
        <v>1000000000000</v>
      </c>
      <c r="CI119" s="172" cm="1">
        <f t="array" aca="1" ref="CI119" ca="1">IF(OR($D119&lt;&gt;"Serviço",AND(AUTOEVENTO="Manual",$M119=$A$15),$M119&gt;(ROW(PLE.lastrow)-ROW(PLE.firstrow))),0,
           IF(OFFSET(PLE!$G$15,$M119-$A$15,CI$13)="",10^12,OFFSET(PLE!$G$15,$M119-$A$15,CI$13)))</f>
        <v>1000000000000</v>
      </c>
      <c r="CJ119" s="172" cm="1">
        <f t="array" aca="1" ref="CJ119" ca="1">IF(OR($D119&lt;&gt;"Serviço",AND(AUTOEVENTO="Manual",$M119=$A$15),$M119&gt;(ROW(PLE.lastrow)-ROW(PLE.firstrow))),0,
           IF(OFFSET(PLE!$G$15,$M119-$A$15,CJ$13)="",10^12,OFFSET(PLE!$G$15,$M119-$A$15,CJ$13)))</f>
        <v>1000000000000</v>
      </c>
      <c r="CK119" s="172" cm="1">
        <f t="array" aca="1" ref="CK119" ca="1">IF(OR($D119&lt;&gt;"Serviço",AND(AUTOEVENTO="Manual",$M119=$A$15),$M119&gt;(ROW(PLE.lastrow)-ROW(PLE.firstrow))),0,
           IF(OFFSET(PLE!$G$15,$M119-$A$15,CK$13)="",10^12,OFFSET(PLE!$G$15,$M119-$A$15,CK$13)))</f>
        <v>1000000000000</v>
      </c>
      <c r="CL119" s="172" cm="1">
        <f t="array" aca="1" ref="CL119" ca="1">IF(OR($D119&lt;&gt;"Serviço",AND(AUTOEVENTO="Manual",$M119=$A$15),$M119&gt;(ROW(PLE.lastrow)-ROW(PLE.firstrow))),0,
           IF(OFFSET(PLE!$G$15,$M119-$A$15,CL$13)="",10^12,OFFSET(PLE!$G$15,$M119-$A$15,CL$13)))</f>
        <v>1000000000000</v>
      </c>
      <c r="CM119" s="172" cm="1">
        <f t="array" aca="1" ref="CM119" ca="1">IF(OR($D119&lt;&gt;"Serviço",AND(AUTOEVENTO="Manual",$M119=$A$15),$M119&gt;(ROW(PLE.lastrow)-ROW(PLE.firstrow))),0,
           IF(OFFSET(PLE!$G$15,$M119-$A$15,CM$13)="",10^12,OFFSET(PLE!$G$15,$M119-$A$15,CM$13)))</f>
        <v>1000000000000</v>
      </c>
    </row>
    <row r="120" spans="1:91" s="670" customFormat="1" ht="38.25" x14ac:dyDescent="0.2">
      <c r="A120" s="668">
        <f t="shared" ca="1" si="12"/>
        <v>25</v>
      </c>
      <c r="B120" s="668" t="str">
        <f ca="1">OFFSET(ORÇAMENTO!C$15,$L120,0)</f>
        <v>S</v>
      </c>
      <c r="C120" s="668" t="str">
        <f ca="1">OFFSET(ORÇAMENTO!L$15,$L120,0)</f>
        <v>F</v>
      </c>
      <c r="D120" s="116" t="str">
        <f ca="1">OFFSET(ORÇAMENTO!N$15,$L120,0)</f>
        <v>Serviço</v>
      </c>
      <c r="E120" s="117" t="str">
        <f ca="1">OFFSET(ORÇAMENTO!O$15,$L120,0)</f>
        <v>1.17.6.</v>
      </c>
      <c r="F120" s="163" t="str">
        <f ca="1">OFFSET(ORÇAMENTO!R$15,$L120,0)</f>
        <v>ELETRODUTO FLEXÍVEL CORRUGADO, PEAD, DN 63 (2"), PARA REDE ENTERRADA DE DISTRIBUIÇÃO DE ENERGIA ELÉTRICA - FORNECIMENTO E INSTALAÇÃO. AF_12/2021</v>
      </c>
      <c r="G120" s="164" t="str">
        <f ca="1">IF($D120&lt;&gt;"Serviço","",OFFSET(ORÇAMENTO!S$15,$L120,0))</f>
        <v>M</v>
      </c>
      <c r="H120" s="122" cm="1">
        <f t="array" aca="1" ref="H120" ca="1">IF($D120&lt;&gt;"Serviço",0,IF(ACOMPANHAMENTO="BM",ROUND(OFFSET(ORÇAMENTO!AJ$15,$L120,0),15-13*ORÇAMENTO!$AF$7),IF(IFERROR(CÁLCULO.FrentesPreenchidas,0)=0,0,SUM(ROUND(OFFSET($P120,0,1,1,CÁLCULO.FrentesPreenchidas),15-13*ORÇAMENTO!$AF$7)))))</f>
        <v>250</v>
      </c>
      <c r="I120" s="468"/>
      <c r="J120" s="651" t="str" cm="1">
        <f t="array" aca="1" ref="J120" ca="1">IF(OR(B120&lt;&gt;"S",CÁLCULO.FrentesPreenchidas=0),"",IF(AND(ACOMPANHAMENTO="PLE",AUTOEVENTO="Manual",OR(H120&gt;0,ORÇAMENTO!AC120="QUANT."),OR(K120="",M120=0,N120="")),"►E",IF(AND(ACOMPANHAMENTO="PLE",ORÇAMENTO!AC120="QUANT."),"►Q",IF(AND(ACOMPANHAMENTO="PLE",H120&lt;&gt;SUMPRODUCT(($Q$1:$AI$1=1)*ROUND(Q120:AI120,15))),"►S",IF(AND(COUNTIF($P$11:$AI$11,"▼")=0,H120&gt;0,I120=""),"◄M","")))))</f>
        <v>◄M</v>
      </c>
      <c r="K120" s="652" t="s">
        <v>1359</v>
      </c>
      <c r="L120" s="165">
        <f t="shared" ca="1" si="13"/>
        <v>105</v>
      </c>
      <c r="M120" s="166">
        <f ca="1">IF($D120&lt;&gt;"Serviço","",
          IF(AUTOEVENTO="manual",$A120,
                IF(ISERROR(MATCH($A120,$A$15:OFFSET($A120,-1,0),0)),MAX($M$15:OFFSET(M120,-1,0))+1,
                      INDEX($M$15:OFFSET(M120,-1,0),MATCH($A120,$A$15:OFFSET($A120,-1,0),0)))))</f>
        <v>25</v>
      </c>
      <c r="N120" s="167" t="str">
        <f ca="1">IF($D120&lt;&gt;"Serviço","",
         IF(AUTOEVENTO="Manual",
                IF($A120=0,"&lt;-- defina o número do agrupador",
                       OFFSET(EVENTOS!$D$15,$A120-$A$15,0)),
                OFFSET($F$15,$A120,0)))</f>
        <v>Instalações elétricas</v>
      </c>
      <c r="O120" s="168"/>
      <c r="Q120" s="168"/>
      <c r="R120" s="169"/>
      <c r="S120" s="169"/>
      <c r="T120" s="169"/>
      <c r="U120" s="169"/>
      <c r="V120" s="169">
        <v>250</v>
      </c>
      <c r="W120" s="169"/>
      <c r="X120" s="169"/>
      <c r="Y120" s="169"/>
      <c r="Z120" s="170"/>
      <c r="AA120" s="705"/>
      <c r="AB120" s="705"/>
      <c r="AC120" s="705"/>
      <c r="AD120" s="705"/>
      <c r="AE120" s="705"/>
      <c r="AF120" s="705"/>
      <c r="AG120" s="705"/>
      <c r="AH120" s="706"/>
      <c r="AJ120" s="453">
        <f ca="1">IF(AND($D120="Serviço",AJ$12&lt;&gt;0,$H120&gt;0,OR(AUTOEVENTO&lt;&gt;"manual",$M120&lt;&gt;$A$15)),
        IF(Import.TipoArredondamento&lt;&gt;"TransfereGOV",
              ROUND(OFFSET($P120,0,AJ$13),15-13*ORÇAMENTO!$AF$7)/$H120*OFFSET(ORÇAMENTO!$X$15,ROW(AJ120)-ROW(AJ$15),0),
              ROUND(ROUND(OFFSET($P120,0,AJ$13),15-13*ORÇAMENTO!$AF$7)*OFFSET(ORÇAMENTO!$W$15,ROW(AJ120)-ROW(AJ$15),0),15-13*ORÇAMENTO!$AF$11)),
         0)</f>
        <v>0</v>
      </c>
      <c r="AK120" s="453">
        <f ca="1">IF(AND($D120="Serviço",AK$12&lt;&gt;0,$H120&gt;0,OR(AUTOEVENTO&lt;&gt;"manual",$M120&lt;&gt;$A$15)),
        IF(Import.TipoArredondamento&lt;&gt;"TransfereGOV",
              ROUND(OFFSET($P120,0,AK$13),15-13*ORÇAMENTO!$AF$7)/$H120*OFFSET(ORÇAMENTO!$X$15,ROW(AK120)-ROW(AK$15),0),
              ROUND(ROUND(OFFSET($P120,0,AK$13),15-13*ORÇAMENTO!$AF$7)*OFFSET(ORÇAMENTO!$W$15,ROW(AK120)-ROW(AK$15),0),15-13*ORÇAMENTO!$AF$11)),
         0)</f>
        <v>0</v>
      </c>
      <c r="AL120" s="453">
        <f ca="1">IF(AND($D120="Serviço",AL$12&lt;&gt;0,$H120&gt;0,OR(AUTOEVENTO&lt;&gt;"manual",$M120&lt;&gt;$A$15)),
        IF(Import.TipoArredondamento&lt;&gt;"TransfereGOV",
              ROUND(OFFSET($P120,0,AL$13),15-13*ORÇAMENTO!$AF$7)/$H120*OFFSET(ORÇAMENTO!$X$15,ROW(AL120)-ROW(AL$15),0),
              ROUND(ROUND(OFFSET($P120,0,AL$13),15-13*ORÇAMENTO!$AF$7)*OFFSET(ORÇAMENTO!$W$15,ROW(AL120)-ROW(AL$15),0),15-13*ORÇAMENTO!$AF$11)),
         0)</f>
        <v>0</v>
      </c>
      <c r="AM120" s="453">
        <f ca="1">IF(AND($D120="Serviço",AM$12&lt;&gt;0,$H120&gt;0,OR(AUTOEVENTO&lt;&gt;"manual",$M120&lt;&gt;$A$15)),
        IF(Import.TipoArredondamento&lt;&gt;"TransfereGOV",
              ROUND(OFFSET($P120,0,AM$13),15-13*ORÇAMENTO!$AF$7)/$H120*OFFSET(ORÇAMENTO!$X$15,ROW(AM120)-ROW(AM$15),0),
              ROUND(ROUND(OFFSET($P120,0,AM$13),15-13*ORÇAMENTO!$AF$7)*OFFSET(ORÇAMENTO!$W$15,ROW(AM120)-ROW(AM$15),0),15-13*ORÇAMENTO!$AF$11)),
         0)</f>
        <v>0</v>
      </c>
      <c r="AN120" s="453">
        <f ca="1">IF(AND($D120="Serviço",AN$12&lt;&gt;0,$H120&gt;0,OR(AUTOEVENTO&lt;&gt;"manual",$M120&lt;&gt;$A$15)),
        IF(Import.TipoArredondamento&lt;&gt;"TransfereGOV",
              ROUND(OFFSET($P120,0,AN$13),15-13*ORÇAMENTO!$AF$7)/$H120*OFFSET(ORÇAMENTO!$X$15,ROW(AN120)-ROW(AN$15),0),
              ROUND(ROUND(OFFSET($P120,0,AN$13),15-13*ORÇAMENTO!$AF$7)*OFFSET(ORÇAMENTO!$W$15,ROW(AN120)-ROW(AN$15),0),15-13*ORÇAMENTO!$AF$11)),
         0)</f>
        <v>0</v>
      </c>
      <c r="AO120" s="453">
        <f ca="1">IF(AND($D120="Serviço",AO$12&lt;&gt;0,$H120&gt;0,OR(AUTOEVENTO&lt;&gt;"manual",$M120&lt;&gt;$A$15)),
        IF(Import.TipoArredondamento&lt;&gt;"TransfereGOV",
              ROUND(OFFSET($P120,0,AO$13),15-13*ORÇAMENTO!$AF$7)/$H120*OFFSET(ORÇAMENTO!$X$15,ROW(AO120)-ROW(AO$15),0),
              ROUND(ROUND(OFFSET($P120,0,AO$13),15-13*ORÇAMENTO!$AF$7)*OFFSET(ORÇAMENTO!$W$15,ROW(AO120)-ROW(AO$15),0),15-13*ORÇAMENTO!$AF$11)),
         0)</f>
        <v>3490</v>
      </c>
      <c r="AP120" s="453">
        <f ca="1">IF(AND($D120="Serviço",AP$12&lt;&gt;0,$H120&gt;0,OR(AUTOEVENTO&lt;&gt;"manual",$M120&lt;&gt;$A$15)),
        IF(Import.TipoArredondamento&lt;&gt;"TransfereGOV",
              ROUND(OFFSET($P120,0,AP$13),15-13*ORÇAMENTO!$AF$7)/$H120*OFFSET(ORÇAMENTO!$X$15,ROW(AP120)-ROW(AP$15),0),
              ROUND(ROUND(OFFSET($P120,0,AP$13),15-13*ORÇAMENTO!$AF$7)*OFFSET(ORÇAMENTO!$W$15,ROW(AP120)-ROW(AP$15),0),15-13*ORÇAMENTO!$AF$11)),
         0)</f>
        <v>0</v>
      </c>
      <c r="AQ120" s="453">
        <f ca="1">IF(AND($D120="Serviço",AQ$12&lt;&gt;0,$H120&gt;0,OR(AUTOEVENTO&lt;&gt;"manual",$M120&lt;&gt;$A$15)),
        IF(Import.TipoArredondamento&lt;&gt;"TransfereGOV",
              ROUND(OFFSET($P120,0,AQ$13),15-13*ORÇAMENTO!$AF$7)/$H120*OFFSET(ORÇAMENTO!$X$15,ROW(AQ120)-ROW(AQ$15),0),
              ROUND(ROUND(OFFSET($P120,0,AQ$13),15-13*ORÇAMENTO!$AF$7)*OFFSET(ORÇAMENTO!$W$15,ROW(AQ120)-ROW(AQ$15),0),15-13*ORÇAMENTO!$AF$11)),
         0)</f>
        <v>0</v>
      </c>
      <c r="AR120" s="453">
        <f ca="1">IF(AND($D120="Serviço",AR$12&lt;&gt;0,$H120&gt;0,OR(AUTOEVENTO&lt;&gt;"manual",$M120&lt;&gt;$A$15)),
        IF(Import.TipoArredondamento&lt;&gt;"TransfereGOV",
              ROUND(OFFSET($P120,0,AR$13),15-13*ORÇAMENTO!$AF$7)/$H120*OFFSET(ORÇAMENTO!$X$15,ROW(AR120)-ROW(AR$15),0),
              ROUND(ROUND(OFFSET($P120,0,AR$13),15-13*ORÇAMENTO!$AF$7)*OFFSET(ORÇAMENTO!$W$15,ROW(AR120)-ROW(AR$15),0),15-13*ORÇAMENTO!$AF$11)),
         0)</f>
        <v>0</v>
      </c>
      <c r="AS120" s="453">
        <f ca="1">IF(AND($D120="Serviço",AS$12&lt;&gt;0,$H120&gt;0,OR(AUTOEVENTO&lt;&gt;"manual",$M120&lt;&gt;$A$15)),
        IF(Import.TipoArredondamento&lt;&gt;"TransfereGOV",
              ROUND(OFFSET($P120,0,AS$13),15-13*ORÇAMENTO!$AF$7)/$H120*OFFSET(ORÇAMENTO!$X$15,ROW(AS120)-ROW(AS$15),0),
              ROUND(ROUND(OFFSET($P120,0,AS$13),15-13*ORÇAMENTO!$AF$7)*OFFSET(ORÇAMENTO!$W$15,ROW(AS120)-ROW(AS$15),0),15-13*ORÇAMENTO!$AF$11)),
         0)</f>
        <v>0</v>
      </c>
      <c r="AT120" s="453">
        <f ca="1">IF(AND($D120="Serviço",AT$12&lt;&gt;0,$H120&gt;0,OR(AUTOEVENTO&lt;&gt;"manual",$M120&lt;&gt;$A$15)),
        IF(Import.TipoArredondamento&lt;&gt;"TransfereGOV",
              ROUND(OFFSET($P120,0,AT$13),15-13*ORÇAMENTO!$AF$7)/$H120*OFFSET(ORÇAMENTO!$X$15,ROW(AT120)-ROW(AT$15),0),
              ROUND(ROUND(OFFSET($P120,0,AT$13),15-13*ORÇAMENTO!$AF$7)*OFFSET(ORÇAMENTO!$W$15,ROW(AT120)-ROW(AT$15),0),15-13*ORÇAMENTO!$AF$11)),
         0)</f>
        <v>0</v>
      </c>
      <c r="AU120" s="453">
        <f ca="1">IF(AND($D120="Serviço",AU$12&lt;&gt;0,$H120&gt;0,OR(AUTOEVENTO&lt;&gt;"manual",$M120&lt;&gt;$A$15)),
        IF(Import.TipoArredondamento&lt;&gt;"TransfereGOV",
              ROUND(OFFSET($P120,0,AU$13),15-13*ORÇAMENTO!$AF$7)/$H120*OFFSET(ORÇAMENTO!$X$15,ROW(AU120)-ROW(AU$15),0),
              ROUND(ROUND(OFFSET($P120,0,AU$13),15-13*ORÇAMENTO!$AF$7)*OFFSET(ORÇAMENTO!$W$15,ROW(AU120)-ROW(AU$15),0),15-13*ORÇAMENTO!$AF$11)),
         0)</f>
        <v>0</v>
      </c>
      <c r="AV120" s="453">
        <f ca="1">IF(AND($D120="Serviço",AV$12&lt;&gt;0,$H120&gt;0,OR(AUTOEVENTO&lt;&gt;"manual",$M120&lt;&gt;$A$15)),
        IF(Import.TipoArredondamento&lt;&gt;"TransfereGOV",
              ROUND(OFFSET($P120,0,AV$13),15-13*ORÇAMENTO!$AF$7)/$H120*OFFSET(ORÇAMENTO!$X$15,ROW(AV120)-ROW(AV$15),0),
              ROUND(ROUND(OFFSET($P120,0,AV$13),15-13*ORÇAMENTO!$AF$7)*OFFSET(ORÇAMENTO!$W$15,ROW(AV120)-ROW(AV$15),0),15-13*ORÇAMENTO!$AF$11)),
         0)</f>
        <v>0</v>
      </c>
      <c r="AW120" s="453">
        <f ca="1">IF(AND($D120="Serviço",AW$12&lt;&gt;0,$H120&gt;0,OR(AUTOEVENTO&lt;&gt;"manual",$M120&lt;&gt;$A$15)),
        IF(Import.TipoArredondamento&lt;&gt;"TransfereGOV",
              ROUND(OFFSET($P120,0,AW$13),15-13*ORÇAMENTO!$AF$7)/$H120*OFFSET(ORÇAMENTO!$X$15,ROW(AW120)-ROW(AW$15),0),
              ROUND(ROUND(OFFSET($P120,0,AW$13),15-13*ORÇAMENTO!$AF$7)*OFFSET(ORÇAMENTO!$W$15,ROW(AW120)-ROW(AW$15),0),15-13*ORÇAMENTO!$AF$11)),
         0)</f>
        <v>0</v>
      </c>
      <c r="AX120" s="453">
        <f ca="1">IF(AND($D120="Serviço",AX$12&lt;&gt;0,$H120&gt;0,OR(AUTOEVENTO&lt;&gt;"manual",$M120&lt;&gt;$A$15)),
        IF(Import.TipoArredondamento&lt;&gt;"TransfereGOV",
              ROUND(OFFSET($P120,0,AX$13),15-13*ORÇAMENTO!$AF$7)/$H120*OFFSET(ORÇAMENTO!$X$15,ROW(AX120)-ROW(AX$15),0),
              ROUND(ROUND(OFFSET($P120,0,AX$13),15-13*ORÇAMENTO!$AF$7)*OFFSET(ORÇAMENTO!$W$15,ROW(AX120)-ROW(AX$15),0),15-13*ORÇAMENTO!$AF$11)),
         0)</f>
        <v>0</v>
      </c>
      <c r="AY120" s="453">
        <f ca="1">IF(AND($D120="Serviço",AY$12&lt;&gt;0,$H120&gt;0,OR(AUTOEVENTO&lt;&gt;"manual",$M120&lt;&gt;$A$15)),
        IF(Import.TipoArredondamento&lt;&gt;"TransfereGOV",
              ROUND(OFFSET($P120,0,AY$13),15-13*ORÇAMENTO!$AF$7)/$H120*OFFSET(ORÇAMENTO!$X$15,ROW(AY120)-ROW(AY$15),0),
              ROUND(ROUND(OFFSET($P120,0,AY$13),15-13*ORÇAMENTO!$AF$7)*OFFSET(ORÇAMENTO!$W$15,ROW(AY120)-ROW(AY$15),0),15-13*ORÇAMENTO!$AF$11)),
         0)</f>
        <v>0</v>
      </c>
      <c r="AZ120" s="453">
        <f ca="1">IF(AND($D120="Serviço",AZ$12&lt;&gt;0,$H120&gt;0,OR(AUTOEVENTO&lt;&gt;"manual",$M120&lt;&gt;$A$15)),
        IF(Import.TipoArredondamento&lt;&gt;"TransfereGOV",
              ROUND(OFFSET($P120,0,AZ$13),15-13*ORÇAMENTO!$AF$7)/$H120*OFFSET(ORÇAMENTO!$X$15,ROW(AZ120)-ROW(AZ$15),0),
              ROUND(ROUND(OFFSET($P120,0,AZ$13),15-13*ORÇAMENTO!$AF$7)*OFFSET(ORÇAMENTO!$W$15,ROW(AZ120)-ROW(AZ$15),0),15-13*ORÇAMENTO!$AF$11)),
         0)</f>
        <v>0</v>
      </c>
      <c r="BA120" s="453">
        <f ca="1">IF(AND($D120="Serviço",BA$12&lt;&gt;0,$H120&gt;0,OR(AUTOEVENTO&lt;&gt;"manual",$M120&lt;&gt;$A$15)),
        IF(Import.TipoArredondamento&lt;&gt;"TransfereGOV",
              ROUND(OFFSET($P120,0,BA$13),15-13*ORÇAMENTO!$AF$7)/$H120*OFFSET(ORÇAMENTO!$X$15,ROW(BA120)-ROW(BA$15),0),
              ROUND(ROUND(OFFSET($P120,0,BA$13),15-13*ORÇAMENTO!$AF$7)*OFFSET(ORÇAMENTO!$W$15,ROW(BA120)-ROW(BA$15),0),15-13*ORÇAMENTO!$AF$11)),
         0)</f>
        <v>0</v>
      </c>
      <c r="BC120" s="171">
        <f ca="1">IF(OR($D120&lt;&gt;"Serviço",AND(AUTOEVENTO="Manual",$M120=$A$15)),0,
         IF(OFFSET(CRONOPLE!$F$15,$M120-$A$15,BC$13)=0,10^12,OFFSET(CRONOPLE!$F$15,$M120-$A$15,BC$13)))</f>
        <v>1000000000000</v>
      </c>
      <c r="BD120" s="171">
        <f ca="1">IF(OR($D120&lt;&gt;"Serviço",AND(AUTOEVENTO="Manual",$M120=$A$15)),0,
         IF(OFFSET(CRONOPLE!$F$15,$M120-$A$15,BD$13)=0,10^12,OFFSET(CRONOPLE!$F$15,$M120-$A$15,BD$13)))</f>
        <v>1000000000000</v>
      </c>
      <c r="BE120" s="171">
        <f ca="1">IF(OR($D120&lt;&gt;"Serviço",AND(AUTOEVENTO="Manual",$M120=$A$15)),0,
         IF(OFFSET(CRONOPLE!$F$15,$M120-$A$15,BE$13)=0,10^12,OFFSET(CRONOPLE!$F$15,$M120-$A$15,BE$13)))</f>
        <v>1000000000000</v>
      </c>
      <c r="BF120" s="171">
        <f ca="1">IF(OR($D120&lt;&gt;"Serviço",AND(AUTOEVENTO="Manual",$M120=$A$15)),0,
         IF(OFFSET(CRONOPLE!$F$15,$M120-$A$15,BF$13)=0,10^12,OFFSET(CRONOPLE!$F$15,$M120-$A$15,BF$13)))</f>
        <v>1000000000000</v>
      </c>
      <c r="BG120" s="171">
        <f ca="1">IF(OR($D120&lt;&gt;"Serviço",AND(AUTOEVENTO="Manual",$M120=$A$15)),0,
         IF(OFFSET(CRONOPLE!$F$15,$M120-$A$15,BG$13)=0,10^12,OFFSET(CRONOPLE!$F$15,$M120-$A$15,BG$13)))</f>
        <v>1000000000000</v>
      </c>
      <c r="BH120" s="171">
        <f ca="1">IF(OR($D120&lt;&gt;"Serviço",AND(AUTOEVENTO="Manual",$M120=$A$15)),0,
         IF(OFFSET(CRONOPLE!$F$15,$M120-$A$15,BH$13)=0,10^12,OFFSET(CRONOPLE!$F$15,$M120-$A$15,BH$13)))</f>
        <v>9</v>
      </c>
      <c r="BI120" s="171">
        <f ca="1">IF(OR($D120&lt;&gt;"Serviço",AND(AUTOEVENTO="Manual",$M120=$A$15)),0,
         IF(OFFSET(CRONOPLE!$F$15,$M120-$A$15,BI$13)=0,10^12,OFFSET(CRONOPLE!$F$15,$M120-$A$15,BI$13)))</f>
        <v>1000000000000</v>
      </c>
      <c r="BJ120" s="171">
        <f ca="1">IF(OR($D120&lt;&gt;"Serviço",AND(AUTOEVENTO="Manual",$M120=$A$15)),0,
         IF(OFFSET(CRONOPLE!$F$15,$M120-$A$15,BJ$13)=0,10^12,OFFSET(CRONOPLE!$F$15,$M120-$A$15,BJ$13)))</f>
        <v>1000000000000</v>
      </c>
      <c r="BK120" s="171">
        <f ca="1">IF(OR($D120&lt;&gt;"Serviço",AND(AUTOEVENTO="Manual",$M120=$A$15)),0,
         IF(OFFSET(CRONOPLE!$F$15,$M120-$A$15,BK$13)=0,10^12,OFFSET(CRONOPLE!$F$15,$M120-$A$15,BK$13)))</f>
        <v>1000000000000</v>
      </c>
      <c r="BL120" s="171">
        <f ca="1">IF(OR($D120&lt;&gt;"Serviço",AND(AUTOEVENTO="Manual",$M120=$A$15)),0,
         IF(OFFSET(CRONOPLE!$F$15,$M120-$A$15,BL$13)=0,10^12,OFFSET(CRONOPLE!$F$15,$M120-$A$15,BL$13)))</f>
        <v>1000000000000</v>
      </c>
      <c r="BM120" s="171">
        <f ca="1">IF(OR($D120&lt;&gt;"Serviço",AND(AUTOEVENTO="Manual",$M120=$A$15)),0,
         IF(OFFSET(CRONOPLE!$F$15,$M120-$A$15,BM$13)=0,10^12,OFFSET(CRONOPLE!$F$15,$M120-$A$15,BM$13)))</f>
        <v>1000000000000</v>
      </c>
      <c r="BN120" s="171">
        <f ca="1">IF(OR($D120&lt;&gt;"Serviço",AND(AUTOEVENTO="Manual",$M120=$A$15)),0,
         IF(OFFSET(CRONOPLE!$F$15,$M120-$A$15,BN$13)=0,10^12,OFFSET(CRONOPLE!$F$15,$M120-$A$15,BN$13)))</f>
        <v>1000000000000</v>
      </c>
      <c r="BO120" s="171">
        <f ca="1">IF(OR($D120&lt;&gt;"Serviço",AND(AUTOEVENTO="Manual",$M120=$A$15)),0,
         IF(OFFSET(CRONOPLE!$F$15,$M120-$A$15,BO$13)=0,10^12,OFFSET(CRONOPLE!$F$15,$M120-$A$15,BO$13)))</f>
        <v>1000000000000</v>
      </c>
      <c r="BP120" s="171">
        <f ca="1">IF(OR($D120&lt;&gt;"Serviço",AND(AUTOEVENTO="Manual",$M120=$A$15)),0,
         IF(OFFSET(CRONOPLE!$F$15,$M120-$A$15,BP$13)=0,10^12,OFFSET(CRONOPLE!$F$15,$M120-$A$15,BP$13)))</f>
        <v>1000000000000</v>
      </c>
      <c r="BQ120" s="171">
        <f ca="1">IF(OR($D120&lt;&gt;"Serviço",AND(AUTOEVENTO="Manual",$M120=$A$15)),0,
         IF(OFFSET(CRONOPLE!$F$15,$M120-$A$15,BQ$13)=0,10^12,OFFSET(CRONOPLE!$F$15,$M120-$A$15,BQ$13)))</f>
        <v>1000000000000</v>
      </c>
      <c r="BR120" s="171">
        <f ca="1">IF(OR($D120&lt;&gt;"Serviço",AND(AUTOEVENTO="Manual",$M120=$A$15)),0,
         IF(OFFSET(CRONOPLE!$F$15,$M120-$A$15,BR$13)=0,10^12,OFFSET(CRONOPLE!$F$15,$M120-$A$15,BR$13)))</f>
        <v>1000000000000</v>
      </c>
      <c r="BS120" s="171">
        <f ca="1">IF(OR($D120&lt;&gt;"Serviço",AND(AUTOEVENTO="Manual",$M120=$A$15)),0,
         IF(OFFSET(CRONOPLE!$F$15,$M120-$A$15,BS$13)=0,10^12,OFFSET(CRONOPLE!$F$15,$M120-$A$15,BS$13)))</f>
        <v>1000000000000</v>
      </c>
      <c r="BT120" s="171">
        <f ca="1">IF(OR($D120&lt;&gt;"Serviço",AND(AUTOEVENTO="Manual",$M120=$A$15)),0,
         IF(OFFSET(CRONOPLE!$F$15,$M120-$A$15,BT$13)=0,10^12,OFFSET(CRONOPLE!$F$15,$M120-$A$15,BT$13)))</f>
        <v>1000000000000</v>
      </c>
      <c r="BV120" s="172" cm="1">
        <f t="array" aca="1" ref="BV120" ca="1">IF(OR($D120&lt;&gt;"Serviço",AND(AUTOEVENTO="Manual",$M120=$A$15),$M120&gt;(ROW(PLE.lastrow)-ROW(PLE.firstrow))),0,
           IF(OFFSET(PLE!$G$15,$M120-$A$15,BV$13)="",10^12,OFFSET(PLE!$G$15,$M120-$A$15,BV$13)))</f>
        <v>1000000000000</v>
      </c>
      <c r="BW120" s="172" cm="1">
        <f t="array" aca="1" ref="BW120" ca="1">IF(OR($D120&lt;&gt;"Serviço",AND(AUTOEVENTO="Manual",$M120=$A$15),$M120&gt;(ROW(PLE.lastrow)-ROW(PLE.firstrow))),0,
           IF(OFFSET(PLE!$G$15,$M120-$A$15,BW$13)="",10^12,OFFSET(PLE!$G$15,$M120-$A$15,BW$13)))</f>
        <v>1000000000000</v>
      </c>
      <c r="BX120" s="172" cm="1">
        <f t="array" aca="1" ref="BX120" ca="1">IF(OR($D120&lt;&gt;"Serviço",AND(AUTOEVENTO="Manual",$M120=$A$15),$M120&gt;(ROW(PLE.lastrow)-ROW(PLE.firstrow))),0,
           IF(OFFSET(PLE!$G$15,$M120-$A$15,BX$13)="",10^12,OFFSET(PLE!$G$15,$M120-$A$15,BX$13)))</f>
        <v>1000000000000</v>
      </c>
      <c r="BY120" s="172" cm="1">
        <f t="array" aca="1" ref="BY120" ca="1">IF(OR($D120&lt;&gt;"Serviço",AND(AUTOEVENTO="Manual",$M120=$A$15),$M120&gt;(ROW(PLE.lastrow)-ROW(PLE.firstrow))),0,
           IF(OFFSET(PLE!$G$15,$M120-$A$15,BY$13)="",10^12,OFFSET(PLE!$G$15,$M120-$A$15,BY$13)))</f>
        <v>1000000000000</v>
      </c>
      <c r="BZ120" s="172" cm="1">
        <f t="array" aca="1" ref="BZ120" ca="1">IF(OR($D120&lt;&gt;"Serviço",AND(AUTOEVENTO="Manual",$M120=$A$15),$M120&gt;(ROW(PLE.lastrow)-ROW(PLE.firstrow))),0,
           IF(OFFSET(PLE!$G$15,$M120-$A$15,BZ$13)="",10^12,OFFSET(PLE!$G$15,$M120-$A$15,BZ$13)))</f>
        <v>1000000000000</v>
      </c>
      <c r="CA120" s="172" cm="1">
        <f t="array" aca="1" ref="CA120" ca="1">IF(OR($D120&lt;&gt;"Serviço",AND(AUTOEVENTO="Manual",$M120=$A$15),$M120&gt;(ROW(PLE.lastrow)-ROW(PLE.firstrow))),0,
           IF(OFFSET(PLE!$G$15,$M120-$A$15,CA$13)="",10^12,OFFSET(PLE!$G$15,$M120-$A$15,CA$13)))</f>
        <v>1000000000000</v>
      </c>
      <c r="CB120" s="172" cm="1">
        <f t="array" aca="1" ref="CB120" ca="1">IF(OR($D120&lt;&gt;"Serviço",AND(AUTOEVENTO="Manual",$M120=$A$15),$M120&gt;(ROW(PLE.lastrow)-ROW(PLE.firstrow))),0,
           IF(OFFSET(PLE!$G$15,$M120-$A$15,CB$13)="",10^12,OFFSET(PLE!$G$15,$M120-$A$15,CB$13)))</f>
        <v>1000000000000</v>
      </c>
      <c r="CC120" s="172" cm="1">
        <f t="array" aca="1" ref="CC120" ca="1">IF(OR($D120&lt;&gt;"Serviço",AND(AUTOEVENTO="Manual",$M120=$A$15),$M120&gt;(ROW(PLE.lastrow)-ROW(PLE.firstrow))),0,
           IF(OFFSET(PLE!$G$15,$M120-$A$15,CC$13)="",10^12,OFFSET(PLE!$G$15,$M120-$A$15,CC$13)))</f>
        <v>1000000000000</v>
      </c>
      <c r="CD120" s="172" cm="1">
        <f t="array" aca="1" ref="CD120" ca="1">IF(OR($D120&lt;&gt;"Serviço",AND(AUTOEVENTO="Manual",$M120=$A$15),$M120&gt;(ROW(PLE.lastrow)-ROW(PLE.firstrow))),0,
           IF(OFFSET(PLE!$G$15,$M120-$A$15,CD$13)="",10^12,OFFSET(PLE!$G$15,$M120-$A$15,CD$13)))</f>
        <v>1000000000000</v>
      </c>
      <c r="CE120" s="172" cm="1">
        <f t="array" aca="1" ref="CE120" ca="1">IF(OR($D120&lt;&gt;"Serviço",AND(AUTOEVENTO="Manual",$M120=$A$15),$M120&gt;(ROW(PLE.lastrow)-ROW(PLE.firstrow))),0,
           IF(OFFSET(PLE!$G$15,$M120-$A$15,CE$13)="",10^12,OFFSET(PLE!$G$15,$M120-$A$15,CE$13)))</f>
        <v>1000000000000</v>
      </c>
      <c r="CF120" s="172" cm="1">
        <f t="array" aca="1" ref="CF120" ca="1">IF(OR($D120&lt;&gt;"Serviço",AND(AUTOEVENTO="Manual",$M120=$A$15),$M120&gt;(ROW(PLE.lastrow)-ROW(PLE.firstrow))),0,
           IF(OFFSET(PLE!$G$15,$M120-$A$15,CF$13)="",10^12,OFFSET(PLE!$G$15,$M120-$A$15,CF$13)))</f>
        <v>1000000000000</v>
      </c>
      <c r="CG120" s="172" cm="1">
        <f t="array" aca="1" ref="CG120" ca="1">IF(OR($D120&lt;&gt;"Serviço",AND(AUTOEVENTO="Manual",$M120=$A$15),$M120&gt;(ROW(PLE.lastrow)-ROW(PLE.firstrow))),0,
           IF(OFFSET(PLE!$G$15,$M120-$A$15,CG$13)="",10^12,OFFSET(PLE!$G$15,$M120-$A$15,CG$13)))</f>
        <v>1000000000000</v>
      </c>
      <c r="CH120" s="172" cm="1">
        <f t="array" aca="1" ref="CH120" ca="1">IF(OR($D120&lt;&gt;"Serviço",AND(AUTOEVENTO="Manual",$M120=$A$15),$M120&gt;(ROW(PLE.lastrow)-ROW(PLE.firstrow))),0,
           IF(OFFSET(PLE!$G$15,$M120-$A$15,CH$13)="",10^12,OFFSET(PLE!$G$15,$M120-$A$15,CH$13)))</f>
        <v>1000000000000</v>
      </c>
      <c r="CI120" s="172" cm="1">
        <f t="array" aca="1" ref="CI120" ca="1">IF(OR($D120&lt;&gt;"Serviço",AND(AUTOEVENTO="Manual",$M120=$A$15),$M120&gt;(ROW(PLE.lastrow)-ROW(PLE.firstrow))),0,
           IF(OFFSET(PLE!$G$15,$M120-$A$15,CI$13)="",10^12,OFFSET(PLE!$G$15,$M120-$A$15,CI$13)))</f>
        <v>1000000000000</v>
      </c>
      <c r="CJ120" s="172" cm="1">
        <f t="array" aca="1" ref="CJ120" ca="1">IF(OR($D120&lt;&gt;"Serviço",AND(AUTOEVENTO="Manual",$M120=$A$15),$M120&gt;(ROW(PLE.lastrow)-ROW(PLE.firstrow))),0,
           IF(OFFSET(PLE!$G$15,$M120-$A$15,CJ$13)="",10^12,OFFSET(PLE!$G$15,$M120-$A$15,CJ$13)))</f>
        <v>1000000000000</v>
      </c>
      <c r="CK120" s="172" cm="1">
        <f t="array" aca="1" ref="CK120" ca="1">IF(OR($D120&lt;&gt;"Serviço",AND(AUTOEVENTO="Manual",$M120=$A$15),$M120&gt;(ROW(PLE.lastrow)-ROW(PLE.firstrow))),0,
           IF(OFFSET(PLE!$G$15,$M120-$A$15,CK$13)="",10^12,OFFSET(PLE!$G$15,$M120-$A$15,CK$13)))</f>
        <v>1000000000000</v>
      </c>
      <c r="CL120" s="172" cm="1">
        <f t="array" aca="1" ref="CL120" ca="1">IF(OR($D120&lt;&gt;"Serviço",AND(AUTOEVENTO="Manual",$M120=$A$15),$M120&gt;(ROW(PLE.lastrow)-ROW(PLE.firstrow))),0,
           IF(OFFSET(PLE!$G$15,$M120-$A$15,CL$13)="",10^12,OFFSET(PLE!$G$15,$M120-$A$15,CL$13)))</f>
        <v>1000000000000</v>
      </c>
      <c r="CM120" s="172" cm="1">
        <f t="array" aca="1" ref="CM120" ca="1">IF(OR($D120&lt;&gt;"Serviço",AND(AUTOEVENTO="Manual",$M120=$A$15),$M120&gt;(ROW(PLE.lastrow)-ROW(PLE.firstrow))),0,
           IF(OFFSET(PLE!$G$15,$M120-$A$15,CM$13)="",10^12,OFFSET(PLE!$G$15,$M120-$A$15,CM$13)))</f>
        <v>1000000000000</v>
      </c>
    </row>
    <row r="121" spans="1:91" s="670" customFormat="1" ht="38.25" x14ac:dyDescent="0.2">
      <c r="A121" s="668">
        <f t="shared" ca="1" si="12"/>
        <v>25</v>
      </c>
      <c r="B121" s="668" t="str">
        <f ca="1">OFFSET(ORÇAMENTO!C$15,$L121,0)</f>
        <v>S</v>
      </c>
      <c r="C121" s="668" t="str">
        <f ca="1">OFFSET(ORÇAMENTO!L$15,$L121,0)</f>
        <v>F</v>
      </c>
      <c r="D121" s="116" t="str">
        <f ca="1">OFFSET(ORÇAMENTO!N$15,$L121,0)</f>
        <v>Serviço</v>
      </c>
      <c r="E121" s="117" t="str">
        <f ca="1">OFFSET(ORÇAMENTO!O$15,$L121,0)</f>
        <v>1.17.7.</v>
      </c>
      <c r="F121" s="163" t="str">
        <f ca="1">OFFSET(ORÇAMENTO!R$15,$L121,0)</f>
        <v>ELETRODUTO FLEXÍVEL CORRUGADO, PEAD, DN 90 (3"), PARA REDE ENTERRADA DE DISTRIBUIÇÃO DE ENERGIA ELÉTRICA - FORNECIMENTO E INSTALAÇÃO. AF_12/2021</v>
      </c>
      <c r="G121" s="164" t="str">
        <f ca="1">IF($D121&lt;&gt;"Serviço","",OFFSET(ORÇAMENTO!S$15,$L121,0))</f>
        <v>M</v>
      </c>
      <c r="H121" s="122" cm="1">
        <f t="array" aca="1" ref="H121" ca="1">IF($D121&lt;&gt;"Serviço",0,IF(ACOMPANHAMENTO="BM",ROUND(OFFSET(ORÇAMENTO!AJ$15,$L121,0),15-13*ORÇAMENTO!$AF$7),IF(IFERROR(CÁLCULO.FrentesPreenchidas,0)=0,0,SUM(ROUND(OFFSET($P121,0,1,1,CÁLCULO.FrentesPreenchidas),15-13*ORÇAMENTO!$AF$7)))))</f>
        <v>55</v>
      </c>
      <c r="I121" s="468"/>
      <c r="J121" s="651" t="str" cm="1">
        <f t="array" aca="1" ref="J121" ca="1">IF(OR(B121&lt;&gt;"S",CÁLCULO.FrentesPreenchidas=0),"",IF(AND(ACOMPANHAMENTO="PLE",AUTOEVENTO="Manual",OR(H121&gt;0,ORÇAMENTO!AC121="QUANT."),OR(K121="",M121=0,N121="")),"►E",IF(AND(ACOMPANHAMENTO="PLE",ORÇAMENTO!AC121="QUANT."),"►Q",IF(AND(ACOMPANHAMENTO="PLE",H121&lt;&gt;SUMPRODUCT(($Q$1:$AI$1=1)*ROUND(Q121:AI121,15))),"►S",IF(AND(COUNTIF($P$11:$AI$11,"▼")=0,H121&gt;0,I121=""),"◄M","")))))</f>
        <v>◄M</v>
      </c>
      <c r="K121" s="652" t="s">
        <v>1359</v>
      </c>
      <c r="L121" s="165">
        <f t="shared" ca="1" si="13"/>
        <v>106</v>
      </c>
      <c r="M121" s="166">
        <f ca="1">IF($D121&lt;&gt;"Serviço","",
          IF(AUTOEVENTO="manual",$A121,
                IF(ISERROR(MATCH($A121,$A$15:OFFSET($A121,-1,0),0)),MAX($M$15:OFFSET(M121,-1,0))+1,
                      INDEX($M$15:OFFSET(M121,-1,0),MATCH($A121,$A$15:OFFSET($A121,-1,0),0)))))</f>
        <v>25</v>
      </c>
      <c r="N121" s="167" t="str">
        <f ca="1">IF($D121&lt;&gt;"Serviço","",
         IF(AUTOEVENTO="Manual",
                IF($A121=0,"&lt;-- defina o número do agrupador",
                       OFFSET(EVENTOS!$D$15,$A121-$A$15,0)),
                OFFSET($F$15,$A121,0)))</f>
        <v>Instalações elétricas</v>
      </c>
      <c r="O121" s="168"/>
      <c r="Q121" s="168"/>
      <c r="R121" s="169"/>
      <c r="S121" s="169"/>
      <c r="T121" s="169"/>
      <c r="U121" s="169"/>
      <c r="V121" s="169">
        <v>55</v>
      </c>
      <c r="W121" s="169"/>
      <c r="X121" s="169"/>
      <c r="Y121" s="169"/>
      <c r="Z121" s="170"/>
      <c r="AA121" s="705"/>
      <c r="AB121" s="705"/>
      <c r="AC121" s="705"/>
      <c r="AD121" s="705"/>
      <c r="AE121" s="705"/>
      <c r="AF121" s="705"/>
      <c r="AG121" s="705"/>
      <c r="AH121" s="706"/>
      <c r="AJ121" s="453">
        <f ca="1">IF(AND($D121="Serviço",AJ$12&lt;&gt;0,$H121&gt;0,OR(AUTOEVENTO&lt;&gt;"manual",$M121&lt;&gt;$A$15)),
        IF(Import.TipoArredondamento&lt;&gt;"TransfereGOV",
              ROUND(OFFSET($P121,0,AJ$13),15-13*ORÇAMENTO!$AF$7)/$H121*OFFSET(ORÇAMENTO!$X$15,ROW(AJ121)-ROW(AJ$15),0),
              ROUND(ROUND(OFFSET($P121,0,AJ$13),15-13*ORÇAMENTO!$AF$7)*OFFSET(ORÇAMENTO!$W$15,ROW(AJ121)-ROW(AJ$15),0),15-13*ORÇAMENTO!$AF$11)),
         0)</f>
        <v>0</v>
      </c>
      <c r="AK121" s="453">
        <f ca="1">IF(AND($D121="Serviço",AK$12&lt;&gt;0,$H121&gt;0,OR(AUTOEVENTO&lt;&gt;"manual",$M121&lt;&gt;$A$15)),
        IF(Import.TipoArredondamento&lt;&gt;"TransfereGOV",
              ROUND(OFFSET($P121,0,AK$13),15-13*ORÇAMENTO!$AF$7)/$H121*OFFSET(ORÇAMENTO!$X$15,ROW(AK121)-ROW(AK$15),0),
              ROUND(ROUND(OFFSET($P121,0,AK$13),15-13*ORÇAMENTO!$AF$7)*OFFSET(ORÇAMENTO!$W$15,ROW(AK121)-ROW(AK$15),0),15-13*ORÇAMENTO!$AF$11)),
         0)</f>
        <v>0</v>
      </c>
      <c r="AL121" s="453">
        <f ca="1">IF(AND($D121="Serviço",AL$12&lt;&gt;0,$H121&gt;0,OR(AUTOEVENTO&lt;&gt;"manual",$M121&lt;&gt;$A$15)),
        IF(Import.TipoArredondamento&lt;&gt;"TransfereGOV",
              ROUND(OFFSET($P121,0,AL$13),15-13*ORÇAMENTO!$AF$7)/$H121*OFFSET(ORÇAMENTO!$X$15,ROW(AL121)-ROW(AL$15),0),
              ROUND(ROUND(OFFSET($P121,0,AL$13),15-13*ORÇAMENTO!$AF$7)*OFFSET(ORÇAMENTO!$W$15,ROW(AL121)-ROW(AL$15),0),15-13*ORÇAMENTO!$AF$11)),
         0)</f>
        <v>0</v>
      </c>
      <c r="AM121" s="453">
        <f ca="1">IF(AND($D121="Serviço",AM$12&lt;&gt;0,$H121&gt;0,OR(AUTOEVENTO&lt;&gt;"manual",$M121&lt;&gt;$A$15)),
        IF(Import.TipoArredondamento&lt;&gt;"TransfereGOV",
              ROUND(OFFSET($P121,0,AM$13),15-13*ORÇAMENTO!$AF$7)/$H121*OFFSET(ORÇAMENTO!$X$15,ROW(AM121)-ROW(AM$15),0),
              ROUND(ROUND(OFFSET($P121,0,AM$13),15-13*ORÇAMENTO!$AF$7)*OFFSET(ORÇAMENTO!$W$15,ROW(AM121)-ROW(AM$15),0),15-13*ORÇAMENTO!$AF$11)),
         0)</f>
        <v>0</v>
      </c>
      <c r="AN121" s="453">
        <f ca="1">IF(AND($D121="Serviço",AN$12&lt;&gt;0,$H121&gt;0,OR(AUTOEVENTO&lt;&gt;"manual",$M121&lt;&gt;$A$15)),
        IF(Import.TipoArredondamento&lt;&gt;"TransfereGOV",
              ROUND(OFFSET($P121,0,AN$13),15-13*ORÇAMENTO!$AF$7)/$H121*OFFSET(ORÇAMENTO!$X$15,ROW(AN121)-ROW(AN$15),0),
              ROUND(ROUND(OFFSET($P121,0,AN$13),15-13*ORÇAMENTO!$AF$7)*OFFSET(ORÇAMENTO!$W$15,ROW(AN121)-ROW(AN$15),0),15-13*ORÇAMENTO!$AF$11)),
         0)</f>
        <v>0</v>
      </c>
      <c r="AO121" s="453">
        <f ca="1">IF(AND($D121="Serviço",AO$12&lt;&gt;0,$H121&gt;0,OR(AUTOEVENTO&lt;&gt;"manual",$M121&lt;&gt;$A$15)),
        IF(Import.TipoArredondamento&lt;&gt;"TransfereGOV",
              ROUND(OFFSET($P121,0,AO$13),15-13*ORÇAMENTO!$AF$7)/$H121*OFFSET(ORÇAMENTO!$X$15,ROW(AO121)-ROW(AO$15),0),
              ROUND(ROUND(OFFSET($P121,0,AO$13),15-13*ORÇAMENTO!$AF$7)*OFFSET(ORÇAMENTO!$W$15,ROW(AO121)-ROW(AO$15),0),15-13*ORÇAMENTO!$AF$11)),
         0)</f>
        <v>1155.55</v>
      </c>
      <c r="AP121" s="453">
        <f ca="1">IF(AND($D121="Serviço",AP$12&lt;&gt;0,$H121&gt;0,OR(AUTOEVENTO&lt;&gt;"manual",$M121&lt;&gt;$A$15)),
        IF(Import.TipoArredondamento&lt;&gt;"TransfereGOV",
              ROUND(OFFSET($P121,0,AP$13),15-13*ORÇAMENTO!$AF$7)/$H121*OFFSET(ORÇAMENTO!$X$15,ROW(AP121)-ROW(AP$15),0),
              ROUND(ROUND(OFFSET($P121,0,AP$13),15-13*ORÇAMENTO!$AF$7)*OFFSET(ORÇAMENTO!$W$15,ROW(AP121)-ROW(AP$15),0),15-13*ORÇAMENTO!$AF$11)),
         0)</f>
        <v>0</v>
      </c>
      <c r="AQ121" s="453">
        <f ca="1">IF(AND($D121="Serviço",AQ$12&lt;&gt;0,$H121&gt;0,OR(AUTOEVENTO&lt;&gt;"manual",$M121&lt;&gt;$A$15)),
        IF(Import.TipoArredondamento&lt;&gt;"TransfereGOV",
              ROUND(OFFSET($P121,0,AQ$13),15-13*ORÇAMENTO!$AF$7)/$H121*OFFSET(ORÇAMENTO!$X$15,ROW(AQ121)-ROW(AQ$15),0),
              ROUND(ROUND(OFFSET($P121,0,AQ$13),15-13*ORÇAMENTO!$AF$7)*OFFSET(ORÇAMENTO!$W$15,ROW(AQ121)-ROW(AQ$15),0),15-13*ORÇAMENTO!$AF$11)),
         0)</f>
        <v>0</v>
      </c>
      <c r="AR121" s="453">
        <f ca="1">IF(AND($D121="Serviço",AR$12&lt;&gt;0,$H121&gt;0,OR(AUTOEVENTO&lt;&gt;"manual",$M121&lt;&gt;$A$15)),
        IF(Import.TipoArredondamento&lt;&gt;"TransfereGOV",
              ROUND(OFFSET($P121,0,AR$13),15-13*ORÇAMENTO!$AF$7)/$H121*OFFSET(ORÇAMENTO!$X$15,ROW(AR121)-ROW(AR$15),0),
              ROUND(ROUND(OFFSET($P121,0,AR$13),15-13*ORÇAMENTO!$AF$7)*OFFSET(ORÇAMENTO!$W$15,ROW(AR121)-ROW(AR$15),0),15-13*ORÇAMENTO!$AF$11)),
         0)</f>
        <v>0</v>
      </c>
      <c r="AS121" s="453">
        <f ca="1">IF(AND($D121="Serviço",AS$12&lt;&gt;0,$H121&gt;0,OR(AUTOEVENTO&lt;&gt;"manual",$M121&lt;&gt;$A$15)),
        IF(Import.TipoArredondamento&lt;&gt;"TransfereGOV",
              ROUND(OFFSET($P121,0,AS$13),15-13*ORÇAMENTO!$AF$7)/$H121*OFFSET(ORÇAMENTO!$X$15,ROW(AS121)-ROW(AS$15),0),
              ROUND(ROUND(OFFSET($P121,0,AS$13),15-13*ORÇAMENTO!$AF$7)*OFFSET(ORÇAMENTO!$W$15,ROW(AS121)-ROW(AS$15),0),15-13*ORÇAMENTO!$AF$11)),
         0)</f>
        <v>0</v>
      </c>
      <c r="AT121" s="453">
        <f ca="1">IF(AND($D121="Serviço",AT$12&lt;&gt;0,$H121&gt;0,OR(AUTOEVENTO&lt;&gt;"manual",$M121&lt;&gt;$A$15)),
        IF(Import.TipoArredondamento&lt;&gt;"TransfereGOV",
              ROUND(OFFSET($P121,0,AT$13),15-13*ORÇAMENTO!$AF$7)/$H121*OFFSET(ORÇAMENTO!$X$15,ROW(AT121)-ROW(AT$15),0),
              ROUND(ROUND(OFFSET($P121,0,AT$13),15-13*ORÇAMENTO!$AF$7)*OFFSET(ORÇAMENTO!$W$15,ROW(AT121)-ROW(AT$15),0),15-13*ORÇAMENTO!$AF$11)),
         0)</f>
        <v>0</v>
      </c>
      <c r="AU121" s="453">
        <f ca="1">IF(AND($D121="Serviço",AU$12&lt;&gt;0,$H121&gt;0,OR(AUTOEVENTO&lt;&gt;"manual",$M121&lt;&gt;$A$15)),
        IF(Import.TipoArredondamento&lt;&gt;"TransfereGOV",
              ROUND(OFFSET($P121,0,AU$13),15-13*ORÇAMENTO!$AF$7)/$H121*OFFSET(ORÇAMENTO!$X$15,ROW(AU121)-ROW(AU$15),0),
              ROUND(ROUND(OFFSET($P121,0,AU$13),15-13*ORÇAMENTO!$AF$7)*OFFSET(ORÇAMENTO!$W$15,ROW(AU121)-ROW(AU$15),0),15-13*ORÇAMENTO!$AF$11)),
         0)</f>
        <v>0</v>
      </c>
      <c r="AV121" s="453">
        <f ca="1">IF(AND($D121="Serviço",AV$12&lt;&gt;0,$H121&gt;0,OR(AUTOEVENTO&lt;&gt;"manual",$M121&lt;&gt;$A$15)),
        IF(Import.TipoArredondamento&lt;&gt;"TransfereGOV",
              ROUND(OFFSET($P121,0,AV$13),15-13*ORÇAMENTO!$AF$7)/$H121*OFFSET(ORÇAMENTO!$X$15,ROW(AV121)-ROW(AV$15),0),
              ROUND(ROUND(OFFSET($P121,0,AV$13),15-13*ORÇAMENTO!$AF$7)*OFFSET(ORÇAMENTO!$W$15,ROW(AV121)-ROW(AV$15),0),15-13*ORÇAMENTO!$AF$11)),
         0)</f>
        <v>0</v>
      </c>
      <c r="AW121" s="453">
        <f ca="1">IF(AND($D121="Serviço",AW$12&lt;&gt;0,$H121&gt;0,OR(AUTOEVENTO&lt;&gt;"manual",$M121&lt;&gt;$A$15)),
        IF(Import.TipoArredondamento&lt;&gt;"TransfereGOV",
              ROUND(OFFSET($P121,0,AW$13),15-13*ORÇAMENTO!$AF$7)/$H121*OFFSET(ORÇAMENTO!$X$15,ROW(AW121)-ROW(AW$15),0),
              ROUND(ROUND(OFFSET($P121,0,AW$13),15-13*ORÇAMENTO!$AF$7)*OFFSET(ORÇAMENTO!$W$15,ROW(AW121)-ROW(AW$15),0),15-13*ORÇAMENTO!$AF$11)),
         0)</f>
        <v>0</v>
      </c>
      <c r="AX121" s="453">
        <f ca="1">IF(AND($D121="Serviço",AX$12&lt;&gt;0,$H121&gt;0,OR(AUTOEVENTO&lt;&gt;"manual",$M121&lt;&gt;$A$15)),
        IF(Import.TipoArredondamento&lt;&gt;"TransfereGOV",
              ROUND(OFFSET($P121,0,AX$13),15-13*ORÇAMENTO!$AF$7)/$H121*OFFSET(ORÇAMENTO!$X$15,ROW(AX121)-ROW(AX$15),0),
              ROUND(ROUND(OFFSET($P121,0,AX$13),15-13*ORÇAMENTO!$AF$7)*OFFSET(ORÇAMENTO!$W$15,ROW(AX121)-ROW(AX$15),0),15-13*ORÇAMENTO!$AF$11)),
         0)</f>
        <v>0</v>
      </c>
      <c r="AY121" s="453">
        <f ca="1">IF(AND($D121="Serviço",AY$12&lt;&gt;0,$H121&gt;0,OR(AUTOEVENTO&lt;&gt;"manual",$M121&lt;&gt;$A$15)),
        IF(Import.TipoArredondamento&lt;&gt;"TransfereGOV",
              ROUND(OFFSET($P121,0,AY$13),15-13*ORÇAMENTO!$AF$7)/$H121*OFFSET(ORÇAMENTO!$X$15,ROW(AY121)-ROW(AY$15),0),
              ROUND(ROUND(OFFSET($P121,0,AY$13),15-13*ORÇAMENTO!$AF$7)*OFFSET(ORÇAMENTO!$W$15,ROW(AY121)-ROW(AY$15),0),15-13*ORÇAMENTO!$AF$11)),
         0)</f>
        <v>0</v>
      </c>
      <c r="AZ121" s="453">
        <f ca="1">IF(AND($D121="Serviço",AZ$12&lt;&gt;0,$H121&gt;0,OR(AUTOEVENTO&lt;&gt;"manual",$M121&lt;&gt;$A$15)),
        IF(Import.TipoArredondamento&lt;&gt;"TransfereGOV",
              ROUND(OFFSET($P121,0,AZ$13),15-13*ORÇAMENTO!$AF$7)/$H121*OFFSET(ORÇAMENTO!$X$15,ROW(AZ121)-ROW(AZ$15),0),
              ROUND(ROUND(OFFSET($P121,0,AZ$13),15-13*ORÇAMENTO!$AF$7)*OFFSET(ORÇAMENTO!$W$15,ROW(AZ121)-ROW(AZ$15),0),15-13*ORÇAMENTO!$AF$11)),
         0)</f>
        <v>0</v>
      </c>
      <c r="BA121" s="453">
        <f ca="1">IF(AND($D121="Serviço",BA$12&lt;&gt;0,$H121&gt;0,OR(AUTOEVENTO&lt;&gt;"manual",$M121&lt;&gt;$A$15)),
        IF(Import.TipoArredondamento&lt;&gt;"TransfereGOV",
              ROUND(OFFSET($P121,0,BA$13),15-13*ORÇAMENTO!$AF$7)/$H121*OFFSET(ORÇAMENTO!$X$15,ROW(BA121)-ROW(BA$15),0),
              ROUND(ROUND(OFFSET($P121,0,BA$13),15-13*ORÇAMENTO!$AF$7)*OFFSET(ORÇAMENTO!$W$15,ROW(BA121)-ROW(BA$15),0),15-13*ORÇAMENTO!$AF$11)),
         0)</f>
        <v>0</v>
      </c>
      <c r="BC121" s="171">
        <f ca="1">IF(OR($D121&lt;&gt;"Serviço",AND(AUTOEVENTO="Manual",$M121=$A$15)),0,
         IF(OFFSET(CRONOPLE!$F$15,$M121-$A$15,BC$13)=0,10^12,OFFSET(CRONOPLE!$F$15,$M121-$A$15,BC$13)))</f>
        <v>1000000000000</v>
      </c>
      <c r="BD121" s="171">
        <f ca="1">IF(OR($D121&lt;&gt;"Serviço",AND(AUTOEVENTO="Manual",$M121=$A$15)),0,
         IF(OFFSET(CRONOPLE!$F$15,$M121-$A$15,BD$13)=0,10^12,OFFSET(CRONOPLE!$F$15,$M121-$A$15,BD$13)))</f>
        <v>1000000000000</v>
      </c>
      <c r="BE121" s="171">
        <f ca="1">IF(OR($D121&lt;&gt;"Serviço",AND(AUTOEVENTO="Manual",$M121=$A$15)),0,
         IF(OFFSET(CRONOPLE!$F$15,$M121-$A$15,BE$13)=0,10^12,OFFSET(CRONOPLE!$F$15,$M121-$A$15,BE$13)))</f>
        <v>1000000000000</v>
      </c>
      <c r="BF121" s="171">
        <f ca="1">IF(OR($D121&lt;&gt;"Serviço",AND(AUTOEVENTO="Manual",$M121=$A$15)),0,
         IF(OFFSET(CRONOPLE!$F$15,$M121-$A$15,BF$13)=0,10^12,OFFSET(CRONOPLE!$F$15,$M121-$A$15,BF$13)))</f>
        <v>1000000000000</v>
      </c>
      <c r="BG121" s="171">
        <f ca="1">IF(OR($D121&lt;&gt;"Serviço",AND(AUTOEVENTO="Manual",$M121=$A$15)),0,
         IF(OFFSET(CRONOPLE!$F$15,$M121-$A$15,BG$13)=0,10^12,OFFSET(CRONOPLE!$F$15,$M121-$A$15,BG$13)))</f>
        <v>1000000000000</v>
      </c>
      <c r="BH121" s="171">
        <f ca="1">IF(OR($D121&lt;&gt;"Serviço",AND(AUTOEVENTO="Manual",$M121=$A$15)),0,
         IF(OFFSET(CRONOPLE!$F$15,$M121-$A$15,BH$13)=0,10^12,OFFSET(CRONOPLE!$F$15,$M121-$A$15,BH$13)))</f>
        <v>9</v>
      </c>
      <c r="BI121" s="171">
        <f ca="1">IF(OR($D121&lt;&gt;"Serviço",AND(AUTOEVENTO="Manual",$M121=$A$15)),0,
         IF(OFFSET(CRONOPLE!$F$15,$M121-$A$15,BI$13)=0,10^12,OFFSET(CRONOPLE!$F$15,$M121-$A$15,BI$13)))</f>
        <v>1000000000000</v>
      </c>
      <c r="BJ121" s="171">
        <f ca="1">IF(OR($D121&lt;&gt;"Serviço",AND(AUTOEVENTO="Manual",$M121=$A$15)),0,
         IF(OFFSET(CRONOPLE!$F$15,$M121-$A$15,BJ$13)=0,10^12,OFFSET(CRONOPLE!$F$15,$M121-$A$15,BJ$13)))</f>
        <v>1000000000000</v>
      </c>
      <c r="BK121" s="171">
        <f ca="1">IF(OR($D121&lt;&gt;"Serviço",AND(AUTOEVENTO="Manual",$M121=$A$15)),0,
         IF(OFFSET(CRONOPLE!$F$15,$M121-$A$15,BK$13)=0,10^12,OFFSET(CRONOPLE!$F$15,$M121-$A$15,BK$13)))</f>
        <v>1000000000000</v>
      </c>
      <c r="BL121" s="171">
        <f ca="1">IF(OR($D121&lt;&gt;"Serviço",AND(AUTOEVENTO="Manual",$M121=$A$15)),0,
         IF(OFFSET(CRONOPLE!$F$15,$M121-$A$15,BL$13)=0,10^12,OFFSET(CRONOPLE!$F$15,$M121-$A$15,BL$13)))</f>
        <v>1000000000000</v>
      </c>
      <c r="BM121" s="171">
        <f ca="1">IF(OR($D121&lt;&gt;"Serviço",AND(AUTOEVENTO="Manual",$M121=$A$15)),0,
         IF(OFFSET(CRONOPLE!$F$15,$M121-$A$15,BM$13)=0,10^12,OFFSET(CRONOPLE!$F$15,$M121-$A$15,BM$13)))</f>
        <v>1000000000000</v>
      </c>
      <c r="BN121" s="171">
        <f ca="1">IF(OR($D121&lt;&gt;"Serviço",AND(AUTOEVENTO="Manual",$M121=$A$15)),0,
         IF(OFFSET(CRONOPLE!$F$15,$M121-$A$15,BN$13)=0,10^12,OFFSET(CRONOPLE!$F$15,$M121-$A$15,BN$13)))</f>
        <v>1000000000000</v>
      </c>
      <c r="BO121" s="171">
        <f ca="1">IF(OR($D121&lt;&gt;"Serviço",AND(AUTOEVENTO="Manual",$M121=$A$15)),0,
         IF(OFFSET(CRONOPLE!$F$15,$M121-$A$15,BO$13)=0,10^12,OFFSET(CRONOPLE!$F$15,$M121-$A$15,BO$13)))</f>
        <v>1000000000000</v>
      </c>
      <c r="BP121" s="171">
        <f ca="1">IF(OR($D121&lt;&gt;"Serviço",AND(AUTOEVENTO="Manual",$M121=$A$15)),0,
         IF(OFFSET(CRONOPLE!$F$15,$M121-$A$15,BP$13)=0,10^12,OFFSET(CRONOPLE!$F$15,$M121-$A$15,BP$13)))</f>
        <v>1000000000000</v>
      </c>
      <c r="BQ121" s="171">
        <f ca="1">IF(OR($D121&lt;&gt;"Serviço",AND(AUTOEVENTO="Manual",$M121=$A$15)),0,
         IF(OFFSET(CRONOPLE!$F$15,$M121-$A$15,BQ$13)=0,10^12,OFFSET(CRONOPLE!$F$15,$M121-$A$15,BQ$13)))</f>
        <v>1000000000000</v>
      </c>
      <c r="BR121" s="171">
        <f ca="1">IF(OR($D121&lt;&gt;"Serviço",AND(AUTOEVENTO="Manual",$M121=$A$15)),0,
         IF(OFFSET(CRONOPLE!$F$15,$M121-$A$15,BR$13)=0,10^12,OFFSET(CRONOPLE!$F$15,$M121-$A$15,BR$13)))</f>
        <v>1000000000000</v>
      </c>
      <c r="BS121" s="171">
        <f ca="1">IF(OR($D121&lt;&gt;"Serviço",AND(AUTOEVENTO="Manual",$M121=$A$15)),0,
         IF(OFFSET(CRONOPLE!$F$15,$M121-$A$15,BS$13)=0,10^12,OFFSET(CRONOPLE!$F$15,$M121-$A$15,BS$13)))</f>
        <v>1000000000000</v>
      </c>
      <c r="BT121" s="171">
        <f ca="1">IF(OR($D121&lt;&gt;"Serviço",AND(AUTOEVENTO="Manual",$M121=$A$15)),0,
         IF(OFFSET(CRONOPLE!$F$15,$M121-$A$15,BT$13)=0,10^12,OFFSET(CRONOPLE!$F$15,$M121-$A$15,BT$13)))</f>
        <v>1000000000000</v>
      </c>
      <c r="BV121" s="172" cm="1">
        <f t="array" aca="1" ref="BV121" ca="1">IF(OR($D121&lt;&gt;"Serviço",AND(AUTOEVENTO="Manual",$M121=$A$15),$M121&gt;(ROW(PLE.lastrow)-ROW(PLE.firstrow))),0,
           IF(OFFSET(PLE!$G$15,$M121-$A$15,BV$13)="",10^12,OFFSET(PLE!$G$15,$M121-$A$15,BV$13)))</f>
        <v>1000000000000</v>
      </c>
      <c r="BW121" s="172" cm="1">
        <f t="array" aca="1" ref="BW121" ca="1">IF(OR($D121&lt;&gt;"Serviço",AND(AUTOEVENTO="Manual",$M121=$A$15),$M121&gt;(ROW(PLE.lastrow)-ROW(PLE.firstrow))),0,
           IF(OFFSET(PLE!$G$15,$M121-$A$15,BW$13)="",10^12,OFFSET(PLE!$G$15,$M121-$A$15,BW$13)))</f>
        <v>1000000000000</v>
      </c>
      <c r="BX121" s="172" cm="1">
        <f t="array" aca="1" ref="BX121" ca="1">IF(OR($D121&lt;&gt;"Serviço",AND(AUTOEVENTO="Manual",$M121=$A$15),$M121&gt;(ROW(PLE.lastrow)-ROW(PLE.firstrow))),0,
           IF(OFFSET(PLE!$G$15,$M121-$A$15,BX$13)="",10^12,OFFSET(PLE!$G$15,$M121-$A$15,BX$13)))</f>
        <v>1000000000000</v>
      </c>
      <c r="BY121" s="172" cm="1">
        <f t="array" aca="1" ref="BY121" ca="1">IF(OR($D121&lt;&gt;"Serviço",AND(AUTOEVENTO="Manual",$M121=$A$15),$M121&gt;(ROW(PLE.lastrow)-ROW(PLE.firstrow))),0,
           IF(OFFSET(PLE!$G$15,$M121-$A$15,BY$13)="",10^12,OFFSET(PLE!$G$15,$M121-$A$15,BY$13)))</f>
        <v>1000000000000</v>
      </c>
      <c r="BZ121" s="172" cm="1">
        <f t="array" aca="1" ref="BZ121" ca="1">IF(OR($D121&lt;&gt;"Serviço",AND(AUTOEVENTO="Manual",$M121=$A$15),$M121&gt;(ROW(PLE.lastrow)-ROW(PLE.firstrow))),0,
           IF(OFFSET(PLE!$G$15,$M121-$A$15,BZ$13)="",10^12,OFFSET(PLE!$G$15,$M121-$A$15,BZ$13)))</f>
        <v>1000000000000</v>
      </c>
      <c r="CA121" s="172" cm="1">
        <f t="array" aca="1" ref="CA121" ca="1">IF(OR($D121&lt;&gt;"Serviço",AND(AUTOEVENTO="Manual",$M121=$A$15),$M121&gt;(ROW(PLE.lastrow)-ROW(PLE.firstrow))),0,
           IF(OFFSET(PLE!$G$15,$M121-$A$15,CA$13)="",10^12,OFFSET(PLE!$G$15,$M121-$A$15,CA$13)))</f>
        <v>1000000000000</v>
      </c>
      <c r="CB121" s="172" cm="1">
        <f t="array" aca="1" ref="CB121" ca="1">IF(OR($D121&lt;&gt;"Serviço",AND(AUTOEVENTO="Manual",$M121=$A$15),$M121&gt;(ROW(PLE.lastrow)-ROW(PLE.firstrow))),0,
           IF(OFFSET(PLE!$G$15,$M121-$A$15,CB$13)="",10^12,OFFSET(PLE!$G$15,$M121-$A$15,CB$13)))</f>
        <v>1000000000000</v>
      </c>
      <c r="CC121" s="172" cm="1">
        <f t="array" aca="1" ref="CC121" ca="1">IF(OR($D121&lt;&gt;"Serviço",AND(AUTOEVENTO="Manual",$M121=$A$15),$M121&gt;(ROW(PLE.lastrow)-ROW(PLE.firstrow))),0,
           IF(OFFSET(PLE!$G$15,$M121-$A$15,CC$13)="",10^12,OFFSET(PLE!$G$15,$M121-$A$15,CC$13)))</f>
        <v>1000000000000</v>
      </c>
      <c r="CD121" s="172" cm="1">
        <f t="array" aca="1" ref="CD121" ca="1">IF(OR($D121&lt;&gt;"Serviço",AND(AUTOEVENTO="Manual",$M121=$A$15),$M121&gt;(ROW(PLE.lastrow)-ROW(PLE.firstrow))),0,
           IF(OFFSET(PLE!$G$15,$M121-$A$15,CD$13)="",10^12,OFFSET(PLE!$G$15,$M121-$A$15,CD$13)))</f>
        <v>1000000000000</v>
      </c>
      <c r="CE121" s="172" cm="1">
        <f t="array" aca="1" ref="CE121" ca="1">IF(OR($D121&lt;&gt;"Serviço",AND(AUTOEVENTO="Manual",$M121=$A$15),$M121&gt;(ROW(PLE.lastrow)-ROW(PLE.firstrow))),0,
           IF(OFFSET(PLE!$G$15,$M121-$A$15,CE$13)="",10^12,OFFSET(PLE!$G$15,$M121-$A$15,CE$13)))</f>
        <v>1000000000000</v>
      </c>
      <c r="CF121" s="172" cm="1">
        <f t="array" aca="1" ref="CF121" ca="1">IF(OR($D121&lt;&gt;"Serviço",AND(AUTOEVENTO="Manual",$M121=$A$15),$M121&gt;(ROW(PLE.lastrow)-ROW(PLE.firstrow))),0,
           IF(OFFSET(PLE!$G$15,$M121-$A$15,CF$13)="",10^12,OFFSET(PLE!$G$15,$M121-$A$15,CF$13)))</f>
        <v>1000000000000</v>
      </c>
      <c r="CG121" s="172" cm="1">
        <f t="array" aca="1" ref="CG121" ca="1">IF(OR($D121&lt;&gt;"Serviço",AND(AUTOEVENTO="Manual",$M121=$A$15),$M121&gt;(ROW(PLE.lastrow)-ROW(PLE.firstrow))),0,
           IF(OFFSET(PLE!$G$15,$M121-$A$15,CG$13)="",10^12,OFFSET(PLE!$G$15,$M121-$A$15,CG$13)))</f>
        <v>1000000000000</v>
      </c>
      <c r="CH121" s="172" cm="1">
        <f t="array" aca="1" ref="CH121" ca="1">IF(OR($D121&lt;&gt;"Serviço",AND(AUTOEVENTO="Manual",$M121=$A$15),$M121&gt;(ROW(PLE.lastrow)-ROW(PLE.firstrow))),0,
           IF(OFFSET(PLE!$G$15,$M121-$A$15,CH$13)="",10^12,OFFSET(PLE!$G$15,$M121-$A$15,CH$13)))</f>
        <v>1000000000000</v>
      </c>
      <c r="CI121" s="172" cm="1">
        <f t="array" aca="1" ref="CI121" ca="1">IF(OR($D121&lt;&gt;"Serviço",AND(AUTOEVENTO="Manual",$M121=$A$15),$M121&gt;(ROW(PLE.lastrow)-ROW(PLE.firstrow))),0,
           IF(OFFSET(PLE!$G$15,$M121-$A$15,CI$13)="",10^12,OFFSET(PLE!$G$15,$M121-$A$15,CI$13)))</f>
        <v>1000000000000</v>
      </c>
      <c r="CJ121" s="172" cm="1">
        <f t="array" aca="1" ref="CJ121" ca="1">IF(OR($D121&lt;&gt;"Serviço",AND(AUTOEVENTO="Manual",$M121=$A$15),$M121&gt;(ROW(PLE.lastrow)-ROW(PLE.firstrow))),0,
           IF(OFFSET(PLE!$G$15,$M121-$A$15,CJ$13)="",10^12,OFFSET(PLE!$G$15,$M121-$A$15,CJ$13)))</f>
        <v>1000000000000</v>
      </c>
      <c r="CK121" s="172" cm="1">
        <f t="array" aca="1" ref="CK121" ca="1">IF(OR($D121&lt;&gt;"Serviço",AND(AUTOEVENTO="Manual",$M121=$A$15),$M121&gt;(ROW(PLE.lastrow)-ROW(PLE.firstrow))),0,
           IF(OFFSET(PLE!$G$15,$M121-$A$15,CK$13)="",10^12,OFFSET(PLE!$G$15,$M121-$A$15,CK$13)))</f>
        <v>1000000000000</v>
      </c>
      <c r="CL121" s="172" cm="1">
        <f t="array" aca="1" ref="CL121" ca="1">IF(OR($D121&lt;&gt;"Serviço",AND(AUTOEVENTO="Manual",$M121=$A$15),$M121&gt;(ROW(PLE.lastrow)-ROW(PLE.firstrow))),0,
           IF(OFFSET(PLE!$G$15,$M121-$A$15,CL$13)="",10^12,OFFSET(PLE!$G$15,$M121-$A$15,CL$13)))</f>
        <v>1000000000000</v>
      </c>
      <c r="CM121" s="172" cm="1">
        <f t="array" aca="1" ref="CM121" ca="1">IF(OR($D121&lt;&gt;"Serviço",AND(AUTOEVENTO="Manual",$M121=$A$15),$M121&gt;(ROW(PLE.lastrow)-ROW(PLE.firstrow))),0,
           IF(OFFSET(PLE!$G$15,$M121-$A$15,CM$13)="",10^12,OFFSET(PLE!$G$15,$M121-$A$15,CM$13)))</f>
        <v>1000000000000</v>
      </c>
    </row>
    <row r="122" spans="1:91" s="670" customFormat="1" ht="38.25" x14ac:dyDescent="0.2">
      <c r="A122" s="668">
        <f t="shared" ca="1" si="12"/>
        <v>25</v>
      </c>
      <c r="B122" s="668" t="str">
        <f ca="1">OFFSET(ORÇAMENTO!C$15,$L122,0)</f>
        <v>S</v>
      </c>
      <c r="C122" s="668" t="str">
        <f ca="1">OFFSET(ORÇAMENTO!L$15,$L122,0)</f>
        <v>F</v>
      </c>
      <c r="D122" s="116" t="str">
        <f ca="1">OFFSET(ORÇAMENTO!N$15,$L122,0)</f>
        <v>Serviço</v>
      </c>
      <c r="E122" s="117" t="str">
        <f ca="1">OFFSET(ORÇAMENTO!O$15,$L122,0)</f>
        <v>1.17.8.</v>
      </c>
      <c r="F122" s="163" t="str">
        <f ca="1">OFFSET(ORÇAMENTO!R$15,$L122,0)</f>
        <v>LUMINÁRIA DE LED PARA ILUMINAÇÃO PÚBLICA, DE 138 W ATÉ 180 W - FORNECIMENTO E INSTALAÇÃO. AF_02/2025_PS</v>
      </c>
      <c r="G122" s="164" t="str">
        <f ca="1">IF($D122&lt;&gt;"Serviço","",OFFSET(ORÇAMENTO!S$15,$L122,0))</f>
        <v>UN</v>
      </c>
      <c r="H122" s="122" cm="1">
        <f t="array" aca="1" ref="H122" ca="1">IF($D122&lt;&gt;"Serviço",0,IF(ACOMPANHAMENTO="BM",ROUND(OFFSET(ORÇAMENTO!AJ$15,$L122,0),15-13*ORÇAMENTO!$AF$7),IF(IFERROR(CÁLCULO.FrentesPreenchidas,0)=0,0,SUM(ROUND(OFFSET($P122,0,1,1,CÁLCULO.FrentesPreenchidas),15-13*ORÇAMENTO!$AF$7)))))</f>
        <v>5</v>
      </c>
      <c r="I122" s="679" t="s">
        <v>1179</v>
      </c>
      <c r="J122" s="651" t="str" cm="1">
        <f t="array" aca="1" ref="J122" ca="1">IF(OR(B122&lt;&gt;"S",CÁLCULO.FrentesPreenchidas=0),"",IF(AND(ACOMPANHAMENTO="PLE",AUTOEVENTO="Manual",OR(H122&gt;0,ORÇAMENTO!AC122="QUANT."),OR(K122="",M122=0,N122="")),"►E",IF(AND(ACOMPANHAMENTO="PLE",ORÇAMENTO!AC122="QUANT."),"►Q",IF(AND(ACOMPANHAMENTO="PLE",H122&lt;&gt;SUMPRODUCT(($Q$1:$AI$1=1)*ROUND(Q122:AI122,15))),"►S",IF(AND(COUNTIF($P$11:$AI$11,"▼")=0,H122&gt;0,I122=""),"◄M","")))))</f>
        <v/>
      </c>
      <c r="K122" s="652" t="s">
        <v>1359</v>
      </c>
      <c r="L122" s="165">
        <f t="shared" ca="1" si="13"/>
        <v>107</v>
      </c>
      <c r="M122" s="166">
        <f ca="1">IF($D122&lt;&gt;"Serviço","",
          IF(AUTOEVENTO="manual",$A122,
                IF(ISERROR(MATCH($A122,$A$15:OFFSET($A122,-1,0),0)),MAX($M$15:OFFSET(M122,-1,0))+1,
                      INDEX($M$15:OFFSET(M122,-1,0),MATCH($A122,$A$15:OFFSET($A122,-1,0),0)))))</f>
        <v>25</v>
      </c>
      <c r="N122" s="167" t="str">
        <f ca="1">IF($D122&lt;&gt;"Serviço","",
         IF(AUTOEVENTO="Manual",
                IF($A122=0,"&lt;-- defina o número do agrupador",
                       OFFSET(EVENTOS!$D$15,$A122-$A$15,0)),
                OFFSET($F$15,$A122,0)))</f>
        <v>Instalações elétricas</v>
      </c>
      <c r="O122" s="168"/>
      <c r="Q122" s="168"/>
      <c r="R122" s="169"/>
      <c r="S122" s="169"/>
      <c r="T122" s="169"/>
      <c r="U122" s="169"/>
      <c r="V122" s="169">
        <v>5</v>
      </c>
      <c r="W122" s="169"/>
      <c r="X122" s="169"/>
      <c r="Y122" s="169"/>
      <c r="Z122" s="170"/>
      <c r="AA122" s="705"/>
      <c r="AB122" s="705"/>
      <c r="AC122" s="705"/>
      <c r="AD122" s="705"/>
      <c r="AE122" s="705"/>
      <c r="AF122" s="705"/>
      <c r="AG122" s="705"/>
      <c r="AH122" s="706"/>
      <c r="AJ122" s="453">
        <f ca="1">IF(AND($D122="Serviço",AJ$12&lt;&gt;0,$H122&gt;0,OR(AUTOEVENTO&lt;&gt;"manual",$M122&lt;&gt;$A$15)),
        IF(Import.TipoArredondamento&lt;&gt;"TransfereGOV",
              ROUND(OFFSET($P122,0,AJ$13),15-13*ORÇAMENTO!$AF$7)/$H122*OFFSET(ORÇAMENTO!$X$15,ROW(AJ122)-ROW(AJ$15),0),
              ROUND(ROUND(OFFSET($P122,0,AJ$13),15-13*ORÇAMENTO!$AF$7)*OFFSET(ORÇAMENTO!$W$15,ROW(AJ122)-ROW(AJ$15),0),15-13*ORÇAMENTO!$AF$11)),
         0)</f>
        <v>0</v>
      </c>
      <c r="AK122" s="453">
        <f ca="1">IF(AND($D122="Serviço",AK$12&lt;&gt;0,$H122&gt;0,OR(AUTOEVENTO&lt;&gt;"manual",$M122&lt;&gt;$A$15)),
        IF(Import.TipoArredondamento&lt;&gt;"TransfereGOV",
              ROUND(OFFSET($P122,0,AK$13),15-13*ORÇAMENTO!$AF$7)/$H122*OFFSET(ORÇAMENTO!$X$15,ROW(AK122)-ROW(AK$15),0),
              ROUND(ROUND(OFFSET($P122,0,AK$13),15-13*ORÇAMENTO!$AF$7)*OFFSET(ORÇAMENTO!$W$15,ROW(AK122)-ROW(AK$15),0),15-13*ORÇAMENTO!$AF$11)),
         0)</f>
        <v>0</v>
      </c>
      <c r="AL122" s="453">
        <f ca="1">IF(AND($D122="Serviço",AL$12&lt;&gt;0,$H122&gt;0,OR(AUTOEVENTO&lt;&gt;"manual",$M122&lt;&gt;$A$15)),
        IF(Import.TipoArredondamento&lt;&gt;"TransfereGOV",
              ROUND(OFFSET($P122,0,AL$13),15-13*ORÇAMENTO!$AF$7)/$H122*OFFSET(ORÇAMENTO!$X$15,ROW(AL122)-ROW(AL$15),0),
              ROUND(ROUND(OFFSET($P122,0,AL$13),15-13*ORÇAMENTO!$AF$7)*OFFSET(ORÇAMENTO!$W$15,ROW(AL122)-ROW(AL$15),0),15-13*ORÇAMENTO!$AF$11)),
         0)</f>
        <v>0</v>
      </c>
      <c r="AM122" s="453">
        <f ca="1">IF(AND($D122="Serviço",AM$12&lt;&gt;0,$H122&gt;0,OR(AUTOEVENTO&lt;&gt;"manual",$M122&lt;&gt;$A$15)),
        IF(Import.TipoArredondamento&lt;&gt;"TransfereGOV",
              ROUND(OFFSET($P122,0,AM$13),15-13*ORÇAMENTO!$AF$7)/$H122*OFFSET(ORÇAMENTO!$X$15,ROW(AM122)-ROW(AM$15),0),
              ROUND(ROUND(OFFSET($P122,0,AM$13),15-13*ORÇAMENTO!$AF$7)*OFFSET(ORÇAMENTO!$W$15,ROW(AM122)-ROW(AM$15),0),15-13*ORÇAMENTO!$AF$11)),
         0)</f>
        <v>0</v>
      </c>
      <c r="AN122" s="453">
        <f ca="1">IF(AND($D122="Serviço",AN$12&lt;&gt;0,$H122&gt;0,OR(AUTOEVENTO&lt;&gt;"manual",$M122&lt;&gt;$A$15)),
        IF(Import.TipoArredondamento&lt;&gt;"TransfereGOV",
              ROUND(OFFSET($P122,0,AN$13),15-13*ORÇAMENTO!$AF$7)/$H122*OFFSET(ORÇAMENTO!$X$15,ROW(AN122)-ROW(AN$15),0),
              ROUND(ROUND(OFFSET($P122,0,AN$13),15-13*ORÇAMENTO!$AF$7)*OFFSET(ORÇAMENTO!$W$15,ROW(AN122)-ROW(AN$15),0),15-13*ORÇAMENTO!$AF$11)),
         0)</f>
        <v>0</v>
      </c>
      <c r="AO122" s="453">
        <f ca="1">IF(AND($D122="Serviço",AO$12&lt;&gt;0,$H122&gt;0,OR(AUTOEVENTO&lt;&gt;"manual",$M122&lt;&gt;$A$15)),
        IF(Import.TipoArredondamento&lt;&gt;"TransfereGOV",
              ROUND(OFFSET($P122,0,AO$13),15-13*ORÇAMENTO!$AF$7)/$H122*OFFSET(ORÇAMENTO!$X$15,ROW(AO122)-ROW(AO$15),0),
              ROUND(ROUND(OFFSET($P122,0,AO$13),15-13*ORÇAMENTO!$AF$7)*OFFSET(ORÇAMENTO!$W$15,ROW(AO122)-ROW(AO$15),0),15-13*ORÇAMENTO!$AF$11)),
         0)</f>
        <v>3090.25</v>
      </c>
      <c r="AP122" s="453">
        <f ca="1">IF(AND($D122="Serviço",AP$12&lt;&gt;0,$H122&gt;0,OR(AUTOEVENTO&lt;&gt;"manual",$M122&lt;&gt;$A$15)),
        IF(Import.TipoArredondamento&lt;&gt;"TransfereGOV",
              ROUND(OFFSET($P122,0,AP$13),15-13*ORÇAMENTO!$AF$7)/$H122*OFFSET(ORÇAMENTO!$X$15,ROW(AP122)-ROW(AP$15),0),
              ROUND(ROUND(OFFSET($P122,0,AP$13),15-13*ORÇAMENTO!$AF$7)*OFFSET(ORÇAMENTO!$W$15,ROW(AP122)-ROW(AP$15),0),15-13*ORÇAMENTO!$AF$11)),
         0)</f>
        <v>0</v>
      </c>
      <c r="AQ122" s="453">
        <f ca="1">IF(AND($D122="Serviço",AQ$12&lt;&gt;0,$H122&gt;0,OR(AUTOEVENTO&lt;&gt;"manual",$M122&lt;&gt;$A$15)),
        IF(Import.TipoArredondamento&lt;&gt;"TransfereGOV",
              ROUND(OFFSET($P122,0,AQ$13),15-13*ORÇAMENTO!$AF$7)/$H122*OFFSET(ORÇAMENTO!$X$15,ROW(AQ122)-ROW(AQ$15),0),
              ROUND(ROUND(OFFSET($P122,0,AQ$13),15-13*ORÇAMENTO!$AF$7)*OFFSET(ORÇAMENTO!$W$15,ROW(AQ122)-ROW(AQ$15),0),15-13*ORÇAMENTO!$AF$11)),
         0)</f>
        <v>0</v>
      </c>
      <c r="AR122" s="453">
        <f ca="1">IF(AND($D122="Serviço",AR$12&lt;&gt;0,$H122&gt;0,OR(AUTOEVENTO&lt;&gt;"manual",$M122&lt;&gt;$A$15)),
        IF(Import.TipoArredondamento&lt;&gt;"TransfereGOV",
              ROUND(OFFSET($P122,0,AR$13),15-13*ORÇAMENTO!$AF$7)/$H122*OFFSET(ORÇAMENTO!$X$15,ROW(AR122)-ROW(AR$15),0),
              ROUND(ROUND(OFFSET($P122,0,AR$13),15-13*ORÇAMENTO!$AF$7)*OFFSET(ORÇAMENTO!$W$15,ROW(AR122)-ROW(AR$15),0),15-13*ORÇAMENTO!$AF$11)),
         0)</f>
        <v>0</v>
      </c>
      <c r="AS122" s="453">
        <f ca="1">IF(AND($D122="Serviço",AS$12&lt;&gt;0,$H122&gt;0,OR(AUTOEVENTO&lt;&gt;"manual",$M122&lt;&gt;$A$15)),
        IF(Import.TipoArredondamento&lt;&gt;"TransfereGOV",
              ROUND(OFFSET($P122,0,AS$13),15-13*ORÇAMENTO!$AF$7)/$H122*OFFSET(ORÇAMENTO!$X$15,ROW(AS122)-ROW(AS$15),0),
              ROUND(ROUND(OFFSET($P122,0,AS$13),15-13*ORÇAMENTO!$AF$7)*OFFSET(ORÇAMENTO!$W$15,ROW(AS122)-ROW(AS$15),0),15-13*ORÇAMENTO!$AF$11)),
         0)</f>
        <v>0</v>
      </c>
      <c r="AT122" s="453">
        <f ca="1">IF(AND($D122="Serviço",AT$12&lt;&gt;0,$H122&gt;0,OR(AUTOEVENTO&lt;&gt;"manual",$M122&lt;&gt;$A$15)),
        IF(Import.TipoArredondamento&lt;&gt;"TransfereGOV",
              ROUND(OFFSET($P122,0,AT$13),15-13*ORÇAMENTO!$AF$7)/$H122*OFFSET(ORÇAMENTO!$X$15,ROW(AT122)-ROW(AT$15),0),
              ROUND(ROUND(OFFSET($P122,0,AT$13),15-13*ORÇAMENTO!$AF$7)*OFFSET(ORÇAMENTO!$W$15,ROW(AT122)-ROW(AT$15),0),15-13*ORÇAMENTO!$AF$11)),
         0)</f>
        <v>0</v>
      </c>
      <c r="AU122" s="453">
        <f ca="1">IF(AND($D122="Serviço",AU$12&lt;&gt;0,$H122&gt;0,OR(AUTOEVENTO&lt;&gt;"manual",$M122&lt;&gt;$A$15)),
        IF(Import.TipoArredondamento&lt;&gt;"TransfereGOV",
              ROUND(OFFSET($P122,0,AU$13),15-13*ORÇAMENTO!$AF$7)/$H122*OFFSET(ORÇAMENTO!$X$15,ROW(AU122)-ROW(AU$15),0),
              ROUND(ROUND(OFFSET($P122,0,AU$13),15-13*ORÇAMENTO!$AF$7)*OFFSET(ORÇAMENTO!$W$15,ROW(AU122)-ROW(AU$15),0),15-13*ORÇAMENTO!$AF$11)),
         0)</f>
        <v>0</v>
      </c>
      <c r="AV122" s="453">
        <f ca="1">IF(AND($D122="Serviço",AV$12&lt;&gt;0,$H122&gt;0,OR(AUTOEVENTO&lt;&gt;"manual",$M122&lt;&gt;$A$15)),
        IF(Import.TipoArredondamento&lt;&gt;"TransfereGOV",
              ROUND(OFFSET($P122,0,AV$13),15-13*ORÇAMENTO!$AF$7)/$H122*OFFSET(ORÇAMENTO!$X$15,ROW(AV122)-ROW(AV$15),0),
              ROUND(ROUND(OFFSET($P122,0,AV$13),15-13*ORÇAMENTO!$AF$7)*OFFSET(ORÇAMENTO!$W$15,ROW(AV122)-ROW(AV$15),0),15-13*ORÇAMENTO!$AF$11)),
         0)</f>
        <v>0</v>
      </c>
      <c r="AW122" s="453">
        <f ca="1">IF(AND($D122="Serviço",AW$12&lt;&gt;0,$H122&gt;0,OR(AUTOEVENTO&lt;&gt;"manual",$M122&lt;&gt;$A$15)),
        IF(Import.TipoArredondamento&lt;&gt;"TransfereGOV",
              ROUND(OFFSET($P122,0,AW$13),15-13*ORÇAMENTO!$AF$7)/$H122*OFFSET(ORÇAMENTO!$X$15,ROW(AW122)-ROW(AW$15),0),
              ROUND(ROUND(OFFSET($P122,0,AW$13),15-13*ORÇAMENTO!$AF$7)*OFFSET(ORÇAMENTO!$W$15,ROW(AW122)-ROW(AW$15),0),15-13*ORÇAMENTO!$AF$11)),
         0)</f>
        <v>0</v>
      </c>
      <c r="AX122" s="453">
        <f ca="1">IF(AND($D122="Serviço",AX$12&lt;&gt;0,$H122&gt;0,OR(AUTOEVENTO&lt;&gt;"manual",$M122&lt;&gt;$A$15)),
        IF(Import.TipoArredondamento&lt;&gt;"TransfereGOV",
              ROUND(OFFSET($P122,0,AX$13),15-13*ORÇAMENTO!$AF$7)/$H122*OFFSET(ORÇAMENTO!$X$15,ROW(AX122)-ROW(AX$15),0),
              ROUND(ROUND(OFFSET($P122,0,AX$13),15-13*ORÇAMENTO!$AF$7)*OFFSET(ORÇAMENTO!$W$15,ROW(AX122)-ROW(AX$15),0),15-13*ORÇAMENTO!$AF$11)),
         0)</f>
        <v>0</v>
      </c>
      <c r="AY122" s="453">
        <f ca="1">IF(AND($D122="Serviço",AY$12&lt;&gt;0,$H122&gt;0,OR(AUTOEVENTO&lt;&gt;"manual",$M122&lt;&gt;$A$15)),
        IF(Import.TipoArredondamento&lt;&gt;"TransfereGOV",
              ROUND(OFFSET($P122,0,AY$13),15-13*ORÇAMENTO!$AF$7)/$H122*OFFSET(ORÇAMENTO!$X$15,ROW(AY122)-ROW(AY$15),0),
              ROUND(ROUND(OFFSET($P122,0,AY$13),15-13*ORÇAMENTO!$AF$7)*OFFSET(ORÇAMENTO!$W$15,ROW(AY122)-ROW(AY$15),0),15-13*ORÇAMENTO!$AF$11)),
         0)</f>
        <v>0</v>
      </c>
      <c r="AZ122" s="453">
        <f ca="1">IF(AND($D122="Serviço",AZ$12&lt;&gt;0,$H122&gt;0,OR(AUTOEVENTO&lt;&gt;"manual",$M122&lt;&gt;$A$15)),
        IF(Import.TipoArredondamento&lt;&gt;"TransfereGOV",
              ROUND(OFFSET($P122,0,AZ$13),15-13*ORÇAMENTO!$AF$7)/$H122*OFFSET(ORÇAMENTO!$X$15,ROW(AZ122)-ROW(AZ$15),0),
              ROUND(ROUND(OFFSET($P122,0,AZ$13),15-13*ORÇAMENTO!$AF$7)*OFFSET(ORÇAMENTO!$W$15,ROW(AZ122)-ROW(AZ$15),0),15-13*ORÇAMENTO!$AF$11)),
         0)</f>
        <v>0</v>
      </c>
      <c r="BA122" s="453">
        <f ca="1">IF(AND($D122="Serviço",BA$12&lt;&gt;0,$H122&gt;0,OR(AUTOEVENTO&lt;&gt;"manual",$M122&lt;&gt;$A$15)),
        IF(Import.TipoArredondamento&lt;&gt;"TransfereGOV",
              ROUND(OFFSET($P122,0,BA$13),15-13*ORÇAMENTO!$AF$7)/$H122*OFFSET(ORÇAMENTO!$X$15,ROW(BA122)-ROW(BA$15),0),
              ROUND(ROUND(OFFSET($P122,0,BA$13),15-13*ORÇAMENTO!$AF$7)*OFFSET(ORÇAMENTO!$W$15,ROW(BA122)-ROW(BA$15),0),15-13*ORÇAMENTO!$AF$11)),
         0)</f>
        <v>0</v>
      </c>
      <c r="BC122" s="171">
        <f ca="1">IF(OR($D122&lt;&gt;"Serviço",AND(AUTOEVENTO="Manual",$M122=$A$15)),0,
         IF(OFFSET(CRONOPLE!$F$15,$M122-$A$15,BC$13)=0,10^12,OFFSET(CRONOPLE!$F$15,$M122-$A$15,BC$13)))</f>
        <v>1000000000000</v>
      </c>
      <c r="BD122" s="171">
        <f ca="1">IF(OR($D122&lt;&gt;"Serviço",AND(AUTOEVENTO="Manual",$M122=$A$15)),0,
         IF(OFFSET(CRONOPLE!$F$15,$M122-$A$15,BD$13)=0,10^12,OFFSET(CRONOPLE!$F$15,$M122-$A$15,BD$13)))</f>
        <v>1000000000000</v>
      </c>
      <c r="BE122" s="171">
        <f ca="1">IF(OR($D122&lt;&gt;"Serviço",AND(AUTOEVENTO="Manual",$M122=$A$15)),0,
         IF(OFFSET(CRONOPLE!$F$15,$M122-$A$15,BE$13)=0,10^12,OFFSET(CRONOPLE!$F$15,$M122-$A$15,BE$13)))</f>
        <v>1000000000000</v>
      </c>
      <c r="BF122" s="171">
        <f ca="1">IF(OR($D122&lt;&gt;"Serviço",AND(AUTOEVENTO="Manual",$M122=$A$15)),0,
         IF(OFFSET(CRONOPLE!$F$15,$M122-$A$15,BF$13)=0,10^12,OFFSET(CRONOPLE!$F$15,$M122-$A$15,BF$13)))</f>
        <v>1000000000000</v>
      </c>
      <c r="BG122" s="171">
        <f ca="1">IF(OR($D122&lt;&gt;"Serviço",AND(AUTOEVENTO="Manual",$M122=$A$15)),0,
         IF(OFFSET(CRONOPLE!$F$15,$M122-$A$15,BG$13)=0,10^12,OFFSET(CRONOPLE!$F$15,$M122-$A$15,BG$13)))</f>
        <v>1000000000000</v>
      </c>
      <c r="BH122" s="171">
        <f ca="1">IF(OR($D122&lt;&gt;"Serviço",AND(AUTOEVENTO="Manual",$M122=$A$15)),0,
         IF(OFFSET(CRONOPLE!$F$15,$M122-$A$15,BH$13)=0,10^12,OFFSET(CRONOPLE!$F$15,$M122-$A$15,BH$13)))</f>
        <v>9</v>
      </c>
      <c r="BI122" s="171">
        <f ca="1">IF(OR($D122&lt;&gt;"Serviço",AND(AUTOEVENTO="Manual",$M122=$A$15)),0,
         IF(OFFSET(CRONOPLE!$F$15,$M122-$A$15,BI$13)=0,10^12,OFFSET(CRONOPLE!$F$15,$M122-$A$15,BI$13)))</f>
        <v>1000000000000</v>
      </c>
      <c r="BJ122" s="171">
        <f ca="1">IF(OR($D122&lt;&gt;"Serviço",AND(AUTOEVENTO="Manual",$M122=$A$15)),0,
         IF(OFFSET(CRONOPLE!$F$15,$M122-$A$15,BJ$13)=0,10^12,OFFSET(CRONOPLE!$F$15,$M122-$A$15,BJ$13)))</f>
        <v>1000000000000</v>
      </c>
      <c r="BK122" s="171">
        <f ca="1">IF(OR($D122&lt;&gt;"Serviço",AND(AUTOEVENTO="Manual",$M122=$A$15)),0,
         IF(OFFSET(CRONOPLE!$F$15,$M122-$A$15,BK$13)=0,10^12,OFFSET(CRONOPLE!$F$15,$M122-$A$15,BK$13)))</f>
        <v>1000000000000</v>
      </c>
      <c r="BL122" s="171">
        <f ca="1">IF(OR($D122&lt;&gt;"Serviço",AND(AUTOEVENTO="Manual",$M122=$A$15)),0,
         IF(OFFSET(CRONOPLE!$F$15,$M122-$A$15,BL$13)=0,10^12,OFFSET(CRONOPLE!$F$15,$M122-$A$15,BL$13)))</f>
        <v>1000000000000</v>
      </c>
      <c r="BM122" s="171">
        <f ca="1">IF(OR($D122&lt;&gt;"Serviço",AND(AUTOEVENTO="Manual",$M122=$A$15)),0,
         IF(OFFSET(CRONOPLE!$F$15,$M122-$A$15,BM$13)=0,10^12,OFFSET(CRONOPLE!$F$15,$M122-$A$15,BM$13)))</f>
        <v>1000000000000</v>
      </c>
      <c r="BN122" s="171">
        <f ca="1">IF(OR($D122&lt;&gt;"Serviço",AND(AUTOEVENTO="Manual",$M122=$A$15)),0,
         IF(OFFSET(CRONOPLE!$F$15,$M122-$A$15,BN$13)=0,10^12,OFFSET(CRONOPLE!$F$15,$M122-$A$15,BN$13)))</f>
        <v>1000000000000</v>
      </c>
      <c r="BO122" s="171">
        <f ca="1">IF(OR($D122&lt;&gt;"Serviço",AND(AUTOEVENTO="Manual",$M122=$A$15)),0,
         IF(OFFSET(CRONOPLE!$F$15,$M122-$A$15,BO$13)=0,10^12,OFFSET(CRONOPLE!$F$15,$M122-$A$15,BO$13)))</f>
        <v>1000000000000</v>
      </c>
      <c r="BP122" s="171">
        <f ca="1">IF(OR($D122&lt;&gt;"Serviço",AND(AUTOEVENTO="Manual",$M122=$A$15)),0,
         IF(OFFSET(CRONOPLE!$F$15,$M122-$A$15,BP$13)=0,10^12,OFFSET(CRONOPLE!$F$15,$M122-$A$15,BP$13)))</f>
        <v>1000000000000</v>
      </c>
      <c r="BQ122" s="171">
        <f ca="1">IF(OR($D122&lt;&gt;"Serviço",AND(AUTOEVENTO="Manual",$M122=$A$15)),0,
         IF(OFFSET(CRONOPLE!$F$15,$M122-$A$15,BQ$13)=0,10^12,OFFSET(CRONOPLE!$F$15,$M122-$A$15,BQ$13)))</f>
        <v>1000000000000</v>
      </c>
      <c r="BR122" s="171">
        <f ca="1">IF(OR($D122&lt;&gt;"Serviço",AND(AUTOEVENTO="Manual",$M122=$A$15)),0,
         IF(OFFSET(CRONOPLE!$F$15,$M122-$A$15,BR$13)=0,10^12,OFFSET(CRONOPLE!$F$15,$M122-$A$15,BR$13)))</f>
        <v>1000000000000</v>
      </c>
      <c r="BS122" s="171">
        <f ca="1">IF(OR($D122&lt;&gt;"Serviço",AND(AUTOEVENTO="Manual",$M122=$A$15)),0,
         IF(OFFSET(CRONOPLE!$F$15,$M122-$A$15,BS$13)=0,10^12,OFFSET(CRONOPLE!$F$15,$M122-$A$15,BS$13)))</f>
        <v>1000000000000</v>
      </c>
      <c r="BT122" s="171">
        <f ca="1">IF(OR($D122&lt;&gt;"Serviço",AND(AUTOEVENTO="Manual",$M122=$A$15)),0,
         IF(OFFSET(CRONOPLE!$F$15,$M122-$A$15,BT$13)=0,10^12,OFFSET(CRONOPLE!$F$15,$M122-$A$15,BT$13)))</f>
        <v>1000000000000</v>
      </c>
      <c r="BV122" s="172" cm="1">
        <f t="array" aca="1" ref="BV122" ca="1">IF(OR($D122&lt;&gt;"Serviço",AND(AUTOEVENTO="Manual",$M122=$A$15),$M122&gt;(ROW(PLE.lastrow)-ROW(PLE.firstrow))),0,
           IF(OFFSET(PLE!$G$15,$M122-$A$15,BV$13)="",10^12,OFFSET(PLE!$G$15,$M122-$A$15,BV$13)))</f>
        <v>1000000000000</v>
      </c>
      <c r="BW122" s="172" cm="1">
        <f t="array" aca="1" ref="BW122" ca="1">IF(OR($D122&lt;&gt;"Serviço",AND(AUTOEVENTO="Manual",$M122=$A$15),$M122&gt;(ROW(PLE.lastrow)-ROW(PLE.firstrow))),0,
           IF(OFFSET(PLE!$G$15,$M122-$A$15,BW$13)="",10^12,OFFSET(PLE!$G$15,$M122-$A$15,BW$13)))</f>
        <v>1000000000000</v>
      </c>
      <c r="BX122" s="172" cm="1">
        <f t="array" aca="1" ref="BX122" ca="1">IF(OR($D122&lt;&gt;"Serviço",AND(AUTOEVENTO="Manual",$M122=$A$15),$M122&gt;(ROW(PLE.lastrow)-ROW(PLE.firstrow))),0,
           IF(OFFSET(PLE!$G$15,$M122-$A$15,BX$13)="",10^12,OFFSET(PLE!$G$15,$M122-$A$15,BX$13)))</f>
        <v>1000000000000</v>
      </c>
      <c r="BY122" s="172" cm="1">
        <f t="array" aca="1" ref="BY122" ca="1">IF(OR($D122&lt;&gt;"Serviço",AND(AUTOEVENTO="Manual",$M122=$A$15),$M122&gt;(ROW(PLE.lastrow)-ROW(PLE.firstrow))),0,
           IF(OFFSET(PLE!$G$15,$M122-$A$15,BY$13)="",10^12,OFFSET(PLE!$G$15,$M122-$A$15,BY$13)))</f>
        <v>1000000000000</v>
      </c>
      <c r="BZ122" s="172" cm="1">
        <f t="array" aca="1" ref="BZ122" ca="1">IF(OR($D122&lt;&gt;"Serviço",AND(AUTOEVENTO="Manual",$M122=$A$15),$M122&gt;(ROW(PLE.lastrow)-ROW(PLE.firstrow))),0,
           IF(OFFSET(PLE!$G$15,$M122-$A$15,BZ$13)="",10^12,OFFSET(PLE!$G$15,$M122-$A$15,BZ$13)))</f>
        <v>1000000000000</v>
      </c>
      <c r="CA122" s="172" cm="1">
        <f t="array" aca="1" ref="CA122" ca="1">IF(OR($D122&lt;&gt;"Serviço",AND(AUTOEVENTO="Manual",$M122=$A$15),$M122&gt;(ROW(PLE.lastrow)-ROW(PLE.firstrow))),0,
           IF(OFFSET(PLE!$G$15,$M122-$A$15,CA$13)="",10^12,OFFSET(PLE!$G$15,$M122-$A$15,CA$13)))</f>
        <v>1000000000000</v>
      </c>
      <c r="CB122" s="172" cm="1">
        <f t="array" aca="1" ref="CB122" ca="1">IF(OR($D122&lt;&gt;"Serviço",AND(AUTOEVENTO="Manual",$M122=$A$15),$M122&gt;(ROW(PLE.lastrow)-ROW(PLE.firstrow))),0,
           IF(OFFSET(PLE!$G$15,$M122-$A$15,CB$13)="",10^12,OFFSET(PLE!$G$15,$M122-$A$15,CB$13)))</f>
        <v>1000000000000</v>
      </c>
      <c r="CC122" s="172" cm="1">
        <f t="array" aca="1" ref="CC122" ca="1">IF(OR($D122&lt;&gt;"Serviço",AND(AUTOEVENTO="Manual",$M122=$A$15),$M122&gt;(ROW(PLE.lastrow)-ROW(PLE.firstrow))),0,
           IF(OFFSET(PLE!$G$15,$M122-$A$15,CC$13)="",10^12,OFFSET(PLE!$G$15,$M122-$A$15,CC$13)))</f>
        <v>1000000000000</v>
      </c>
      <c r="CD122" s="172" cm="1">
        <f t="array" aca="1" ref="CD122" ca="1">IF(OR($D122&lt;&gt;"Serviço",AND(AUTOEVENTO="Manual",$M122=$A$15),$M122&gt;(ROW(PLE.lastrow)-ROW(PLE.firstrow))),0,
           IF(OFFSET(PLE!$G$15,$M122-$A$15,CD$13)="",10^12,OFFSET(PLE!$G$15,$M122-$A$15,CD$13)))</f>
        <v>1000000000000</v>
      </c>
      <c r="CE122" s="172" cm="1">
        <f t="array" aca="1" ref="CE122" ca="1">IF(OR($D122&lt;&gt;"Serviço",AND(AUTOEVENTO="Manual",$M122=$A$15),$M122&gt;(ROW(PLE.lastrow)-ROW(PLE.firstrow))),0,
           IF(OFFSET(PLE!$G$15,$M122-$A$15,CE$13)="",10^12,OFFSET(PLE!$G$15,$M122-$A$15,CE$13)))</f>
        <v>1000000000000</v>
      </c>
      <c r="CF122" s="172" cm="1">
        <f t="array" aca="1" ref="CF122" ca="1">IF(OR($D122&lt;&gt;"Serviço",AND(AUTOEVENTO="Manual",$M122=$A$15),$M122&gt;(ROW(PLE.lastrow)-ROW(PLE.firstrow))),0,
           IF(OFFSET(PLE!$G$15,$M122-$A$15,CF$13)="",10^12,OFFSET(PLE!$G$15,$M122-$A$15,CF$13)))</f>
        <v>1000000000000</v>
      </c>
      <c r="CG122" s="172" cm="1">
        <f t="array" aca="1" ref="CG122" ca="1">IF(OR($D122&lt;&gt;"Serviço",AND(AUTOEVENTO="Manual",$M122=$A$15),$M122&gt;(ROW(PLE.lastrow)-ROW(PLE.firstrow))),0,
           IF(OFFSET(PLE!$G$15,$M122-$A$15,CG$13)="",10^12,OFFSET(PLE!$G$15,$M122-$A$15,CG$13)))</f>
        <v>1000000000000</v>
      </c>
      <c r="CH122" s="172" cm="1">
        <f t="array" aca="1" ref="CH122" ca="1">IF(OR($D122&lt;&gt;"Serviço",AND(AUTOEVENTO="Manual",$M122=$A$15),$M122&gt;(ROW(PLE.lastrow)-ROW(PLE.firstrow))),0,
           IF(OFFSET(PLE!$G$15,$M122-$A$15,CH$13)="",10^12,OFFSET(PLE!$G$15,$M122-$A$15,CH$13)))</f>
        <v>1000000000000</v>
      </c>
      <c r="CI122" s="172" cm="1">
        <f t="array" aca="1" ref="CI122" ca="1">IF(OR($D122&lt;&gt;"Serviço",AND(AUTOEVENTO="Manual",$M122=$A$15),$M122&gt;(ROW(PLE.lastrow)-ROW(PLE.firstrow))),0,
           IF(OFFSET(PLE!$G$15,$M122-$A$15,CI$13)="",10^12,OFFSET(PLE!$G$15,$M122-$A$15,CI$13)))</f>
        <v>1000000000000</v>
      </c>
      <c r="CJ122" s="172" cm="1">
        <f t="array" aca="1" ref="CJ122" ca="1">IF(OR($D122&lt;&gt;"Serviço",AND(AUTOEVENTO="Manual",$M122=$A$15),$M122&gt;(ROW(PLE.lastrow)-ROW(PLE.firstrow))),0,
           IF(OFFSET(PLE!$G$15,$M122-$A$15,CJ$13)="",10^12,OFFSET(PLE!$G$15,$M122-$A$15,CJ$13)))</f>
        <v>1000000000000</v>
      </c>
      <c r="CK122" s="172" cm="1">
        <f t="array" aca="1" ref="CK122" ca="1">IF(OR($D122&lt;&gt;"Serviço",AND(AUTOEVENTO="Manual",$M122=$A$15),$M122&gt;(ROW(PLE.lastrow)-ROW(PLE.firstrow))),0,
           IF(OFFSET(PLE!$G$15,$M122-$A$15,CK$13)="",10^12,OFFSET(PLE!$G$15,$M122-$A$15,CK$13)))</f>
        <v>1000000000000</v>
      </c>
      <c r="CL122" s="172" cm="1">
        <f t="array" aca="1" ref="CL122" ca="1">IF(OR($D122&lt;&gt;"Serviço",AND(AUTOEVENTO="Manual",$M122=$A$15),$M122&gt;(ROW(PLE.lastrow)-ROW(PLE.firstrow))),0,
           IF(OFFSET(PLE!$G$15,$M122-$A$15,CL$13)="",10^12,OFFSET(PLE!$G$15,$M122-$A$15,CL$13)))</f>
        <v>1000000000000</v>
      </c>
      <c r="CM122" s="172" cm="1">
        <f t="array" aca="1" ref="CM122" ca="1">IF(OR($D122&lt;&gt;"Serviço",AND(AUTOEVENTO="Manual",$M122=$A$15),$M122&gt;(ROW(PLE.lastrow)-ROW(PLE.firstrow))),0,
           IF(OFFSET(PLE!$G$15,$M122-$A$15,CM$13)="",10^12,OFFSET(PLE!$G$15,$M122-$A$15,CM$13)))</f>
        <v>1000000000000</v>
      </c>
    </row>
    <row r="123" spans="1:91" s="670" customFormat="1" ht="38.25" x14ac:dyDescent="0.2">
      <c r="A123" s="668">
        <f t="shared" ca="1" si="12"/>
        <v>25</v>
      </c>
      <c r="B123" s="668" t="str">
        <f ca="1">OFFSET(ORÇAMENTO!C$15,$L123,0)</f>
        <v>S</v>
      </c>
      <c r="C123" s="668" t="str">
        <f ca="1">OFFSET(ORÇAMENTO!L$15,$L123,0)</f>
        <v>F</v>
      </c>
      <c r="D123" s="116" t="str">
        <f ca="1">OFFSET(ORÇAMENTO!N$15,$L123,0)</f>
        <v>Serviço</v>
      </c>
      <c r="E123" s="117" t="str">
        <f ca="1">OFFSET(ORÇAMENTO!O$15,$L123,0)</f>
        <v>1.17.9.</v>
      </c>
      <c r="F123" s="163" t="str">
        <f ca="1">OFFSET(ORÇAMENTO!R$15,$L123,0)</f>
        <v>POSTE DE AÇO CÔNICO CONTÍNUO CURVO DUPLO, ENGASTAMENTO SIMPLES COM 1 M DE SOLO, H=9M - FORNECIMENTO E INSTALAÇÃO. AF_04/2025</v>
      </c>
      <c r="G123" s="164" t="str">
        <f ca="1">IF($D123&lt;&gt;"Serviço","",OFFSET(ORÇAMENTO!S$15,$L123,0))</f>
        <v>UN</v>
      </c>
      <c r="H123" s="122" cm="1">
        <f t="array" aca="1" ref="H123" ca="1">IF($D123&lt;&gt;"Serviço",0,IF(ACOMPANHAMENTO="BM",ROUND(OFFSET(ORÇAMENTO!AJ$15,$L123,0),15-13*ORÇAMENTO!$AF$7),IF(IFERROR(CÁLCULO.FrentesPreenchidas,0)=0,0,SUM(ROUND(OFFSET($P123,0,1,1,CÁLCULO.FrentesPreenchidas),15-13*ORÇAMENTO!$AF$7)))))</f>
        <v>5</v>
      </c>
      <c r="I123" s="679" t="s">
        <v>1179</v>
      </c>
      <c r="J123" s="651" t="str" cm="1">
        <f t="array" aca="1" ref="J123" ca="1">IF(OR(B123&lt;&gt;"S",CÁLCULO.FrentesPreenchidas=0),"",IF(AND(ACOMPANHAMENTO="PLE",AUTOEVENTO="Manual",OR(H123&gt;0,ORÇAMENTO!AC123="QUANT."),OR(K123="",M123=0,N123="")),"►E",IF(AND(ACOMPANHAMENTO="PLE",ORÇAMENTO!AC123="QUANT."),"►Q",IF(AND(ACOMPANHAMENTO="PLE",H123&lt;&gt;SUMPRODUCT(($Q$1:$AI$1=1)*ROUND(Q123:AI123,15))),"►S",IF(AND(COUNTIF($P$11:$AI$11,"▼")=0,H123&gt;0,I123=""),"◄M","")))))</f>
        <v/>
      </c>
      <c r="K123" s="652" t="s">
        <v>1359</v>
      </c>
      <c r="L123" s="165">
        <f t="shared" ca="1" si="13"/>
        <v>108</v>
      </c>
      <c r="M123" s="166">
        <f ca="1">IF($D123&lt;&gt;"Serviço","",
          IF(AUTOEVENTO="manual",$A123,
                IF(ISERROR(MATCH($A123,$A$15:OFFSET($A123,-1,0),0)),MAX($M$15:OFFSET(M123,-1,0))+1,
                      INDEX($M$15:OFFSET(M123,-1,0),MATCH($A123,$A$15:OFFSET($A123,-1,0),0)))))</f>
        <v>25</v>
      </c>
      <c r="N123" s="167" t="str">
        <f ca="1">IF($D123&lt;&gt;"Serviço","",
         IF(AUTOEVENTO="Manual",
                IF($A123=0,"&lt;-- defina o número do agrupador",
                       OFFSET(EVENTOS!$D$15,$A123-$A$15,0)),
                OFFSET($F$15,$A123,0)))</f>
        <v>Instalações elétricas</v>
      </c>
      <c r="O123" s="168"/>
      <c r="Q123" s="168"/>
      <c r="R123" s="169"/>
      <c r="S123" s="169"/>
      <c r="T123" s="169"/>
      <c r="U123" s="169"/>
      <c r="V123" s="169">
        <v>5</v>
      </c>
      <c r="W123" s="169"/>
      <c r="X123" s="169"/>
      <c r="Y123" s="169"/>
      <c r="Z123" s="170"/>
      <c r="AA123" s="705"/>
      <c r="AB123" s="705"/>
      <c r="AC123" s="705"/>
      <c r="AD123" s="705"/>
      <c r="AE123" s="705"/>
      <c r="AF123" s="705"/>
      <c r="AG123" s="705"/>
      <c r="AH123" s="706"/>
      <c r="AJ123" s="453">
        <f ca="1">IF(AND($D123="Serviço",AJ$12&lt;&gt;0,$H123&gt;0,OR(AUTOEVENTO&lt;&gt;"manual",$M123&lt;&gt;$A$15)),
        IF(Import.TipoArredondamento&lt;&gt;"TransfereGOV",
              ROUND(OFFSET($P123,0,AJ$13),15-13*ORÇAMENTO!$AF$7)/$H123*OFFSET(ORÇAMENTO!$X$15,ROW(AJ123)-ROW(AJ$15),0),
              ROUND(ROUND(OFFSET($P123,0,AJ$13),15-13*ORÇAMENTO!$AF$7)*OFFSET(ORÇAMENTO!$W$15,ROW(AJ123)-ROW(AJ$15),0),15-13*ORÇAMENTO!$AF$11)),
         0)</f>
        <v>0</v>
      </c>
      <c r="AK123" s="453">
        <f ca="1">IF(AND($D123="Serviço",AK$12&lt;&gt;0,$H123&gt;0,OR(AUTOEVENTO&lt;&gt;"manual",$M123&lt;&gt;$A$15)),
        IF(Import.TipoArredondamento&lt;&gt;"TransfereGOV",
              ROUND(OFFSET($P123,0,AK$13),15-13*ORÇAMENTO!$AF$7)/$H123*OFFSET(ORÇAMENTO!$X$15,ROW(AK123)-ROW(AK$15),0),
              ROUND(ROUND(OFFSET($P123,0,AK$13),15-13*ORÇAMENTO!$AF$7)*OFFSET(ORÇAMENTO!$W$15,ROW(AK123)-ROW(AK$15),0),15-13*ORÇAMENTO!$AF$11)),
         0)</f>
        <v>0</v>
      </c>
      <c r="AL123" s="453">
        <f ca="1">IF(AND($D123="Serviço",AL$12&lt;&gt;0,$H123&gt;0,OR(AUTOEVENTO&lt;&gt;"manual",$M123&lt;&gt;$A$15)),
        IF(Import.TipoArredondamento&lt;&gt;"TransfereGOV",
              ROUND(OFFSET($P123,0,AL$13),15-13*ORÇAMENTO!$AF$7)/$H123*OFFSET(ORÇAMENTO!$X$15,ROW(AL123)-ROW(AL$15),0),
              ROUND(ROUND(OFFSET($P123,0,AL$13),15-13*ORÇAMENTO!$AF$7)*OFFSET(ORÇAMENTO!$W$15,ROW(AL123)-ROW(AL$15),0),15-13*ORÇAMENTO!$AF$11)),
         0)</f>
        <v>0</v>
      </c>
      <c r="AM123" s="453">
        <f ca="1">IF(AND($D123="Serviço",AM$12&lt;&gt;0,$H123&gt;0,OR(AUTOEVENTO&lt;&gt;"manual",$M123&lt;&gt;$A$15)),
        IF(Import.TipoArredondamento&lt;&gt;"TransfereGOV",
              ROUND(OFFSET($P123,0,AM$13),15-13*ORÇAMENTO!$AF$7)/$H123*OFFSET(ORÇAMENTO!$X$15,ROW(AM123)-ROW(AM$15),0),
              ROUND(ROUND(OFFSET($P123,0,AM$13),15-13*ORÇAMENTO!$AF$7)*OFFSET(ORÇAMENTO!$W$15,ROW(AM123)-ROW(AM$15),0),15-13*ORÇAMENTO!$AF$11)),
         0)</f>
        <v>0</v>
      </c>
      <c r="AN123" s="453">
        <f ca="1">IF(AND($D123="Serviço",AN$12&lt;&gt;0,$H123&gt;0,OR(AUTOEVENTO&lt;&gt;"manual",$M123&lt;&gt;$A$15)),
        IF(Import.TipoArredondamento&lt;&gt;"TransfereGOV",
              ROUND(OFFSET($P123,0,AN$13),15-13*ORÇAMENTO!$AF$7)/$H123*OFFSET(ORÇAMENTO!$X$15,ROW(AN123)-ROW(AN$15),0),
              ROUND(ROUND(OFFSET($P123,0,AN$13),15-13*ORÇAMENTO!$AF$7)*OFFSET(ORÇAMENTO!$W$15,ROW(AN123)-ROW(AN$15),0),15-13*ORÇAMENTO!$AF$11)),
         0)</f>
        <v>0</v>
      </c>
      <c r="AO123" s="453">
        <f ca="1">IF(AND($D123="Serviço",AO$12&lt;&gt;0,$H123&gt;0,OR(AUTOEVENTO&lt;&gt;"manual",$M123&lt;&gt;$A$15)),
        IF(Import.TipoArredondamento&lt;&gt;"TransfereGOV",
              ROUND(OFFSET($P123,0,AO$13),15-13*ORÇAMENTO!$AF$7)/$H123*OFFSET(ORÇAMENTO!$X$15,ROW(AO123)-ROW(AO$15),0),
              ROUND(ROUND(OFFSET($P123,0,AO$13),15-13*ORÇAMENTO!$AF$7)*OFFSET(ORÇAMENTO!$W$15,ROW(AO123)-ROW(AO$15),0),15-13*ORÇAMENTO!$AF$11)),
         0)</f>
        <v>15181.9</v>
      </c>
      <c r="AP123" s="453">
        <f ca="1">IF(AND($D123="Serviço",AP$12&lt;&gt;0,$H123&gt;0,OR(AUTOEVENTO&lt;&gt;"manual",$M123&lt;&gt;$A$15)),
        IF(Import.TipoArredondamento&lt;&gt;"TransfereGOV",
              ROUND(OFFSET($P123,0,AP$13),15-13*ORÇAMENTO!$AF$7)/$H123*OFFSET(ORÇAMENTO!$X$15,ROW(AP123)-ROW(AP$15),0),
              ROUND(ROUND(OFFSET($P123,0,AP$13),15-13*ORÇAMENTO!$AF$7)*OFFSET(ORÇAMENTO!$W$15,ROW(AP123)-ROW(AP$15),0),15-13*ORÇAMENTO!$AF$11)),
         0)</f>
        <v>0</v>
      </c>
      <c r="AQ123" s="453">
        <f ca="1">IF(AND($D123="Serviço",AQ$12&lt;&gt;0,$H123&gt;0,OR(AUTOEVENTO&lt;&gt;"manual",$M123&lt;&gt;$A$15)),
        IF(Import.TipoArredondamento&lt;&gt;"TransfereGOV",
              ROUND(OFFSET($P123,0,AQ$13),15-13*ORÇAMENTO!$AF$7)/$H123*OFFSET(ORÇAMENTO!$X$15,ROW(AQ123)-ROW(AQ$15),0),
              ROUND(ROUND(OFFSET($P123,0,AQ$13),15-13*ORÇAMENTO!$AF$7)*OFFSET(ORÇAMENTO!$W$15,ROW(AQ123)-ROW(AQ$15),0),15-13*ORÇAMENTO!$AF$11)),
         0)</f>
        <v>0</v>
      </c>
      <c r="AR123" s="453">
        <f ca="1">IF(AND($D123="Serviço",AR$12&lt;&gt;0,$H123&gt;0,OR(AUTOEVENTO&lt;&gt;"manual",$M123&lt;&gt;$A$15)),
        IF(Import.TipoArredondamento&lt;&gt;"TransfereGOV",
              ROUND(OFFSET($P123,0,AR$13),15-13*ORÇAMENTO!$AF$7)/$H123*OFFSET(ORÇAMENTO!$X$15,ROW(AR123)-ROW(AR$15),0),
              ROUND(ROUND(OFFSET($P123,0,AR$13),15-13*ORÇAMENTO!$AF$7)*OFFSET(ORÇAMENTO!$W$15,ROW(AR123)-ROW(AR$15),0),15-13*ORÇAMENTO!$AF$11)),
         0)</f>
        <v>0</v>
      </c>
      <c r="AS123" s="453">
        <f ca="1">IF(AND($D123="Serviço",AS$12&lt;&gt;0,$H123&gt;0,OR(AUTOEVENTO&lt;&gt;"manual",$M123&lt;&gt;$A$15)),
        IF(Import.TipoArredondamento&lt;&gt;"TransfereGOV",
              ROUND(OFFSET($P123,0,AS$13),15-13*ORÇAMENTO!$AF$7)/$H123*OFFSET(ORÇAMENTO!$X$15,ROW(AS123)-ROW(AS$15),0),
              ROUND(ROUND(OFFSET($P123,0,AS$13),15-13*ORÇAMENTO!$AF$7)*OFFSET(ORÇAMENTO!$W$15,ROW(AS123)-ROW(AS$15),0),15-13*ORÇAMENTO!$AF$11)),
         0)</f>
        <v>0</v>
      </c>
      <c r="AT123" s="453">
        <f ca="1">IF(AND($D123="Serviço",AT$12&lt;&gt;0,$H123&gt;0,OR(AUTOEVENTO&lt;&gt;"manual",$M123&lt;&gt;$A$15)),
        IF(Import.TipoArredondamento&lt;&gt;"TransfereGOV",
              ROUND(OFFSET($P123,0,AT$13),15-13*ORÇAMENTO!$AF$7)/$H123*OFFSET(ORÇAMENTO!$X$15,ROW(AT123)-ROW(AT$15),0),
              ROUND(ROUND(OFFSET($P123,0,AT$13),15-13*ORÇAMENTO!$AF$7)*OFFSET(ORÇAMENTO!$W$15,ROW(AT123)-ROW(AT$15),0),15-13*ORÇAMENTO!$AF$11)),
         0)</f>
        <v>0</v>
      </c>
      <c r="AU123" s="453">
        <f ca="1">IF(AND($D123="Serviço",AU$12&lt;&gt;0,$H123&gt;0,OR(AUTOEVENTO&lt;&gt;"manual",$M123&lt;&gt;$A$15)),
        IF(Import.TipoArredondamento&lt;&gt;"TransfereGOV",
              ROUND(OFFSET($P123,0,AU$13),15-13*ORÇAMENTO!$AF$7)/$H123*OFFSET(ORÇAMENTO!$X$15,ROW(AU123)-ROW(AU$15),0),
              ROUND(ROUND(OFFSET($P123,0,AU$13),15-13*ORÇAMENTO!$AF$7)*OFFSET(ORÇAMENTO!$W$15,ROW(AU123)-ROW(AU$15),0),15-13*ORÇAMENTO!$AF$11)),
         0)</f>
        <v>0</v>
      </c>
      <c r="AV123" s="453">
        <f ca="1">IF(AND($D123="Serviço",AV$12&lt;&gt;0,$H123&gt;0,OR(AUTOEVENTO&lt;&gt;"manual",$M123&lt;&gt;$A$15)),
        IF(Import.TipoArredondamento&lt;&gt;"TransfereGOV",
              ROUND(OFFSET($P123,0,AV$13),15-13*ORÇAMENTO!$AF$7)/$H123*OFFSET(ORÇAMENTO!$X$15,ROW(AV123)-ROW(AV$15),0),
              ROUND(ROUND(OFFSET($P123,0,AV$13),15-13*ORÇAMENTO!$AF$7)*OFFSET(ORÇAMENTO!$W$15,ROW(AV123)-ROW(AV$15),0),15-13*ORÇAMENTO!$AF$11)),
         0)</f>
        <v>0</v>
      </c>
      <c r="AW123" s="453">
        <f ca="1">IF(AND($D123="Serviço",AW$12&lt;&gt;0,$H123&gt;0,OR(AUTOEVENTO&lt;&gt;"manual",$M123&lt;&gt;$A$15)),
        IF(Import.TipoArredondamento&lt;&gt;"TransfereGOV",
              ROUND(OFFSET($P123,0,AW$13),15-13*ORÇAMENTO!$AF$7)/$H123*OFFSET(ORÇAMENTO!$X$15,ROW(AW123)-ROW(AW$15),0),
              ROUND(ROUND(OFFSET($P123,0,AW$13),15-13*ORÇAMENTO!$AF$7)*OFFSET(ORÇAMENTO!$W$15,ROW(AW123)-ROW(AW$15),0),15-13*ORÇAMENTO!$AF$11)),
         0)</f>
        <v>0</v>
      </c>
      <c r="AX123" s="453">
        <f ca="1">IF(AND($D123="Serviço",AX$12&lt;&gt;0,$H123&gt;0,OR(AUTOEVENTO&lt;&gt;"manual",$M123&lt;&gt;$A$15)),
        IF(Import.TipoArredondamento&lt;&gt;"TransfereGOV",
              ROUND(OFFSET($P123,0,AX$13),15-13*ORÇAMENTO!$AF$7)/$H123*OFFSET(ORÇAMENTO!$X$15,ROW(AX123)-ROW(AX$15),0),
              ROUND(ROUND(OFFSET($P123,0,AX$13),15-13*ORÇAMENTO!$AF$7)*OFFSET(ORÇAMENTO!$W$15,ROW(AX123)-ROW(AX$15),0),15-13*ORÇAMENTO!$AF$11)),
         0)</f>
        <v>0</v>
      </c>
      <c r="AY123" s="453">
        <f ca="1">IF(AND($D123="Serviço",AY$12&lt;&gt;0,$H123&gt;0,OR(AUTOEVENTO&lt;&gt;"manual",$M123&lt;&gt;$A$15)),
        IF(Import.TipoArredondamento&lt;&gt;"TransfereGOV",
              ROUND(OFFSET($P123,0,AY$13),15-13*ORÇAMENTO!$AF$7)/$H123*OFFSET(ORÇAMENTO!$X$15,ROW(AY123)-ROW(AY$15),0),
              ROUND(ROUND(OFFSET($P123,0,AY$13),15-13*ORÇAMENTO!$AF$7)*OFFSET(ORÇAMENTO!$W$15,ROW(AY123)-ROW(AY$15),0),15-13*ORÇAMENTO!$AF$11)),
         0)</f>
        <v>0</v>
      </c>
      <c r="AZ123" s="453">
        <f ca="1">IF(AND($D123="Serviço",AZ$12&lt;&gt;0,$H123&gt;0,OR(AUTOEVENTO&lt;&gt;"manual",$M123&lt;&gt;$A$15)),
        IF(Import.TipoArredondamento&lt;&gt;"TransfereGOV",
              ROUND(OFFSET($P123,0,AZ$13),15-13*ORÇAMENTO!$AF$7)/$H123*OFFSET(ORÇAMENTO!$X$15,ROW(AZ123)-ROW(AZ$15),0),
              ROUND(ROUND(OFFSET($P123,0,AZ$13),15-13*ORÇAMENTO!$AF$7)*OFFSET(ORÇAMENTO!$W$15,ROW(AZ123)-ROW(AZ$15),0),15-13*ORÇAMENTO!$AF$11)),
         0)</f>
        <v>0</v>
      </c>
      <c r="BA123" s="453">
        <f ca="1">IF(AND($D123="Serviço",BA$12&lt;&gt;0,$H123&gt;0,OR(AUTOEVENTO&lt;&gt;"manual",$M123&lt;&gt;$A$15)),
        IF(Import.TipoArredondamento&lt;&gt;"TransfereGOV",
              ROUND(OFFSET($P123,0,BA$13),15-13*ORÇAMENTO!$AF$7)/$H123*OFFSET(ORÇAMENTO!$X$15,ROW(BA123)-ROW(BA$15),0),
              ROUND(ROUND(OFFSET($P123,0,BA$13),15-13*ORÇAMENTO!$AF$7)*OFFSET(ORÇAMENTO!$W$15,ROW(BA123)-ROW(BA$15),0),15-13*ORÇAMENTO!$AF$11)),
         0)</f>
        <v>0</v>
      </c>
      <c r="BC123" s="171">
        <f ca="1">IF(OR($D123&lt;&gt;"Serviço",AND(AUTOEVENTO="Manual",$M123=$A$15)),0,
         IF(OFFSET(CRONOPLE!$F$15,$M123-$A$15,BC$13)=0,10^12,OFFSET(CRONOPLE!$F$15,$M123-$A$15,BC$13)))</f>
        <v>1000000000000</v>
      </c>
      <c r="BD123" s="171">
        <f ca="1">IF(OR($D123&lt;&gt;"Serviço",AND(AUTOEVENTO="Manual",$M123=$A$15)),0,
         IF(OFFSET(CRONOPLE!$F$15,$M123-$A$15,BD$13)=0,10^12,OFFSET(CRONOPLE!$F$15,$M123-$A$15,BD$13)))</f>
        <v>1000000000000</v>
      </c>
      <c r="BE123" s="171">
        <f ca="1">IF(OR($D123&lt;&gt;"Serviço",AND(AUTOEVENTO="Manual",$M123=$A$15)),0,
         IF(OFFSET(CRONOPLE!$F$15,$M123-$A$15,BE$13)=0,10^12,OFFSET(CRONOPLE!$F$15,$M123-$A$15,BE$13)))</f>
        <v>1000000000000</v>
      </c>
      <c r="BF123" s="171">
        <f ca="1">IF(OR($D123&lt;&gt;"Serviço",AND(AUTOEVENTO="Manual",$M123=$A$15)),0,
         IF(OFFSET(CRONOPLE!$F$15,$M123-$A$15,BF$13)=0,10^12,OFFSET(CRONOPLE!$F$15,$M123-$A$15,BF$13)))</f>
        <v>1000000000000</v>
      </c>
      <c r="BG123" s="171">
        <f ca="1">IF(OR($D123&lt;&gt;"Serviço",AND(AUTOEVENTO="Manual",$M123=$A$15)),0,
         IF(OFFSET(CRONOPLE!$F$15,$M123-$A$15,BG$13)=0,10^12,OFFSET(CRONOPLE!$F$15,$M123-$A$15,BG$13)))</f>
        <v>1000000000000</v>
      </c>
      <c r="BH123" s="171">
        <f ca="1">IF(OR($D123&lt;&gt;"Serviço",AND(AUTOEVENTO="Manual",$M123=$A$15)),0,
         IF(OFFSET(CRONOPLE!$F$15,$M123-$A$15,BH$13)=0,10^12,OFFSET(CRONOPLE!$F$15,$M123-$A$15,BH$13)))</f>
        <v>9</v>
      </c>
      <c r="BI123" s="171">
        <f ca="1">IF(OR($D123&lt;&gt;"Serviço",AND(AUTOEVENTO="Manual",$M123=$A$15)),0,
         IF(OFFSET(CRONOPLE!$F$15,$M123-$A$15,BI$13)=0,10^12,OFFSET(CRONOPLE!$F$15,$M123-$A$15,BI$13)))</f>
        <v>1000000000000</v>
      </c>
      <c r="BJ123" s="171">
        <f ca="1">IF(OR($D123&lt;&gt;"Serviço",AND(AUTOEVENTO="Manual",$M123=$A$15)),0,
         IF(OFFSET(CRONOPLE!$F$15,$M123-$A$15,BJ$13)=0,10^12,OFFSET(CRONOPLE!$F$15,$M123-$A$15,BJ$13)))</f>
        <v>1000000000000</v>
      </c>
      <c r="BK123" s="171">
        <f ca="1">IF(OR($D123&lt;&gt;"Serviço",AND(AUTOEVENTO="Manual",$M123=$A$15)),0,
         IF(OFFSET(CRONOPLE!$F$15,$M123-$A$15,BK$13)=0,10^12,OFFSET(CRONOPLE!$F$15,$M123-$A$15,BK$13)))</f>
        <v>1000000000000</v>
      </c>
      <c r="BL123" s="171">
        <f ca="1">IF(OR($D123&lt;&gt;"Serviço",AND(AUTOEVENTO="Manual",$M123=$A$15)),0,
         IF(OFFSET(CRONOPLE!$F$15,$M123-$A$15,BL$13)=0,10^12,OFFSET(CRONOPLE!$F$15,$M123-$A$15,BL$13)))</f>
        <v>1000000000000</v>
      </c>
      <c r="BM123" s="171">
        <f ca="1">IF(OR($D123&lt;&gt;"Serviço",AND(AUTOEVENTO="Manual",$M123=$A$15)),0,
         IF(OFFSET(CRONOPLE!$F$15,$M123-$A$15,BM$13)=0,10^12,OFFSET(CRONOPLE!$F$15,$M123-$A$15,BM$13)))</f>
        <v>1000000000000</v>
      </c>
      <c r="BN123" s="171">
        <f ca="1">IF(OR($D123&lt;&gt;"Serviço",AND(AUTOEVENTO="Manual",$M123=$A$15)),0,
         IF(OFFSET(CRONOPLE!$F$15,$M123-$A$15,BN$13)=0,10^12,OFFSET(CRONOPLE!$F$15,$M123-$A$15,BN$13)))</f>
        <v>1000000000000</v>
      </c>
      <c r="BO123" s="171">
        <f ca="1">IF(OR($D123&lt;&gt;"Serviço",AND(AUTOEVENTO="Manual",$M123=$A$15)),0,
         IF(OFFSET(CRONOPLE!$F$15,$M123-$A$15,BO$13)=0,10^12,OFFSET(CRONOPLE!$F$15,$M123-$A$15,BO$13)))</f>
        <v>1000000000000</v>
      </c>
      <c r="BP123" s="171">
        <f ca="1">IF(OR($D123&lt;&gt;"Serviço",AND(AUTOEVENTO="Manual",$M123=$A$15)),0,
         IF(OFFSET(CRONOPLE!$F$15,$M123-$A$15,BP$13)=0,10^12,OFFSET(CRONOPLE!$F$15,$M123-$A$15,BP$13)))</f>
        <v>1000000000000</v>
      </c>
      <c r="BQ123" s="171">
        <f ca="1">IF(OR($D123&lt;&gt;"Serviço",AND(AUTOEVENTO="Manual",$M123=$A$15)),0,
         IF(OFFSET(CRONOPLE!$F$15,$M123-$A$15,BQ$13)=0,10^12,OFFSET(CRONOPLE!$F$15,$M123-$A$15,BQ$13)))</f>
        <v>1000000000000</v>
      </c>
      <c r="BR123" s="171">
        <f ca="1">IF(OR($D123&lt;&gt;"Serviço",AND(AUTOEVENTO="Manual",$M123=$A$15)),0,
         IF(OFFSET(CRONOPLE!$F$15,$M123-$A$15,BR$13)=0,10^12,OFFSET(CRONOPLE!$F$15,$M123-$A$15,BR$13)))</f>
        <v>1000000000000</v>
      </c>
      <c r="BS123" s="171">
        <f ca="1">IF(OR($D123&lt;&gt;"Serviço",AND(AUTOEVENTO="Manual",$M123=$A$15)),0,
         IF(OFFSET(CRONOPLE!$F$15,$M123-$A$15,BS$13)=0,10^12,OFFSET(CRONOPLE!$F$15,$M123-$A$15,BS$13)))</f>
        <v>1000000000000</v>
      </c>
      <c r="BT123" s="171">
        <f ca="1">IF(OR($D123&lt;&gt;"Serviço",AND(AUTOEVENTO="Manual",$M123=$A$15)),0,
         IF(OFFSET(CRONOPLE!$F$15,$M123-$A$15,BT$13)=0,10^12,OFFSET(CRONOPLE!$F$15,$M123-$A$15,BT$13)))</f>
        <v>1000000000000</v>
      </c>
      <c r="BV123" s="172" cm="1">
        <f t="array" aca="1" ref="BV123" ca="1">IF(OR($D123&lt;&gt;"Serviço",AND(AUTOEVENTO="Manual",$M123=$A$15),$M123&gt;(ROW(PLE.lastrow)-ROW(PLE.firstrow))),0,
           IF(OFFSET(PLE!$G$15,$M123-$A$15,BV$13)="",10^12,OFFSET(PLE!$G$15,$M123-$A$15,BV$13)))</f>
        <v>1000000000000</v>
      </c>
      <c r="BW123" s="172" cm="1">
        <f t="array" aca="1" ref="BW123" ca="1">IF(OR($D123&lt;&gt;"Serviço",AND(AUTOEVENTO="Manual",$M123=$A$15),$M123&gt;(ROW(PLE.lastrow)-ROW(PLE.firstrow))),0,
           IF(OFFSET(PLE!$G$15,$M123-$A$15,BW$13)="",10^12,OFFSET(PLE!$G$15,$M123-$A$15,BW$13)))</f>
        <v>1000000000000</v>
      </c>
      <c r="BX123" s="172" cm="1">
        <f t="array" aca="1" ref="BX123" ca="1">IF(OR($D123&lt;&gt;"Serviço",AND(AUTOEVENTO="Manual",$M123=$A$15),$M123&gt;(ROW(PLE.lastrow)-ROW(PLE.firstrow))),0,
           IF(OFFSET(PLE!$G$15,$M123-$A$15,BX$13)="",10^12,OFFSET(PLE!$G$15,$M123-$A$15,BX$13)))</f>
        <v>1000000000000</v>
      </c>
      <c r="BY123" s="172" cm="1">
        <f t="array" aca="1" ref="BY123" ca="1">IF(OR($D123&lt;&gt;"Serviço",AND(AUTOEVENTO="Manual",$M123=$A$15),$M123&gt;(ROW(PLE.lastrow)-ROW(PLE.firstrow))),0,
           IF(OFFSET(PLE!$G$15,$M123-$A$15,BY$13)="",10^12,OFFSET(PLE!$G$15,$M123-$A$15,BY$13)))</f>
        <v>1000000000000</v>
      </c>
      <c r="BZ123" s="172" cm="1">
        <f t="array" aca="1" ref="BZ123" ca="1">IF(OR($D123&lt;&gt;"Serviço",AND(AUTOEVENTO="Manual",$M123=$A$15),$M123&gt;(ROW(PLE.lastrow)-ROW(PLE.firstrow))),0,
           IF(OFFSET(PLE!$G$15,$M123-$A$15,BZ$13)="",10^12,OFFSET(PLE!$G$15,$M123-$A$15,BZ$13)))</f>
        <v>1000000000000</v>
      </c>
      <c r="CA123" s="172" cm="1">
        <f t="array" aca="1" ref="CA123" ca="1">IF(OR($D123&lt;&gt;"Serviço",AND(AUTOEVENTO="Manual",$M123=$A$15),$M123&gt;(ROW(PLE.lastrow)-ROW(PLE.firstrow))),0,
           IF(OFFSET(PLE!$G$15,$M123-$A$15,CA$13)="",10^12,OFFSET(PLE!$G$15,$M123-$A$15,CA$13)))</f>
        <v>1000000000000</v>
      </c>
      <c r="CB123" s="172" cm="1">
        <f t="array" aca="1" ref="CB123" ca="1">IF(OR($D123&lt;&gt;"Serviço",AND(AUTOEVENTO="Manual",$M123=$A$15),$M123&gt;(ROW(PLE.lastrow)-ROW(PLE.firstrow))),0,
           IF(OFFSET(PLE!$G$15,$M123-$A$15,CB$13)="",10^12,OFFSET(PLE!$G$15,$M123-$A$15,CB$13)))</f>
        <v>1000000000000</v>
      </c>
      <c r="CC123" s="172" cm="1">
        <f t="array" aca="1" ref="CC123" ca="1">IF(OR($D123&lt;&gt;"Serviço",AND(AUTOEVENTO="Manual",$M123=$A$15),$M123&gt;(ROW(PLE.lastrow)-ROW(PLE.firstrow))),0,
           IF(OFFSET(PLE!$G$15,$M123-$A$15,CC$13)="",10^12,OFFSET(PLE!$G$15,$M123-$A$15,CC$13)))</f>
        <v>1000000000000</v>
      </c>
      <c r="CD123" s="172" cm="1">
        <f t="array" aca="1" ref="CD123" ca="1">IF(OR($D123&lt;&gt;"Serviço",AND(AUTOEVENTO="Manual",$M123=$A$15),$M123&gt;(ROW(PLE.lastrow)-ROW(PLE.firstrow))),0,
           IF(OFFSET(PLE!$G$15,$M123-$A$15,CD$13)="",10^12,OFFSET(PLE!$G$15,$M123-$A$15,CD$13)))</f>
        <v>1000000000000</v>
      </c>
      <c r="CE123" s="172" cm="1">
        <f t="array" aca="1" ref="CE123" ca="1">IF(OR($D123&lt;&gt;"Serviço",AND(AUTOEVENTO="Manual",$M123=$A$15),$M123&gt;(ROW(PLE.lastrow)-ROW(PLE.firstrow))),0,
           IF(OFFSET(PLE!$G$15,$M123-$A$15,CE$13)="",10^12,OFFSET(PLE!$G$15,$M123-$A$15,CE$13)))</f>
        <v>1000000000000</v>
      </c>
      <c r="CF123" s="172" cm="1">
        <f t="array" aca="1" ref="CF123" ca="1">IF(OR($D123&lt;&gt;"Serviço",AND(AUTOEVENTO="Manual",$M123=$A$15),$M123&gt;(ROW(PLE.lastrow)-ROW(PLE.firstrow))),0,
           IF(OFFSET(PLE!$G$15,$M123-$A$15,CF$13)="",10^12,OFFSET(PLE!$G$15,$M123-$A$15,CF$13)))</f>
        <v>1000000000000</v>
      </c>
      <c r="CG123" s="172" cm="1">
        <f t="array" aca="1" ref="CG123" ca="1">IF(OR($D123&lt;&gt;"Serviço",AND(AUTOEVENTO="Manual",$M123=$A$15),$M123&gt;(ROW(PLE.lastrow)-ROW(PLE.firstrow))),0,
           IF(OFFSET(PLE!$G$15,$M123-$A$15,CG$13)="",10^12,OFFSET(PLE!$G$15,$M123-$A$15,CG$13)))</f>
        <v>1000000000000</v>
      </c>
      <c r="CH123" s="172" cm="1">
        <f t="array" aca="1" ref="CH123" ca="1">IF(OR($D123&lt;&gt;"Serviço",AND(AUTOEVENTO="Manual",$M123=$A$15),$M123&gt;(ROW(PLE.lastrow)-ROW(PLE.firstrow))),0,
           IF(OFFSET(PLE!$G$15,$M123-$A$15,CH$13)="",10^12,OFFSET(PLE!$G$15,$M123-$A$15,CH$13)))</f>
        <v>1000000000000</v>
      </c>
      <c r="CI123" s="172" cm="1">
        <f t="array" aca="1" ref="CI123" ca="1">IF(OR($D123&lt;&gt;"Serviço",AND(AUTOEVENTO="Manual",$M123=$A$15),$M123&gt;(ROW(PLE.lastrow)-ROW(PLE.firstrow))),0,
           IF(OFFSET(PLE!$G$15,$M123-$A$15,CI$13)="",10^12,OFFSET(PLE!$G$15,$M123-$A$15,CI$13)))</f>
        <v>1000000000000</v>
      </c>
      <c r="CJ123" s="172" cm="1">
        <f t="array" aca="1" ref="CJ123" ca="1">IF(OR($D123&lt;&gt;"Serviço",AND(AUTOEVENTO="Manual",$M123=$A$15),$M123&gt;(ROW(PLE.lastrow)-ROW(PLE.firstrow))),0,
           IF(OFFSET(PLE!$G$15,$M123-$A$15,CJ$13)="",10^12,OFFSET(PLE!$G$15,$M123-$A$15,CJ$13)))</f>
        <v>1000000000000</v>
      </c>
      <c r="CK123" s="172" cm="1">
        <f t="array" aca="1" ref="CK123" ca="1">IF(OR($D123&lt;&gt;"Serviço",AND(AUTOEVENTO="Manual",$M123=$A$15),$M123&gt;(ROW(PLE.lastrow)-ROW(PLE.firstrow))),0,
           IF(OFFSET(PLE!$G$15,$M123-$A$15,CK$13)="",10^12,OFFSET(PLE!$G$15,$M123-$A$15,CK$13)))</f>
        <v>1000000000000</v>
      </c>
      <c r="CL123" s="172" cm="1">
        <f t="array" aca="1" ref="CL123" ca="1">IF(OR($D123&lt;&gt;"Serviço",AND(AUTOEVENTO="Manual",$M123=$A$15),$M123&gt;(ROW(PLE.lastrow)-ROW(PLE.firstrow))),0,
           IF(OFFSET(PLE!$G$15,$M123-$A$15,CL$13)="",10^12,OFFSET(PLE!$G$15,$M123-$A$15,CL$13)))</f>
        <v>1000000000000</v>
      </c>
      <c r="CM123" s="172" cm="1">
        <f t="array" aca="1" ref="CM123" ca="1">IF(OR($D123&lt;&gt;"Serviço",AND(AUTOEVENTO="Manual",$M123=$A$15),$M123&gt;(ROW(PLE.lastrow)-ROW(PLE.firstrow))),0,
           IF(OFFSET(PLE!$G$15,$M123-$A$15,CM$13)="",10^12,OFFSET(PLE!$G$15,$M123-$A$15,CM$13)))</f>
        <v>1000000000000</v>
      </c>
    </row>
    <row r="124" spans="1:91" s="670" customFormat="1" ht="25.5" x14ac:dyDescent="0.2">
      <c r="A124" s="668">
        <f t="shared" ca="1" si="12"/>
        <v>25</v>
      </c>
      <c r="B124" s="668" t="str">
        <f ca="1">OFFSET(ORÇAMENTO!C$15,$L124,0)</f>
        <v>S</v>
      </c>
      <c r="C124" s="668" t="str">
        <f ca="1">OFFSET(ORÇAMENTO!L$15,$L124,0)</f>
        <v>F</v>
      </c>
      <c r="D124" s="116" t="str">
        <f ca="1">OFFSET(ORÇAMENTO!N$15,$L124,0)</f>
        <v>Serviço</v>
      </c>
      <c r="E124" s="117" t="str">
        <f ca="1">OFFSET(ORÇAMENTO!O$15,$L124,0)</f>
        <v>1.17.10.</v>
      </c>
      <c r="F124" s="163" t="str">
        <f ca="1">OFFSET(ORÇAMENTO!R$15,$L124,0)</f>
        <v>RELÉ FOTOELÉTRICO 50/60 HZ, 110/220 V, 1200 VA, COMPLETO</v>
      </c>
      <c r="G124" s="164" t="str">
        <f ca="1">IF($D124&lt;&gt;"Serviço","",OFFSET(ORÇAMENTO!S$15,$L124,0))</f>
        <v>UNIDADE</v>
      </c>
      <c r="H124" s="122" cm="1">
        <f t="array" aca="1" ref="H124" ca="1">IF($D124&lt;&gt;"Serviço",0,IF(ACOMPANHAMENTO="BM",ROUND(OFFSET(ORÇAMENTO!AJ$15,$L124,0),15-13*ORÇAMENTO!$AF$7),IF(IFERROR(CÁLCULO.FrentesPreenchidas,0)=0,0,SUM(ROUND(OFFSET($P124,0,1,1,CÁLCULO.FrentesPreenchidas),15-13*ORÇAMENTO!$AF$7)))))</f>
        <v>2</v>
      </c>
      <c r="I124" s="679" t="s">
        <v>1180</v>
      </c>
      <c r="J124" s="651" t="str" cm="1">
        <f t="array" aca="1" ref="J124" ca="1">IF(OR(B124&lt;&gt;"S",CÁLCULO.FrentesPreenchidas=0),"",IF(AND(ACOMPANHAMENTO="PLE",AUTOEVENTO="Manual",OR(H124&gt;0,ORÇAMENTO!AC124="QUANT."),OR(K124="",M124=0,N124="")),"►E",IF(AND(ACOMPANHAMENTO="PLE",ORÇAMENTO!AC124="QUANT."),"►Q",IF(AND(ACOMPANHAMENTO="PLE",H124&lt;&gt;SUMPRODUCT(($Q$1:$AI$1=1)*ROUND(Q124:AI124,15))),"►S",IF(AND(COUNTIF($P$11:$AI$11,"▼")=0,H124&gt;0,I124=""),"◄M","")))))</f>
        <v/>
      </c>
      <c r="K124" s="652" t="s">
        <v>1359</v>
      </c>
      <c r="L124" s="165">
        <f t="shared" ca="1" si="13"/>
        <v>109</v>
      </c>
      <c r="M124" s="166">
        <f ca="1">IF($D124&lt;&gt;"Serviço","",
          IF(AUTOEVENTO="manual",$A124,
                IF(ISERROR(MATCH($A124,$A$15:OFFSET($A124,-1,0),0)),MAX($M$15:OFFSET(M124,-1,0))+1,
                      INDEX($M$15:OFFSET(M124,-1,0),MATCH($A124,$A$15:OFFSET($A124,-1,0),0)))))</f>
        <v>25</v>
      </c>
      <c r="N124" s="167" t="str">
        <f ca="1">IF($D124&lt;&gt;"Serviço","",
         IF(AUTOEVENTO="Manual",
                IF($A124=0,"&lt;-- defina o número do agrupador",
                       OFFSET(EVENTOS!$D$15,$A124-$A$15,0)),
                OFFSET($F$15,$A124,0)))</f>
        <v>Instalações elétricas</v>
      </c>
      <c r="O124" s="168"/>
      <c r="Q124" s="168"/>
      <c r="R124" s="169"/>
      <c r="S124" s="169"/>
      <c r="T124" s="169"/>
      <c r="U124" s="169"/>
      <c r="V124" s="169">
        <v>2</v>
      </c>
      <c r="W124" s="169"/>
      <c r="X124" s="169"/>
      <c r="Y124" s="169"/>
      <c r="Z124" s="170"/>
      <c r="AA124" s="705"/>
      <c r="AB124" s="705"/>
      <c r="AC124" s="705"/>
      <c r="AD124" s="705"/>
      <c r="AE124" s="705"/>
      <c r="AF124" s="705"/>
      <c r="AG124" s="705"/>
      <c r="AH124" s="706"/>
      <c r="AJ124" s="453">
        <f ca="1">IF(AND($D124="Serviço",AJ$12&lt;&gt;0,$H124&gt;0,OR(AUTOEVENTO&lt;&gt;"manual",$M124&lt;&gt;$A$15)),
        IF(Import.TipoArredondamento&lt;&gt;"TransfereGOV",
              ROUND(OFFSET($P124,0,AJ$13),15-13*ORÇAMENTO!$AF$7)/$H124*OFFSET(ORÇAMENTO!$X$15,ROW(AJ124)-ROW(AJ$15),0),
              ROUND(ROUND(OFFSET($P124,0,AJ$13),15-13*ORÇAMENTO!$AF$7)*OFFSET(ORÇAMENTO!$W$15,ROW(AJ124)-ROW(AJ$15),0),15-13*ORÇAMENTO!$AF$11)),
         0)</f>
        <v>0</v>
      </c>
      <c r="AK124" s="453">
        <f ca="1">IF(AND($D124="Serviço",AK$12&lt;&gt;0,$H124&gt;0,OR(AUTOEVENTO&lt;&gt;"manual",$M124&lt;&gt;$A$15)),
        IF(Import.TipoArredondamento&lt;&gt;"TransfereGOV",
              ROUND(OFFSET($P124,0,AK$13),15-13*ORÇAMENTO!$AF$7)/$H124*OFFSET(ORÇAMENTO!$X$15,ROW(AK124)-ROW(AK$15),0),
              ROUND(ROUND(OFFSET($P124,0,AK$13),15-13*ORÇAMENTO!$AF$7)*OFFSET(ORÇAMENTO!$W$15,ROW(AK124)-ROW(AK$15),0),15-13*ORÇAMENTO!$AF$11)),
         0)</f>
        <v>0</v>
      </c>
      <c r="AL124" s="453">
        <f ca="1">IF(AND($D124="Serviço",AL$12&lt;&gt;0,$H124&gt;0,OR(AUTOEVENTO&lt;&gt;"manual",$M124&lt;&gt;$A$15)),
        IF(Import.TipoArredondamento&lt;&gt;"TransfereGOV",
              ROUND(OFFSET($P124,0,AL$13),15-13*ORÇAMENTO!$AF$7)/$H124*OFFSET(ORÇAMENTO!$X$15,ROW(AL124)-ROW(AL$15),0),
              ROUND(ROUND(OFFSET($P124,0,AL$13),15-13*ORÇAMENTO!$AF$7)*OFFSET(ORÇAMENTO!$W$15,ROW(AL124)-ROW(AL$15),0),15-13*ORÇAMENTO!$AF$11)),
         0)</f>
        <v>0</v>
      </c>
      <c r="AM124" s="453">
        <f ca="1">IF(AND($D124="Serviço",AM$12&lt;&gt;0,$H124&gt;0,OR(AUTOEVENTO&lt;&gt;"manual",$M124&lt;&gt;$A$15)),
        IF(Import.TipoArredondamento&lt;&gt;"TransfereGOV",
              ROUND(OFFSET($P124,0,AM$13),15-13*ORÇAMENTO!$AF$7)/$H124*OFFSET(ORÇAMENTO!$X$15,ROW(AM124)-ROW(AM$15),0),
              ROUND(ROUND(OFFSET($P124,0,AM$13),15-13*ORÇAMENTO!$AF$7)*OFFSET(ORÇAMENTO!$W$15,ROW(AM124)-ROW(AM$15),0),15-13*ORÇAMENTO!$AF$11)),
         0)</f>
        <v>0</v>
      </c>
      <c r="AN124" s="453">
        <f ca="1">IF(AND($D124="Serviço",AN$12&lt;&gt;0,$H124&gt;0,OR(AUTOEVENTO&lt;&gt;"manual",$M124&lt;&gt;$A$15)),
        IF(Import.TipoArredondamento&lt;&gt;"TransfereGOV",
              ROUND(OFFSET($P124,0,AN$13),15-13*ORÇAMENTO!$AF$7)/$H124*OFFSET(ORÇAMENTO!$X$15,ROW(AN124)-ROW(AN$15),0),
              ROUND(ROUND(OFFSET($P124,0,AN$13),15-13*ORÇAMENTO!$AF$7)*OFFSET(ORÇAMENTO!$W$15,ROW(AN124)-ROW(AN$15),0),15-13*ORÇAMENTO!$AF$11)),
         0)</f>
        <v>0</v>
      </c>
      <c r="AO124" s="453">
        <f ca="1">IF(AND($D124="Serviço",AO$12&lt;&gt;0,$H124&gt;0,OR(AUTOEVENTO&lt;&gt;"manual",$M124&lt;&gt;$A$15)),
        IF(Import.TipoArredondamento&lt;&gt;"TransfereGOV",
              ROUND(OFFSET($P124,0,AO$13),15-13*ORÇAMENTO!$AF$7)/$H124*OFFSET(ORÇAMENTO!$X$15,ROW(AO124)-ROW(AO$15),0),
              ROUND(ROUND(OFFSET($P124,0,AO$13),15-13*ORÇAMENTO!$AF$7)*OFFSET(ORÇAMENTO!$W$15,ROW(AO124)-ROW(AO$15),0),15-13*ORÇAMENTO!$AF$11)),
         0)</f>
        <v>260.83999999999997</v>
      </c>
      <c r="AP124" s="453">
        <f ca="1">IF(AND($D124="Serviço",AP$12&lt;&gt;0,$H124&gt;0,OR(AUTOEVENTO&lt;&gt;"manual",$M124&lt;&gt;$A$15)),
        IF(Import.TipoArredondamento&lt;&gt;"TransfereGOV",
              ROUND(OFFSET($P124,0,AP$13),15-13*ORÇAMENTO!$AF$7)/$H124*OFFSET(ORÇAMENTO!$X$15,ROW(AP124)-ROW(AP$15),0),
              ROUND(ROUND(OFFSET($P124,0,AP$13),15-13*ORÇAMENTO!$AF$7)*OFFSET(ORÇAMENTO!$W$15,ROW(AP124)-ROW(AP$15),0),15-13*ORÇAMENTO!$AF$11)),
         0)</f>
        <v>0</v>
      </c>
      <c r="AQ124" s="453">
        <f ca="1">IF(AND($D124="Serviço",AQ$12&lt;&gt;0,$H124&gt;0,OR(AUTOEVENTO&lt;&gt;"manual",$M124&lt;&gt;$A$15)),
        IF(Import.TipoArredondamento&lt;&gt;"TransfereGOV",
              ROUND(OFFSET($P124,0,AQ$13),15-13*ORÇAMENTO!$AF$7)/$H124*OFFSET(ORÇAMENTO!$X$15,ROW(AQ124)-ROW(AQ$15),0),
              ROUND(ROUND(OFFSET($P124,0,AQ$13),15-13*ORÇAMENTO!$AF$7)*OFFSET(ORÇAMENTO!$W$15,ROW(AQ124)-ROW(AQ$15),0),15-13*ORÇAMENTO!$AF$11)),
         0)</f>
        <v>0</v>
      </c>
      <c r="AR124" s="453">
        <f ca="1">IF(AND($D124="Serviço",AR$12&lt;&gt;0,$H124&gt;0,OR(AUTOEVENTO&lt;&gt;"manual",$M124&lt;&gt;$A$15)),
        IF(Import.TipoArredondamento&lt;&gt;"TransfereGOV",
              ROUND(OFFSET($P124,0,AR$13),15-13*ORÇAMENTO!$AF$7)/$H124*OFFSET(ORÇAMENTO!$X$15,ROW(AR124)-ROW(AR$15),0),
              ROUND(ROUND(OFFSET($P124,0,AR$13),15-13*ORÇAMENTO!$AF$7)*OFFSET(ORÇAMENTO!$W$15,ROW(AR124)-ROW(AR$15),0),15-13*ORÇAMENTO!$AF$11)),
         0)</f>
        <v>0</v>
      </c>
      <c r="AS124" s="453">
        <f ca="1">IF(AND($D124="Serviço",AS$12&lt;&gt;0,$H124&gt;0,OR(AUTOEVENTO&lt;&gt;"manual",$M124&lt;&gt;$A$15)),
        IF(Import.TipoArredondamento&lt;&gt;"TransfereGOV",
              ROUND(OFFSET($P124,0,AS$13),15-13*ORÇAMENTO!$AF$7)/$H124*OFFSET(ORÇAMENTO!$X$15,ROW(AS124)-ROW(AS$15),0),
              ROUND(ROUND(OFFSET($P124,0,AS$13),15-13*ORÇAMENTO!$AF$7)*OFFSET(ORÇAMENTO!$W$15,ROW(AS124)-ROW(AS$15),0),15-13*ORÇAMENTO!$AF$11)),
         0)</f>
        <v>0</v>
      </c>
      <c r="AT124" s="453">
        <f ca="1">IF(AND($D124="Serviço",AT$12&lt;&gt;0,$H124&gt;0,OR(AUTOEVENTO&lt;&gt;"manual",$M124&lt;&gt;$A$15)),
        IF(Import.TipoArredondamento&lt;&gt;"TransfereGOV",
              ROUND(OFFSET($P124,0,AT$13),15-13*ORÇAMENTO!$AF$7)/$H124*OFFSET(ORÇAMENTO!$X$15,ROW(AT124)-ROW(AT$15),0),
              ROUND(ROUND(OFFSET($P124,0,AT$13),15-13*ORÇAMENTO!$AF$7)*OFFSET(ORÇAMENTO!$W$15,ROW(AT124)-ROW(AT$15),0),15-13*ORÇAMENTO!$AF$11)),
         0)</f>
        <v>0</v>
      </c>
      <c r="AU124" s="453">
        <f ca="1">IF(AND($D124="Serviço",AU$12&lt;&gt;0,$H124&gt;0,OR(AUTOEVENTO&lt;&gt;"manual",$M124&lt;&gt;$A$15)),
        IF(Import.TipoArredondamento&lt;&gt;"TransfereGOV",
              ROUND(OFFSET($P124,0,AU$13),15-13*ORÇAMENTO!$AF$7)/$H124*OFFSET(ORÇAMENTO!$X$15,ROW(AU124)-ROW(AU$15),0),
              ROUND(ROUND(OFFSET($P124,0,AU$13),15-13*ORÇAMENTO!$AF$7)*OFFSET(ORÇAMENTO!$W$15,ROW(AU124)-ROW(AU$15),0),15-13*ORÇAMENTO!$AF$11)),
         0)</f>
        <v>0</v>
      </c>
      <c r="AV124" s="453">
        <f ca="1">IF(AND($D124="Serviço",AV$12&lt;&gt;0,$H124&gt;0,OR(AUTOEVENTO&lt;&gt;"manual",$M124&lt;&gt;$A$15)),
        IF(Import.TipoArredondamento&lt;&gt;"TransfereGOV",
              ROUND(OFFSET($P124,0,AV$13),15-13*ORÇAMENTO!$AF$7)/$H124*OFFSET(ORÇAMENTO!$X$15,ROW(AV124)-ROW(AV$15),0),
              ROUND(ROUND(OFFSET($P124,0,AV$13),15-13*ORÇAMENTO!$AF$7)*OFFSET(ORÇAMENTO!$W$15,ROW(AV124)-ROW(AV$15),0),15-13*ORÇAMENTO!$AF$11)),
         0)</f>
        <v>0</v>
      </c>
      <c r="AW124" s="453">
        <f ca="1">IF(AND($D124="Serviço",AW$12&lt;&gt;0,$H124&gt;0,OR(AUTOEVENTO&lt;&gt;"manual",$M124&lt;&gt;$A$15)),
        IF(Import.TipoArredondamento&lt;&gt;"TransfereGOV",
              ROUND(OFFSET($P124,0,AW$13),15-13*ORÇAMENTO!$AF$7)/$H124*OFFSET(ORÇAMENTO!$X$15,ROW(AW124)-ROW(AW$15),0),
              ROUND(ROUND(OFFSET($P124,0,AW$13),15-13*ORÇAMENTO!$AF$7)*OFFSET(ORÇAMENTO!$W$15,ROW(AW124)-ROW(AW$15),0),15-13*ORÇAMENTO!$AF$11)),
         0)</f>
        <v>0</v>
      </c>
      <c r="AX124" s="453">
        <f ca="1">IF(AND($D124="Serviço",AX$12&lt;&gt;0,$H124&gt;0,OR(AUTOEVENTO&lt;&gt;"manual",$M124&lt;&gt;$A$15)),
        IF(Import.TipoArredondamento&lt;&gt;"TransfereGOV",
              ROUND(OFFSET($P124,0,AX$13),15-13*ORÇAMENTO!$AF$7)/$H124*OFFSET(ORÇAMENTO!$X$15,ROW(AX124)-ROW(AX$15),0),
              ROUND(ROUND(OFFSET($P124,0,AX$13),15-13*ORÇAMENTO!$AF$7)*OFFSET(ORÇAMENTO!$W$15,ROW(AX124)-ROW(AX$15),0),15-13*ORÇAMENTO!$AF$11)),
         0)</f>
        <v>0</v>
      </c>
      <c r="AY124" s="453">
        <f ca="1">IF(AND($D124="Serviço",AY$12&lt;&gt;0,$H124&gt;0,OR(AUTOEVENTO&lt;&gt;"manual",$M124&lt;&gt;$A$15)),
        IF(Import.TipoArredondamento&lt;&gt;"TransfereGOV",
              ROUND(OFFSET($P124,0,AY$13),15-13*ORÇAMENTO!$AF$7)/$H124*OFFSET(ORÇAMENTO!$X$15,ROW(AY124)-ROW(AY$15),0),
              ROUND(ROUND(OFFSET($P124,0,AY$13),15-13*ORÇAMENTO!$AF$7)*OFFSET(ORÇAMENTO!$W$15,ROW(AY124)-ROW(AY$15),0),15-13*ORÇAMENTO!$AF$11)),
         0)</f>
        <v>0</v>
      </c>
      <c r="AZ124" s="453">
        <f ca="1">IF(AND($D124="Serviço",AZ$12&lt;&gt;0,$H124&gt;0,OR(AUTOEVENTO&lt;&gt;"manual",$M124&lt;&gt;$A$15)),
        IF(Import.TipoArredondamento&lt;&gt;"TransfereGOV",
              ROUND(OFFSET($P124,0,AZ$13),15-13*ORÇAMENTO!$AF$7)/$H124*OFFSET(ORÇAMENTO!$X$15,ROW(AZ124)-ROW(AZ$15),0),
              ROUND(ROUND(OFFSET($P124,0,AZ$13),15-13*ORÇAMENTO!$AF$7)*OFFSET(ORÇAMENTO!$W$15,ROW(AZ124)-ROW(AZ$15),0),15-13*ORÇAMENTO!$AF$11)),
         0)</f>
        <v>0</v>
      </c>
      <c r="BA124" s="453">
        <f ca="1">IF(AND($D124="Serviço",BA$12&lt;&gt;0,$H124&gt;0,OR(AUTOEVENTO&lt;&gt;"manual",$M124&lt;&gt;$A$15)),
        IF(Import.TipoArredondamento&lt;&gt;"TransfereGOV",
              ROUND(OFFSET($P124,0,BA$13),15-13*ORÇAMENTO!$AF$7)/$H124*OFFSET(ORÇAMENTO!$X$15,ROW(BA124)-ROW(BA$15),0),
              ROUND(ROUND(OFFSET($P124,0,BA$13),15-13*ORÇAMENTO!$AF$7)*OFFSET(ORÇAMENTO!$W$15,ROW(BA124)-ROW(BA$15),0),15-13*ORÇAMENTO!$AF$11)),
         0)</f>
        <v>0</v>
      </c>
      <c r="BC124" s="171">
        <f ca="1">IF(OR($D124&lt;&gt;"Serviço",AND(AUTOEVENTO="Manual",$M124=$A$15)),0,
         IF(OFFSET(CRONOPLE!$F$15,$M124-$A$15,BC$13)=0,10^12,OFFSET(CRONOPLE!$F$15,$M124-$A$15,BC$13)))</f>
        <v>1000000000000</v>
      </c>
      <c r="BD124" s="171">
        <f ca="1">IF(OR($D124&lt;&gt;"Serviço",AND(AUTOEVENTO="Manual",$M124=$A$15)),0,
         IF(OFFSET(CRONOPLE!$F$15,$M124-$A$15,BD$13)=0,10^12,OFFSET(CRONOPLE!$F$15,$M124-$A$15,BD$13)))</f>
        <v>1000000000000</v>
      </c>
      <c r="BE124" s="171">
        <f ca="1">IF(OR($D124&lt;&gt;"Serviço",AND(AUTOEVENTO="Manual",$M124=$A$15)),0,
         IF(OFFSET(CRONOPLE!$F$15,$M124-$A$15,BE$13)=0,10^12,OFFSET(CRONOPLE!$F$15,$M124-$A$15,BE$13)))</f>
        <v>1000000000000</v>
      </c>
      <c r="BF124" s="171">
        <f ca="1">IF(OR($D124&lt;&gt;"Serviço",AND(AUTOEVENTO="Manual",$M124=$A$15)),0,
         IF(OFFSET(CRONOPLE!$F$15,$M124-$A$15,BF$13)=0,10^12,OFFSET(CRONOPLE!$F$15,$M124-$A$15,BF$13)))</f>
        <v>1000000000000</v>
      </c>
      <c r="BG124" s="171">
        <f ca="1">IF(OR($D124&lt;&gt;"Serviço",AND(AUTOEVENTO="Manual",$M124=$A$15)),0,
         IF(OFFSET(CRONOPLE!$F$15,$M124-$A$15,BG$13)=0,10^12,OFFSET(CRONOPLE!$F$15,$M124-$A$15,BG$13)))</f>
        <v>1000000000000</v>
      </c>
      <c r="BH124" s="171">
        <f ca="1">IF(OR($D124&lt;&gt;"Serviço",AND(AUTOEVENTO="Manual",$M124=$A$15)),0,
         IF(OFFSET(CRONOPLE!$F$15,$M124-$A$15,BH$13)=0,10^12,OFFSET(CRONOPLE!$F$15,$M124-$A$15,BH$13)))</f>
        <v>9</v>
      </c>
      <c r="BI124" s="171">
        <f ca="1">IF(OR($D124&lt;&gt;"Serviço",AND(AUTOEVENTO="Manual",$M124=$A$15)),0,
         IF(OFFSET(CRONOPLE!$F$15,$M124-$A$15,BI$13)=0,10^12,OFFSET(CRONOPLE!$F$15,$M124-$A$15,BI$13)))</f>
        <v>1000000000000</v>
      </c>
      <c r="BJ124" s="171">
        <f ca="1">IF(OR($D124&lt;&gt;"Serviço",AND(AUTOEVENTO="Manual",$M124=$A$15)),0,
         IF(OFFSET(CRONOPLE!$F$15,$M124-$A$15,BJ$13)=0,10^12,OFFSET(CRONOPLE!$F$15,$M124-$A$15,BJ$13)))</f>
        <v>1000000000000</v>
      </c>
      <c r="BK124" s="171">
        <f ca="1">IF(OR($D124&lt;&gt;"Serviço",AND(AUTOEVENTO="Manual",$M124=$A$15)),0,
         IF(OFFSET(CRONOPLE!$F$15,$M124-$A$15,BK$13)=0,10^12,OFFSET(CRONOPLE!$F$15,$M124-$A$15,BK$13)))</f>
        <v>1000000000000</v>
      </c>
      <c r="BL124" s="171">
        <f ca="1">IF(OR($D124&lt;&gt;"Serviço",AND(AUTOEVENTO="Manual",$M124=$A$15)),0,
         IF(OFFSET(CRONOPLE!$F$15,$M124-$A$15,BL$13)=0,10^12,OFFSET(CRONOPLE!$F$15,$M124-$A$15,BL$13)))</f>
        <v>1000000000000</v>
      </c>
      <c r="BM124" s="171">
        <f ca="1">IF(OR($D124&lt;&gt;"Serviço",AND(AUTOEVENTO="Manual",$M124=$A$15)),0,
         IF(OFFSET(CRONOPLE!$F$15,$M124-$A$15,BM$13)=0,10^12,OFFSET(CRONOPLE!$F$15,$M124-$A$15,BM$13)))</f>
        <v>1000000000000</v>
      </c>
      <c r="BN124" s="171">
        <f ca="1">IF(OR($D124&lt;&gt;"Serviço",AND(AUTOEVENTO="Manual",$M124=$A$15)),0,
         IF(OFFSET(CRONOPLE!$F$15,$M124-$A$15,BN$13)=0,10^12,OFFSET(CRONOPLE!$F$15,$M124-$A$15,BN$13)))</f>
        <v>1000000000000</v>
      </c>
      <c r="BO124" s="171">
        <f ca="1">IF(OR($D124&lt;&gt;"Serviço",AND(AUTOEVENTO="Manual",$M124=$A$15)),0,
         IF(OFFSET(CRONOPLE!$F$15,$M124-$A$15,BO$13)=0,10^12,OFFSET(CRONOPLE!$F$15,$M124-$A$15,BO$13)))</f>
        <v>1000000000000</v>
      </c>
      <c r="BP124" s="171">
        <f ca="1">IF(OR($D124&lt;&gt;"Serviço",AND(AUTOEVENTO="Manual",$M124=$A$15)),0,
         IF(OFFSET(CRONOPLE!$F$15,$M124-$A$15,BP$13)=0,10^12,OFFSET(CRONOPLE!$F$15,$M124-$A$15,BP$13)))</f>
        <v>1000000000000</v>
      </c>
      <c r="BQ124" s="171">
        <f ca="1">IF(OR($D124&lt;&gt;"Serviço",AND(AUTOEVENTO="Manual",$M124=$A$15)),0,
         IF(OFFSET(CRONOPLE!$F$15,$M124-$A$15,BQ$13)=0,10^12,OFFSET(CRONOPLE!$F$15,$M124-$A$15,BQ$13)))</f>
        <v>1000000000000</v>
      </c>
      <c r="BR124" s="171">
        <f ca="1">IF(OR($D124&lt;&gt;"Serviço",AND(AUTOEVENTO="Manual",$M124=$A$15)),0,
         IF(OFFSET(CRONOPLE!$F$15,$M124-$A$15,BR$13)=0,10^12,OFFSET(CRONOPLE!$F$15,$M124-$A$15,BR$13)))</f>
        <v>1000000000000</v>
      </c>
      <c r="BS124" s="171">
        <f ca="1">IF(OR($D124&lt;&gt;"Serviço",AND(AUTOEVENTO="Manual",$M124=$A$15)),0,
         IF(OFFSET(CRONOPLE!$F$15,$M124-$A$15,BS$13)=0,10^12,OFFSET(CRONOPLE!$F$15,$M124-$A$15,BS$13)))</f>
        <v>1000000000000</v>
      </c>
      <c r="BT124" s="171">
        <f ca="1">IF(OR($D124&lt;&gt;"Serviço",AND(AUTOEVENTO="Manual",$M124=$A$15)),0,
         IF(OFFSET(CRONOPLE!$F$15,$M124-$A$15,BT$13)=0,10^12,OFFSET(CRONOPLE!$F$15,$M124-$A$15,BT$13)))</f>
        <v>1000000000000</v>
      </c>
      <c r="BV124" s="172" cm="1">
        <f t="array" aca="1" ref="BV124" ca="1">IF(OR($D124&lt;&gt;"Serviço",AND(AUTOEVENTO="Manual",$M124=$A$15),$M124&gt;(ROW(PLE.lastrow)-ROW(PLE.firstrow))),0,
           IF(OFFSET(PLE!$G$15,$M124-$A$15,BV$13)="",10^12,OFFSET(PLE!$G$15,$M124-$A$15,BV$13)))</f>
        <v>1000000000000</v>
      </c>
      <c r="BW124" s="172" cm="1">
        <f t="array" aca="1" ref="BW124" ca="1">IF(OR($D124&lt;&gt;"Serviço",AND(AUTOEVENTO="Manual",$M124=$A$15),$M124&gt;(ROW(PLE.lastrow)-ROW(PLE.firstrow))),0,
           IF(OFFSET(PLE!$G$15,$M124-$A$15,BW$13)="",10^12,OFFSET(PLE!$G$15,$M124-$A$15,BW$13)))</f>
        <v>1000000000000</v>
      </c>
      <c r="BX124" s="172" cm="1">
        <f t="array" aca="1" ref="BX124" ca="1">IF(OR($D124&lt;&gt;"Serviço",AND(AUTOEVENTO="Manual",$M124=$A$15),$M124&gt;(ROW(PLE.lastrow)-ROW(PLE.firstrow))),0,
           IF(OFFSET(PLE!$G$15,$M124-$A$15,BX$13)="",10^12,OFFSET(PLE!$G$15,$M124-$A$15,BX$13)))</f>
        <v>1000000000000</v>
      </c>
      <c r="BY124" s="172" cm="1">
        <f t="array" aca="1" ref="BY124" ca="1">IF(OR($D124&lt;&gt;"Serviço",AND(AUTOEVENTO="Manual",$M124=$A$15),$M124&gt;(ROW(PLE.lastrow)-ROW(PLE.firstrow))),0,
           IF(OFFSET(PLE!$G$15,$M124-$A$15,BY$13)="",10^12,OFFSET(PLE!$G$15,$M124-$A$15,BY$13)))</f>
        <v>1000000000000</v>
      </c>
      <c r="BZ124" s="172" cm="1">
        <f t="array" aca="1" ref="BZ124" ca="1">IF(OR($D124&lt;&gt;"Serviço",AND(AUTOEVENTO="Manual",$M124=$A$15),$M124&gt;(ROW(PLE.lastrow)-ROW(PLE.firstrow))),0,
           IF(OFFSET(PLE!$G$15,$M124-$A$15,BZ$13)="",10^12,OFFSET(PLE!$G$15,$M124-$A$15,BZ$13)))</f>
        <v>1000000000000</v>
      </c>
      <c r="CA124" s="172" cm="1">
        <f t="array" aca="1" ref="CA124" ca="1">IF(OR($D124&lt;&gt;"Serviço",AND(AUTOEVENTO="Manual",$M124=$A$15),$M124&gt;(ROW(PLE.lastrow)-ROW(PLE.firstrow))),0,
           IF(OFFSET(PLE!$G$15,$M124-$A$15,CA$13)="",10^12,OFFSET(PLE!$G$15,$M124-$A$15,CA$13)))</f>
        <v>1000000000000</v>
      </c>
      <c r="CB124" s="172" cm="1">
        <f t="array" aca="1" ref="CB124" ca="1">IF(OR($D124&lt;&gt;"Serviço",AND(AUTOEVENTO="Manual",$M124=$A$15),$M124&gt;(ROW(PLE.lastrow)-ROW(PLE.firstrow))),0,
           IF(OFFSET(PLE!$G$15,$M124-$A$15,CB$13)="",10^12,OFFSET(PLE!$G$15,$M124-$A$15,CB$13)))</f>
        <v>1000000000000</v>
      </c>
      <c r="CC124" s="172" cm="1">
        <f t="array" aca="1" ref="CC124" ca="1">IF(OR($D124&lt;&gt;"Serviço",AND(AUTOEVENTO="Manual",$M124=$A$15),$M124&gt;(ROW(PLE.lastrow)-ROW(PLE.firstrow))),0,
           IF(OFFSET(PLE!$G$15,$M124-$A$15,CC$13)="",10^12,OFFSET(PLE!$G$15,$M124-$A$15,CC$13)))</f>
        <v>1000000000000</v>
      </c>
      <c r="CD124" s="172" cm="1">
        <f t="array" aca="1" ref="CD124" ca="1">IF(OR($D124&lt;&gt;"Serviço",AND(AUTOEVENTO="Manual",$M124=$A$15),$M124&gt;(ROW(PLE.lastrow)-ROW(PLE.firstrow))),0,
           IF(OFFSET(PLE!$G$15,$M124-$A$15,CD$13)="",10^12,OFFSET(PLE!$G$15,$M124-$A$15,CD$13)))</f>
        <v>1000000000000</v>
      </c>
      <c r="CE124" s="172" cm="1">
        <f t="array" aca="1" ref="CE124" ca="1">IF(OR($D124&lt;&gt;"Serviço",AND(AUTOEVENTO="Manual",$M124=$A$15),$M124&gt;(ROW(PLE.lastrow)-ROW(PLE.firstrow))),0,
           IF(OFFSET(PLE!$G$15,$M124-$A$15,CE$13)="",10^12,OFFSET(PLE!$G$15,$M124-$A$15,CE$13)))</f>
        <v>1000000000000</v>
      </c>
      <c r="CF124" s="172" cm="1">
        <f t="array" aca="1" ref="CF124" ca="1">IF(OR($D124&lt;&gt;"Serviço",AND(AUTOEVENTO="Manual",$M124=$A$15),$M124&gt;(ROW(PLE.lastrow)-ROW(PLE.firstrow))),0,
           IF(OFFSET(PLE!$G$15,$M124-$A$15,CF$13)="",10^12,OFFSET(PLE!$G$15,$M124-$A$15,CF$13)))</f>
        <v>1000000000000</v>
      </c>
      <c r="CG124" s="172" cm="1">
        <f t="array" aca="1" ref="CG124" ca="1">IF(OR($D124&lt;&gt;"Serviço",AND(AUTOEVENTO="Manual",$M124=$A$15),$M124&gt;(ROW(PLE.lastrow)-ROW(PLE.firstrow))),0,
           IF(OFFSET(PLE!$G$15,$M124-$A$15,CG$13)="",10^12,OFFSET(PLE!$G$15,$M124-$A$15,CG$13)))</f>
        <v>1000000000000</v>
      </c>
      <c r="CH124" s="172" cm="1">
        <f t="array" aca="1" ref="CH124" ca="1">IF(OR($D124&lt;&gt;"Serviço",AND(AUTOEVENTO="Manual",$M124=$A$15),$M124&gt;(ROW(PLE.lastrow)-ROW(PLE.firstrow))),0,
           IF(OFFSET(PLE!$G$15,$M124-$A$15,CH$13)="",10^12,OFFSET(PLE!$G$15,$M124-$A$15,CH$13)))</f>
        <v>1000000000000</v>
      </c>
      <c r="CI124" s="172" cm="1">
        <f t="array" aca="1" ref="CI124" ca="1">IF(OR($D124&lt;&gt;"Serviço",AND(AUTOEVENTO="Manual",$M124=$A$15),$M124&gt;(ROW(PLE.lastrow)-ROW(PLE.firstrow))),0,
           IF(OFFSET(PLE!$G$15,$M124-$A$15,CI$13)="",10^12,OFFSET(PLE!$G$15,$M124-$A$15,CI$13)))</f>
        <v>1000000000000</v>
      </c>
      <c r="CJ124" s="172" cm="1">
        <f t="array" aca="1" ref="CJ124" ca="1">IF(OR($D124&lt;&gt;"Serviço",AND(AUTOEVENTO="Manual",$M124=$A$15),$M124&gt;(ROW(PLE.lastrow)-ROW(PLE.firstrow))),0,
           IF(OFFSET(PLE!$G$15,$M124-$A$15,CJ$13)="",10^12,OFFSET(PLE!$G$15,$M124-$A$15,CJ$13)))</f>
        <v>1000000000000</v>
      </c>
      <c r="CK124" s="172" cm="1">
        <f t="array" aca="1" ref="CK124" ca="1">IF(OR($D124&lt;&gt;"Serviço",AND(AUTOEVENTO="Manual",$M124=$A$15),$M124&gt;(ROW(PLE.lastrow)-ROW(PLE.firstrow))),0,
           IF(OFFSET(PLE!$G$15,$M124-$A$15,CK$13)="",10^12,OFFSET(PLE!$G$15,$M124-$A$15,CK$13)))</f>
        <v>1000000000000</v>
      </c>
      <c r="CL124" s="172" cm="1">
        <f t="array" aca="1" ref="CL124" ca="1">IF(OR($D124&lt;&gt;"Serviço",AND(AUTOEVENTO="Manual",$M124=$A$15),$M124&gt;(ROW(PLE.lastrow)-ROW(PLE.firstrow))),0,
           IF(OFFSET(PLE!$G$15,$M124-$A$15,CL$13)="",10^12,OFFSET(PLE!$G$15,$M124-$A$15,CL$13)))</f>
        <v>1000000000000</v>
      </c>
      <c r="CM124" s="172" cm="1">
        <f t="array" aca="1" ref="CM124" ca="1">IF(OR($D124&lt;&gt;"Serviço",AND(AUTOEVENTO="Manual",$M124=$A$15),$M124&gt;(ROW(PLE.lastrow)-ROW(PLE.firstrow))),0,
           IF(OFFSET(PLE!$G$15,$M124-$A$15,CM$13)="",10^12,OFFSET(PLE!$G$15,$M124-$A$15,CM$13)))</f>
        <v>1000000000000</v>
      </c>
    </row>
    <row r="125" spans="1:91" s="670" customFormat="1" ht="38.25" x14ac:dyDescent="0.2">
      <c r="A125" s="668">
        <f t="shared" ca="1" si="12"/>
        <v>25</v>
      </c>
      <c r="B125" s="668" t="str">
        <f ca="1">OFFSET(ORÇAMENTO!C$15,$L125,0)</f>
        <v>S</v>
      </c>
      <c r="C125" s="668" t="str">
        <f ca="1">OFFSET(ORÇAMENTO!L$15,$L125,0)</f>
        <v>F</v>
      </c>
      <c r="D125" s="116" t="str">
        <f ca="1">OFFSET(ORÇAMENTO!N$15,$L125,0)</f>
        <v>Serviço</v>
      </c>
      <c r="E125" s="117" t="str">
        <f ca="1">OFFSET(ORÇAMENTO!O$15,$L125,0)</f>
        <v>1.17.11.</v>
      </c>
      <c r="F125" s="163" t="str">
        <f ca="1">OFFSET(ORÇAMENTO!R$15,$L125,0)</f>
        <v>CABO DE COBRE FLEXÍVEL ISOLADO, 2,5 MM², ANTI-CHAMA 0,6/1,0 KV, PARA CIRCUITOS TERMINAIS - FORNECIMENTO E INSTALAÇÃO. AF_03/2023</v>
      </c>
      <c r="G125" s="164" t="str">
        <f ca="1">IF($D125&lt;&gt;"Serviço","",OFFSET(ORÇAMENTO!S$15,$L125,0))</f>
        <v>M</v>
      </c>
      <c r="H125" s="122" cm="1">
        <f t="array" aca="1" ref="H125" ca="1">IF($D125&lt;&gt;"Serviço",0,IF(ACOMPANHAMENTO="BM",ROUND(OFFSET(ORÇAMENTO!AJ$15,$L125,0),15-13*ORÇAMENTO!$AF$7),IF(IFERROR(CÁLCULO.FrentesPreenchidas,0)=0,0,SUM(ROUND(OFFSET($P125,0,1,1,CÁLCULO.FrentesPreenchidas),15-13*ORÇAMENTO!$AF$7)))))</f>
        <v>200</v>
      </c>
      <c r="I125" s="468" t="s">
        <v>1181</v>
      </c>
      <c r="J125" s="651" t="str" cm="1">
        <f t="array" aca="1" ref="J125" ca="1">IF(OR(B125&lt;&gt;"S",CÁLCULO.FrentesPreenchidas=0),"",IF(AND(ACOMPANHAMENTO="PLE",AUTOEVENTO="Manual",OR(H125&gt;0,ORÇAMENTO!AC125="QUANT."),OR(K125="",M125=0,N125="")),"►E",IF(AND(ACOMPANHAMENTO="PLE",ORÇAMENTO!AC125="QUANT."),"►Q",IF(AND(ACOMPANHAMENTO="PLE",H125&lt;&gt;SUMPRODUCT(($Q$1:$AI$1=1)*ROUND(Q125:AI125,15))),"►S",IF(AND(COUNTIF($P$11:$AI$11,"▼")=0,H125&gt;0,I125=""),"◄M","")))))</f>
        <v/>
      </c>
      <c r="K125" s="652" t="s">
        <v>1359</v>
      </c>
      <c r="L125" s="165">
        <f t="shared" ca="1" si="13"/>
        <v>110</v>
      </c>
      <c r="M125" s="166">
        <f ca="1">IF($D125&lt;&gt;"Serviço","",
          IF(AUTOEVENTO="manual",$A125,
                IF(ISERROR(MATCH($A125,$A$15:OFFSET($A125,-1,0),0)),MAX($M$15:OFFSET(M125,-1,0))+1,
                      INDEX($M$15:OFFSET(M125,-1,0),MATCH($A125,$A$15:OFFSET($A125,-1,0),0)))))</f>
        <v>25</v>
      </c>
      <c r="N125" s="167" t="str">
        <f ca="1">IF($D125&lt;&gt;"Serviço","",
         IF(AUTOEVENTO="Manual",
                IF($A125=0,"&lt;-- defina o número do agrupador",
                       OFFSET(EVENTOS!$D$15,$A125-$A$15,0)),
                OFFSET($F$15,$A125,0)))</f>
        <v>Instalações elétricas</v>
      </c>
      <c r="O125" s="168"/>
      <c r="Q125" s="168"/>
      <c r="R125" s="169"/>
      <c r="S125" s="169"/>
      <c r="T125" s="169"/>
      <c r="U125" s="169"/>
      <c r="V125" s="169">
        <v>200</v>
      </c>
      <c r="W125" s="169"/>
      <c r="X125" s="169"/>
      <c r="Y125" s="169"/>
      <c r="Z125" s="170"/>
      <c r="AA125" s="705"/>
      <c r="AB125" s="705"/>
      <c r="AC125" s="705"/>
      <c r="AD125" s="705"/>
      <c r="AE125" s="705"/>
      <c r="AF125" s="705"/>
      <c r="AG125" s="705"/>
      <c r="AH125" s="706"/>
      <c r="AJ125" s="453">
        <f ca="1">IF(AND($D125="Serviço",AJ$12&lt;&gt;0,$H125&gt;0,OR(AUTOEVENTO&lt;&gt;"manual",$M125&lt;&gt;$A$15)),
        IF(Import.TipoArredondamento&lt;&gt;"TransfereGOV",
              ROUND(OFFSET($P125,0,AJ$13),15-13*ORÇAMENTO!$AF$7)/$H125*OFFSET(ORÇAMENTO!$X$15,ROW(AJ125)-ROW(AJ$15),0),
              ROUND(ROUND(OFFSET($P125,0,AJ$13),15-13*ORÇAMENTO!$AF$7)*OFFSET(ORÇAMENTO!$W$15,ROW(AJ125)-ROW(AJ$15),0),15-13*ORÇAMENTO!$AF$11)),
         0)</f>
        <v>0</v>
      </c>
      <c r="AK125" s="453">
        <f ca="1">IF(AND($D125="Serviço",AK$12&lt;&gt;0,$H125&gt;0,OR(AUTOEVENTO&lt;&gt;"manual",$M125&lt;&gt;$A$15)),
        IF(Import.TipoArredondamento&lt;&gt;"TransfereGOV",
              ROUND(OFFSET($P125,0,AK$13),15-13*ORÇAMENTO!$AF$7)/$H125*OFFSET(ORÇAMENTO!$X$15,ROW(AK125)-ROW(AK$15),0),
              ROUND(ROUND(OFFSET($P125,0,AK$13),15-13*ORÇAMENTO!$AF$7)*OFFSET(ORÇAMENTO!$W$15,ROW(AK125)-ROW(AK$15),0),15-13*ORÇAMENTO!$AF$11)),
         0)</f>
        <v>0</v>
      </c>
      <c r="AL125" s="453">
        <f ca="1">IF(AND($D125="Serviço",AL$12&lt;&gt;0,$H125&gt;0,OR(AUTOEVENTO&lt;&gt;"manual",$M125&lt;&gt;$A$15)),
        IF(Import.TipoArredondamento&lt;&gt;"TransfereGOV",
              ROUND(OFFSET($P125,0,AL$13),15-13*ORÇAMENTO!$AF$7)/$H125*OFFSET(ORÇAMENTO!$X$15,ROW(AL125)-ROW(AL$15),0),
              ROUND(ROUND(OFFSET($P125,0,AL$13),15-13*ORÇAMENTO!$AF$7)*OFFSET(ORÇAMENTO!$W$15,ROW(AL125)-ROW(AL$15),0),15-13*ORÇAMENTO!$AF$11)),
         0)</f>
        <v>0</v>
      </c>
      <c r="AM125" s="453">
        <f ca="1">IF(AND($D125="Serviço",AM$12&lt;&gt;0,$H125&gt;0,OR(AUTOEVENTO&lt;&gt;"manual",$M125&lt;&gt;$A$15)),
        IF(Import.TipoArredondamento&lt;&gt;"TransfereGOV",
              ROUND(OFFSET($P125,0,AM$13),15-13*ORÇAMENTO!$AF$7)/$H125*OFFSET(ORÇAMENTO!$X$15,ROW(AM125)-ROW(AM$15),0),
              ROUND(ROUND(OFFSET($P125,0,AM$13),15-13*ORÇAMENTO!$AF$7)*OFFSET(ORÇAMENTO!$W$15,ROW(AM125)-ROW(AM$15),0),15-13*ORÇAMENTO!$AF$11)),
         0)</f>
        <v>0</v>
      </c>
      <c r="AN125" s="453">
        <f ca="1">IF(AND($D125="Serviço",AN$12&lt;&gt;0,$H125&gt;0,OR(AUTOEVENTO&lt;&gt;"manual",$M125&lt;&gt;$A$15)),
        IF(Import.TipoArredondamento&lt;&gt;"TransfereGOV",
              ROUND(OFFSET($P125,0,AN$13),15-13*ORÇAMENTO!$AF$7)/$H125*OFFSET(ORÇAMENTO!$X$15,ROW(AN125)-ROW(AN$15),0),
              ROUND(ROUND(OFFSET($P125,0,AN$13),15-13*ORÇAMENTO!$AF$7)*OFFSET(ORÇAMENTO!$W$15,ROW(AN125)-ROW(AN$15),0),15-13*ORÇAMENTO!$AF$11)),
         0)</f>
        <v>0</v>
      </c>
      <c r="AO125" s="453">
        <f ca="1">IF(AND($D125="Serviço",AO$12&lt;&gt;0,$H125&gt;0,OR(AUTOEVENTO&lt;&gt;"manual",$M125&lt;&gt;$A$15)),
        IF(Import.TipoArredondamento&lt;&gt;"TransfereGOV",
              ROUND(OFFSET($P125,0,AO$13),15-13*ORÇAMENTO!$AF$7)/$H125*OFFSET(ORÇAMENTO!$X$15,ROW(AO125)-ROW(AO$15),0),
              ROUND(ROUND(OFFSET($P125,0,AO$13),15-13*ORÇAMENTO!$AF$7)*OFFSET(ORÇAMENTO!$W$15,ROW(AO125)-ROW(AO$15),0),15-13*ORÇAMENTO!$AF$11)),
         0)</f>
        <v>1352</v>
      </c>
      <c r="AP125" s="453">
        <f ca="1">IF(AND($D125="Serviço",AP$12&lt;&gt;0,$H125&gt;0,OR(AUTOEVENTO&lt;&gt;"manual",$M125&lt;&gt;$A$15)),
        IF(Import.TipoArredondamento&lt;&gt;"TransfereGOV",
              ROUND(OFFSET($P125,0,AP$13),15-13*ORÇAMENTO!$AF$7)/$H125*OFFSET(ORÇAMENTO!$X$15,ROW(AP125)-ROW(AP$15),0),
              ROUND(ROUND(OFFSET($P125,0,AP$13),15-13*ORÇAMENTO!$AF$7)*OFFSET(ORÇAMENTO!$W$15,ROW(AP125)-ROW(AP$15),0),15-13*ORÇAMENTO!$AF$11)),
         0)</f>
        <v>0</v>
      </c>
      <c r="AQ125" s="453">
        <f ca="1">IF(AND($D125="Serviço",AQ$12&lt;&gt;0,$H125&gt;0,OR(AUTOEVENTO&lt;&gt;"manual",$M125&lt;&gt;$A$15)),
        IF(Import.TipoArredondamento&lt;&gt;"TransfereGOV",
              ROUND(OFFSET($P125,0,AQ$13),15-13*ORÇAMENTO!$AF$7)/$H125*OFFSET(ORÇAMENTO!$X$15,ROW(AQ125)-ROW(AQ$15),0),
              ROUND(ROUND(OFFSET($P125,0,AQ$13),15-13*ORÇAMENTO!$AF$7)*OFFSET(ORÇAMENTO!$W$15,ROW(AQ125)-ROW(AQ$15),0),15-13*ORÇAMENTO!$AF$11)),
         0)</f>
        <v>0</v>
      </c>
      <c r="AR125" s="453">
        <f ca="1">IF(AND($D125="Serviço",AR$12&lt;&gt;0,$H125&gt;0,OR(AUTOEVENTO&lt;&gt;"manual",$M125&lt;&gt;$A$15)),
        IF(Import.TipoArredondamento&lt;&gt;"TransfereGOV",
              ROUND(OFFSET($P125,0,AR$13),15-13*ORÇAMENTO!$AF$7)/$H125*OFFSET(ORÇAMENTO!$X$15,ROW(AR125)-ROW(AR$15),0),
              ROUND(ROUND(OFFSET($P125,0,AR$13),15-13*ORÇAMENTO!$AF$7)*OFFSET(ORÇAMENTO!$W$15,ROW(AR125)-ROW(AR$15),0),15-13*ORÇAMENTO!$AF$11)),
         0)</f>
        <v>0</v>
      </c>
      <c r="AS125" s="453">
        <f ca="1">IF(AND($D125="Serviço",AS$12&lt;&gt;0,$H125&gt;0,OR(AUTOEVENTO&lt;&gt;"manual",$M125&lt;&gt;$A$15)),
        IF(Import.TipoArredondamento&lt;&gt;"TransfereGOV",
              ROUND(OFFSET($P125,0,AS$13),15-13*ORÇAMENTO!$AF$7)/$H125*OFFSET(ORÇAMENTO!$X$15,ROW(AS125)-ROW(AS$15),0),
              ROUND(ROUND(OFFSET($P125,0,AS$13),15-13*ORÇAMENTO!$AF$7)*OFFSET(ORÇAMENTO!$W$15,ROW(AS125)-ROW(AS$15),0),15-13*ORÇAMENTO!$AF$11)),
         0)</f>
        <v>0</v>
      </c>
      <c r="AT125" s="453">
        <f ca="1">IF(AND($D125="Serviço",AT$12&lt;&gt;0,$H125&gt;0,OR(AUTOEVENTO&lt;&gt;"manual",$M125&lt;&gt;$A$15)),
        IF(Import.TipoArredondamento&lt;&gt;"TransfereGOV",
              ROUND(OFFSET($P125,0,AT$13),15-13*ORÇAMENTO!$AF$7)/$H125*OFFSET(ORÇAMENTO!$X$15,ROW(AT125)-ROW(AT$15),0),
              ROUND(ROUND(OFFSET($P125,0,AT$13),15-13*ORÇAMENTO!$AF$7)*OFFSET(ORÇAMENTO!$W$15,ROW(AT125)-ROW(AT$15),0),15-13*ORÇAMENTO!$AF$11)),
         0)</f>
        <v>0</v>
      </c>
      <c r="AU125" s="453">
        <f ca="1">IF(AND($D125="Serviço",AU$12&lt;&gt;0,$H125&gt;0,OR(AUTOEVENTO&lt;&gt;"manual",$M125&lt;&gt;$A$15)),
        IF(Import.TipoArredondamento&lt;&gt;"TransfereGOV",
              ROUND(OFFSET($P125,0,AU$13),15-13*ORÇAMENTO!$AF$7)/$H125*OFFSET(ORÇAMENTO!$X$15,ROW(AU125)-ROW(AU$15),0),
              ROUND(ROUND(OFFSET($P125,0,AU$13),15-13*ORÇAMENTO!$AF$7)*OFFSET(ORÇAMENTO!$W$15,ROW(AU125)-ROW(AU$15),0),15-13*ORÇAMENTO!$AF$11)),
         0)</f>
        <v>0</v>
      </c>
      <c r="AV125" s="453">
        <f ca="1">IF(AND($D125="Serviço",AV$12&lt;&gt;0,$H125&gt;0,OR(AUTOEVENTO&lt;&gt;"manual",$M125&lt;&gt;$A$15)),
        IF(Import.TipoArredondamento&lt;&gt;"TransfereGOV",
              ROUND(OFFSET($P125,0,AV$13),15-13*ORÇAMENTO!$AF$7)/$H125*OFFSET(ORÇAMENTO!$X$15,ROW(AV125)-ROW(AV$15),0),
              ROUND(ROUND(OFFSET($P125,0,AV$13),15-13*ORÇAMENTO!$AF$7)*OFFSET(ORÇAMENTO!$W$15,ROW(AV125)-ROW(AV$15),0),15-13*ORÇAMENTO!$AF$11)),
         0)</f>
        <v>0</v>
      </c>
      <c r="AW125" s="453">
        <f ca="1">IF(AND($D125="Serviço",AW$12&lt;&gt;0,$H125&gt;0,OR(AUTOEVENTO&lt;&gt;"manual",$M125&lt;&gt;$A$15)),
        IF(Import.TipoArredondamento&lt;&gt;"TransfereGOV",
              ROUND(OFFSET($P125,0,AW$13),15-13*ORÇAMENTO!$AF$7)/$H125*OFFSET(ORÇAMENTO!$X$15,ROW(AW125)-ROW(AW$15),0),
              ROUND(ROUND(OFFSET($P125,0,AW$13),15-13*ORÇAMENTO!$AF$7)*OFFSET(ORÇAMENTO!$W$15,ROW(AW125)-ROW(AW$15),0),15-13*ORÇAMENTO!$AF$11)),
         0)</f>
        <v>0</v>
      </c>
      <c r="AX125" s="453">
        <f ca="1">IF(AND($D125="Serviço",AX$12&lt;&gt;0,$H125&gt;0,OR(AUTOEVENTO&lt;&gt;"manual",$M125&lt;&gt;$A$15)),
        IF(Import.TipoArredondamento&lt;&gt;"TransfereGOV",
              ROUND(OFFSET($P125,0,AX$13),15-13*ORÇAMENTO!$AF$7)/$H125*OFFSET(ORÇAMENTO!$X$15,ROW(AX125)-ROW(AX$15),0),
              ROUND(ROUND(OFFSET($P125,0,AX$13),15-13*ORÇAMENTO!$AF$7)*OFFSET(ORÇAMENTO!$W$15,ROW(AX125)-ROW(AX$15),0),15-13*ORÇAMENTO!$AF$11)),
         0)</f>
        <v>0</v>
      </c>
      <c r="AY125" s="453">
        <f ca="1">IF(AND($D125="Serviço",AY$12&lt;&gt;0,$H125&gt;0,OR(AUTOEVENTO&lt;&gt;"manual",$M125&lt;&gt;$A$15)),
        IF(Import.TipoArredondamento&lt;&gt;"TransfereGOV",
              ROUND(OFFSET($P125,0,AY$13),15-13*ORÇAMENTO!$AF$7)/$H125*OFFSET(ORÇAMENTO!$X$15,ROW(AY125)-ROW(AY$15),0),
              ROUND(ROUND(OFFSET($P125,0,AY$13),15-13*ORÇAMENTO!$AF$7)*OFFSET(ORÇAMENTO!$W$15,ROW(AY125)-ROW(AY$15),0),15-13*ORÇAMENTO!$AF$11)),
         0)</f>
        <v>0</v>
      </c>
      <c r="AZ125" s="453">
        <f ca="1">IF(AND($D125="Serviço",AZ$12&lt;&gt;0,$H125&gt;0,OR(AUTOEVENTO&lt;&gt;"manual",$M125&lt;&gt;$A$15)),
        IF(Import.TipoArredondamento&lt;&gt;"TransfereGOV",
              ROUND(OFFSET($P125,0,AZ$13),15-13*ORÇAMENTO!$AF$7)/$H125*OFFSET(ORÇAMENTO!$X$15,ROW(AZ125)-ROW(AZ$15),0),
              ROUND(ROUND(OFFSET($P125,0,AZ$13),15-13*ORÇAMENTO!$AF$7)*OFFSET(ORÇAMENTO!$W$15,ROW(AZ125)-ROW(AZ$15),0),15-13*ORÇAMENTO!$AF$11)),
         0)</f>
        <v>0</v>
      </c>
      <c r="BA125" s="453">
        <f ca="1">IF(AND($D125="Serviço",BA$12&lt;&gt;0,$H125&gt;0,OR(AUTOEVENTO&lt;&gt;"manual",$M125&lt;&gt;$A$15)),
        IF(Import.TipoArredondamento&lt;&gt;"TransfereGOV",
              ROUND(OFFSET($P125,0,BA$13),15-13*ORÇAMENTO!$AF$7)/$H125*OFFSET(ORÇAMENTO!$X$15,ROW(BA125)-ROW(BA$15),0),
              ROUND(ROUND(OFFSET($P125,0,BA$13),15-13*ORÇAMENTO!$AF$7)*OFFSET(ORÇAMENTO!$W$15,ROW(BA125)-ROW(BA$15),0),15-13*ORÇAMENTO!$AF$11)),
         0)</f>
        <v>0</v>
      </c>
      <c r="BC125" s="171">
        <f ca="1">IF(OR($D125&lt;&gt;"Serviço",AND(AUTOEVENTO="Manual",$M125=$A$15)),0,
         IF(OFFSET(CRONOPLE!$F$15,$M125-$A$15,BC$13)=0,10^12,OFFSET(CRONOPLE!$F$15,$M125-$A$15,BC$13)))</f>
        <v>1000000000000</v>
      </c>
      <c r="BD125" s="171">
        <f ca="1">IF(OR($D125&lt;&gt;"Serviço",AND(AUTOEVENTO="Manual",$M125=$A$15)),0,
         IF(OFFSET(CRONOPLE!$F$15,$M125-$A$15,BD$13)=0,10^12,OFFSET(CRONOPLE!$F$15,$M125-$A$15,BD$13)))</f>
        <v>1000000000000</v>
      </c>
      <c r="BE125" s="171">
        <f ca="1">IF(OR($D125&lt;&gt;"Serviço",AND(AUTOEVENTO="Manual",$M125=$A$15)),0,
         IF(OFFSET(CRONOPLE!$F$15,$M125-$A$15,BE$13)=0,10^12,OFFSET(CRONOPLE!$F$15,$M125-$A$15,BE$13)))</f>
        <v>1000000000000</v>
      </c>
      <c r="BF125" s="171">
        <f ca="1">IF(OR($D125&lt;&gt;"Serviço",AND(AUTOEVENTO="Manual",$M125=$A$15)),0,
         IF(OFFSET(CRONOPLE!$F$15,$M125-$A$15,BF$13)=0,10^12,OFFSET(CRONOPLE!$F$15,$M125-$A$15,BF$13)))</f>
        <v>1000000000000</v>
      </c>
      <c r="BG125" s="171">
        <f ca="1">IF(OR($D125&lt;&gt;"Serviço",AND(AUTOEVENTO="Manual",$M125=$A$15)),0,
         IF(OFFSET(CRONOPLE!$F$15,$M125-$A$15,BG$13)=0,10^12,OFFSET(CRONOPLE!$F$15,$M125-$A$15,BG$13)))</f>
        <v>1000000000000</v>
      </c>
      <c r="BH125" s="171">
        <f ca="1">IF(OR($D125&lt;&gt;"Serviço",AND(AUTOEVENTO="Manual",$M125=$A$15)),0,
         IF(OFFSET(CRONOPLE!$F$15,$M125-$A$15,BH$13)=0,10^12,OFFSET(CRONOPLE!$F$15,$M125-$A$15,BH$13)))</f>
        <v>9</v>
      </c>
      <c r="BI125" s="171">
        <f ca="1">IF(OR($D125&lt;&gt;"Serviço",AND(AUTOEVENTO="Manual",$M125=$A$15)),0,
         IF(OFFSET(CRONOPLE!$F$15,$M125-$A$15,BI$13)=0,10^12,OFFSET(CRONOPLE!$F$15,$M125-$A$15,BI$13)))</f>
        <v>1000000000000</v>
      </c>
      <c r="BJ125" s="171">
        <f ca="1">IF(OR($D125&lt;&gt;"Serviço",AND(AUTOEVENTO="Manual",$M125=$A$15)),0,
         IF(OFFSET(CRONOPLE!$F$15,$M125-$A$15,BJ$13)=0,10^12,OFFSET(CRONOPLE!$F$15,$M125-$A$15,BJ$13)))</f>
        <v>1000000000000</v>
      </c>
      <c r="BK125" s="171">
        <f ca="1">IF(OR($D125&lt;&gt;"Serviço",AND(AUTOEVENTO="Manual",$M125=$A$15)),0,
         IF(OFFSET(CRONOPLE!$F$15,$M125-$A$15,BK$13)=0,10^12,OFFSET(CRONOPLE!$F$15,$M125-$A$15,BK$13)))</f>
        <v>1000000000000</v>
      </c>
      <c r="BL125" s="171">
        <f ca="1">IF(OR($D125&lt;&gt;"Serviço",AND(AUTOEVENTO="Manual",$M125=$A$15)),0,
         IF(OFFSET(CRONOPLE!$F$15,$M125-$A$15,BL$13)=0,10^12,OFFSET(CRONOPLE!$F$15,$M125-$A$15,BL$13)))</f>
        <v>1000000000000</v>
      </c>
      <c r="BM125" s="171">
        <f ca="1">IF(OR($D125&lt;&gt;"Serviço",AND(AUTOEVENTO="Manual",$M125=$A$15)),0,
         IF(OFFSET(CRONOPLE!$F$15,$M125-$A$15,BM$13)=0,10^12,OFFSET(CRONOPLE!$F$15,$M125-$A$15,BM$13)))</f>
        <v>1000000000000</v>
      </c>
      <c r="BN125" s="171">
        <f ca="1">IF(OR($D125&lt;&gt;"Serviço",AND(AUTOEVENTO="Manual",$M125=$A$15)),0,
         IF(OFFSET(CRONOPLE!$F$15,$M125-$A$15,BN$13)=0,10^12,OFFSET(CRONOPLE!$F$15,$M125-$A$15,BN$13)))</f>
        <v>1000000000000</v>
      </c>
      <c r="BO125" s="171">
        <f ca="1">IF(OR($D125&lt;&gt;"Serviço",AND(AUTOEVENTO="Manual",$M125=$A$15)),0,
         IF(OFFSET(CRONOPLE!$F$15,$M125-$A$15,BO$13)=0,10^12,OFFSET(CRONOPLE!$F$15,$M125-$A$15,BO$13)))</f>
        <v>1000000000000</v>
      </c>
      <c r="BP125" s="171">
        <f ca="1">IF(OR($D125&lt;&gt;"Serviço",AND(AUTOEVENTO="Manual",$M125=$A$15)),0,
         IF(OFFSET(CRONOPLE!$F$15,$M125-$A$15,BP$13)=0,10^12,OFFSET(CRONOPLE!$F$15,$M125-$A$15,BP$13)))</f>
        <v>1000000000000</v>
      </c>
      <c r="BQ125" s="171">
        <f ca="1">IF(OR($D125&lt;&gt;"Serviço",AND(AUTOEVENTO="Manual",$M125=$A$15)),0,
         IF(OFFSET(CRONOPLE!$F$15,$M125-$A$15,BQ$13)=0,10^12,OFFSET(CRONOPLE!$F$15,$M125-$A$15,BQ$13)))</f>
        <v>1000000000000</v>
      </c>
      <c r="BR125" s="171">
        <f ca="1">IF(OR($D125&lt;&gt;"Serviço",AND(AUTOEVENTO="Manual",$M125=$A$15)),0,
         IF(OFFSET(CRONOPLE!$F$15,$M125-$A$15,BR$13)=0,10^12,OFFSET(CRONOPLE!$F$15,$M125-$A$15,BR$13)))</f>
        <v>1000000000000</v>
      </c>
      <c r="BS125" s="171">
        <f ca="1">IF(OR($D125&lt;&gt;"Serviço",AND(AUTOEVENTO="Manual",$M125=$A$15)),0,
         IF(OFFSET(CRONOPLE!$F$15,$M125-$A$15,BS$13)=0,10^12,OFFSET(CRONOPLE!$F$15,$M125-$A$15,BS$13)))</f>
        <v>1000000000000</v>
      </c>
      <c r="BT125" s="171">
        <f ca="1">IF(OR($D125&lt;&gt;"Serviço",AND(AUTOEVENTO="Manual",$M125=$A$15)),0,
         IF(OFFSET(CRONOPLE!$F$15,$M125-$A$15,BT$13)=0,10^12,OFFSET(CRONOPLE!$F$15,$M125-$A$15,BT$13)))</f>
        <v>1000000000000</v>
      </c>
      <c r="BV125" s="172" cm="1">
        <f t="array" aca="1" ref="BV125" ca="1">IF(OR($D125&lt;&gt;"Serviço",AND(AUTOEVENTO="Manual",$M125=$A$15),$M125&gt;(ROW(PLE.lastrow)-ROW(PLE.firstrow))),0,
           IF(OFFSET(PLE!$G$15,$M125-$A$15,BV$13)="",10^12,OFFSET(PLE!$G$15,$M125-$A$15,BV$13)))</f>
        <v>1000000000000</v>
      </c>
      <c r="BW125" s="172" cm="1">
        <f t="array" aca="1" ref="BW125" ca="1">IF(OR($D125&lt;&gt;"Serviço",AND(AUTOEVENTO="Manual",$M125=$A$15),$M125&gt;(ROW(PLE.lastrow)-ROW(PLE.firstrow))),0,
           IF(OFFSET(PLE!$G$15,$M125-$A$15,BW$13)="",10^12,OFFSET(PLE!$G$15,$M125-$A$15,BW$13)))</f>
        <v>1000000000000</v>
      </c>
      <c r="BX125" s="172" cm="1">
        <f t="array" aca="1" ref="BX125" ca="1">IF(OR($D125&lt;&gt;"Serviço",AND(AUTOEVENTO="Manual",$M125=$A$15),$M125&gt;(ROW(PLE.lastrow)-ROW(PLE.firstrow))),0,
           IF(OFFSET(PLE!$G$15,$M125-$A$15,BX$13)="",10^12,OFFSET(PLE!$G$15,$M125-$A$15,BX$13)))</f>
        <v>1000000000000</v>
      </c>
      <c r="BY125" s="172" cm="1">
        <f t="array" aca="1" ref="BY125" ca="1">IF(OR($D125&lt;&gt;"Serviço",AND(AUTOEVENTO="Manual",$M125=$A$15),$M125&gt;(ROW(PLE.lastrow)-ROW(PLE.firstrow))),0,
           IF(OFFSET(PLE!$G$15,$M125-$A$15,BY$13)="",10^12,OFFSET(PLE!$G$15,$M125-$A$15,BY$13)))</f>
        <v>1000000000000</v>
      </c>
      <c r="BZ125" s="172" cm="1">
        <f t="array" aca="1" ref="BZ125" ca="1">IF(OR($D125&lt;&gt;"Serviço",AND(AUTOEVENTO="Manual",$M125=$A$15),$M125&gt;(ROW(PLE.lastrow)-ROW(PLE.firstrow))),0,
           IF(OFFSET(PLE!$G$15,$M125-$A$15,BZ$13)="",10^12,OFFSET(PLE!$G$15,$M125-$A$15,BZ$13)))</f>
        <v>1000000000000</v>
      </c>
      <c r="CA125" s="172" cm="1">
        <f t="array" aca="1" ref="CA125" ca="1">IF(OR($D125&lt;&gt;"Serviço",AND(AUTOEVENTO="Manual",$M125=$A$15),$M125&gt;(ROW(PLE.lastrow)-ROW(PLE.firstrow))),0,
           IF(OFFSET(PLE!$G$15,$M125-$A$15,CA$13)="",10^12,OFFSET(PLE!$G$15,$M125-$A$15,CA$13)))</f>
        <v>1000000000000</v>
      </c>
      <c r="CB125" s="172" cm="1">
        <f t="array" aca="1" ref="CB125" ca="1">IF(OR($D125&lt;&gt;"Serviço",AND(AUTOEVENTO="Manual",$M125=$A$15),$M125&gt;(ROW(PLE.lastrow)-ROW(PLE.firstrow))),0,
           IF(OFFSET(PLE!$G$15,$M125-$A$15,CB$13)="",10^12,OFFSET(PLE!$G$15,$M125-$A$15,CB$13)))</f>
        <v>1000000000000</v>
      </c>
      <c r="CC125" s="172" cm="1">
        <f t="array" aca="1" ref="CC125" ca="1">IF(OR($D125&lt;&gt;"Serviço",AND(AUTOEVENTO="Manual",$M125=$A$15),$M125&gt;(ROW(PLE.lastrow)-ROW(PLE.firstrow))),0,
           IF(OFFSET(PLE!$G$15,$M125-$A$15,CC$13)="",10^12,OFFSET(PLE!$G$15,$M125-$A$15,CC$13)))</f>
        <v>1000000000000</v>
      </c>
      <c r="CD125" s="172" cm="1">
        <f t="array" aca="1" ref="CD125" ca="1">IF(OR($D125&lt;&gt;"Serviço",AND(AUTOEVENTO="Manual",$M125=$A$15),$M125&gt;(ROW(PLE.lastrow)-ROW(PLE.firstrow))),0,
           IF(OFFSET(PLE!$G$15,$M125-$A$15,CD$13)="",10^12,OFFSET(PLE!$G$15,$M125-$A$15,CD$13)))</f>
        <v>1000000000000</v>
      </c>
      <c r="CE125" s="172" cm="1">
        <f t="array" aca="1" ref="CE125" ca="1">IF(OR($D125&lt;&gt;"Serviço",AND(AUTOEVENTO="Manual",$M125=$A$15),$M125&gt;(ROW(PLE.lastrow)-ROW(PLE.firstrow))),0,
           IF(OFFSET(PLE!$G$15,$M125-$A$15,CE$13)="",10^12,OFFSET(PLE!$G$15,$M125-$A$15,CE$13)))</f>
        <v>1000000000000</v>
      </c>
      <c r="CF125" s="172" cm="1">
        <f t="array" aca="1" ref="CF125" ca="1">IF(OR($D125&lt;&gt;"Serviço",AND(AUTOEVENTO="Manual",$M125=$A$15),$M125&gt;(ROW(PLE.lastrow)-ROW(PLE.firstrow))),0,
           IF(OFFSET(PLE!$G$15,$M125-$A$15,CF$13)="",10^12,OFFSET(PLE!$G$15,$M125-$A$15,CF$13)))</f>
        <v>1000000000000</v>
      </c>
      <c r="CG125" s="172" cm="1">
        <f t="array" aca="1" ref="CG125" ca="1">IF(OR($D125&lt;&gt;"Serviço",AND(AUTOEVENTO="Manual",$M125=$A$15),$M125&gt;(ROW(PLE.lastrow)-ROW(PLE.firstrow))),0,
           IF(OFFSET(PLE!$G$15,$M125-$A$15,CG$13)="",10^12,OFFSET(PLE!$G$15,$M125-$A$15,CG$13)))</f>
        <v>1000000000000</v>
      </c>
      <c r="CH125" s="172" cm="1">
        <f t="array" aca="1" ref="CH125" ca="1">IF(OR($D125&lt;&gt;"Serviço",AND(AUTOEVENTO="Manual",$M125=$A$15),$M125&gt;(ROW(PLE.lastrow)-ROW(PLE.firstrow))),0,
           IF(OFFSET(PLE!$G$15,$M125-$A$15,CH$13)="",10^12,OFFSET(PLE!$G$15,$M125-$A$15,CH$13)))</f>
        <v>1000000000000</v>
      </c>
      <c r="CI125" s="172" cm="1">
        <f t="array" aca="1" ref="CI125" ca="1">IF(OR($D125&lt;&gt;"Serviço",AND(AUTOEVENTO="Manual",$M125=$A$15),$M125&gt;(ROW(PLE.lastrow)-ROW(PLE.firstrow))),0,
           IF(OFFSET(PLE!$G$15,$M125-$A$15,CI$13)="",10^12,OFFSET(PLE!$G$15,$M125-$A$15,CI$13)))</f>
        <v>1000000000000</v>
      </c>
      <c r="CJ125" s="172" cm="1">
        <f t="array" aca="1" ref="CJ125" ca="1">IF(OR($D125&lt;&gt;"Serviço",AND(AUTOEVENTO="Manual",$M125=$A$15),$M125&gt;(ROW(PLE.lastrow)-ROW(PLE.firstrow))),0,
           IF(OFFSET(PLE!$G$15,$M125-$A$15,CJ$13)="",10^12,OFFSET(PLE!$G$15,$M125-$A$15,CJ$13)))</f>
        <v>1000000000000</v>
      </c>
      <c r="CK125" s="172" cm="1">
        <f t="array" aca="1" ref="CK125" ca="1">IF(OR($D125&lt;&gt;"Serviço",AND(AUTOEVENTO="Manual",$M125=$A$15),$M125&gt;(ROW(PLE.lastrow)-ROW(PLE.firstrow))),0,
           IF(OFFSET(PLE!$G$15,$M125-$A$15,CK$13)="",10^12,OFFSET(PLE!$G$15,$M125-$A$15,CK$13)))</f>
        <v>1000000000000</v>
      </c>
      <c r="CL125" s="172" cm="1">
        <f t="array" aca="1" ref="CL125" ca="1">IF(OR($D125&lt;&gt;"Serviço",AND(AUTOEVENTO="Manual",$M125=$A$15),$M125&gt;(ROW(PLE.lastrow)-ROW(PLE.firstrow))),0,
           IF(OFFSET(PLE!$G$15,$M125-$A$15,CL$13)="",10^12,OFFSET(PLE!$G$15,$M125-$A$15,CL$13)))</f>
        <v>1000000000000</v>
      </c>
      <c r="CM125" s="172" cm="1">
        <f t="array" aca="1" ref="CM125" ca="1">IF(OR($D125&lt;&gt;"Serviço",AND(AUTOEVENTO="Manual",$M125=$A$15),$M125&gt;(ROW(PLE.lastrow)-ROW(PLE.firstrow))),0,
           IF(OFFSET(PLE!$G$15,$M125-$A$15,CM$13)="",10^12,OFFSET(PLE!$G$15,$M125-$A$15,CM$13)))</f>
        <v>1000000000000</v>
      </c>
    </row>
    <row r="126" spans="1:91" s="670" customFormat="1" ht="38.25" x14ac:dyDescent="0.2">
      <c r="A126" s="668">
        <f t="shared" ca="1" si="12"/>
        <v>25</v>
      </c>
      <c r="B126" s="668" t="str">
        <f ca="1">OFFSET(ORÇAMENTO!C$15,$L126,0)</f>
        <v>S</v>
      </c>
      <c r="C126" s="668" t="str">
        <f ca="1">OFFSET(ORÇAMENTO!L$15,$L126,0)</f>
        <v>F</v>
      </c>
      <c r="D126" s="116" t="str">
        <f ca="1">OFFSET(ORÇAMENTO!N$15,$L126,0)</f>
        <v>Serviço</v>
      </c>
      <c r="E126" s="117" t="str">
        <f ca="1">OFFSET(ORÇAMENTO!O$15,$L126,0)</f>
        <v>1.17.12.</v>
      </c>
      <c r="F126" s="163" t="str">
        <f ca="1">OFFSET(ORÇAMENTO!R$15,$L126,0)</f>
        <v>CABO DE COBRE FLEXÍVEL ISOLADO, 10 MM², 0,6/1,0 KV, PARA REDE AÉREA DE DISTRIBUIÇÃO DE ENERGIA ELÉTRICA DE BAIXA TENSÃO - FORNECIMENTO E INSTALAÇÃO. AF_12/2025</v>
      </c>
      <c r="G126" s="164" t="str">
        <f ca="1">IF($D126&lt;&gt;"Serviço","",OFFSET(ORÇAMENTO!S$15,$L126,0))</f>
        <v>M</v>
      </c>
      <c r="H126" s="122" cm="1">
        <f t="array" aca="1" ref="H126" ca="1">IF($D126&lt;&gt;"Serviço",0,IF(ACOMPANHAMENTO="BM",ROUND(OFFSET(ORÇAMENTO!AJ$15,$L126,0),15-13*ORÇAMENTO!$AF$7),IF(IFERROR(CÁLCULO.FrentesPreenchidas,0)=0,0,SUM(ROUND(OFFSET($P126,0,1,1,CÁLCULO.FrentesPreenchidas),15-13*ORÇAMENTO!$AF$7)))))</f>
        <v>52</v>
      </c>
      <c r="I126" s="468" t="s">
        <v>1182</v>
      </c>
      <c r="J126" s="651" t="str" cm="1">
        <f t="array" aca="1" ref="J126" ca="1">IF(OR(B126&lt;&gt;"S",CÁLCULO.FrentesPreenchidas=0),"",IF(AND(ACOMPANHAMENTO="PLE",AUTOEVENTO="Manual",OR(H126&gt;0,ORÇAMENTO!AC126="QUANT."),OR(K126="",M126=0,N126="")),"►E",IF(AND(ACOMPANHAMENTO="PLE",ORÇAMENTO!AC126="QUANT."),"►Q",IF(AND(ACOMPANHAMENTO="PLE",H126&lt;&gt;SUMPRODUCT(($Q$1:$AI$1=1)*ROUND(Q126:AI126,15))),"►S",IF(AND(COUNTIF($P$11:$AI$11,"▼")=0,H126&gt;0,I126=""),"◄M","")))))</f>
        <v/>
      </c>
      <c r="K126" s="652" t="s">
        <v>1359</v>
      </c>
      <c r="L126" s="165">
        <f t="shared" ca="1" si="13"/>
        <v>111</v>
      </c>
      <c r="M126" s="166">
        <f ca="1">IF($D126&lt;&gt;"Serviço","",
          IF(AUTOEVENTO="manual",$A126,
                IF(ISERROR(MATCH($A126,$A$15:OFFSET($A126,-1,0),0)),MAX($M$15:OFFSET(M126,-1,0))+1,
                      INDEX($M$15:OFFSET(M126,-1,0),MATCH($A126,$A$15:OFFSET($A126,-1,0),0)))))</f>
        <v>25</v>
      </c>
      <c r="N126" s="167" t="str">
        <f ca="1">IF($D126&lt;&gt;"Serviço","",
         IF(AUTOEVENTO="Manual",
                IF($A126=0,"&lt;-- defina o número do agrupador",
                       OFFSET(EVENTOS!$D$15,$A126-$A$15,0)),
                OFFSET($F$15,$A126,0)))</f>
        <v>Instalações elétricas</v>
      </c>
      <c r="O126" s="168"/>
      <c r="Q126" s="168"/>
      <c r="R126" s="169"/>
      <c r="S126" s="169"/>
      <c r="T126" s="169"/>
      <c r="U126" s="169"/>
      <c r="V126" s="169">
        <v>52</v>
      </c>
      <c r="W126" s="169"/>
      <c r="X126" s="169"/>
      <c r="Y126" s="169"/>
      <c r="Z126" s="170"/>
      <c r="AA126" s="705"/>
      <c r="AB126" s="705"/>
      <c r="AC126" s="705"/>
      <c r="AD126" s="705"/>
      <c r="AE126" s="705"/>
      <c r="AF126" s="705"/>
      <c r="AG126" s="705"/>
      <c r="AH126" s="706"/>
      <c r="AJ126" s="453">
        <f ca="1">IF(AND($D126="Serviço",AJ$12&lt;&gt;0,$H126&gt;0,OR(AUTOEVENTO&lt;&gt;"manual",$M126&lt;&gt;$A$15)),
        IF(Import.TipoArredondamento&lt;&gt;"TransfereGOV",
              ROUND(OFFSET($P126,0,AJ$13),15-13*ORÇAMENTO!$AF$7)/$H126*OFFSET(ORÇAMENTO!$X$15,ROW(AJ126)-ROW(AJ$15),0),
              ROUND(ROUND(OFFSET($P126,0,AJ$13),15-13*ORÇAMENTO!$AF$7)*OFFSET(ORÇAMENTO!$W$15,ROW(AJ126)-ROW(AJ$15),0),15-13*ORÇAMENTO!$AF$11)),
         0)</f>
        <v>0</v>
      </c>
      <c r="AK126" s="453">
        <f ca="1">IF(AND($D126="Serviço",AK$12&lt;&gt;0,$H126&gt;0,OR(AUTOEVENTO&lt;&gt;"manual",$M126&lt;&gt;$A$15)),
        IF(Import.TipoArredondamento&lt;&gt;"TransfereGOV",
              ROUND(OFFSET($P126,0,AK$13),15-13*ORÇAMENTO!$AF$7)/$H126*OFFSET(ORÇAMENTO!$X$15,ROW(AK126)-ROW(AK$15),0),
              ROUND(ROUND(OFFSET($P126,0,AK$13),15-13*ORÇAMENTO!$AF$7)*OFFSET(ORÇAMENTO!$W$15,ROW(AK126)-ROW(AK$15),0),15-13*ORÇAMENTO!$AF$11)),
         0)</f>
        <v>0</v>
      </c>
      <c r="AL126" s="453">
        <f ca="1">IF(AND($D126="Serviço",AL$12&lt;&gt;0,$H126&gt;0,OR(AUTOEVENTO&lt;&gt;"manual",$M126&lt;&gt;$A$15)),
        IF(Import.TipoArredondamento&lt;&gt;"TransfereGOV",
              ROUND(OFFSET($P126,0,AL$13),15-13*ORÇAMENTO!$AF$7)/$H126*OFFSET(ORÇAMENTO!$X$15,ROW(AL126)-ROW(AL$15),0),
              ROUND(ROUND(OFFSET($P126,0,AL$13),15-13*ORÇAMENTO!$AF$7)*OFFSET(ORÇAMENTO!$W$15,ROW(AL126)-ROW(AL$15),0),15-13*ORÇAMENTO!$AF$11)),
         0)</f>
        <v>0</v>
      </c>
      <c r="AM126" s="453">
        <f ca="1">IF(AND($D126="Serviço",AM$12&lt;&gt;0,$H126&gt;0,OR(AUTOEVENTO&lt;&gt;"manual",$M126&lt;&gt;$A$15)),
        IF(Import.TipoArredondamento&lt;&gt;"TransfereGOV",
              ROUND(OFFSET($P126,0,AM$13),15-13*ORÇAMENTO!$AF$7)/$H126*OFFSET(ORÇAMENTO!$X$15,ROW(AM126)-ROW(AM$15),0),
              ROUND(ROUND(OFFSET($P126,0,AM$13),15-13*ORÇAMENTO!$AF$7)*OFFSET(ORÇAMENTO!$W$15,ROW(AM126)-ROW(AM$15),0),15-13*ORÇAMENTO!$AF$11)),
         0)</f>
        <v>0</v>
      </c>
      <c r="AN126" s="453">
        <f ca="1">IF(AND($D126="Serviço",AN$12&lt;&gt;0,$H126&gt;0,OR(AUTOEVENTO&lt;&gt;"manual",$M126&lt;&gt;$A$15)),
        IF(Import.TipoArredondamento&lt;&gt;"TransfereGOV",
              ROUND(OFFSET($P126,0,AN$13),15-13*ORÇAMENTO!$AF$7)/$H126*OFFSET(ORÇAMENTO!$X$15,ROW(AN126)-ROW(AN$15),0),
              ROUND(ROUND(OFFSET($P126,0,AN$13),15-13*ORÇAMENTO!$AF$7)*OFFSET(ORÇAMENTO!$W$15,ROW(AN126)-ROW(AN$15),0),15-13*ORÇAMENTO!$AF$11)),
         0)</f>
        <v>0</v>
      </c>
      <c r="AO126" s="453">
        <f ca="1">IF(AND($D126="Serviço",AO$12&lt;&gt;0,$H126&gt;0,OR(AUTOEVENTO&lt;&gt;"manual",$M126&lt;&gt;$A$15)),
        IF(Import.TipoArredondamento&lt;&gt;"TransfereGOV",
              ROUND(OFFSET($P126,0,AO$13),15-13*ORÇAMENTO!$AF$7)/$H126*OFFSET(ORÇAMENTO!$X$15,ROW(AO126)-ROW(AO$15),0),
              ROUND(ROUND(OFFSET($P126,0,AO$13),15-13*ORÇAMENTO!$AF$7)*OFFSET(ORÇAMENTO!$W$15,ROW(AO126)-ROW(AO$15),0),15-13*ORÇAMENTO!$AF$11)),
         0)</f>
        <v>722.28</v>
      </c>
      <c r="AP126" s="453">
        <f ca="1">IF(AND($D126="Serviço",AP$12&lt;&gt;0,$H126&gt;0,OR(AUTOEVENTO&lt;&gt;"manual",$M126&lt;&gt;$A$15)),
        IF(Import.TipoArredondamento&lt;&gt;"TransfereGOV",
              ROUND(OFFSET($P126,0,AP$13),15-13*ORÇAMENTO!$AF$7)/$H126*OFFSET(ORÇAMENTO!$X$15,ROW(AP126)-ROW(AP$15),0),
              ROUND(ROUND(OFFSET($P126,0,AP$13),15-13*ORÇAMENTO!$AF$7)*OFFSET(ORÇAMENTO!$W$15,ROW(AP126)-ROW(AP$15),0),15-13*ORÇAMENTO!$AF$11)),
         0)</f>
        <v>0</v>
      </c>
      <c r="AQ126" s="453">
        <f ca="1">IF(AND($D126="Serviço",AQ$12&lt;&gt;0,$H126&gt;0,OR(AUTOEVENTO&lt;&gt;"manual",$M126&lt;&gt;$A$15)),
        IF(Import.TipoArredondamento&lt;&gt;"TransfereGOV",
              ROUND(OFFSET($P126,0,AQ$13),15-13*ORÇAMENTO!$AF$7)/$H126*OFFSET(ORÇAMENTO!$X$15,ROW(AQ126)-ROW(AQ$15),0),
              ROUND(ROUND(OFFSET($P126,0,AQ$13),15-13*ORÇAMENTO!$AF$7)*OFFSET(ORÇAMENTO!$W$15,ROW(AQ126)-ROW(AQ$15),0),15-13*ORÇAMENTO!$AF$11)),
         0)</f>
        <v>0</v>
      </c>
      <c r="AR126" s="453">
        <f ca="1">IF(AND($D126="Serviço",AR$12&lt;&gt;0,$H126&gt;0,OR(AUTOEVENTO&lt;&gt;"manual",$M126&lt;&gt;$A$15)),
        IF(Import.TipoArredondamento&lt;&gt;"TransfereGOV",
              ROUND(OFFSET($P126,0,AR$13),15-13*ORÇAMENTO!$AF$7)/$H126*OFFSET(ORÇAMENTO!$X$15,ROW(AR126)-ROW(AR$15),0),
              ROUND(ROUND(OFFSET($P126,0,AR$13),15-13*ORÇAMENTO!$AF$7)*OFFSET(ORÇAMENTO!$W$15,ROW(AR126)-ROW(AR$15),0),15-13*ORÇAMENTO!$AF$11)),
         0)</f>
        <v>0</v>
      </c>
      <c r="AS126" s="453">
        <f ca="1">IF(AND($D126="Serviço",AS$12&lt;&gt;0,$H126&gt;0,OR(AUTOEVENTO&lt;&gt;"manual",$M126&lt;&gt;$A$15)),
        IF(Import.TipoArredondamento&lt;&gt;"TransfereGOV",
              ROUND(OFFSET($P126,0,AS$13),15-13*ORÇAMENTO!$AF$7)/$H126*OFFSET(ORÇAMENTO!$X$15,ROW(AS126)-ROW(AS$15),0),
              ROUND(ROUND(OFFSET($P126,0,AS$13),15-13*ORÇAMENTO!$AF$7)*OFFSET(ORÇAMENTO!$W$15,ROW(AS126)-ROW(AS$15),0),15-13*ORÇAMENTO!$AF$11)),
         0)</f>
        <v>0</v>
      </c>
      <c r="AT126" s="453">
        <f ca="1">IF(AND($D126="Serviço",AT$12&lt;&gt;0,$H126&gt;0,OR(AUTOEVENTO&lt;&gt;"manual",$M126&lt;&gt;$A$15)),
        IF(Import.TipoArredondamento&lt;&gt;"TransfereGOV",
              ROUND(OFFSET($P126,0,AT$13),15-13*ORÇAMENTO!$AF$7)/$H126*OFFSET(ORÇAMENTO!$X$15,ROW(AT126)-ROW(AT$15),0),
              ROUND(ROUND(OFFSET($P126,0,AT$13),15-13*ORÇAMENTO!$AF$7)*OFFSET(ORÇAMENTO!$W$15,ROW(AT126)-ROW(AT$15),0),15-13*ORÇAMENTO!$AF$11)),
         0)</f>
        <v>0</v>
      </c>
      <c r="AU126" s="453">
        <f ca="1">IF(AND($D126="Serviço",AU$12&lt;&gt;0,$H126&gt;0,OR(AUTOEVENTO&lt;&gt;"manual",$M126&lt;&gt;$A$15)),
        IF(Import.TipoArredondamento&lt;&gt;"TransfereGOV",
              ROUND(OFFSET($P126,0,AU$13),15-13*ORÇAMENTO!$AF$7)/$H126*OFFSET(ORÇAMENTO!$X$15,ROW(AU126)-ROW(AU$15),0),
              ROUND(ROUND(OFFSET($P126,0,AU$13),15-13*ORÇAMENTO!$AF$7)*OFFSET(ORÇAMENTO!$W$15,ROW(AU126)-ROW(AU$15),0),15-13*ORÇAMENTO!$AF$11)),
         0)</f>
        <v>0</v>
      </c>
      <c r="AV126" s="453">
        <f ca="1">IF(AND($D126="Serviço",AV$12&lt;&gt;0,$H126&gt;0,OR(AUTOEVENTO&lt;&gt;"manual",$M126&lt;&gt;$A$15)),
        IF(Import.TipoArredondamento&lt;&gt;"TransfereGOV",
              ROUND(OFFSET($P126,0,AV$13),15-13*ORÇAMENTO!$AF$7)/$H126*OFFSET(ORÇAMENTO!$X$15,ROW(AV126)-ROW(AV$15),0),
              ROUND(ROUND(OFFSET($P126,0,AV$13),15-13*ORÇAMENTO!$AF$7)*OFFSET(ORÇAMENTO!$W$15,ROW(AV126)-ROW(AV$15),0),15-13*ORÇAMENTO!$AF$11)),
         0)</f>
        <v>0</v>
      </c>
      <c r="AW126" s="453">
        <f ca="1">IF(AND($D126="Serviço",AW$12&lt;&gt;0,$H126&gt;0,OR(AUTOEVENTO&lt;&gt;"manual",$M126&lt;&gt;$A$15)),
        IF(Import.TipoArredondamento&lt;&gt;"TransfereGOV",
              ROUND(OFFSET($P126,0,AW$13),15-13*ORÇAMENTO!$AF$7)/$H126*OFFSET(ORÇAMENTO!$X$15,ROW(AW126)-ROW(AW$15),0),
              ROUND(ROUND(OFFSET($P126,0,AW$13),15-13*ORÇAMENTO!$AF$7)*OFFSET(ORÇAMENTO!$W$15,ROW(AW126)-ROW(AW$15),0),15-13*ORÇAMENTO!$AF$11)),
         0)</f>
        <v>0</v>
      </c>
      <c r="AX126" s="453">
        <f ca="1">IF(AND($D126="Serviço",AX$12&lt;&gt;0,$H126&gt;0,OR(AUTOEVENTO&lt;&gt;"manual",$M126&lt;&gt;$A$15)),
        IF(Import.TipoArredondamento&lt;&gt;"TransfereGOV",
              ROUND(OFFSET($P126,0,AX$13),15-13*ORÇAMENTO!$AF$7)/$H126*OFFSET(ORÇAMENTO!$X$15,ROW(AX126)-ROW(AX$15),0),
              ROUND(ROUND(OFFSET($P126,0,AX$13),15-13*ORÇAMENTO!$AF$7)*OFFSET(ORÇAMENTO!$W$15,ROW(AX126)-ROW(AX$15),0),15-13*ORÇAMENTO!$AF$11)),
         0)</f>
        <v>0</v>
      </c>
      <c r="AY126" s="453">
        <f ca="1">IF(AND($D126="Serviço",AY$12&lt;&gt;0,$H126&gt;0,OR(AUTOEVENTO&lt;&gt;"manual",$M126&lt;&gt;$A$15)),
        IF(Import.TipoArredondamento&lt;&gt;"TransfereGOV",
              ROUND(OFFSET($P126,0,AY$13),15-13*ORÇAMENTO!$AF$7)/$H126*OFFSET(ORÇAMENTO!$X$15,ROW(AY126)-ROW(AY$15),0),
              ROUND(ROUND(OFFSET($P126,0,AY$13),15-13*ORÇAMENTO!$AF$7)*OFFSET(ORÇAMENTO!$W$15,ROW(AY126)-ROW(AY$15),0),15-13*ORÇAMENTO!$AF$11)),
         0)</f>
        <v>0</v>
      </c>
      <c r="AZ126" s="453">
        <f ca="1">IF(AND($D126="Serviço",AZ$12&lt;&gt;0,$H126&gt;0,OR(AUTOEVENTO&lt;&gt;"manual",$M126&lt;&gt;$A$15)),
        IF(Import.TipoArredondamento&lt;&gt;"TransfereGOV",
              ROUND(OFFSET($P126,0,AZ$13),15-13*ORÇAMENTO!$AF$7)/$H126*OFFSET(ORÇAMENTO!$X$15,ROW(AZ126)-ROW(AZ$15),0),
              ROUND(ROUND(OFFSET($P126,0,AZ$13),15-13*ORÇAMENTO!$AF$7)*OFFSET(ORÇAMENTO!$W$15,ROW(AZ126)-ROW(AZ$15),0),15-13*ORÇAMENTO!$AF$11)),
         0)</f>
        <v>0</v>
      </c>
      <c r="BA126" s="453">
        <f ca="1">IF(AND($D126="Serviço",BA$12&lt;&gt;0,$H126&gt;0,OR(AUTOEVENTO&lt;&gt;"manual",$M126&lt;&gt;$A$15)),
        IF(Import.TipoArredondamento&lt;&gt;"TransfereGOV",
              ROUND(OFFSET($P126,0,BA$13),15-13*ORÇAMENTO!$AF$7)/$H126*OFFSET(ORÇAMENTO!$X$15,ROW(BA126)-ROW(BA$15),0),
              ROUND(ROUND(OFFSET($P126,0,BA$13),15-13*ORÇAMENTO!$AF$7)*OFFSET(ORÇAMENTO!$W$15,ROW(BA126)-ROW(BA$15),0),15-13*ORÇAMENTO!$AF$11)),
         0)</f>
        <v>0</v>
      </c>
      <c r="BC126" s="171">
        <f ca="1">IF(OR($D126&lt;&gt;"Serviço",AND(AUTOEVENTO="Manual",$M126=$A$15)),0,
         IF(OFFSET(CRONOPLE!$F$15,$M126-$A$15,BC$13)=0,10^12,OFFSET(CRONOPLE!$F$15,$M126-$A$15,BC$13)))</f>
        <v>1000000000000</v>
      </c>
      <c r="BD126" s="171">
        <f ca="1">IF(OR($D126&lt;&gt;"Serviço",AND(AUTOEVENTO="Manual",$M126=$A$15)),0,
         IF(OFFSET(CRONOPLE!$F$15,$M126-$A$15,BD$13)=0,10^12,OFFSET(CRONOPLE!$F$15,$M126-$A$15,BD$13)))</f>
        <v>1000000000000</v>
      </c>
      <c r="BE126" s="171">
        <f ca="1">IF(OR($D126&lt;&gt;"Serviço",AND(AUTOEVENTO="Manual",$M126=$A$15)),0,
         IF(OFFSET(CRONOPLE!$F$15,$M126-$A$15,BE$13)=0,10^12,OFFSET(CRONOPLE!$F$15,$M126-$A$15,BE$13)))</f>
        <v>1000000000000</v>
      </c>
      <c r="BF126" s="171">
        <f ca="1">IF(OR($D126&lt;&gt;"Serviço",AND(AUTOEVENTO="Manual",$M126=$A$15)),0,
         IF(OFFSET(CRONOPLE!$F$15,$M126-$A$15,BF$13)=0,10^12,OFFSET(CRONOPLE!$F$15,$M126-$A$15,BF$13)))</f>
        <v>1000000000000</v>
      </c>
      <c r="BG126" s="171">
        <f ca="1">IF(OR($D126&lt;&gt;"Serviço",AND(AUTOEVENTO="Manual",$M126=$A$15)),0,
         IF(OFFSET(CRONOPLE!$F$15,$M126-$A$15,BG$13)=0,10^12,OFFSET(CRONOPLE!$F$15,$M126-$A$15,BG$13)))</f>
        <v>1000000000000</v>
      </c>
      <c r="BH126" s="171">
        <f ca="1">IF(OR($D126&lt;&gt;"Serviço",AND(AUTOEVENTO="Manual",$M126=$A$15)),0,
         IF(OFFSET(CRONOPLE!$F$15,$M126-$A$15,BH$13)=0,10^12,OFFSET(CRONOPLE!$F$15,$M126-$A$15,BH$13)))</f>
        <v>9</v>
      </c>
      <c r="BI126" s="171">
        <f ca="1">IF(OR($D126&lt;&gt;"Serviço",AND(AUTOEVENTO="Manual",$M126=$A$15)),0,
         IF(OFFSET(CRONOPLE!$F$15,$M126-$A$15,BI$13)=0,10^12,OFFSET(CRONOPLE!$F$15,$M126-$A$15,BI$13)))</f>
        <v>1000000000000</v>
      </c>
      <c r="BJ126" s="171">
        <f ca="1">IF(OR($D126&lt;&gt;"Serviço",AND(AUTOEVENTO="Manual",$M126=$A$15)),0,
         IF(OFFSET(CRONOPLE!$F$15,$M126-$A$15,BJ$13)=0,10^12,OFFSET(CRONOPLE!$F$15,$M126-$A$15,BJ$13)))</f>
        <v>1000000000000</v>
      </c>
      <c r="BK126" s="171">
        <f ca="1">IF(OR($D126&lt;&gt;"Serviço",AND(AUTOEVENTO="Manual",$M126=$A$15)),0,
         IF(OFFSET(CRONOPLE!$F$15,$M126-$A$15,BK$13)=0,10^12,OFFSET(CRONOPLE!$F$15,$M126-$A$15,BK$13)))</f>
        <v>1000000000000</v>
      </c>
      <c r="BL126" s="171">
        <f ca="1">IF(OR($D126&lt;&gt;"Serviço",AND(AUTOEVENTO="Manual",$M126=$A$15)),0,
         IF(OFFSET(CRONOPLE!$F$15,$M126-$A$15,BL$13)=0,10^12,OFFSET(CRONOPLE!$F$15,$M126-$A$15,BL$13)))</f>
        <v>1000000000000</v>
      </c>
      <c r="BM126" s="171">
        <f ca="1">IF(OR($D126&lt;&gt;"Serviço",AND(AUTOEVENTO="Manual",$M126=$A$15)),0,
         IF(OFFSET(CRONOPLE!$F$15,$M126-$A$15,BM$13)=0,10^12,OFFSET(CRONOPLE!$F$15,$M126-$A$15,BM$13)))</f>
        <v>1000000000000</v>
      </c>
      <c r="BN126" s="171">
        <f ca="1">IF(OR($D126&lt;&gt;"Serviço",AND(AUTOEVENTO="Manual",$M126=$A$15)),0,
         IF(OFFSET(CRONOPLE!$F$15,$M126-$A$15,BN$13)=0,10^12,OFFSET(CRONOPLE!$F$15,$M126-$A$15,BN$13)))</f>
        <v>1000000000000</v>
      </c>
      <c r="BO126" s="171">
        <f ca="1">IF(OR($D126&lt;&gt;"Serviço",AND(AUTOEVENTO="Manual",$M126=$A$15)),0,
         IF(OFFSET(CRONOPLE!$F$15,$M126-$A$15,BO$13)=0,10^12,OFFSET(CRONOPLE!$F$15,$M126-$A$15,BO$13)))</f>
        <v>1000000000000</v>
      </c>
      <c r="BP126" s="171">
        <f ca="1">IF(OR($D126&lt;&gt;"Serviço",AND(AUTOEVENTO="Manual",$M126=$A$15)),0,
         IF(OFFSET(CRONOPLE!$F$15,$M126-$A$15,BP$13)=0,10^12,OFFSET(CRONOPLE!$F$15,$M126-$A$15,BP$13)))</f>
        <v>1000000000000</v>
      </c>
      <c r="BQ126" s="171">
        <f ca="1">IF(OR($D126&lt;&gt;"Serviço",AND(AUTOEVENTO="Manual",$M126=$A$15)),0,
         IF(OFFSET(CRONOPLE!$F$15,$M126-$A$15,BQ$13)=0,10^12,OFFSET(CRONOPLE!$F$15,$M126-$A$15,BQ$13)))</f>
        <v>1000000000000</v>
      </c>
      <c r="BR126" s="171">
        <f ca="1">IF(OR($D126&lt;&gt;"Serviço",AND(AUTOEVENTO="Manual",$M126=$A$15)),0,
         IF(OFFSET(CRONOPLE!$F$15,$M126-$A$15,BR$13)=0,10^12,OFFSET(CRONOPLE!$F$15,$M126-$A$15,BR$13)))</f>
        <v>1000000000000</v>
      </c>
      <c r="BS126" s="171">
        <f ca="1">IF(OR($D126&lt;&gt;"Serviço",AND(AUTOEVENTO="Manual",$M126=$A$15)),0,
         IF(OFFSET(CRONOPLE!$F$15,$M126-$A$15,BS$13)=0,10^12,OFFSET(CRONOPLE!$F$15,$M126-$A$15,BS$13)))</f>
        <v>1000000000000</v>
      </c>
      <c r="BT126" s="171">
        <f ca="1">IF(OR($D126&lt;&gt;"Serviço",AND(AUTOEVENTO="Manual",$M126=$A$15)),0,
         IF(OFFSET(CRONOPLE!$F$15,$M126-$A$15,BT$13)=0,10^12,OFFSET(CRONOPLE!$F$15,$M126-$A$15,BT$13)))</f>
        <v>1000000000000</v>
      </c>
      <c r="BV126" s="172" cm="1">
        <f t="array" aca="1" ref="BV126" ca="1">IF(OR($D126&lt;&gt;"Serviço",AND(AUTOEVENTO="Manual",$M126=$A$15),$M126&gt;(ROW(PLE.lastrow)-ROW(PLE.firstrow))),0,
           IF(OFFSET(PLE!$G$15,$M126-$A$15,BV$13)="",10^12,OFFSET(PLE!$G$15,$M126-$A$15,BV$13)))</f>
        <v>1000000000000</v>
      </c>
      <c r="BW126" s="172" cm="1">
        <f t="array" aca="1" ref="BW126" ca="1">IF(OR($D126&lt;&gt;"Serviço",AND(AUTOEVENTO="Manual",$M126=$A$15),$M126&gt;(ROW(PLE.lastrow)-ROW(PLE.firstrow))),0,
           IF(OFFSET(PLE!$G$15,$M126-$A$15,BW$13)="",10^12,OFFSET(PLE!$G$15,$M126-$A$15,BW$13)))</f>
        <v>1000000000000</v>
      </c>
      <c r="BX126" s="172" cm="1">
        <f t="array" aca="1" ref="BX126" ca="1">IF(OR($D126&lt;&gt;"Serviço",AND(AUTOEVENTO="Manual",$M126=$A$15),$M126&gt;(ROW(PLE.lastrow)-ROW(PLE.firstrow))),0,
           IF(OFFSET(PLE!$G$15,$M126-$A$15,BX$13)="",10^12,OFFSET(PLE!$G$15,$M126-$A$15,BX$13)))</f>
        <v>1000000000000</v>
      </c>
      <c r="BY126" s="172" cm="1">
        <f t="array" aca="1" ref="BY126" ca="1">IF(OR($D126&lt;&gt;"Serviço",AND(AUTOEVENTO="Manual",$M126=$A$15),$M126&gt;(ROW(PLE.lastrow)-ROW(PLE.firstrow))),0,
           IF(OFFSET(PLE!$G$15,$M126-$A$15,BY$13)="",10^12,OFFSET(PLE!$G$15,$M126-$A$15,BY$13)))</f>
        <v>1000000000000</v>
      </c>
      <c r="BZ126" s="172" cm="1">
        <f t="array" aca="1" ref="BZ126" ca="1">IF(OR($D126&lt;&gt;"Serviço",AND(AUTOEVENTO="Manual",$M126=$A$15),$M126&gt;(ROW(PLE.lastrow)-ROW(PLE.firstrow))),0,
           IF(OFFSET(PLE!$G$15,$M126-$A$15,BZ$13)="",10^12,OFFSET(PLE!$G$15,$M126-$A$15,BZ$13)))</f>
        <v>1000000000000</v>
      </c>
      <c r="CA126" s="172" cm="1">
        <f t="array" aca="1" ref="CA126" ca="1">IF(OR($D126&lt;&gt;"Serviço",AND(AUTOEVENTO="Manual",$M126=$A$15),$M126&gt;(ROW(PLE.lastrow)-ROW(PLE.firstrow))),0,
           IF(OFFSET(PLE!$G$15,$M126-$A$15,CA$13)="",10^12,OFFSET(PLE!$G$15,$M126-$A$15,CA$13)))</f>
        <v>1000000000000</v>
      </c>
      <c r="CB126" s="172" cm="1">
        <f t="array" aca="1" ref="CB126" ca="1">IF(OR($D126&lt;&gt;"Serviço",AND(AUTOEVENTO="Manual",$M126=$A$15),$M126&gt;(ROW(PLE.lastrow)-ROW(PLE.firstrow))),0,
           IF(OFFSET(PLE!$G$15,$M126-$A$15,CB$13)="",10^12,OFFSET(PLE!$G$15,$M126-$A$15,CB$13)))</f>
        <v>1000000000000</v>
      </c>
      <c r="CC126" s="172" cm="1">
        <f t="array" aca="1" ref="CC126" ca="1">IF(OR($D126&lt;&gt;"Serviço",AND(AUTOEVENTO="Manual",$M126=$A$15),$M126&gt;(ROW(PLE.lastrow)-ROW(PLE.firstrow))),0,
           IF(OFFSET(PLE!$G$15,$M126-$A$15,CC$13)="",10^12,OFFSET(PLE!$G$15,$M126-$A$15,CC$13)))</f>
        <v>1000000000000</v>
      </c>
      <c r="CD126" s="172" cm="1">
        <f t="array" aca="1" ref="CD126" ca="1">IF(OR($D126&lt;&gt;"Serviço",AND(AUTOEVENTO="Manual",$M126=$A$15),$M126&gt;(ROW(PLE.lastrow)-ROW(PLE.firstrow))),0,
           IF(OFFSET(PLE!$G$15,$M126-$A$15,CD$13)="",10^12,OFFSET(PLE!$G$15,$M126-$A$15,CD$13)))</f>
        <v>1000000000000</v>
      </c>
      <c r="CE126" s="172" cm="1">
        <f t="array" aca="1" ref="CE126" ca="1">IF(OR($D126&lt;&gt;"Serviço",AND(AUTOEVENTO="Manual",$M126=$A$15),$M126&gt;(ROW(PLE.lastrow)-ROW(PLE.firstrow))),0,
           IF(OFFSET(PLE!$G$15,$M126-$A$15,CE$13)="",10^12,OFFSET(PLE!$G$15,$M126-$A$15,CE$13)))</f>
        <v>1000000000000</v>
      </c>
      <c r="CF126" s="172" cm="1">
        <f t="array" aca="1" ref="CF126" ca="1">IF(OR($D126&lt;&gt;"Serviço",AND(AUTOEVENTO="Manual",$M126=$A$15),$M126&gt;(ROW(PLE.lastrow)-ROW(PLE.firstrow))),0,
           IF(OFFSET(PLE!$G$15,$M126-$A$15,CF$13)="",10^12,OFFSET(PLE!$G$15,$M126-$A$15,CF$13)))</f>
        <v>1000000000000</v>
      </c>
      <c r="CG126" s="172" cm="1">
        <f t="array" aca="1" ref="CG126" ca="1">IF(OR($D126&lt;&gt;"Serviço",AND(AUTOEVENTO="Manual",$M126=$A$15),$M126&gt;(ROW(PLE.lastrow)-ROW(PLE.firstrow))),0,
           IF(OFFSET(PLE!$G$15,$M126-$A$15,CG$13)="",10^12,OFFSET(PLE!$G$15,$M126-$A$15,CG$13)))</f>
        <v>1000000000000</v>
      </c>
      <c r="CH126" s="172" cm="1">
        <f t="array" aca="1" ref="CH126" ca="1">IF(OR($D126&lt;&gt;"Serviço",AND(AUTOEVENTO="Manual",$M126=$A$15),$M126&gt;(ROW(PLE.lastrow)-ROW(PLE.firstrow))),0,
           IF(OFFSET(PLE!$G$15,$M126-$A$15,CH$13)="",10^12,OFFSET(PLE!$G$15,$M126-$A$15,CH$13)))</f>
        <v>1000000000000</v>
      </c>
      <c r="CI126" s="172" cm="1">
        <f t="array" aca="1" ref="CI126" ca="1">IF(OR($D126&lt;&gt;"Serviço",AND(AUTOEVENTO="Manual",$M126=$A$15),$M126&gt;(ROW(PLE.lastrow)-ROW(PLE.firstrow))),0,
           IF(OFFSET(PLE!$G$15,$M126-$A$15,CI$13)="",10^12,OFFSET(PLE!$G$15,$M126-$A$15,CI$13)))</f>
        <v>1000000000000</v>
      </c>
      <c r="CJ126" s="172" cm="1">
        <f t="array" aca="1" ref="CJ126" ca="1">IF(OR($D126&lt;&gt;"Serviço",AND(AUTOEVENTO="Manual",$M126=$A$15),$M126&gt;(ROW(PLE.lastrow)-ROW(PLE.firstrow))),0,
           IF(OFFSET(PLE!$G$15,$M126-$A$15,CJ$13)="",10^12,OFFSET(PLE!$G$15,$M126-$A$15,CJ$13)))</f>
        <v>1000000000000</v>
      </c>
      <c r="CK126" s="172" cm="1">
        <f t="array" aca="1" ref="CK126" ca="1">IF(OR($D126&lt;&gt;"Serviço",AND(AUTOEVENTO="Manual",$M126=$A$15),$M126&gt;(ROW(PLE.lastrow)-ROW(PLE.firstrow))),0,
           IF(OFFSET(PLE!$G$15,$M126-$A$15,CK$13)="",10^12,OFFSET(PLE!$G$15,$M126-$A$15,CK$13)))</f>
        <v>1000000000000</v>
      </c>
      <c r="CL126" s="172" cm="1">
        <f t="array" aca="1" ref="CL126" ca="1">IF(OR($D126&lt;&gt;"Serviço",AND(AUTOEVENTO="Manual",$M126=$A$15),$M126&gt;(ROW(PLE.lastrow)-ROW(PLE.firstrow))),0,
           IF(OFFSET(PLE!$G$15,$M126-$A$15,CL$13)="",10^12,OFFSET(PLE!$G$15,$M126-$A$15,CL$13)))</f>
        <v>1000000000000</v>
      </c>
      <c r="CM126" s="172" cm="1">
        <f t="array" aca="1" ref="CM126" ca="1">IF(OR($D126&lt;&gt;"Serviço",AND(AUTOEVENTO="Manual",$M126=$A$15),$M126&gt;(ROW(PLE.lastrow)-ROW(PLE.firstrow))),0,
           IF(OFFSET(PLE!$G$15,$M126-$A$15,CM$13)="",10^12,OFFSET(PLE!$G$15,$M126-$A$15,CM$13)))</f>
        <v>1000000000000</v>
      </c>
    </row>
    <row r="127" spans="1:91" s="670" customFormat="1" ht="38.25" x14ac:dyDescent="0.2">
      <c r="A127" s="668">
        <f t="shared" ca="1" si="12"/>
        <v>25</v>
      </c>
      <c r="B127" s="668" t="str">
        <f ca="1">OFFSET(ORÇAMENTO!C$15,$L127,0)</f>
        <v>S</v>
      </c>
      <c r="C127" s="668" t="str">
        <f ca="1">OFFSET(ORÇAMENTO!L$15,$L127,0)</f>
        <v>F</v>
      </c>
      <c r="D127" s="116" t="str">
        <f ca="1">OFFSET(ORÇAMENTO!N$15,$L127,0)</f>
        <v>Serviço</v>
      </c>
      <c r="E127" s="117" t="str">
        <f ca="1">OFFSET(ORÇAMENTO!O$15,$L127,0)</f>
        <v>1.17.13.</v>
      </c>
      <c r="F127" s="163" t="str">
        <f ca="1">OFFSET(ORÇAMENTO!R$15,$L127,0)</f>
        <v>CABO DE COBRE FLEXÍVEL ISOLADO, 16 MM², ANTI-CHAMA 0,6/1,0 KV, PARA CIRCUITOS TERMINAIS - FORNECIMENTO E INSTALAÇÃO. AF_03/2023</v>
      </c>
      <c r="G127" s="164" t="str">
        <f ca="1">IF($D127&lt;&gt;"Serviço","",OFFSET(ORÇAMENTO!S$15,$L127,0))</f>
        <v>M</v>
      </c>
      <c r="H127" s="122" cm="1">
        <f t="array" aca="1" ref="H127" ca="1">IF($D127&lt;&gt;"Serviço",0,IF(ACOMPANHAMENTO="BM",ROUND(OFFSET(ORÇAMENTO!AJ$15,$L127,0),15-13*ORÇAMENTO!$AF$7),IF(IFERROR(CÁLCULO.FrentesPreenchidas,0)=0,0,SUM(ROUND(OFFSET($P127,0,1,1,CÁLCULO.FrentesPreenchidas),15-13*ORÇAMENTO!$AF$7)))))</f>
        <v>230</v>
      </c>
      <c r="I127" s="468" t="s">
        <v>1186</v>
      </c>
      <c r="J127" s="651" t="str" cm="1">
        <f t="array" aca="1" ref="J127" ca="1">IF(OR(B127&lt;&gt;"S",CÁLCULO.FrentesPreenchidas=0),"",IF(AND(ACOMPANHAMENTO="PLE",AUTOEVENTO="Manual",OR(H127&gt;0,ORÇAMENTO!AC127="QUANT."),OR(K127="",M127=0,N127="")),"►E",IF(AND(ACOMPANHAMENTO="PLE",ORÇAMENTO!AC127="QUANT."),"►Q",IF(AND(ACOMPANHAMENTO="PLE",H127&lt;&gt;SUMPRODUCT(($Q$1:$AI$1=1)*ROUND(Q127:AI127,15))),"►S",IF(AND(COUNTIF($P$11:$AI$11,"▼")=0,H127&gt;0,I127=""),"◄M","")))))</f>
        <v/>
      </c>
      <c r="K127" s="652" t="s">
        <v>1359</v>
      </c>
      <c r="L127" s="165">
        <f t="shared" ca="1" si="13"/>
        <v>112</v>
      </c>
      <c r="M127" s="166">
        <f ca="1">IF($D127&lt;&gt;"Serviço","",
          IF(AUTOEVENTO="manual",$A127,
                IF(ISERROR(MATCH($A127,$A$15:OFFSET($A127,-1,0),0)),MAX($M$15:OFFSET(M127,-1,0))+1,
                      INDEX($M$15:OFFSET(M127,-1,0),MATCH($A127,$A$15:OFFSET($A127,-1,0),0)))))</f>
        <v>25</v>
      </c>
      <c r="N127" s="167" t="str">
        <f ca="1">IF($D127&lt;&gt;"Serviço","",
         IF(AUTOEVENTO="Manual",
                IF($A127=0,"&lt;-- defina o número do agrupador",
                       OFFSET(EVENTOS!$D$15,$A127-$A$15,0)),
                OFFSET($F$15,$A127,0)))</f>
        <v>Instalações elétricas</v>
      </c>
      <c r="O127" s="168"/>
      <c r="Q127" s="168"/>
      <c r="R127" s="169"/>
      <c r="S127" s="169"/>
      <c r="T127" s="169"/>
      <c r="U127" s="169"/>
      <c r="V127" s="169">
        <v>230</v>
      </c>
      <c r="W127" s="169"/>
      <c r="X127" s="169"/>
      <c r="Y127" s="169"/>
      <c r="Z127" s="170"/>
      <c r="AA127" s="705"/>
      <c r="AB127" s="705"/>
      <c r="AC127" s="705"/>
      <c r="AD127" s="705"/>
      <c r="AE127" s="705"/>
      <c r="AF127" s="705"/>
      <c r="AG127" s="705"/>
      <c r="AH127" s="706"/>
      <c r="AJ127" s="453">
        <f ca="1">IF(AND($D127="Serviço",AJ$12&lt;&gt;0,$H127&gt;0,OR(AUTOEVENTO&lt;&gt;"manual",$M127&lt;&gt;$A$15)),
        IF(Import.TipoArredondamento&lt;&gt;"TransfereGOV",
              ROUND(OFFSET($P127,0,AJ$13),15-13*ORÇAMENTO!$AF$7)/$H127*OFFSET(ORÇAMENTO!$X$15,ROW(AJ127)-ROW(AJ$15),0),
              ROUND(ROUND(OFFSET($P127,0,AJ$13),15-13*ORÇAMENTO!$AF$7)*OFFSET(ORÇAMENTO!$W$15,ROW(AJ127)-ROW(AJ$15),0),15-13*ORÇAMENTO!$AF$11)),
         0)</f>
        <v>0</v>
      </c>
      <c r="AK127" s="453">
        <f ca="1">IF(AND($D127="Serviço",AK$12&lt;&gt;0,$H127&gt;0,OR(AUTOEVENTO&lt;&gt;"manual",$M127&lt;&gt;$A$15)),
        IF(Import.TipoArredondamento&lt;&gt;"TransfereGOV",
              ROUND(OFFSET($P127,0,AK$13),15-13*ORÇAMENTO!$AF$7)/$H127*OFFSET(ORÇAMENTO!$X$15,ROW(AK127)-ROW(AK$15),0),
              ROUND(ROUND(OFFSET($P127,0,AK$13),15-13*ORÇAMENTO!$AF$7)*OFFSET(ORÇAMENTO!$W$15,ROW(AK127)-ROW(AK$15),0),15-13*ORÇAMENTO!$AF$11)),
         0)</f>
        <v>0</v>
      </c>
      <c r="AL127" s="453">
        <f ca="1">IF(AND($D127="Serviço",AL$12&lt;&gt;0,$H127&gt;0,OR(AUTOEVENTO&lt;&gt;"manual",$M127&lt;&gt;$A$15)),
        IF(Import.TipoArredondamento&lt;&gt;"TransfereGOV",
              ROUND(OFFSET($P127,0,AL$13),15-13*ORÇAMENTO!$AF$7)/$H127*OFFSET(ORÇAMENTO!$X$15,ROW(AL127)-ROW(AL$15),0),
              ROUND(ROUND(OFFSET($P127,0,AL$13),15-13*ORÇAMENTO!$AF$7)*OFFSET(ORÇAMENTO!$W$15,ROW(AL127)-ROW(AL$15),0),15-13*ORÇAMENTO!$AF$11)),
         0)</f>
        <v>0</v>
      </c>
      <c r="AM127" s="453">
        <f ca="1">IF(AND($D127="Serviço",AM$12&lt;&gt;0,$H127&gt;0,OR(AUTOEVENTO&lt;&gt;"manual",$M127&lt;&gt;$A$15)),
        IF(Import.TipoArredondamento&lt;&gt;"TransfereGOV",
              ROUND(OFFSET($P127,0,AM$13),15-13*ORÇAMENTO!$AF$7)/$H127*OFFSET(ORÇAMENTO!$X$15,ROW(AM127)-ROW(AM$15),0),
              ROUND(ROUND(OFFSET($P127,0,AM$13),15-13*ORÇAMENTO!$AF$7)*OFFSET(ORÇAMENTO!$W$15,ROW(AM127)-ROW(AM$15),0),15-13*ORÇAMENTO!$AF$11)),
         0)</f>
        <v>0</v>
      </c>
      <c r="AN127" s="453">
        <f ca="1">IF(AND($D127="Serviço",AN$12&lt;&gt;0,$H127&gt;0,OR(AUTOEVENTO&lt;&gt;"manual",$M127&lt;&gt;$A$15)),
        IF(Import.TipoArredondamento&lt;&gt;"TransfereGOV",
              ROUND(OFFSET($P127,0,AN$13),15-13*ORÇAMENTO!$AF$7)/$H127*OFFSET(ORÇAMENTO!$X$15,ROW(AN127)-ROW(AN$15),0),
              ROUND(ROUND(OFFSET($P127,0,AN$13),15-13*ORÇAMENTO!$AF$7)*OFFSET(ORÇAMENTO!$W$15,ROW(AN127)-ROW(AN$15),0),15-13*ORÇAMENTO!$AF$11)),
         0)</f>
        <v>0</v>
      </c>
      <c r="AO127" s="453">
        <f ca="1">IF(AND($D127="Serviço",AO$12&lt;&gt;0,$H127&gt;0,OR(AUTOEVENTO&lt;&gt;"manual",$M127&lt;&gt;$A$15)),
        IF(Import.TipoArredondamento&lt;&gt;"TransfereGOV",
              ROUND(OFFSET($P127,0,AO$13),15-13*ORÇAMENTO!$AF$7)/$H127*OFFSET(ORÇAMENTO!$X$15,ROW(AO127)-ROW(AO$15),0),
              ROUND(ROUND(OFFSET($P127,0,AO$13),15-13*ORÇAMENTO!$AF$7)*OFFSET(ORÇAMENTO!$W$15,ROW(AO127)-ROW(AO$15),0),15-13*ORÇAMENTO!$AF$11)),
         0)</f>
        <v>8059.2</v>
      </c>
      <c r="AP127" s="453">
        <f ca="1">IF(AND($D127="Serviço",AP$12&lt;&gt;0,$H127&gt;0,OR(AUTOEVENTO&lt;&gt;"manual",$M127&lt;&gt;$A$15)),
        IF(Import.TipoArredondamento&lt;&gt;"TransfereGOV",
              ROUND(OFFSET($P127,0,AP$13),15-13*ORÇAMENTO!$AF$7)/$H127*OFFSET(ORÇAMENTO!$X$15,ROW(AP127)-ROW(AP$15),0),
              ROUND(ROUND(OFFSET($P127,0,AP$13),15-13*ORÇAMENTO!$AF$7)*OFFSET(ORÇAMENTO!$W$15,ROW(AP127)-ROW(AP$15),0),15-13*ORÇAMENTO!$AF$11)),
         0)</f>
        <v>0</v>
      </c>
      <c r="AQ127" s="453">
        <f ca="1">IF(AND($D127="Serviço",AQ$12&lt;&gt;0,$H127&gt;0,OR(AUTOEVENTO&lt;&gt;"manual",$M127&lt;&gt;$A$15)),
        IF(Import.TipoArredondamento&lt;&gt;"TransfereGOV",
              ROUND(OFFSET($P127,0,AQ$13),15-13*ORÇAMENTO!$AF$7)/$H127*OFFSET(ORÇAMENTO!$X$15,ROW(AQ127)-ROW(AQ$15),0),
              ROUND(ROUND(OFFSET($P127,0,AQ$13),15-13*ORÇAMENTO!$AF$7)*OFFSET(ORÇAMENTO!$W$15,ROW(AQ127)-ROW(AQ$15),0),15-13*ORÇAMENTO!$AF$11)),
         0)</f>
        <v>0</v>
      </c>
      <c r="AR127" s="453">
        <f ca="1">IF(AND($D127="Serviço",AR$12&lt;&gt;0,$H127&gt;0,OR(AUTOEVENTO&lt;&gt;"manual",$M127&lt;&gt;$A$15)),
        IF(Import.TipoArredondamento&lt;&gt;"TransfereGOV",
              ROUND(OFFSET($P127,0,AR$13),15-13*ORÇAMENTO!$AF$7)/$H127*OFFSET(ORÇAMENTO!$X$15,ROW(AR127)-ROW(AR$15),0),
              ROUND(ROUND(OFFSET($P127,0,AR$13),15-13*ORÇAMENTO!$AF$7)*OFFSET(ORÇAMENTO!$W$15,ROW(AR127)-ROW(AR$15),0),15-13*ORÇAMENTO!$AF$11)),
         0)</f>
        <v>0</v>
      </c>
      <c r="AS127" s="453">
        <f ca="1">IF(AND($D127="Serviço",AS$12&lt;&gt;0,$H127&gt;0,OR(AUTOEVENTO&lt;&gt;"manual",$M127&lt;&gt;$A$15)),
        IF(Import.TipoArredondamento&lt;&gt;"TransfereGOV",
              ROUND(OFFSET($P127,0,AS$13),15-13*ORÇAMENTO!$AF$7)/$H127*OFFSET(ORÇAMENTO!$X$15,ROW(AS127)-ROW(AS$15),0),
              ROUND(ROUND(OFFSET($P127,0,AS$13),15-13*ORÇAMENTO!$AF$7)*OFFSET(ORÇAMENTO!$W$15,ROW(AS127)-ROW(AS$15),0),15-13*ORÇAMENTO!$AF$11)),
         0)</f>
        <v>0</v>
      </c>
      <c r="AT127" s="453">
        <f ca="1">IF(AND($D127="Serviço",AT$12&lt;&gt;0,$H127&gt;0,OR(AUTOEVENTO&lt;&gt;"manual",$M127&lt;&gt;$A$15)),
        IF(Import.TipoArredondamento&lt;&gt;"TransfereGOV",
              ROUND(OFFSET($P127,0,AT$13),15-13*ORÇAMENTO!$AF$7)/$H127*OFFSET(ORÇAMENTO!$X$15,ROW(AT127)-ROW(AT$15),0),
              ROUND(ROUND(OFFSET($P127,0,AT$13),15-13*ORÇAMENTO!$AF$7)*OFFSET(ORÇAMENTO!$W$15,ROW(AT127)-ROW(AT$15),0),15-13*ORÇAMENTO!$AF$11)),
         0)</f>
        <v>0</v>
      </c>
      <c r="AU127" s="453">
        <f ca="1">IF(AND($D127="Serviço",AU$12&lt;&gt;0,$H127&gt;0,OR(AUTOEVENTO&lt;&gt;"manual",$M127&lt;&gt;$A$15)),
        IF(Import.TipoArredondamento&lt;&gt;"TransfereGOV",
              ROUND(OFFSET($P127,0,AU$13),15-13*ORÇAMENTO!$AF$7)/$H127*OFFSET(ORÇAMENTO!$X$15,ROW(AU127)-ROW(AU$15),0),
              ROUND(ROUND(OFFSET($P127,0,AU$13),15-13*ORÇAMENTO!$AF$7)*OFFSET(ORÇAMENTO!$W$15,ROW(AU127)-ROW(AU$15),0),15-13*ORÇAMENTO!$AF$11)),
         0)</f>
        <v>0</v>
      </c>
      <c r="AV127" s="453">
        <f ca="1">IF(AND($D127="Serviço",AV$12&lt;&gt;0,$H127&gt;0,OR(AUTOEVENTO&lt;&gt;"manual",$M127&lt;&gt;$A$15)),
        IF(Import.TipoArredondamento&lt;&gt;"TransfereGOV",
              ROUND(OFFSET($P127,0,AV$13),15-13*ORÇAMENTO!$AF$7)/$H127*OFFSET(ORÇAMENTO!$X$15,ROW(AV127)-ROW(AV$15),0),
              ROUND(ROUND(OFFSET($P127,0,AV$13),15-13*ORÇAMENTO!$AF$7)*OFFSET(ORÇAMENTO!$W$15,ROW(AV127)-ROW(AV$15),0),15-13*ORÇAMENTO!$AF$11)),
         0)</f>
        <v>0</v>
      </c>
      <c r="AW127" s="453">
        <f ca="1">IF(AND($D127="Serviço",AW$12&lt;&gt;0,$H127&gt;0,OR(AUTOEVENTO&lt;&gt;"manual",$M127&lt;&gt;$A$15)),
        IF(Import.TipoArredondamento&lt;&gt;"TransfereGOV",
              ROUND(OFFSET($P127,0,AW$13),15-13*ORÇAMENTO!$AF$7)/$H127*OFFSET(ORÇAMENTO!$X$15,ROW(AW127)-ROW(AW$15),0),
              ROUND(ROUND(OFFSET($P127,0,AW$13),15-13*ORÇAMENTO!$AF$7)*OFFSET(ORÇAMENTO!$W$15,ROW(AW127)-ROW(AW$15),0),15-13*ORÇAMENTO!$AF$11)),
         0)</f>
        <v>0</v>
      </c>
      <c r="AX127" s="453">
        <f ca="1">IF(AND($D127="Serviço",AX$12&lt;&gt;0,$H127&gt;0,OR(AUTOEVENTO&lt;&gt;"manual",$M127&lt;&gt;$A$15)),
        IF(Import.TipoArredondamento&lt;&gt;"TransfereGOV",
              ROUND(OFFSET($P127,0,AX$13),15-13*ORÇAMENTO!$AF$7)/$H127*OFFSET(ORÇAMENTO!$X$15,ROW(AX127)-ROW(AX$15),0),
              ROUND(ROUND(OFFSET($P127,0,AX$13),15-13*ORÇAMENTO!$AF$7)*OFFSET(ORÇAMENTO!$W$15,ROW(AX127)-ROW(AX$15),0),15-13*ORÇAMENTO!$AF$11)),
         0)</f>
        <v>0</v>
      </c>
      <c r="AY127" s="453">
        <f ca="1">IF(AND($D127="Serviço",AY$12&lt;&gt;0,$H127&gt;0,OR(AUTOEVENTO&lt;&gt;"manual",$M127&lt;&gt;$A$15)),
        IF(Import.TipoArredondamento&lt;&gt;"TransfereGOV",
              ROUND(OFFSET($P127,0,AY$13),15-13*ORÇAMENTO!$AF$7)/$H127*OFFSET(ORÇAMENTO!$X$15,ROW(AY127)-ROW(AY$15),0),
              ROUND(ROUND(OFFSET($P127,0,AY$13),15-13*ORÇAMENTO!$AF$7)*OFFSET(ORÇAMENTO!$W$15,ROW(AY127)-ROW(AY$15),0),15-13*ORÇAMENTO!$AF$11)),
         0)</f>
        <v>0</v>
      </c>
      <c r="AZ127" s="453">
        <f ca="1">IF(AND($D127="Serviço",AZ$12&lt;&gt;0,$H127&gt;0,OR(AUTOEVENTO&lt;&gt;"manual",$M127&lt;&gt;$A$15)),
        IF(Import.TipoArredondamento&lt;&gt;"TransfereGOV",
              ROUND(OFFSET($P127,0,AZ$13),15-13*ORÇAMENTO!$AF$7)/$H127*OFFSET(ORÇAMENTO!$X$15,ROW(AZ127)-ROW(AZ$15),0),
              ROUND(ROUND(OFFSET($P127,0,AZ$13),15-13*ORÇAMENTO!$AF$7)*OFFSET(ORÇAMENTO!$W$15,ROW(AZ127)-ROW(AZ$15),0),15-13*ORÇAMENTO!$AF$11)),
         0)</f>
        <v>0</v>
      </c>
      <c r="BA127" s="453">
        <f ca="1">IF(AND($D127="Serviço",BA$12&lt;&gt;0,$H127&gt;0,OR(AUTOEVENTO&lt;&gt;"manual",$M127&lt;&gt;$A$15)),
        IF(Import.TipoArredondamento&lt;&gt;"TransfereGOV",
              ROUND(OFFSET($P127,0,BA$13),15-13*ORÇAMENTO!$AF$7)/$H127*OFFSET(ORÇAMENTO!$X$15,ROW(BA127)-ROW(BA$15),0),
              ROUND(ROUND(OFFSET($P127,0,BA$13),15-13*ORÇAMENTO!$AF$7)*OFFSET(ORÇAMENTO!$W$15,ROW(BA127)-ROW(BA$15),0),15-13*ORÇAMENTO!$AF$11)),
         0)</f>
        <v>0</v>
      </c>
      <c r="BC127" s="171">
        <f ca="1">IF(OR($D127&lt;&gt;"Serviço",AND(AUTOEVENTO="Manual",$M127=$A$15)),0,
         IF(OFFSET(CRONOPLE!$F$15,$M127-$A$15,BC$13)=0,10^12,OFFSET(CRONOPLE!$F$15,$M127-$A$15,BC$13)))</f>
        <v>1000000000000</v>
      </c>
      <c r="BD127" s="171">
        <f ca="1">IF(OR($D127&lt;&gt;"Serviço",AND(AUTOEVENTO="Manual",$M127=$A$15)),0,
         IF(OFFSET(CRONOPLE!$F$15,$M127-$A$15,BD$13)=0,10^12,OFFSET(CRONOPLE!$F$15,$M127-$A$15,BD$13)))</f>
        <v>1000000000000</v>
      </c>
      <c r="BE127" s="171">
        <f ca="1">IF(OR($D127&lt;&gt;"Serviço",AND(AUTOEVENTO="Manual",$M127=$A$15)),0,
         IF(OFFSET(CRONOPLE!$F$15,$M127-$A$15,BE$13)=0,10^12,OFFSET(CRONOPLE!$F$15,$M127-$A$15,BE$13)))</f>
        <v>1000000000000</v>
      </c>
      <c r="BF127" s="171">
        <f ca="1">IF(OR($D127&lt;&gt;"Serviço",AND(AUTOEVENTO="Manual",$M127=$A$15)),0,
         IF(OFFSET(CRONOPLE!$F$15,$M127-$A$15,BF$13)=0,10^12,OFFSET(CRONOPLE!$F$15,$M127-$A$15,BF$13)))</f>
        <v>1000000000000</v>
      </c>
      <c r="BG127" s="171">
        <f ca="1">IF(OR($D127&lt;&gt;"Serviço",AND(AUTOEVENTO="Manual",$M127=$A$15)),0,
         IF(OFFSET(CRONOPLE!$F$15,$M127-$A$15,BG$13)=0,10^12,OFFSET(CRONOPLE!$F$15,$M127-$A$15,BG$13)))</f>
        <v>1000000000000</v>
      </c>
      <c r="BH127" s="171">
        <f ca="1">IF(OR($D127&lt;&gt;"Serviço",AND(AUTOEVENTO="Manual",$M127=$A$15)),0,
         IF(OFFSET(CRONOPLE!$F$15,$M127-$A$15,BH$13)=0,10^12,OFFSET(CRONOPLE!$F$15,$M127-$A$15,BH$13)))</f>
        <v>9</v>
      </c>
      <c r="BI127" s="171">
        <f ca="1">IF(OR($D127&lt;&gt;"Serviço",AND(AUTOEVENTO="Manual",$M127=$A$15)),0,
         IF(OFFSET(CRONOPLE!$F$15,$M127-$A$15,BI$13)=0,10^12,OFFSET(CRONOPLE!$F$15,$M127-$A$15,BI$13)))</f>
        <v>1000000000000</v>
      </c>
      <c r="BJ127" s="171">
        <f ca="1">IF(OR($D127&lt;&gt;"Serviço",AND(AUTOEVENTO="Manual",$M127=$A$15)),0,
         IF(OFFSET(CRONOPLE!$F$15,$M127-$A$15,BJ$13)=0,10^12,OFFSET(CRONOPLE!$F$15,$M127-$A$15,BJ$13)))</f>
        <v>1000000000000</v>
      </c>
      <c r="BK127" s="171">
        <f ca="1">IF(OR($D127&lt;&gt;"Serviço",AND(AUTOEVENTO="Manual",$M127=$A$15)),0,
         IF(OFFSET(CRONOPLE!$F$15,$M127-$A$15,BK$13)=0,10^12,OFFSET(CRONOPLE!$F$15,$M127-$A$15,BK$13)))</f>
        <v>1000000000000</v>
      </c>
      <c r="BL127" s="171">
        <f ca="1">IF(OR($D127&lt;&gt;"Serviço",AND(AUTOEVENTO="Manual",$M127=$A$15)),0,
         IF(OFFSET(CRONOPLE!$F$15,$M127-$A$15,BL$13)=0,10^12,OFFSET(CRONOPLE!$F$15,$M127-$A$15,BL$13)))</f>
        <v>1000000000000</v>
      </c>
      <c r="BM127" s="171">
        <f ca="1">IF(OR($D127&lt;&gt;"Serviço",AND(AUTOEVENTO="Manual",$M127=$A$15)),0,
         IF(OFFSET(CRONOPLE!$F$15,$M127-$A$15,BM$13)=0,10^12,OFFSET(CRONOPLE!$F$15,$M127-$A$15,BM$13)))</f>
        <v>1000000000000</v>
      </c>
      <c r="BN127" s="171">
        <f ca="1">IF(OR($D127&lt;&gt;"Serviço",AND(AUTOEVENTO="Manual",$M127=$A$15)),0,
         IF(OFFSET(CRONOPLE!$F$15,$M127-$A$15,BN$13)=0,10^12,OFFSET(CRONOPLE!$F$15,$M127-$A$15,BN$13)))</f>
        <v>1000000000000</v>
      </c>
      <c r="BO127" s="171">
        <f ca="1">IF(OR($D127&lt;&gt;"Serviço",AND(AUTOEVENTO="Manual",$M127=$A$15)),0,
         IF(OFFSET(CRONOPLE!$F$15,$M127-$A$15,BO$13)=0,10^12,OFFSET(CRONOPLE!$F$15,$M127-$A$15,BO$13)))</f>
        <v>1000000000000</v>
      </c>
      <c r="BP127" s="171">
        <f ca="1">IF(OR($D127&lt;&gt;"Serviço",AND(AUTOEVENTO="Manual",$M127=$A$15)),0,
         IF(OFFSET(CRONOPLE!$F$15,$M127-$A$15,BP$13)=0,10^12,OFFSET(CRONOPLE!$F$15,$M127-$A$15,BP$13)))</f>
        <v>1000000000000</v>
      </c>
      <c r="BQ127" s="171">
        <f ca="1">IF(OR($D127&lt;&gt;"Serviço",AND(AUTOEVENTO="Manual",$M127=$A$15)),0,
         IF(OFFSET(CRONOPLE!$F$15,$M127-$A$15,BQ$13)=0,10^12,OFFSET(CRONOPLE!$F$15,$M127-$A$15,BQ$13)))</f>
        <v>1000000000000</v>
      </c>
      <c r="BR127" s="171">
        <f ca="1">IF(OR($D127&lt;&gt;"Serviço",AND(AUTOEVENTO="Manual",$M127=$A$15)),0,
         IF(OFFSET(CRONOPLE!$F$15,$M127-$A$15,BR$13)=0,10^12,OFFSET(CRONOPLE!$F$15,$M127-$A$15,BR$13)))</f>
        <v>1000000000000</v>
      </c>
      <c r="BS127" s="171">
        <f ca="1">IF(OR($D127&lt;&gt;"Serviço",AND(AUTOEVENTO="Manual",$M127=$A$15)),0,
         IF(OFFSET(CRONOPLE!$F$15,$M127-$A$15,BS$13)=0,10^12,OFFSET(CRONOPLE!$F$15,$M127-$A$15,BS$13)))</f>
        <v>1000000000000</v>
      </c>
      <c r="BT127" s="171">
        <f ca="1">IF(OR($D127&lt;&gt;"Serviço",AND(AUTOEVENTO="Manual",$M127=$A$15)),0,
         IF(OFFSET(CRONOPLE!$F$15,$M127-$A$15,BT$13)=0,10^12,OFFSET(CRONOPLE!$F$15,$M127-$A$15,BT$13)))</f>
        <v>1000000000000</v>
      </c>
      <c r="BV127" s="172" cm="1">
        <f t="array" aca="1" ref="BV127" ca="1">IF(OR($D127&lt;&gt;"Serviço",AND(AUTOEVENTO="Manual",$M127=$A$15),$M127&gt;(ROW(PLE.lastrow)-ROW(PLE.firstrow))),0,
           IF(OFFSET(PLE!$G$15,$M127-$A$15,BV$13)="",10^12,OFFSET(PLE!$G$15,$M127-$A$15,BV$13)))</f>
        <v>1000000000000</v>
      </c>
      <c r="BW127" s="172" cm="1">
        <f t="array" aca="1" ref="BW127" ca="1">IF(OR($D127&lt;&gt;"Serviço",AND(AUTOEVENTO="Manual",$M127=$A$15),$M127&gt;(ROW(PLE.lastrow)-ROW(PLE.firstrow))),0,
           IF(OFFSET(PLE!$G$15,$M127-$A$15,BW$13)="",10^12,OFFSET(PLE!$G$15,$M127-$A$15,BW$13)))</f>
        <v>1000000000000</v>
      </c>
      <c r="BX127" s="172" cm="1">
        <f t="array" aca="1" ref="BX127" ca="1">IF(OR($D127&lt;&gt;"Serviço",AND(AUTOEVENTO="Manual",$M127=$A$15),$M127&gt;(ROW(PLE.lastrow)-ROW(PLE.firstrow))),0,
           IF(OFFSET(PLE!$G$15,$M127-$A$15,BX$13)="",10^12,OFFSET(PLE!$G$15,$M127-$A$15,BX$13)))</f>
        <v>1000000000000</v>
      </c>
      <c r="BY127" s="172" cm="1">
        <f t="array" aca="1" ref="BY127" ca="1">IF(OR($D127&lt;&gt;"Serviço",AND(AUTOEVENTO="Manual",$M127=$A$15),$M127&gt;(ROW(PLE.lastrow)-ROW(PLE.firstrow))),0,
           IF(OFFSET(PLE!$G$15,$M127-$A$15,BY$13)="",10^12,OFFSET(PLE!$G$15,$M127-$A$15,BY$13)))</f>
        <v>1000000000000</v>
      </c>
      <c r="BZ127" s="172" cm="1">
        <f t="array" aca="1" ref="BZ127" ca="1">IF(OR($D127&lt;&gt;"Serviço",AND(AUTOEVENTO="Manual",$M127=$A$15),$M127&gt;(ROW(PLE.lastrow)-ROW(PLE.firstrow))),0,
           IF(OFFSET(PLE!$G$15,$M127-$A$15,BZ$13)="",10^12,OFFSET(PLE!$G$15,$M127-$A$15,BZ$13)))</f>
        <v>1000000000000</v>
      </c>
      <c r="CA127" s="172" cm="1">
        <f t="array" aca="1" ref="CA127" ca="1">IF(OR($D127&lt;&gt;"Serviço",AND(AUTOEVENTO="Manual",$M127=$A$15),$M127&gt;(ROW(PLE.lastrow)-ROW(PLE.firstrow))),0,
           IF(OFFSET(PLE!$G$15,$M127-$A$15,CA$13)="",10^12,OFFSET(PLE!$G$15,$M127-$A$15,CA$13)))</f>
        <v>1000000000000</v>
      </c>
      <c r="CB127" s="172" cm="1">
        <f t="array" aca="1" ref="CB127" ca="1">IF(OR($D127&lt;&gt;"Serviço",AND(AUTOEVENTO="Manual",$M127=$A$15),$M127&gt;(ROW(PLE.lastrow)-ROW(PLE.firstrow))),0,
           IF(OFFSET(PLE!$G$15,$M127-$A$15,CB$13)="",10^12,OFFSET(PLE!$G$15,$M127-$A$15,CB$13)))</f>
        <v>1000000000000</v>
      </c>
      <c r="CC127" s="172" cm="1">
        <f t="array" aca="1" ref="CC127" ca="1">IF(OR($D127&lt;&gt;"Serviço",AND(AUTOEVENTO="Manual",$M127=$A$15),$M127&gt;(ROW(PLE.lastrow)-ROW(PLE.firstrow))),0,
           IF(OFFSET(PLE!$G$15,$M127-$A$15,CC$13)="",10^12,OFFSET(PLE!$G$15,$M127-$A$15,CC$13)))</f>
        <v>1000000000000</v>
      </c>
      <c r="CD127" s="172" cm="1">
        <f t="array" aca="1" ref="CD127" ca="1">IF(OR($D127&lt;&gt;"Serviço",AND(AUTOEVENTO="Manual",$M127=$A$15),$M127&gt;(ROW(PLE.lastrow)-ROW(PLE.firstrow))),0,
           IF(OFFSET(PLE!$G$15,$M127-$A$15,CD$13)="",10^12,OFFSET(PLE!$G$15,$M127-$A$15,CD$13)))</f>
        <v>1000000000000</v>
      </c>
      <c r="CE127" s="172" cm="1">
        <f t="array" aca="1" ref="CE127" ca="1">IF(OR($D127&lt;&gt;"Serviço",AND(AUTOEVENTO="Manual",$M127=$A$15),$M127&gt;(ROW(PLE.lastrow)-ROW(PLE.firstrow))),0,
           IF(OFFSET(PLE!$G$15,$M127-$A$15,CE$13)="",10^12,OFFSET(PLE!$G$15,$M127-$A$15,CE$13)))</f>
        <v>1000000000000</v>
      </c>
      <c r="CF127" s="172" cm="1">
        <f t="array" aca="1" ref="CF127" ca="1">IF(OR($D127&lt;&gt;"Serviço",AND(AUTOEVENTO="Manual",$M127=$A$15),$M127&gt;(ROW(PLE.lastrow)-ROW(PLE.firstrow))),0,
           IF(OFFSET(PLE!$G$15,$M127-$A$15,CF$13)="",10^12,OFFSET(PLE!$G$15,$M127-$A$15,CF$13)))</f>
        <v>1000000000000</v>
      </c>
      <c r="CG127" s="172" cm="1">
        <f t="array" aca="1" ref="CG127" ca="1">IF(OR($D127&lt;&gt;"Serviço",AND(AUTOEVENTO="Manual",$M127=$A$15),$M127&gt;(ROW(PLE.lastrow)-ROW(PLE.firstrow))),0,
           IF(OFFSET(PLE!$G$15,$M127-$A$15,CG$13)="",10^12,OFFSET(PLE!$G$15,$M127-$A$15,CG$13)))</f>
        <v>1000000000000</v>
      </c>
      <c r="CH127" s="172" cm="1">
        <f t="array" aca="1" ref="CH127" ca="1">IF(OR($D127&lt;&gt;"Serviço",AND(AUTOEVENTO="Manual",$M127=$A$15),$M127&gt;(ROW(PLE.lastrow)-ROW(PLE.firstrow))),0,
           IF(OFFSET(PLE!$G$15,$M127-$A$15,CH$13)="",10^12,OFFSET(PLE!$G$15,$M127-$A$15,CH$13)))</f>
        <v>1000000000000</v>
      </c>
      <c r="CI127" s="172" cm="1">
        <f t="array" aca="1" ref="CI127" ca="1">IF(OR($D127&lt;&gt;"Serviço",AND(AUTOEVENTO="Manual",$M127=$A$15),$M127&gt;(ROW(PLE.lastrow)-ROW(PLE.firstrow))),0,
           IF(OFFSET(PLE!$G$15,$M127-$A$15,CI$13)="",10^12,OFFSET(PLE!$G$15,$M127-$A$15,CI$13)))</f>
        <v>1000000000000</v>
      </c>
      <c r="CJ127" s="172" cm="1">
        <f t="array" aca="1" ref="CJ127" ca="1">IF(OR($D127&lt;&gt;"Serviço",AND(AUTOEVENTO="Manual",$M127=$A$15),$M127&gt;(ROW(PLE.lastrow)-ROW(PLE.firstrow))),0,
           IF(OFFSET(PLE!$G$15,$M127-$A$15,CJ$13)="",10^12,OFFSET(PLE!$G$15,$M127-$A$15,CJ$13)))</f>
        <v>1000000000000</v>
      </c>
      <c r="CK127" s="172" cm="1">
        <f t="array" aca="1" ref="CK127" ca="1">IF(OR($D127&lt;&gt;"Serviço",AND(AUTOEVENTO="Manual",$M127=$A$15),$M127&gt;(ROW(PLE.lastrow)-ROW(PLE.firstrow))),0,
           IF(OFFSET(PLE!$G$15,$M127-$A$15,CK$13)="",10^12,OFFSET(PLE!$G$15,$M127-$A$15,CK$13)))</f>
        <v>1000000000000</v>
      </c>
      <c r="CL127" s="172" cm="1">
        <f t="array" aca="1" ref="CL127" ca="1">IF(OR($D127&lt;&gt;"Serviço",AND(AUTOEVENTO="Manual",$M127=$A$15),$M127&gt;(ROW(PLE.lastrow)-ROW(PLE.firstrow))),0,
           IF(OFFSET(PLE!$G$15,$M127-$A$15,CL$13)="",10^12,OFFSET(PLE!$G$15,$M127-$A$15,CL$13)))</f>
        <v>1000000000000</v>
      </c>
      <c r="CM127" s="172" cm="1">
        <f t="array" aca="1" ref="CM127" ca="1">IF(OR($D127&lt;&gt;"Serviço",AND(AUTOEVENTO="Manual",$M127=$A$15),$M127&gt;(ROW(PLE.lastrow)-ROW(PLE.firstrow))),0,
           IF(OFFSET(PLE!$G$15,$M127-$A$15,CM$13)="",10^12,OFFSET(PLE!$G$15,$M127-$A$15,CM$13)))</f>
        <v>1000000000000</v>
      </c>
    </row>
    <row r="128" spans="1:91" s="670" customFormat="1" ht="38.25" x14ac:dyDescent="0.2">
      <c r="A128" s="668">
        <f t="shared" ca="1" si="12"/>
        <v>25</v>
      </c>
      <c r="B128" s="668" t="str">
        <f ca="1">OFFSET(ORÇAMENTO!C$15,$L128,0)</f>
        <v>S</v>
      </c>
      <c r="C128" s="668" t="str">
        <f ca="1">OFFSET(ORÇAMENTO!L$15,$L128,0)</f>
        <v>F</v>
      </c>
      <c r="D128" s="116" t="str">
        <f ca="1">OFFSET(ORÇAMENTO!N$15,$L128,0)</f>
        <v>Serviço</v>
      </c>
      <c r="E128" s="117" t="str">
        <f ca="1">OFFSET(ORÇAMENTO!O$15,$L128,0)</f>
        <v>1.17.14.</v>
      </c>
      <c r="F128" s="163" t="str">
        <f ca="1">OFFSET(ORÇAMENTO!R$15,$L128,0)</f>
        <v>CABO DE COBRE FLEXÍVEL ISOLADO, 25 MM², ANTI-CHAMA 0,6/1,0 KV, PARA REDE ENTERRADA DE DISTRIBUIÇÃO DE ENERGIA ELÉTRICA - FORNECIMENTO E INSTALAÇÃO. AF_12/2021</v>
      </c>
      <c r="G128" s="164" t="str">
        <f ca="1">IF($D128&lt;&gt;"Serviço","",OFFSET(ORÇAMENTO!S$15,$L128,0))</f>
        <v>M</v>
      </c>
      <c r="H128" s="122" cm="1">
        <f t="array" aca="1" ref="H128" ca="1">IF($D128&lt;&gt;"Serviço",0,IF(ACOMPANHAMENTO="BM",ROUND(OFFSET(ORÇAMENTO!AJ$15,$L128,0),15-13*ORÇAMENTO!$AF$7),IF(IFERROR(CÁLCULO.FrentesPreenchidas,0)=0,0,SUM(ROUND(OFFSET($P128,0,1,1,CÁLCULO.FrentesPreenchidas),15-13*ORÇAMENTO!$AF$7)))))</f>
        <v>21</v>
      </c>
      <c r="I128" s="468" t="s">
        <v>1183</v>
      </c>
      <c r="J128" s="651" t="str" cm="1">
        <f t="array" aca="1" ref="J128" ca="1">IF(OR(B128&lt;&gt;"S",CÁLCULO.FrentesPreenchidas=0),"",IF(AND(ACOMPANHAMENTO="PLE",AUTOEVENTO="Manual",OR(H128&gt;0,ORÇAMENTO!AC128="QUANT."),OR(K128="",M128=0,N128="")),"►E",IF(AND(ACOMPANHAMENTO="PLE",ORÇAMENTO!AC128="QUANT."),"►Q",IF(AND(ACOMPANHAMENTO="PLE",H128&lt;&gt;SUMPRODUCT(($Q$1:$AI$1=1)*ROUND(Q128:AI128,15))),"►S",IF(AND(COUNTIF($P$11:$AI$11,"▼")=0,H128&gt;0,I128=""),"◄M","")))))</f>
        <v/>
      </c>
      <c r="K128" s="652" t="s">
        <v>1359</v>
      </c>
      <c r="L128" s="165">
        <f t="shared" ca="1" si="13"/>
        <v>113</v>
      </c>
      <c r="M128" s="166">
        <f ca="1">IF($D128&lt;&gt;"Serviço","",
          IF(AUTOEVENTO="manual",$A128,
                IF(ISERROR(MATCH($A128,$A$15:OFFSET($A128,-1,0),0)),MAX($M$15:OFFSET(M128,-1,0))+1,
                      INDEX($M$15:OFFSET(M128,-1,0),MATCH($A128,$A$15:OFFSET($A128,-1,0),0)))))</f>
        <v>25</v>
      </c>
      <c r="N128" s="167" t="str">
        <f ca="1">IF($D128&lt;&gt;"Serviço","",
         IF(AUTOEVENTO="Manual",
                IF($A128=0,"&lt;-- defina o número do agrupador",
                       OFFSET(EVENTOS!$D$15,$A128-$A$15,0)),
                OFFSET($F$15,$A128,0)))</f>
        <v>Instalações elétricas</v>
      </c>
      <c r="O128" s="168"/>
      <c r="Q128" s="168"/>
      <c r="R128" s="169"/>
      <c r="S128" s="169"/>
      <c r="T128" s="169"/>
      <c r="U128" s="169"/>
      <c r="V128" s="169">
        <v>21</v>
      </c>
      <c r="W128" s="169"/>
      <c r="X128" s="169"/>
      <c r="Y128" s="169"/>
      <c r="Z128" s="170"/>
      <c r="AA128" s="705"/>
      <c r="AB128" s="705"/>
      <c r="AC128" s="705"/>
      <c r="AD128" s="705"/>
      <c r="AE128" s="705"/>
      <c r="AF128" s="705"/>
      <c r="AG128" s="705"/>
      <c r="AH128" s="706"/>
      <c r="AJ128" s="453">
        <f ca="1">IF(AND($D128="Serviço",AJ$12&lt;&gt;0,$H128&gt;0,OR(AUTOEVENTO&lt;&gt;"manual",$M128&lt;&gt;$A$15)),
        IF(Import.TipoArredondamento&lt;&gt;"TransfereGOV",
              ROUND(OFFSET($P128,0,AJ$13),15-13*ORÇAMENTO!$AF$7)/$H128*OFFSET(ORÇAMENTO!$X$15,ROW(AJ128)-ROW(AJ$15),0),
              ROUND(ROUND(OFFSET($P128,0,AJ$13),15-13*ORÇAMENTO!$AF$7)*OFFSET(ORÇAMENTO!$W$15,ROW(AJ128)-ROW(AJ$15),0),15-13*ORÇAMENTO!$AF$11)),
         0)</f>
        <v>0</v>
      </c>
      <c r="AK128" s="453">
        <f ca="1">IF(AND($D128="Serviço",AK$12&lt;&gt;0,$H128&gt;0,OR(AUTOEVENTO&lt;&gt;"manual",$M128&lt;&gt;$A$15)),
        IF(Import.TipoArredondamento&lt;&gt;"TransfereGOV",
              ROUND(OFFSET($P128,0,AK$13),15-13*ORÇAMENTO!$AF$7)/$H128*OFFSET(ORÇAMENTO!$X$15,ROW(AK128)-ROW(AK$15),0),
              ROUND(ROUND(OFFSET($P128,0,AK$13),15-13*ORÇAMENTO!$AF$7)*OFFSET(ORÇAMENTO!$W$15,ROW(AK128)-ROW(AK$15),0),15-13*ORÇAMENTO!$AF$11)),
         0)</f>
        <v>0</v>
      </c>
      <c r="AL128" s="453">
        <f ca="1">IF(AND($D128="Serviço",AL$12&lt;&gt;0,$H128&gt;0,OR(AUTOEVENTO&lt;&gt;"manual",$M128&lt;&gt;$A$15)),
        IF(Import.TipoArredondamento&lt;&gt;"TransfereGOV",
              ROUND(OFFSET($P128,0,AL$13),15-13*ORÇAMENTO!$AF$7)/$H128*OFFSET(ORÇAMENTO!$X$15,ROW(AL128)-ROW(AL$15),0),
              ROUND(ROUND(OFFSET($P128,0,AL$13),15-13*ORÇAMENTO!$AF$7)*OFFSET(ORÇAMENTO!$W$15,ROW(AL128)-ROW(AL$15),0),15-13*ORÇAMENTO!$AF$11)),
         0)</f>
        <v>0</v>
      </c>
      <c r="AM128" s="453">
        <f ca="1">IF(AND($D128="Serviço",AM$12&lt;&gt;0,$H128&gt;0,OR(AUTOEVENTO&lt;&gt;"manual",$M128&lt;&gt;$A$15)),
        IF(Import.TipoArredondamento&lt;&gt;"TransfereGOV",
              ROUND(OFFSET($P128,0,AM$13),15-13*ORÇAMENTO!$AF$7)/$H128*OFFSET(ORÇAMENTO!$X$15,ROW(AM128)-ROW(AM$15),0),
              ROUND(ROUND(OFFSET($P128,0,AM$13),15-13*ORÇAMENTO!$AF$7)*OFFSET(ORÇAMENTO!$W$15,ROW(AM128)-ROW(AM$15),0),15-13*ORÇAMENTO!$AF$11)),
         0)</f>
        <v>0</v>
      </c>
      <c r="AN128" s="453">
        <f ca="1">IF(AND($D128="Serviço",AN$12&lt;&gt;0,$H128&gt;0,OR(AUTOEVENTO&lt;&gt;"manual",$M128&lt;&gt;$A$15)),
        IF(Import.TipoArredondamento&lt;&gt;"TransfereGOV",
              ROUND(OFFSET($P128,0,AN$13),15-13*ORÇAMENTO!$AF$7)/$H128*OFFSET(ORÇAMENTO!$X$15,ROW(AN128)-ROW(AN$15),0),
              ROUND(ROUND(OFFSET($P128,0,AN$13),15-13*ORÇAMENTO!$AF$7)*OFFSET(ORÇAMENTO!$W$15,ROW(AN128)-ROW(AN$15),0),15-13*ORÇAMENTO!$AF$11)),
         0)</f>
        <v>0</v>
      </c>
      <c r="AO128" s="453">
        <f ca="1">IF(AND($D128="Serviço",AO$12&lt;&gt;0,$H128&gt;0,OR(AUTOEVENTO&lt;&gt;"manual",$M128&lt;&gt;$A$15)),
        IF(Import.TipoArredondamento&lt;&gt;"TransfereGOV",
              ROUND(OFFSET($P128,0,AO$13),15-13*ORÇAMENTO!$AF$7)/$H128*OFFSET(ORÇAMENTO!$X$15,ROW(AO128)-ROW(AO$15),0),
              ROUND(ROUND(OFFSET($P128,0,AO$13),15-13*ORÇAMENTO!$AF$7)*OFFSET(ORÇAMENTO!$W$15,ROW(AO128)-ROW(AO$15),0),15-13*ORÇAMENTO!$AF$11)),
         0)</f>
        <v>796.32</v>
      </c>
      <c r="AP128" s="453">
        <f ca="1">IF(AND($D128="Serviço",AP$12&lt;&gt;0,$H128&gt;0,OR(AUTOEVENTO&lt;&gt;"manual",$M128&lt;&gt;$A$15)),
        IF(Import.TipoArredondamento&lt;&gt;"TransfereGOV",
              ROUND(OFFSET($P128,0,AP$13),15-13*ORÇAMENTO!$AF$7)/$H128*OFFSET(ORÇAMENTO!$X$15,ROW(AP128)-ROW(AP$15),0),
              ROUND(ROUND(OFFSET($P128,0,AP$13),15-13*ORÇAMENTO!$AF$7)*OFFSET(ORÇAMENTO!$W$15,ROW(AP128)-ROW(AP$15),0),15-13*ORÇAMENTO!$AF$11)),
         0)</f>
        <v>0</v>
      </c>
      <c r="AQ128" s="453">
        <f ca="1">IF(AND($D128="Serviço",AQ$12&lt;&gt;0,$H128&gt;0,OR(AUTOEVENTO&lt;&gt;"manual",$M128&lt;&gt;$A$15)),
        IF(Import.TipoArredondamento&lt;&gt;"TransfereGOV",
              ROUND(OFFSET($P128,0,AQ$13),15-13*ORÇAMENTO!$AF$7)/$H128*OFFSET(ORÇAMENTO!$X$15,ROW(AQ128)-ROW(AQ$15),0),
              ROUND(ROUND(OFFSET($P128,0,AQ$13),15-13*ORÇAMENTO!$AF$7)*OFFSET(ORÇAMENTO!$W$15,ROW(AQ128)-ROW(AQ$15),0),15-13*ORÇAMENTO!$AF$11)),
         0)</f>
        <v>0</v>
      </c>
      <c r="AR128" s="453">
        <f ca="1">IF(AND($D128="Serviço",AR$12&lt;&gt;0,$H128&gt;0,OR(AUTOEVENTO&lt;&gt;"manual",$M128&lt;&gt;$A$15)),
        IF(Import.TipoArredondamento&lt;&gt;"TransfereGOV",
              ROUND(OFFSET($P128,0,AR$13),15-13*ORÇAMENTO!$AF$7)/$H128*OFFSET(ORÇAMENTO!$X$15,ROW(AR128)-ROW(AR$15),0),
              ROUND(ROUND(OFFSET($P128,0,AR$13),15-13*ORÇAMENTO!$AF$7)*OFFSET(ORÇAMENTO!$W$15,ROW(AR128)-ROW(AR$15),0),15-13*ORÇAMENTO!$AF$11)),
         0)</f>
        <v>0</v>
      </c>
      <c r="AS128" s="453">
        <f ca="1">IF(AND($D128="Serviço",AS$12&lt;&gt;0,$H128&gt;0,OR(AUTOEVENTO&lt;&gt;"manual",$M128&lt;&gt;$A$15)),
        IF(Import.TipoArredondamento&lt;&gt;"TransfereGOV",
              ROUND(OFFSET($P128,0,AS$13),15-13*ORÇAMENTO!$AF$7)/$H128*OFFSET(ORÇAMENTO!$X$15,ROW(AS128)-ROW(AS$15),0),
              ROUND(ROUND(OFFSET($P128,0,AS$13),15-13*ORÇAMENTO!$AF$7)*OFFSET(ORÇAMENTO!$W$15,ROW(AS128)-ROW(AS$15),0),15-13*ORÇAMENTO!$AF$11)),
         0)</f>
        <v>0</v>
      </c>
      <c r="AT128" s="453">
        <f ca="1">IF(AND($D128="Serviço",AT$12&lt;&gt;0,$H128&gt;0,OR(AUTOEVENTO&lt;&gt;"manual",$M128&lt;&gt;$A$15)),
        IF(Import.TipoArredondamento&lt;&gt;"TransfereGOV",
              ROUND(OFFSET($P128,0,AT$13),15-13*ORÇAMENTO!$AF$7)/$H128*OFFSET(ORÇAMENTO!$X$15,ROW(AT128)-ROW(AT$15),0),
              ROUND(ROUND(OFFSET($P128,0,AT$13),15-13*ORÇAMENTO!$AF$7)*OFFSET(ORÇAMENTO!$W$15,ROW(AT128)-ROW(AT$15),0),15-13*ORÇAMENTO!$AF$11)),
         0)</f>
        <v>0</v>
      </c>
      <c r="AU128" s="453">
        <f ca="1">IF(AND($D128="Serviço",AU$12&lt;&gt;0,$H128&gt;0,OR(AUTOEVENTO&lt;&gt;"manual",$M128&lt;&gt;$A$15)),
        IF(Import.TipoArredondamento&lt;&gt;"TransfereGOV",
              ROUND(OFFSET($P128,0,AU$13),15-13*ORÇAMENTO!$AF$7)/$H128*OFFSET(ORÇAMENTO!$X$15,ROW(AU128)-ROW(AU$15),0),
              ROUND(ROUND(OFFSET($P128,0,AU$13),15-13*ORÇAMENTO!$AF$7)*OFFSET(ORÇAMENTO!$W$15,ROW(AU128)-ROW(AU$15),0),15-13*ORÇAMENTO!$AF$11)),
         0)</f>
        <v>0</v>
      </c>
      <c r="AV128" s="453">
        <f ca="1">IF(AND($D128="Serviço",AV$12&lt;&gt;0,$H128&gt;0,OR(AUTOEVENTO&lt;&gt;"manual",$M128&lt;&gt;$A$15)),
        IF(Import.TipoArredondamento&lt;&gt;"TransfereGOV",
              ROUND(OFFSET($P128,0,AV$13),15-13*ORÇAMENTO!$AF$7)/$H128*OFFSET(ORÇAMENTO!$X$15,ROW(AV128)-ROW(AV$15),0),
              ROUND(ROUND(OFFSET($P128,0,AV$13),15-13*ORÇAMENTO!$AF$7)*OFFSET(ORÇAMENTO!$W$15,ROW(AV128)-ROW(AV$15),0),15-13*ORÇAMENTO!$AF$11)),
         0)</f>
        <v>0</v>
      </c>
      <c r="AW128" s="453">
        <f ca="1">IF(AND($D128="Serviço",AW$12&lt;&gt;0,$H128&gt;0,OR(AUTOEVENTO&lt;&gt;"manual",$M128&lt;&gt;$A$15)),
        IF(Import.TipoArredondamento&lt;&gt;"TransfereGOV",
              ROUND(OFFSET($P128,0,AW$13),15-13*ORÇAMENTO!$AF$7)/$H128*OFFSET(ORÇAMENTO!$X$15,ROW(AW128)-ROW(AW$15),0),
              ROUND(ROUND(OFFSET($P128,0,AW$13),15-13*ORÇAMENTO!$AF$7)*OFFSET(ORÇAMENTO!$W$15,ROW(AW128)-ROW(AW$15),0),15-13*ORÇAMENTO!$AF$11)),
         0)</f>
        <v>0</v>
      </c>
      <c r="AX128" s="453">
        <f ca="1">IF(AND($D128="Serviço",AX$12&lt;&gt;0,$H128&gt;0,OR(AUTOEVENTO&lt;&gt;"manual",$M128&lt;&gt;$A$15)),
        IF(Import.TipoArredondamento&lt;&gt;"TransfereGOV",
              ROUND(OFFSET($P128,0,AX$13),15-13*ORÇAMENTO!$AF$7)/$H128*OFFSET(ORÇAMENTO!$X$15,ROW(AX128)-ROW(AX$15),0),
              ROUND(ROUND(OFFSET($P128,0,AX$13),15-13*ORÇAMENTO!$AF$7)*OFFSET(ORÇAMENTO!$W$15,ROW(AX128)-ROW(AX$15),0),15-13*ORÇAMENTO!$AF$11)),
         0)</f>
        <v>0</v>
      </c>
      <c r="AY128" s="453">
        <f ca="1">IF(AND($D128="Serviço",AY$12&lt;&gt;0,$H128&gt;0,OR(AUTOEVENTO&lt;&gt;"manual",$M128&lt;&gt;$A$15)),
        IF(Import.TipoArredondamento&lt;&gt;"TransfereGOV",
              ROUND(OFFSET($P128,0,AY$13),15-13*ORÇAMENTO!$AF$7)/$H128*OFFSET(ORÇAMENTO!$X$15,ROW(AY128)-ROW(AY$15),0),
              ROUND(ROUND(OFFSET($P128,0,AY$13),15-13*ORÇAMENTO!$AF$7)*OFFSET(ORÇAMENTO!$W$15,ROW(AY128)-ROW(AY$15),0),15-13*ORÇAMENTO!$AF$11)),
         0)</f>
        <v>0</v>
      </c>
      <c r="AZ128" s="453">
        <f ca="1">IF(AND($D128="Serviço",AZ$12&lt;&gt;0,$H128&gt;0,OR(AUTOEVENTO&lt;&gt;"manual",$M128&lt;&gt;$A$15)),
        IF(Import.TipoArredondamento&lt;&gt;"TransfereGOV",
              ROUND(OFFSET($P128,0,AZ$13),15-13*ORÇAMENTO!$AF$7)/$H128*OFFSET(ORÇAMENTO!$X$15,ROW(AZ128)-ROW(AZ$15),0),
              ROUND(ROUND(OFFSET($P128,0,AZ$13),15-13*ORÇAMENTO!$AF$7)*OFFSET(ORÇAMENTO!$W$15,ROW(AZ128)-ROW(AZ$15),0),15-13*ORÇAMENTO!$AF$11)),
         0)</f>
        <v>0</v>
      </c>
      <c r="BA128" s="453">
        <f ca="1">IF(AND($D128="Serviço",BA$12&lt;&gt;0,$H128&gt;0,OR(AUTOEVENTO&lt;&gt;"manual",$M128&lt;&gt;$A$15)),
        IF(Import.TipoArredondamento&lt;&gt;"TransfereGOV",
              ROUND(OFFSET($P128,0,BA$13),15-13*ORÇAMENTO!$AF$7)/$H128*OFFSET(ORÇAMENTO!$X$15,ROW(BA128)-ROW(BA$15),0),
              ROUND(ROUND(OFFSET($P128,0,BA$13),15-13*ORÇAMENTO!$AF$7)*OFFSET(ORÇAMENTO!$W$15,ROW(BA128)-ROW(BA$15),0),15-13*ORÇAMENTO!$AF$11)),
         0)</f>
        <v>0</v>
      </c>
      <c r="BC128" s="171">
        <f ca="1">IF(OR($D128&lt;&gt;"Serviço",AND(AUTOEVENTO="Manual",$M128=$A$15)),0,
         IF(OFFSET(CRONOPLE!$F$15,$M128-$A$15,BC$13)=0,10^12,OFFSET(CRONOPLE!$F$15,$M128-$A$15,BC$13)))</f>
        <v>1000000000000</v>
      </c>
      <c r="BD128" s="171">
        <f ca="1">IF(OR($D128&lt;&gt;"Serviço",AND(AUTOEVENTO="Manual",$M128=$A$15)),0,
         IF(OFFSET(CRONOPLE!$F$15,$M128-$A$15,BD$13)=0,10^12,OFFSET(CRONOPLE!$F$15,$M128-$A$15,BD$13)))</f>
        <v>1000000000000</v>
      </c>
      <c r="BE128" s="171">
        <f ca="1">IF(OR($D128&lt;&gt;"Serviço",AND(AUTOEVENTO="Manual",$M128=$A$15)),0,
         IF(OFFSET(CRONOPLE!$F$15,$M128-$A$15,BE$13)=0,10^12,OFFSET(CRONOPLE!$F$15,$M128-$A$15,BE$13)))</f>
        <v>1000000000000</v>
      </c>
      <c r="BF128" s="171">
        <f ca="1">IF(OR($D128&lt;&gt;"Serviço",AND(AUTOEVENTO="Manual",$M128=$A$15)),0,
         IF(OFFSET(CRONOPLE!$F$15,$M128-$A$15,BF$13)=0,10^12,OFFSET(CRONOPLE!$F$15,$M128-$A$15,BF$13)))</f>
        <v>1000000000000</v>
      </c>
      <c r="BG128" s="171">
        <f ca="1">IF(OR($D128&lt;&gt;"Serviço",AND(AUTOEVENTO="Manual",$M128=$A$15)),0,
         IF(OFFSET(CRONOPLE!$F$15,$M128-$A$15,BG$13)=0,10^12,OFFSET(CRONOPLE!$F$15,$M128-$A$15,BG$13)))</f>
        <v>1000000000000</v>
      </c>
      <c r="BH128" s="171">
        <f ca="1">IF(OR($D128&lt;&gt;"Serviço",AND(AUTOEVENTO="Manual",$M128=$A$15)),0,
         IF(OFFSET(CRONOPLE!$F$15,$M128-$A$15,BH$13)=0,10^12,OFFSET(CRONOPLE!$F$15,$M128-$A$15,BH$13)))</f>
        <v>9</v>
      </c>
      <c r="BI128" s="171">
        <f ca="1">IF(OR($D128&lt;&gt;"Serviço",AND(AUTOEVENTO="Manual",$M128=$A$15)),0,
         IF(OFFSET(CRONOPLE!$F$15,$M128-$A$15,BI$13)=0,10^12,OFFSET(CRONOPLE!$F$15,$M128-$A$15,BI$13)))</f>
        <v>1000000000000</v>
      </c>
      <c r="BJ128" s="171">
        <f ca="1">IF(OR($D128&lt;&gt;"Serviço",AND(AUTOEVENTO="Manual",$M128=$A$15)),0,
         IF(OFFSET(CRONOPLE!$F$15,$M128-$A$15,BJ$13)=0,10^12,OFFSET(CRONOPLE!$F$15,$M128-$A$15,BJ$13)))</f>
        <v>1000000000000</v>
      </c>
      <c r="BK128" s="171">
        <f ca="1">IF(OR($D128&lt;&gt;"Serviço",AND(AUTOEVENTO="Manual",$M128=$A$15)),0,
         IF(OFFSET(CRONOPLE!$F$15,$M128-$A$15,BK$13)=0,10^12,OFFSET(CRONOPLE!$F$15,$M128-$A$15,BK$13)))</f>
        <v>1000000000000</v>
      </c>
      <c r="BL128" s="171">
        <f ca="1">IF(OR($D128&lt;&gt;"Serviço",AND(AUTOEVENTO="Manual",$M128=$A$15)),0,
         IF(OFFSET(CRONOPLE!$F$15,$M128-$A$15,BL$13)=0,10^12,OFFSET(CRONOPLE!$F$15,$M128-$A$15,BL$13)))</f>
        <v>1000000000000</v>
      </c>
      <c r="BM128" s="171">
        <f ca="1">IF(OR($D128&lt;&gt;"Serviço",AND(AUTOEVENTO="Manual",$M128=$A$15)),0,
         IF(OFFSET(CRONOPLE!$F$15,$M128-$A$15,BM$13)=0,10^12,OFFSET(CRONOPLE!$F$15,$M128-$A$15,BM$13)))</f>
        <v>1000000000000</v>
      </c>
      <c r="BN128" s="171">
        <f ca="1">IF(OR($D128&lt;&gt;"Serviço",AND(AUTOEVENTO="Manual",$M128=$A$15)),0,
         IF(OFFSET(CRONOPLE!$F$15,$M128-$A$15,BN$13)=0,10^12,OFFSET(CRONOPLE!$F$15,$M128-$A$15,BN$13)))</f>
        <v>1000000000000</v>
      </c>
      <c r="BO128" s="171">
        <f ca="1">IF(OR($D128&lt;&gt;"Serviço",AND(AUTOEVENTO="Manual",$M128=$A$15)),0,
         IF(OFFSET(CRONOPLE!$F$15,$M128-$A$15,BO$13)=0,10^12,OFFSET(CRONOPLE!$F$15,$M128-$A$15,BO$13)))</f>
        <v>1000000000000</v>
      </c>
      <c r="BP128" s="171">
        <f ca="1">IF(OR($D128&lt;&gt;"Serviço",AND(AUTOEVENTO="Manual",$M128=$A$15)),0,
         IF(OFFSET(CRONOPLE!$F$15,$M128-$A$15,BP$13)=0,10^12,OFFSET(CRONOPLE!$F$15,$M128-$A$15,BP$13)))</f>
        <v>1000000000000</v>
      </c>
      <c r="BQ128" s="171">
        <f ca="1">IF(OR($D128&lt;&gt;"Serviço",AND(AUTOEVENTO="Manual",$M128=$A$15)),0,
         IF(OFFSET(CRONOPLE!$F$15,$M128-$A$15,BQ$13)=0,10^12,OFFSET(CRONOPLE!$F$15,$M128-$A$15,BQ$13)))</f>
        <v>1000000000000</v>
      </c>
      <c r="BR128" s="171">
        <f ca="1">IF(OR($D128&lt;&gt;"Serviço",AND(AUTOEVENTO="Manual",$M128=$A$15)),0,
         IF(OFFSET(CRONOPLE!$F$15,$M128-$A$15,BR$13)=0,10^12,OFFSET(CRONOPLE!$F$15,$M128-$A$15,BR$13)))</f>
        <v>1000000000000</v>
      </c>
      <c r="BS128" s="171">
        <f ca="1">IF(OR($D128&lt;&gt;"Serviço",AND(AUTOEVENTO="Manual",$M128=$A$15)),0,
         IF(OFFSET(CRONOPLE!$F$15,$M128-$A$15,BS$13)=0,10^12,OFFSET(CRONOPLE!$F$15,$M128-$A$15,BS$13)))</f>
        <v>1000000000000</v>
      </c>
      <c r="BT128" s="171">
        <f ca="1">IF(OR($D128&lt;&gt;"Serviço",AND(AUTOEVENTO="Manual",$M128=$A$15)),0,
         IF(OFFSET(CRONOPLE!$F$15,$M128-$A$15,BT$13)=0,10^12,OFFSET(CRONOPLE!$F$15,$M128-$A$15,BT$13)))</f>
        <v>1000000000000</v>
      </c>
      <c r="BV128" s="172" cm="1">
        <f t="array" aca="1" ref="BV128" ca="1">IF(OR($D128&lt;&gt;"Serviço",AND(AUTOEVENTO="Manual",$M128=$A$15),$M128&gt;(ROW(PLE.lastrow)-ROW(PLE.firstrow))),0,
           IF(OFFSET(PLE!$G$15,$M128-$A$15,BV$13)="",10^12,OFFSET(PLE!$G$15,$M128-$A$15,BV$13)))</f>
        <v>1000000000000</v>
      </c>
      <c r="BW128" s="172" cm="1">
        <f t="array" aca="1" ref="BW128" ca="1">IF(OR($D128&lt;&gt;"Serviço",AND(AUTOEVENTO="Manual",$M128=$A$15),$M128&gt;(ROW(PLE.lastrow)-ROW(PLE.firstrow))),0,
           IF(OFFSET(PLE!$G$15,$M128-$A$15,BW$13)="",10^12,OFFSET(PLE!$G$15,$M128-$A$15,BW$13)))</f>
        <v>1000000000000</v>
      </c>
      <c r="BX128" s="172" cm="1">
        <f t="array" aca="1" ref="BX128" ca="1">IF(OR($D128&lt;&gt;"Serviço",AND(AUTOEVENTO="Manual",$M128=$A$15),$M128&gt;(ROW(PLE.lastrow)-ROW(PLE.firstrow))),0,
           IF(OFFSET(PLE!$G$15,$M128-$A$15,BX$13)="",10^12,OFFSET(PLE!$G$15,$M128-$A$15,BX$13)))</f>
        <v>1000000000000</v>
      </c>
      <c r="BY128" s="172" cm="1">
        <f t="array" aca="1" ref="BY128" ca="1">IF(OR($D128&lt;&gt;"Serviço",AND(AUTOEVENTO="Manual",$M128=$A$15),$M128&gt;(ROW(PLE.lastrow)-ROW(PLE.firstrow))),0,
           IF(OFFSET(PLE!$G$15,$M128-$A$15,BY$13)="",10^12,OFFSET(PLE!$G$15,$M128-$A$15,BY$13)))</f>
        <v>1000000000000</v>
      </c>
      <c r="BZ128" s="172" cm="1">
        <f t="array" aca="1" ref="BZ128" ca="1">IF(OR($D128&lt;&gt;"Serviço",AND(AUTOEVENTO="Manual",$M128=$A$15),$M128&gt;(ROW(PLE.lastrow)-ROW(PLE.firstrow))),0,
           IF(OFFSET(PLE!$G$15,$M128-$A$15,BZ$13)="",10^12,OFFSET(PLE!$G$15,$M128-$A$15,BZ$13)))</f>
        <v>1000000000000</v>
      </c>
      <c r="CA128" s="172" cm="1">
        <f t="array" aca="1" ref="CA128" ca="1">IF(OR($D128&lt;&gt;"Serviço",AND(AUTOEVENTO="Manual",$M128=$A$15),$M128&gt;(ROW(PLE.lastrow)-ROW(PLE.firstrow))),0,
           IF(OFFSET(PLE!$G$15,$M128-$A$15,CA$13)="",10^12,OFFSET(PLE!$G$15,$M128-$A$15,CA$13)))</f>
        <v>1000000000000</v>
      </c>
      <c r="CB128" s="172" cm="1">
        <f t="array" aca="1" ref="CB128" ca="1">IF(OR($D128&lt;&gt;"Serviço",AND(AUTOEVENTO="Manual",$M128=$A$15),$M128&gt;(ROW(PLE.lastrow)-ROW(PLE.firstrow))),0,
           IF(OFFSET(PLE!$G$15,$M128-$A$15,CB$13)="",10^12,OFFSET(PLE!$G$15,$M128-$A$15,CB$13)))</f>
        <v>1000000000000</v>
      </c>
      <c r="CC128" s="172" cm="1">
        <f t="array" aca="1" ref="CC128" ca="1">IF(OR($D128&lt;&gt;"Serviço",AND(AUTOEVENTO="Manual",$M128=$A$15),$M128&gt;(ROW(PLE.lastrow)-ROW(PLE.firstrow))),0,
           IF(OFFSET(PLE!$G$15,$M128-$A$15,CC$13)="",10^12,OFFSET(PLE!$G$15,$M128-$A$15,CC$13)))</f>
        <v>1000000000000</v>
      </c>
      <c r="CD128" s="172" cm="1">
        <f t="array" aca="1" ref="CD128" ca="1">IF(OR($D128&lt;&gt;"Serviço",AND(AUTOEVENTO="Manual",$M128=$A$15),$M128&gt;(ROW(PLE.lastrow)-ROW(PLE.firstrow))),0,
           IF(OFFSET(PLE!$G$15,$M128-$A$15,CD$13)="",10^12,OFFSET(PLE!$G$15,$M128-$A$15,CD$13)))</f>
        <v>1000000000000</v>
      </c>
      <c r="CE128" s="172" cm="1">
        <f t="array" aca="1" ref="CE128" ca="1">IF(OR($D128&lt;&gt;"Serviço",AND(AUTOEVENTO="Manual",$M128=$A$15),$M128&gt;(ROW(PLE.lastrow)-ROW(PLE.firstrow))),0,
           IF(OFFSET(PLE!$G$15,$M128-$A$15,CE$13)="",10^12,OFFSET(PLE!$G$15,$M128-$A$15,CE$13)))</f>
        <v>1000000000000</v>
      </c>
      <c r="CF128" s="172" cm="1">
        <f t="array" aca="1" ref="CF128" ca="1">IF(OR($D128&lt;&gt;"Serviço",AND(AUTOEVENTO="Manual",$M128=$A$15),$M128&gt;(ROW(PLE.lastrow)-ROW(PLE.firstrow))),0,
           IF(OFFSET(PLE!$G$15,$M128-$A$15,CF$13)="",10^12,OFFSET(PLE!$G$15,$M128-$A$15,CF$13)))</f>
        <v>1000000000000</v>
      </c>
      <c r="CG128" s="172" cm="1">
        <f t="array" aca="1" ref="CG128" ca="1">IF(OR($D128&lt;&gt;"Serviço",AND(AUTOEVENTO="Manual",$M128=$A$15),$M128&gt;(ROW(PLE.lastrow)-ROW(PLE.firstrow))),0,
           IF(OFFSET(PLE!$G$15,$M128-$A$15,CG$13)="",10^12,OFFSET(PLE!$G$15,$M128-$A$15,CG$13)))</f>
        <v>1000000000000</v>
      </c>
      <c r="CH128" s="172" cm="1">
        <f t="array" aca="1" ref="CH128" ca="1">IF(OR($D128&lt;&gt;"Serviço",AND(AUTOEVENTO="Manual",$M128=$A$15),$M128&gt;(ROW(PLE.lastrow)-ROW(PLE.firstrow))),0,
           IF(OFFSET(PLE!$G$15,$M128-$A$15,CH$13)="",10^12,OFFSET(PLE!$G$15,$M128-$A$15,CH$13)))</f>
        <v>1000000000000</v>
      </c>
      <c r="CI128" s="172" cm="1">
        <f t="array" aca="1" ref="CI128" ca="1">IF(OR($D128&lt;&gt;"Serviço",AND(AUTOEVENTO="Manual",$M128=$A$15),$M128&gt;(ROW(PLE.lastrow)-ROW(PLE.firstrow))),0,
           IF(OFFSET(PLE!$G$15,$M128-$A$15,CI$13)="",10^12,OFFSET(PLE!$G$15,$M128-$A$15,CI$13)))</f>
        <v>1000000000000</v>
      </c>
      <c r="CJ128" s="172" cm="1">
        <f t="array" aca="1" ref="CJ128" ca="1">IF(OR($D128&lt;&gt;"Serviço",AND(AUTOEVENTO="Manual",$M128=$A$15),$M128&gt;(ROW(PLE.lastrow)-ROW(PLE.firstrow))),0,
           IF(OFFSET(PLE!$G$15,$M128-$A$15,CJ$13)="",10^12,OFFSET(PLE!$G$15,$M128-$A$15,CJ$13)))</f>
        <v>1000000000000</v>
      </c>
      <c r="CK128" s="172" cm="1">
        <f t="array" aca="1" ref="CK128" ca="1">IF(OR($D128&lt;&gt;"Serviço",AND(AUTOEVENTO="Manual",$M128=$A$15),$M128&gt;(ROW(PLE.lastrow)-ROW(PLE.firstrow))),0,
           IF(OFFSET(PLE!$G$15,$M128-$A$15,CK$13)="",10^12,OFFSET(PLE!$G$15,$M128-$A$15,CK$13)))</f>
        <v>1000000000000</v>
      </c>
      <c r="CL128" s="172" cm="1">
        <f t="array" aca="1" ref="CL128" ca="1">IF(OR($D128&lt;&gt;"Serviço",AND(AUTOEVENTO="Manual",$M128=$A$15),$M128&gt;(ROW(PLE.lastrow)-ROW(PLE.firstrow))),0,
           IF(OFFSET(PLE!$G$15,$M128-$A$15,CL$13)="",10^12,OFFSET(PLE!$G$15,$M128-$A$15,CL$13)))</f>
        <v>1000000000000</v>
      </c>
      <c r="CM128" s="172" cm="1">
        <f t="array" aca="1" ref="CM128" ca="1">IF(OR($D128&lt;&gt;"Serviço",AND(AUTOEVENTO="Manual",$M128=$A$15),$M128&gt;(ROW(PLE.lastrow)-ROW(PLE.firstrow))),0,
           IF(OFFSET(PLE!$G$15,$M128-$A$15,CM$13)="",10^12,OFFSET(PLE!$G$15,$M128-$A$15,CM$13)))</f>
        <v>1000000000000</v>
      </c>
    </row>
    <row r="129" spans="1:91" s="670" customFormat="1" ht="38.25" x14ac:dyDescent="0.2">
      <c r="A129" s="668">
        <f t="shared" ca="1" si="12"/>
        <v>25</v>
      </c>
      <c r="B129" s="668" t="str">
        <f ca="1">OFFSET(ORÇAMENTO!C$15,$L129,0)</f>
        <v>S</v>
      </c>
      <c r="C129" s="668" t="str">
        <f ca="1">OFFSET(ORÇAMENTO!L$15,$L129,0)</f>
        <v>F</v>
      </c>
      <c r="D129" s="116" t="str">
        <f ca="1">OFFSET(ORÇAMENTO!N$15,$L129,0)</f>
        <v>Serviço</v>
      </c>
      <c r="E129" s="117" t="str">
        <f ca="1">OFFSET(ORÇAMENTO!O$15,$L129,0)</f>
        <v>1.17.15.</v>
      </c>
      <c r="F129" s="163" t="str">
        <f ca="1">OFFSET(ORÇAMENTO!R$15,$L129,0)</f>
        <v>CABO DE COBRE FLEXÍVEL ISOLADO, 35 MM², ANTI-CHAMA 0,6/1,0 KV, PARA REDE ENTERRADA DE DISTRIBUIÇÃO DE ENERGIA ELÉTRICA - FORNECIMENTO E INSTALAÇÃO. AF_12/2021</v>
      </c>
      <c r="G129" s="164" t="str">
        <f ca="1">IF($D129&lt;&gt;"Serviço","",OFFSET(ORÇAMENTO!S$15,$L129,0))</f>
        <v>M</v>
      </c>
      <c r="H129" s="122" cm="1">
        <f t="array" aca="1" ref="H129" ca="1">IF($D129&lt;&gt;"Serviço",0,IF(ACOMPANHAMENTO="BM",ROUND(OFFSET(ORÇAMENTO!AJ$15,$L129,0),15-13*ORÇAMENTO!$AF$7),IF(IFERROR(CÁLCULO.FrentesPreenchidas,0)=0,0,SUM(ROUND(OFFSET($P129,0,1,1,CÁLCULO.FrentesPreenchidas),15-13*ORÇAMENTO!$AF$7)))))</f>
        <v>975</v>
      </c>
      <c r="I129" s="468" t="s">
        <v>1184</v>
      </c>
      <c r="J129" s="651" t="str" cm="1">
        <f t="array" aca="1" ref="J129" ca="1">IF(OR(B129&lt;&gt;"S",CÁLCULO.FrentesPreenchidas=0),"",IF(AND(ACOMPANHAMENTO="PLE",AUTOEVENTO="Manual",OR(H129&gt;0,ORÇAMENTO!AC129="QUANT."),OR(K129="",M129=0,N129="")),"►E",IF(AND(ACOMPANHAMENTO="PLE",ORÇAMENTO!AC129="QUANT."),"►Q",IF(AND(ACOMPANHAMENTO="PLE",H129&lt;&gt;SUMPRODUCT(($Q$1:$AI$1=1)*ROUND(Q129:AI129,15))),"►S",IF(AND(COUNTIF($P$11:$AI$11,"▼")=0,H129&gt;0,I129=""),"◄M","")))))</f>
        <v/>
      </c>
      <c r="K129" s="652" t="s">
        <v>1359</v>
      </c>
      <c r="L129" s="165">
        <f t="shared" ca="1" si="13"/>
        <v>114</v>
      </c>
      <c r="M129" s="166">
        <f ca="1">IF($D129&lt;&gt;"Serviço","",
          IF(AUTOEVENTO="manual",$A129,
                IF(ISERROR(MATCH($A129,$A$15:OFFSET($A129,-1,0),0)),MAX($M$15:OFFSET(M129,-1,0))+1,
                      INDEX($M$15:OFFSET(M129,-1,0),MATCH($A129,$A$15:OFFSET($A129,-1,0),0)))))</f>
        <v>25</v>
      </c>
      <c r="N129" s="167" t="str">
        <f ca="1">IF($D129&lt;&gt;"Serviço","",
         IF(AUTOEVENTO="Manual",
                IF($A129=0,"&lt;-- defina o número do agrupador",
                       OFFSET(EVENTOS!$D$15,$A129-$A$15,0)),
                OFFSET($F$15,$A129,0)))</f>
        <v>Instalações elétricas</v>
      </c>
      <c r="O129" s="168"/>
      <c r="Q129" s="168"/>
      <c r="R129" s="169"/>
      <c r="S129" s="169"/>
      <c r="T129" s="169"/>
      <c r="U129" s="169"/>
      <c r="V129" s="169">
        <v>975</v>
      </c>
      <c r="W129" s="169"/>
      <c r="X129" s="169"/>
      <c r="Y129" s="169"/>
      <c r="Z129" s="170"/>
      <c r="AA129" s="705"/>
      <c r="AB129" s="705"/>
      <c r="AC129" s="705"/>
      <c r="AD129" s="705"/>
      <c r="AE129" s="705"/>
      <c r="AF129" s="705"/>
      <c r="AG129" s="705"/>
      <c r="AH129" s="706"/>
      <c r="AJ129" s="453">
        <f ca="1">IF(AND($D129="Serviço",AJ$12&lt;&gt;0,$H129&gt;0,OR(AUTOEVENTO&lt;&gt;"manual",$M129&lt;&gt;$A$15)),
        IF(Import.TipoArredondamento&lt;&gt;"TransfereGOV",
              ROUND(OFFSET($P129,0,AJ$13),15-13*ORÇAMENTO!$AF$7)/$H129*OFFSET(ORÇAMENTO!$X$15,ROW(AJ129)-ROW(AJ$15),0),
              ROUND(ROUND(OFFSET($P129,0,AJ$13),15-13*ORÇAMENTO!$AF$7)*OFFSET(ORÇAMENTO!$W$15,ROW(AJ129)-ROW(AJ$15),0),15-13*ORÇAMENTO!$AF$11)),
         0)</f>
        <v>0</v>
      </c>
      <c r="AK129" s="453">
        <f ca="1">IF(AND($D129="Serviço",AK$12&lt;&gt;0,$H129&gt;0,OR(AUTOEVENTO&lt;&gt;"manual",$M129&lt;&gt;$A$15)),
        IF(Import.TipoArredondamento&lt;&gt;"TransfereGOV",
              ROUND(OFFSET($P129,0,AK$13),15-13*ORÇAMENTO!$AF$7)/$H129*OFFSET(ORÇAMENTO!$X$15,ROW(AK129)-ROW(AK$15),0),
              ROUND(ROUND(OFFSET($P129,0,AK$13),15-13*ORÇAMENTO!$AF$7)*OFFSET(ORÇAMENTO!$W$15,ROW(AK129)-ROW(AK$15),0),15-13*ORÇAMENTO!$AF$11)),
         0)</f>
        <v>0</v>
      </c>
      <c r="AL129" s="453">
        <f ca="1">IF(AND($D129="Serviço",AL$12&lt;&gt;0,$H129&gt;0,OR(AUTOEVENTO&lt;&gt;"manual",$M129&lt;&gt;$A$15)),
        IF(Import.TipoArredondamento&lt;&gt;"TransfereGOV",
              ROUND(OFFSET($P129,0,AL$13),15-13*ORÇAMENTO!$AF$7)/$H129*OFFSET(ORÇAMENTO!$X$15,ROW(AL129)-ROW(AL$15),0),
              ROUND(ROUND(OFFSET($P129,0,AL$13),15-13*ORÇAMENTO!$AF$7)*OFFSET(ORÇAMENTO!$W$15,ROW(AL129)-ROW(AL$15),0),15-13*ORÇAMENTO!$AF$11)),
         0)</f>
        <v>0</v>
      </c>
      <c r="AM129" s="453">
        <f ca="1">IF(AND($D129="Serviço",AM$12&lt;&gt;0,$H129&gt;0,OR(AUTOEVENTO&lt;&gt;"manual",$M129&lt;&gt;$A$15)),
        IF(Import.TipoArredondamento&lt;&gt;"TransfereGOV",
              ROUND(OFFSET($P129,0,AM$13),15-13*ORÇAMENTO!$AF$7)/$H129*OFFSET(ORÇAMENTO!$X$15,ROW(AM129)-ROW(AM$15),0),
              ROUND(ROUND(OFFSET($P129,0,AM$13),15-13*ORÇAMENTO!$AF$7)*OFFSET(ORÇAMENTO!$W$15,ROW(AM129)-ROW(AM$15),0),15-13*ORÇAMENTO!$AF$11)),
         0)</f>
        <v>0</v>
      </c>
      <c r="AN129" s="453">
        <f ca="1">IF(AND($D129="Serviço",AN$12&lt;&gt;0,$H129&gt;0,OR(AUTOEVENTO&lt;&gt;"manual",$M129&lt;&gt;$A$15)),
        IF(Import.TipoArredondamento&lt;&gt;"TransfereGOV",
              ROUND(OFFSET($P129,0,AN$13),15-13*ORÇAMENTO!$AF$7)/$H129*OFFSET(ORÇAMENTO!$X$15,ROW(AN129)-ROW(AN$15),0),
              ROUND(ROUND(OFFSET($P129,0,AN$13),15-13*ORÇAMENTO!$AF$7)*OFFSET(ORÇAMENTO!$W$15,ROW(AN129)-ROW(AN$15),0),15-13*ORÇAMENTO!$AF$11)),
         0)</f>
        <v>0</v>
      </c>
      <c r="AO129" s="453">
        <f ca="1">IF(AND($D129="Serviço",AO$12&lt;&gt;0,$H129&gt;0,OR(AUTOEVENTO&lt;&gt;"manual",$M129&lt;&gt;$A$15)),
        IF(Import.TipoArredondamento&lt;&gt;"TransfereGOV",
              ROUND(OFFSET($P129,0,AO$13),15-13*ORÇAMENTO!$AF$7)/$H129*OFFSET(ORÇAMENTO!$X$15,ROW(AO129)-ROW(AO$15),0),
              ROUND(ROUND(OFFSET($P129,0,AO$13),15-13*ORÇAMENTO!$AF$7)*OFFSET(ORÇAMENTO!$W$15,ROW(AO129)-ROW(AO$15),0),15-13*ORÇAMENTO!$AF$11)),
         0)</f>
        <v>51012</v>
      </c>
      <c r="AP129" s="453">
        <f ca="1">IF(AND($D129="Serviço",AP$12&lt;&gt;0,$H129&gt;0,OR(AUTOEVENTO&lt;&gt;"manual",$M129&lt;&gt;$A$15)),
        IF(Import.TipoArredondamento&lt;&gt;"TransfereGOV",
              ROUND(OFFSET($P129,0,AP$13),15-13*ORÇAMENTO!$AF$7)/$H129*OFFSET(ORÇAMENTO!$X$15,ROW(AP129)-ROW(AP$15),0),
              ROUND(ROUND(OFFSET($P129,0,AP$13),15-13*ORÇAMENTO!$AF$7)*OFFSET(ORÇAMENTO!$W$15,ROW(AP129)-ROW(AP$15),0),15-13*ORÇAMENTO!$AF$11)),
         0)</f>
        <v>0</v>
      </c>
      <c r="AQ129" s="453">
        <f ca="1">IF(AND($D129="Serviço",AQ$12&lt;&gt;0,$H129&gt;0,OR(AUTOEVENTO&lt;&gt;"manual",$M129&lt;&gt;$A$15)),
        IF(Import.TipoArredondamento&lt;&gt;"TransfereGOV",
              ROUND(OFFSET($P129,0,AQ$13),15-13*ORÇAMENTO!$AF$7)/$H129*OFFSET(ORÇAMENTO!$X$15,ROW(AQ129)-ROW(AQ$15),0),
              ROUND(ROUND(OFFSET($P129,0,AQ$13),15-13*ORÇAMENTO!$AF$7)*OFFSET(ORÇAMENTO!$W$15,ROW(AQ129)-ROW(AQ$15),0),15-13*ORÇAMENTO!$AF$11)),
         0)</f>
        <v>0</v>
      </c>
      <c r="AR129" s="453">
        <f ca="1">IF(AND($D129="Serviço",AR$12&lt;&gt;0,$H129&gt;0,OR(AUTOEVENTO&lt;&gt;"manual",$M129&lt;&gt;$A$15)),
        IF(Import.TipoArredondamento&lt;&gt;"TransfereGOV",
              ROUND(OFFSET($P129,0,AR$13),15-13*ORÇAMENTO!$AF$7)/$H129*OFFSET(ORÇAMENTO!$X$15,ROW(AR129)-ROW(AR$15),0),
              ROUND(ROUND(OFFSET($P129,0,AR$13),15-13*ORÇAMENTO!$AF$7)*OFFSET(ORÇAMENTO!$W$15,ROW(AR129)-ROW(AR$15),0),15-13*ORÇAMENTO!$AF$11)),
         0)</f>
        <v>0</v>
      </c>
      <c r="AS129" s="453">
        <f ca="1">IF(AND($D129="Serviço",AS$12&lt;&gt;0,$H129&gt;0,OR(AUTOEVENTO&lt;&gt;"manual",$M129&lt;&gt;$A$15)),
        IF(Import.TipoArredondamento&lt;&gt;"TransfereGOV",
              ROUND(OFFSET($P129,0,AS$13),15-13*ORÇAMENTO!$AF$7)/$H129*OFFSET(ORÇAMENTO!$X$15,ROW(AS129)-ROW(AS$15),0),
              ROUND(ROUND(OFFSET($P129,0,AS$13),15-13*ORÇAMENTO!$AF$7)*OFFSET(ORÇAMENTO!$W$15,ROW(AS129)-ROW(AS$15),0),15-13*ORÇAMENTO!$AF$11)),
         0)</f>
        <v>0</v>
      </c>
      <c r="AT129" s="453">
        <f ca="1">IF(AND($D129="Serviço",AT$12&lt;&gt;0,$H129&gt;0,OR(AUTOEVENTO&lt;&gt;"manual",$M129&lt;&gt;$A$15)),
        IF(Import.TipoArredondamento&lt;&gt;"TransfereGOV",
              ROUND(OFFSET($P129,0,AT$13),15-13*ORÇAMENTO!$AF$7)/$H129*OFFSET(ORÇAMENTO!$X$15,ROW(AT129)-ROW(AT$15),0),
              ROUND(ROUND(OFFSET($P129,0,AT$13),15-13*ORÇAMENTO!$AF$7)*OFFSET(ORÇAMENTO!$W$15,ROW(AT129)-ROW(AT$15),0),15-13*ORÇAMENTO!$AF$11)),
         0)</f>
        <v>0</v>
      </c>
      <c r="AU129" s="453">
        <f ca="1">IF(AND($D129="Serviço",AU$12&lt;&gt;0,$H129&gt;0,OR(AUTOEVENTO&lt;&gt;"manual",$M129&lt;&gt;$A$15)),
        IF(Import.TipoArredondamento&lt;&gt;"TransfereGOV",
              ROUND(OFFSET($P129,0,AU$13),15-13*ORÇAMENTO!$AF$7)/$H129*OFFSET(ORÇAMENTO!$X$15,ROW(AU129)-ROW(AU$15),0),
              ROUND(ROUND(OFFSET($P129,0,AU$13),15-13*ORÇAMENTO!$AF$7)*OFFSET(ORÇAMENTO!$W$15,ROW(AU129)-ROW(AU$15),0),15-13*ORÇAMENTO!$AF$11)),
         0)</f>
        <v>0</v>
      </c>
      <c r="AV129" s="453">
        <f ca="1">IF(AND($D129="Serviço",AV$12&lt;&gt;0,$H129&gt;0,OR(AUTOEVENTO&lt;&gt;"manual",$M129&lt;&gt;$A$15)),
        IF(Import.TipoArredondamento&lt;&gt;"TransfereGOV",
              ROUND(OFFSET($P129,0,AV$13),15-13*ORÇAMENTO!$AF$7)/$H129*OFFSET(ORÇAMENTO!$X$15,ROW(AV129)-ROW(AV$15),0),
              ROUND(ROUND(OFFSET($P129,0,AV$13),15-13*ORÇAMENTO!$AF$7)*OFFSET(ORÇAMENTO!$W$15,ROW(AV129)-ROW(AV$15),0),15-13*ORÇAMENTO!$AF$11)),
         0)</f>
        <v>0</v>
      </c>
      <c r="AW129" s="453">
        <f ca="1">IF(AND($D129="Serviço",AW$12&lt;&gt;0,$H129&gt;0,OR(AUTOEVENTO&lt;&gt;"manual",$M129&lt;&gt;$A$15)),
        IF(Import.TipoArredondamento&lt;&gt;"TransfereGOV",
              ROUND(OFFSET($P129,0,AW$13),15-13*ORÇAMENTO!$AF$7)/$H129*OFFSET(ORÇAMENTO!$X$15,ROW(AW129)-ROW(AW$15),0),
              ROUND(ROUND(OFFSET($P129,0,AW$13),15-13*ORÇAMENTO!$AF$7)*OFFSET(ORÇAMENTO!$W$15,ROW(AW129)-ROW(AW$15),0),15-13*ORÇAMENTO!$AF$11)),
         0)</f>
        <v>0</v>
      </c>
      <c r="AX129" s="453">
        <f ca="1">IF(AND($D129="Serviço",AX$12&lt;&gt;0,$H129&gt;0,OR(AUTOEVENTO&lt;&gt;"manual",$M129&lt;&gt;$A$15)),
        IF(Import.TipoArredondamento&lt;&gt;"TransfereGOV",
              ROUND(OFFSET($P129,0,AX$13),15-13*ORÇAMENTO!$AF$7)/$H129*OFFSET(ORÇAMENTO!$X$15,ROW(AX129)-ROW(AX$15),0),
              ROUND(ROUND(OFFSET($P129,0,AX$13),15-13*ORÇAMENTO!$AF$7)*OFFSET(ORÇAMENTO!$W$15,ROW(AX129)-ROW(AX$15),0),15-13*ORÇAMENTO!$AF$11)),
         0)</f>
        <v>0</v>
      </c>
      <c r="AY129" s="453">
        <f ca="1">IF(AND($D129="Serviço",AY$12&lt;&gt;0,$H129&gt;0,OR(AUTOEVENTO&lt;&gt;"manual",$M129&lt;&gt;$A$15)),
        IF(Import.TipoArredondamento&lt;&gt;"TransfereGOV",
              ROUND(OFFSET($P129,0,AY$13),15-13*ORÇAMENTO!$AF$7)/$H129*OFFSET(ORÇAMENTO!$X$15,ROW(AY129)-ROW(AY$15),0),
              ROUND(ROUND(OFFSET($P129,0,AY$13),15-13*ORÇAMENTO!$AF$7)*OFFSET(ORÇAMENTO!$W$15,ROW(AY129)-ROW(AY$15),0),15-13*ORÇAMENTO!$AF$11)),
         0)</f>
        <v>0</v>
      </c>
      <c r="AZ129" s="453">
        <f ca="1">IF(AND($D129="Serviço",AZ$12&lt;&gt;0,$H129&gt;0,OR(AUTOEVENTO&lt;&gt;"manual",$M129&lt;&gt;$A$15)),
        IF(Import.TipoArredondamento&lt;&gt;"TransfereGOV",
              ROUND(OFFSET($P129,0,AZ$13),15-13*ORÇAMENTO!$AF$7)/$H129*OFFSET(ORÇAMENTO!$X$15,ROW(AZ129)-ROW(AZ$15),0),
              ROUND(ROUND(OFFSET($P129,0,AZ$13),15-13*ORÇAMENTO!$AF$7)*OFFSET(ORÇAMENTO!$W$15,ROW(AZ129)-ROW(AZ$15),0),15-13*ORÇAMENTO!$AF$11)),
         0)</f>
        <v>0</v>
      </c>
      <c r="BA129" s="453">
        <f ca="1">IF(AND($D129="Serviço",BA$12&lt;&gt;0,$H129&gt;0,OR(AUTOEVENTO&lt;&gt;"manual",$M129&lt;&gt;$A$15)),
        IF(Import.TipoArredondamento&lt;&gt;"TransfereGOV",
              ROUND(OFFSET($P129,0,BA$13),15-13*ORÇAMENTO!$AF$7)/$H129*OFFSET(ORÇAMENTO!$X$15,ROW(BA129)-ROW(BA$15),0),
              ROUND(ROUND(OFFSET($P129,0,BA$13),15-13*ORÇAMENTO!$AF$7)*OFFSET(ORÇAMENTO!$W$15,ROW(BA129)-ROW(BA$15),0),15-13*ORÇAMENTO!$AF$11)),
         0)</f>
        <v>0</v>
      </c>
      <c r="BC129" s="171">
        <f ca="1">IF(OR($D129&lt;&gt;"Serviço",AND(AUTOEVENTO="Manual",$M129=$A$15)),0,
         IF(OFFSET(CRONOPLE!$F$15,$M129-$A$15,BC$13)=0,10^12,OFFSET(CRONOPLE!$F$15,$M129-$A$15,BC$13)))</f>
        <v>1000000000000</v>
      </c>
      <c r="BD129" s="171">
        <f ca="1">IF(OR($D129&lt;&gt;"Serviço",AND(AUTOEVENTO="Manual",$M129=$A$15)),0,
         IF(OFFSET(CRONOPLE!$F$15,$M129-$A$15,BD$13)=0,10^12,OFFSET(CRONOPLE!$F$15,$M129-$A$15,BD$13)))</f>
        <v>1000000000000</v>
      </c>
      <c r="BE129" s="171">
        <f ca="1">IF(OR($D129&lt;&gt;"Serviço",AND(AUTOEVENTO="Manual",$M129=$A$15)),0,
         IF(OFFSET(CRONOPLE!$F$15,$M129-$A$15,BE$13)=0,10^12,OFFSET(CRONOPLE!$F$15,$M129-$A$15,BE$13)))</f>
        <v>1000000000000</v>
      </c>
      <c r="BF129" s="171">
        <f ca="1">IF(OR($D129&lt;&gt;"Serviço",AND(AUTOEVENTO="Manual",$M129=$A$15)),0,
         IF(OFFSET(CRONOPLE!$F$15,$M129-$A$15,BF$13)=0,10^12,OFFSET(CRONOPLE!$F$15,$M129-$A$15,BF$13)))</f>
        <v>1000000000000</v>
      </c>
      <c r="BG129" s="171">
        <f ca="1">IF(OR($D129&lt;&gt;"Serviço",AND(AUTOEVENTO="Manual",$M129=$A$15)),0,
         IF(OFFSET(CRONOPLE!$F$15,$M129-$A$15,BG$13)=0,10^12,OFFSET(CRONOPLE!$F$15,$M129-$A$15,BG$13)))</f>
        <v>1000000000000</v>
      </c>
      <c r="BH129" s="171">
        <f ca="1">IF(OR($D129&lt;&gt;"Serviço",AND(AUTOEVENTO="Manual",$M129=$A$15)),0,
         IF(OFFSET(CRONOPLE!$F$15,$M129-$A$15,BH$13)=0,10^12,OFFSET(CRONOPLE!$F$15,$M129-$A$15,BH$13)))</f>
        <v>9</v>
      </c>
      <c r="BI129" s="171">
        <f ca="1">IF(OR($D129&lt;&gt;"Serviço",AND(AUTOEVENTO="Manual",$M129=$A$15)),0,
         IF(OFFSET(CRONOPLE!$F$15,$M129-$A$15,BI$13)=0,10^12,OFFSET(CRONOPLE!$F$15,$M129-$A$15,BI$13)))</f>
        <v>1000000000000</v>
      </c>
      <c r="BJ129" s="171">
        <f ca="1">IF(OR($D129&lt;&gt;"Serviço",AND(AUTOEVENTO="Manual",$M129=$A$15)),0,
         IF(OFFSET(CRONOPLE!$F$15,$M129-$A$15,BJ$13)=0,10^12,OFFSET(CRONOPLE!$F$15,$M129-$A$15,BJ$13)))</f>
        <v>1000000000000</v>
      </c>
      <c r="BK129" s="171">
        <f ca="1">IF(OR($D129&lt;&gt;"Serviço",AND(AUTOEVENTO="Manual",$M129=$A$15)),0,
         IF(OFFSET(CRONOPLE!$F$15,$M129-$A$15,BK$13)=0,10^12,OFFSET(CRONOPLE!$F$15,$M129-$A$15,BK$13)))</f>
        <v>1000000000000</v>
      </c>
      <c r="BL129" s="171">
        <f ca="1">IF(OR($D129&lt;&gt;"Serviço",AND(AUTOEVENTO="Manual",$M129=$A$15)),0,
         IF(OFFSET(CRONOPLE!$F$15,$M129-$A$15,BL$13)=0,10^12,OFFSET(CRONOPLE!$F$15,$M129-$A$15,BL$13)))</f>
        <v>1000000000000</v>
      </c>
      <c r="BM129" s="171">
        <f ca="1">IF(OR($D129&lt;&gt;"Serviço",AND(AUTOEVENTO="Manual",$M129=$A$15)),0,
         IF(OFFSET(CRONOPLE!$F$15,$M129-$A$15,BM$13)=0,10^12,OFFSET(CRONOPLE!$F$15,$M129-$A$15,BM$13)))</f>
        <v>1000000000000</v>
      </c>
      <c r="BN129" s="171">
        <f ca="1">IF(OR($D129&lt;&gt;"Serviço",AND(AUTOEVENTO="Manual",$M129=$A$15)),0,
         IF(OFFSET(CRONOPLE!$F$15,$M129-$A$15,BN$13)=0,10^12,OFFSET(CRONOPLE!$F$15,$M129-$A$15,BN$13)))</f>
        <v>1000000000000</v>
      </c>
      <c r="BO129" s="171">
        <f ca="1">IF(OR($D129&lt;&gt;"Serviço",AND(AUTOEVENTO="Manual",$M129=$A$15)),0,
         IF(OFFSET(CRONOPLE!$F$15,$M129-$A$15,BO$13)=0,10^12,OFFSET(CRONOPLE!$F$15,$M129-$A$15,BO$13)))</f>
        <v>1000000000000</v>
      </c>
      <c r="BP129" s="171">
        <f ca="1">IF(OR($D129&lt;&gt;"Serviço",AND(AUTOEVENTO="Manual",$M129=$A$15)),0,
         IF(OFFSET(CRONOPLE!$F$15,$M129-$A$15,BP$13)=0,10^12,OFFSET(CRONOPLE!$F$15,$M129-$A$15,BP$13)))</f>
        <v>1000000000000</v>
      </c>
      <c r="BQ129" s="171">
        <f ca="1">IF(OR($D129&lt;&gt;"Serviço",AND(AUTOEVENTO="Manual",$M129=$A$15)),0,
         IF(OFFSET(CRONOPLE!$F$15,$M129-$A$15,BQ$13)=0,10^12,OFFSET(CRONOPLE!$F$15,$M129-$A$15,BQ$13)))</f>
        <v>1000000000000</v>
      </c>
      <c r="BR129" s="171">
        <f ca="1">IF(OR($D129&lt;&gt;"Serviço",AND(AUTOEVENTO="Manual",$M129=$A$15)),0,
         IF(OFFSET(CRONOPLE!$F$15,$M129-$A$15,BR$13)=0,10^12,OFFSET(CRONOPLE!$F$15,$M129-$A$15,BR$13)))</f>
        <v>1000000000000</v>
      </c>
      <c r="BS129" s="171">
        <f ca="1">IF(OR($D129&lt;&gt;"Serviço",AND(AUTOEVENTO="Manual",$M129=$A$15)),0,
         IF(OFFSET(CRONOPLE!$F$15,$M129-$A$15,BS$13)=0,10^12,OFFSET(CRONOPLE!$F$15,$M129-$A$15,BS$13)))</f>
        <v>1000000000000</v>
      </c>
      <c r="BT129" s="171">
        <f ca="1">IF(OR($D129&lt;&gt;"Serviço",AND(AUTOEVENTO="Manual",$M129=$A$15)),0,
         IF(OFFSET(CRONOPLE!$F$15,$M129-$A$15,BT$13)=0,10^12,OFFSET(CRONOPLE!$F$15,$M129-$A$15,BT$13)))</f>
        <v>1000000000000</v>
      </c>
      <c r="BV129" s="172" cm="1">
        <f t="array" aca="1" ref="BV129" ca="1">IF(OR($D129&lt;&gt;"Serviço",AND(AUTOEVENTO="Manual",$M129=$A$15),$M129&gt;(ROW(PLE.lastrow)-ROW(PLE.firstrow))),0,
           IF(OFFSET(PLE!$G$15,$M129-$A$15,BV$13)="",10^12,OFFSET(PLE!$G$15,$M129-$A$15,BV$13)))</f>
        <v>1000000000000</v>
      </c>
      <c r="BW129" s="172" cm="1">
        <f t="array" aca="1" ref="BW129" ca="1">IF(OR($D129&lt;&gt;"Serviço",AND(AUTOEVENTO="Manual",$M129=$A$15),$M129&gt;(ROW(PLE.lastrow)-ROW(PLE.firstrow))),0,
           IF(OFFSET(PLE!$G$15,$M129-$A$15,BW$13)="",10^12,OFFSET(PLE!$G$15,$M129-$A$15,BW$13)))</f>
        <v>1000000000000</v>
      </c>
      <c r="BX129" s="172" cm="1">
        <f t="array" aca="1" ref="BX129" ca="1">IF(OR($D129&lt;&gt;"Serviço",AND(AUTOEVENTO="Manual",$M129=$A$15),$M129&gt;(ROW(PLE.lastrow)-ROW(PLE.firstrow))),0,
           IF(OFFSET(PLE!$G$15,$M129-$A$15,BX$13)="",10^12,OFFSET(PLE!$G$15,$M129-$A$15,BX$13)))</f>
        <v>1000000000000</v>
      </c>
      <c r="BY129" s="172" cm="1">
        <f t="array" aca="1" ref="BY129" ca="1">IF(OR($D129&lt;&gt;"Serviço",AND(AUTOEVENTO="Manual",$M129=$A$15),$M129&gt;(ROW(PLE.lastrow)-ROW(PLE.firstrow))),0,
           IF(OFFSET(PLE!$G$15,$M129-$A$15,BY$13)="",10^12,OFFSET(PLE!$G$15,$M129-$A$15,BY$13)))</f>
        <v>1000000000000</v>
      </c>
      <c r="BZ129" s="172" cm="1">
        <f t="array" aca="1" ref="BZ129" ca="1">IF(OR($D129&lt;&gt;"Serviço",AND(AUTOEVENTO="Manual",$M129=$A$15),$M129&gt;(ROW(PLE.lastrow)-ROW(PLE.firstrow))),0,
           IF(OFFSET(PLE!$G$15,$M129-$A$15,BZ$13)="",10^12,OFFSET(PLE!$G$15,$M129-$A$15,BZ$13)))</f>
        <v>1000000000000</v>
      </c>
      <c r="CA129" s="172" cm="1">
        <f t="array" aca="1" ref="CA129" ca="1">IF(OR($D129&lt;&gt;"Serviço",AND(AUTOEVENTO="Manual",$M129=$A$15),$M129&gt;(ROW(PLE.lastrow)-ROW(PLE.firstrow))),0,
           IF(OFFSET(PLE!$G$15,$M129-$A$15,CA$13)="",10^12,OFFSET(PLE!$G$15,$M129-$A$15,CA$13)))</f>
        <v>1000000000000</v>
      </c>
      <c r="CB129" s="172" cm="1">
        <f t="array" aca="1" ref="CB129" ca="1">IF(OR($D129&lt;&gt;"Serviço",AND(AUTOEVENTO="Manual",$M129=$A$15),$M129&gt;(ROW(PLE.lastrow)-ROW(PLE.firstrow))),0,
           IF(OFFSET(PLE!$G$15,$M129-$A$15,CB$13)="",10^12,OFFSET(PLE!$G$15,$M129-$A$15,CB$13)))</f>
        <v>1000000000000</v>
      </c>
      <c r="CC129" s="172" cm="1">
        <f t="array" aca="1" ref="CC129" ca="1">IF(OR($D129&lt;&gt;"Serviço",AND(AUTOEVENTO="Manual",$M129=$A$15),$M129&gt;(ROW(PLE.lastrow)-ROW(PLE.firstrow))),0,
           IF(OFFSET(PLE!$G$15,$M129-$A$15,CC$13)="",10^12,OFFSET(PLE!$G$15,$M129-$A$15,CC$13)))</f>
        <v>1000000000000</v>
      </c>
      <c r="CD129" s="172" cm="1">
        <f t="array" aca="1" ref="CD129" ca="1">IF(OR($D129&lt;&gt;"Serviço",AND(AUTOEVENTO="Manual",$M129=$A$15),$M129&gt;(ROW(PLE.lastrow)-ROW(PLE.firstrow))),0,
           IF(OFFSET(PLE!$G$15,$M129-$A$15,CD$13)="",10^12,OFFSET(PLE!$G$15,$M129-$A$15,CD$13)))</f>
        <v>1000000000000</v>
      </c>
      <c r="CE129" s="172" cm="1">
        <f t="array" aca="1" ref="CE129" ca="1">IF(OR($D129&lt;&gt;"Serviço",AND(AUTOEVENTO="Manual",$M129=$A$15),$M129&gt;(ROW(PLE.lastrow)-ROW(PLE.firstrow))),0,
           IF(OFFSET(PLE!$G$15,$M129-$A$15,CE$13)="",10^12,OFFSET(PLE!$G$15,$M129-$A$15,CE$13)))</f>
        <v>1000000000000</v>
      </c>
      <c r="CF129" s="172" cm="1">
        <f t="array" aca="1" ref="CF129" ca="1">IF(OR($D129&lt;&gt;"Serviço",AND(AUTOEVENTO="Manual",$M129=$A$15),$M129&gt;(ROW(PLE.lastrow)-ROW(PLE.firstrow))),0,
           IF(OFFSET(PLE!$G$15,$M129-$A$15,CF$13)="",10^12,OFFSET(PLE!$G$15,$M129-$A$15,CF$13)))</f>
        <v>1000000000000</v>
      </c>
      <c r="CG129" s="172" cm="1">
        <f t="array" aca="1" ref="CG129" ca="1">IF(OR($D129&lt;&gt;"Serviço",AND(AUTOEVENTO="Manual",$M129=$A$15),$M129&gt;(ROW(PLE.lastrow)-ROW(PLE.firstrow))),0,
           IF(OFFSET(PLE!$G$15,$M129-$A$15,CG$13)="",10^12,OFFSET(PLE!$G$15,$M129-$A$15,CG$13)))</f>
        <v>1000000000000</v>
      </c>
      <c r="CH129" s="172" cm="1">
        <f t="array" aca="1" ref="CH129" ca="1">IF(OR($D129&lt;&gt;"Serviço",AND(AUTOEVENTO="Manual",$M129=$A$15),$M129&gt;(ROW(PLE.lastrow)-ROW(PLE.firstrow))),0,
           IF(OFFSET(PLE!$G$15,$M129-$A$15,CH$13)="",10^12,OFFSET(PLE!$G$15,$M129-$A$15,CH$13)))</f>
        <v>1000000000000</v>
      </c>
      <c r="CI129" s="172" cm="1">
        <f t="array" aca="1" ref="CI129" ca="1">IF(OR($D129&lt;&gt;"Serviço",AND(AUTOEVENTO="Manual",$M129=$A$15),$M129&gt;(ROW(PLE.lastrow)-ROW(PLE.firstrow))),0,
           IF(OFFSET(PLE!$G$15,$M129-$A$15,CI$13)="",10^12,OFFSET(PLE!$G$15,$M129-$A$15,CI$13)))</f>
        <v>1000000000000</v>
      </c>
      <c r="CJ129" s="172" cm="1">
        <f t="array" aca="1" ref="CJ129" ca="1">IF(OR($D129&lt;&gt;"Serviço",AND(AUTOEVENTO="Manual",$M129=$A$15),$M129&gt;(ROW(PLE.lastrow)-ROW(PLE.firstrow))),0,
           IF(OFFSET(PLE!$G$15,$M129-$A$15,CJ$13)="",10^12,OFFSET(PLE!$G$15,$M129-$A$15,CJ$13)))</f>
        <v>1000000000000</v>
      </c>
      <c r="CK129" s="172" cm="1">
        <f t="array" aca="1" ref="CK129" ca="1">IF(OR($D129&lt;&gt;"Serviço",AND(AUTOEVENTO="Manual",$M129=$A$15),$M129&gt;(ROW(PLE.lastrow)-ROW(PLE.firstrow))),0,
           IF(OFFSET(PLE!$G$15,$M129-$A$15,CK$13)="",10^12,OFFSET(PLE!$G$15,$M129-$A$15,CK$13)))</f>
        <v>1000000000000</v>
      </c>
      <c r="CL129" s="172" cm="1">
        <f t="array" aca="1" ref="CL129" ca="1">IF(OR($D129&lt;&gt;"Serviço",AND(AUTOEVENTO="Manual",$M129=$A$15),$M129&gt;(ROW(PLE.lastrow)-ROW(PLE.firstrow))),0,
           IF(OFFSET(PLE!$G$15,$M129-$A$15,CL$13)="",10^12,OFFSET(PLE!$G$15,$M129-$A$15,CL$13)))</f>
        <v>1000000000000</v>
      </c>
      <c r="CM129" s="172" cm="1">
        <f t="array" aca="1" ref="CM129" ca="1">IF(OR($D129&lt;&gt;"Serviço",AND(AUTOEVENTO="Manual",$M129=$A$15),$M129&gt;(ROW(PLE.lastrow)-ROW(PLE.firstrow))),0,
           IF(OFFSET(PLE!$G$15,$M129-$A$15,CM$13)="",10^12,OFFSET(PLE!$G$15,$M129-$A$15,CM$13)))</f>
        <v>1000000000000</v>
      </c>
    </row>
    <row r="130" spans="1:91" s="670" customFormat="1" ht="38.25" x14ac:dyDescent="0.2">
      <c r="A130" s="668">
        <f t="shared" ca="1" si="12"/>
        <v>25</v>
      </c>
      <c r="B130" s="668" t="str">
        <f ca="1">OFFSET(ORÇAMENTO!C$15,$L130,0)</f>
        <v>S</v>
      </c>
      <c r="C130" s="668" t="str">
        <f ca="1">OFFSET(ORÇAMENTO!L$15,$L130,0)</f>
        <v>F</v>
      </c>
      <c r="D130" s="116" t="str">
        <f ca="1">OFFSET(ORÇAMENTO!N$15,$L130,0)</f>
        <v>Serviço</v>
      </c>
      <c r="E130" s="117" t="str">
        <f ca="1">OFFSET(ORÇAMENTO!O$15,$L130,0)</f>
        <v>1.17.16.</v>
      </c>
      <c r="F130" s="163" t="str">
        <f ca="1">OFFSET(ORÇAMENTO!R$15,$L130,0)</f>
        <v>CABO DE COBRE FLEXÍVEL ISOLADO, 50 MM², 0,6/1,0 KV, PARA REDE AÉREA DE DISTRIBUIÇÃO DE ENERGIA ELÉTRICA DE BAIXA TENSÃO - FORNECIMENTO E INSTALAÇÃO. AF_12/2025</v>
      </c>
      <c r="G130" s="164" t="str">
        <f ca="1">IF($D130&lt;&gt;"Serviço","",OFFSET(ORÇAMENTO!S$15,$L130,0))</f>
        <v>M</v>
      </c>
      <c r="H130" s="122" cm="1">
        <f t="array" aca="1" ref="H130" ca="1">IF($D130&lt;&gt;"Serviço",0,IF(ACOMPANHAMENTO="BM",ROUND(OFFSET(ORÇAMENTO!AJ$15,$L130,0),15-13*ORÇAMENTO!$AF$7),IF(IFERROR(CÁLCULO.FrentesPreenchidas,0)=0,0,SUM(ROUND(OFFSET($P130,0,1,1,CÁLCULO.FrentesPreenchidas),15-13*ORÇAMENTO!$AF$7)))))</f>
        <v>63</v>
      </c>
      <c r="I130" s="468" t="s">
        <v>1185</v>
      </c>
      <c r="J130" s="651" t="str" cm="1">
        <f t="array" aca="1" ref="J130" ca="1">IF(OR(B130&lt;&gt;"S",CÁLCULO.FrentesPreenchidas=0),"",IF(AND(ACOMPANHAMENTO="PLE",AUTOEVENTO="Manual",OR(H130&gt;0,ORÇAMENTO!AC130="QUANT."),OR(K130="",M130=0,N130="")),"►E",IF(AND(ACOMPANHAMENTO="PLE",ORÇAMENTO!AC130="QUANT."),"►Q",IF(AND(ACOMPANHAMENTO="PLE",H130&lt;&gt;SUMPRODUCT(($Q$1:$AI$1=1)*ROUND(Q130:AI130,15))),"►S",IF(AND(COUNTIF($P$11:$AI$11,"▼")=0,H130&gt;0,I130=""),"◄M","")))))</f>
        <v/>
      </c>
      <c r="K130" s="652" t="s">
        <v>1359</v>
      </c>
      <c r="L130" s="165">
        <f t="shared" ca="1" si="13"/>
        <v>115</v>
      </c>
      <c r="M130" s="166">
        <f ca="1">IF($D130&lt;&gt;"Serviço","",
          IF(AUTOEVENTO="manual",$A130,
                IF(ISERROR(MATCH($A130,$A$15:OFFSET($A130,-1,0),0)),MAX($M$15:OFFSET(M130,-1,0))+1,
                      INDEX($M$15:OFFSET(M130,-1,0),MATCH($A130,$A$15:OFFSET($A130,-1,0),0)))))</f>
        <v>25</v>
      </c>
      <c r="N130" s="167" t="str">
        <f ca="1">IF($D130&lt;&gt;"Serviço","",
         IF(AUTOEVENTO="Manual",
                IF($A130=0,"&lt;-- defina o número do agrupador",
                       OFFSET(EVENTOS!$D$15,$A130-$A$15,0)),
                OFFSET($F$15,$A130,0)))</f>
        <v>Instalações elétricas</v>
      </c>
      <c r="O130" s="168"/>
      <c r="Q130" s="168"/>
      <c r="R130" s="169"/>
      <c r="S130" s="169"/>
      <c r="T130" s="169"/>
      <c r="U130" s="169"/>
      <c r="V130" s="169">
        <v>63</v>
      </c>
      <c r="W130" s="169"/>
      <c r="X130" s="169"/>
      <c r="Y130" s="169"/>
      <c r="Z130" s="170"/>
      <c r="AA130" s="705"/>
      <c r="AB130" s="705"/>
      <c r="AC130" s="705"/>
      <c r="AD130" s="705"/>
      <c r="AE130" s="705"/>
      <c r="AF130" s="705"/>
      <c r="AG130" s="705"/>
      <c r="AH130" s="706"/>
      <c r="AJ130" s="453">
        <f ca="1">IF(AND($D130="Serviço",AJ$12&lt;&gt;0,$H130&gt;0,OR(AUTOEVENTO&lt;&gt;"manual",$M130&lt;&gt;$A$15)),
        IF(Import.TipoArredondamento&lt;&gt;"TransfereGOV",
              ROUND(OFFSET($P130,0,AJ$13),15-13*ORÇAMENTO!$AF$7)/$H130*OFFSET(ORÇAMENTO!$X$15,ROW(AJ130)-ROW(AJ$15),0),
              ROUND(ROUND(OFFSET($P130,0,AJ$13),15-13*ORÇAMENTO!$AF$7)*OFFSET(ORÇAMENTO!$W$15,ROW(AJ130)-ROW(AJ$15),0),15-13*ORÇAMENTO!$AF$11)),
         0)</f>
        <v>0</v>
      </c>
      <c r="AK130" s="453">
        <f ca="1">IF(AND($D130="Serviço",AK$12&lt;&gt;0,$H130&gt;0,OR(AUTOEVENTO&lt;&gt;"manual",$M130&lt;&gt;$A$15)),
        IF(Import.TipoArredondamento&lt;&gt;"TransfereGOV",
              ROUND(OFFSET($P130,0,AK$13),15-13*ORÇAMENTO!$AF$7)/$H130*OFFSET(ORÇAMENTO!$X$15,ROW(AK130)-ROW(AK$15),0),
              ROUND(ROUND(OFFSET($P130,0,AK$13),15-13*ORÇAMENTO!$AF$7)*OFFSET(ORÇAMENTO!$W$15,ROW(AK130)-ROW(AK$15),0),15-13*ORÇAMENTO!$AF$11)),
         0)</f>
        <v>0</v>
      </c>
      <c r="AL130" s="453">
        <f ca="1">IF(AND($D130="Serviço",AL$12&lt;&gt;0,$H130&gt;0,OR(AUTOEVENTO&lt;&gt;"manual",$M130&lt;&gt;$A$15)),
        IF(Import.TipoArredondamento&lt;&gt;"TransfereGOV",
              ROUND(OFFSET($P130,0,AL$13),15-13*ORÇAMENTO!$AF$7)/$H130*OFFSET(ORÇAMENTO!$X$15,ROW(AL130)-ROW(AL$15),0),
              ROUND(ROUND(OFFSET($P130,0,AL$13),15-13*ORÇAMENTO!$AF$7)*OFFSET(ORÇAMENTO!$W$15,ROW(AL130)-ROW(AL$15),0),15-13*ORÇAMENTO!$AF$11)),
         0)</f>
        <v>0</v>
      </c>
      <c r="AM130" s="453">
        <f ca="1">IF(AND($D130="Serviço",AM$12&lt;&gt;0,$H130&gt;0,OR(AUTOEVENTO&lt;&gt;"manual",$M130&lt;&gt;$A$15)),
        IF(Import.TipoArredondamento&lt;&gt;"TransfereGOV",
              ROUND(OFFSET($P130,0,AM$13),15-13*ORÇAMENTO!$AF$7)/$H130*OFFSET(ORÇAMENTO!$X$15,ROW(AM130)-ROW(AM$15),0),
              ROUND(ROUND(OFFSET($P130,0,AM$13),15-13*ORÇAMENTO!$AF$7)*OFFSET(ORÇAMENTO!$W$15,ROW(AM130)-ROW(AM$15),0),15-13*ORÇAMENTO!$AF$11)),
         0)</f>
        <v>0</v>
      </c>
      <c r="AN130" s="453">
        <f ca="1">IF(AND($D130="Serviço",AN$12&lt;&gt;0,$H130&gt;0,OR(AUTOEVENTO&lt;&gt;"manual",$M130&lt;&gt;$A$15)),
        IF(Import.TipoArredondamento&lt;&gt;"TransfereGOV",
              ROUND(OFFSET($P130,0,AN$13),15-13*ORÇAMENTO!$AF$7)/$H130*OFFSET(ORÇAMENTO!$X$15,ROW(AN130)-ROW(AN$15),0),
              ROUND(ROUND(OFFSET($P130,0,AN$13),15-13*ORÇAMENTO!$AF$7)*OFFSET(ORÇAMENTO!$W$15,ROW(AN130)-ROW(AN$15),0),15-13*ORÇAMENTO!$AF$11)),
         0)</f>
        <v>0</v>
      </c>
      <c r="AO130" s="453">
        <f ca="1">IF(AND($D130="Serviço",AO$12&lt;&gt;0,$H130&gt;0,OR(AUTOEVENTO&lt;&gt;"manual",$M130&lt;&gt;$A$15)),
        IF(Import.TipoArredondamento&lt;&gt;"TransfereGOV",
              ROUND(OFFSET($P130,0,AO$13),15-13*ORÇAMENTO!$AF$7)/$H130*OFFSET(ORÇAMENTO!$X$15,ROW(AO130)-ROW(AO$15),0),
              ROUND(ROUND(OFFSET($P130,0,AO$13),15-13*ORÇAMENTO!$AF$7)*OFFSET(ORÇAMENTO!$W$15,ROW(AO130)-ROW(AO$15),0),15-13*ORÇAMENTO!$AF$11)),
         0)</f>
        <v>4488.12</v>
      </c>
      <c r="AP130" s="453">
        <f ca="1">IF(AND($D130="Serviço",AP$12&lt;&gt;0,$H130&gt;0,OR(AUTOEVENTO&lt;&gt;"manual",$M130&lt;&gt;$A$15)),
        IF(Import.TipoArredondamento&lt;&gt;"TransfereGOV",
              ROUND(OFFSET($P130,0,AP$13),15-13*ORÇAMENTO!$AF$7)/$H130*OFFSET(ORÇAMENTO!$X$15,ROW(AP130)-ROW(AP$15),0),
              ROUND(ROUND(OFFSET($P130,0,AP$13),15-13*ORÇAMENTO!$AF$7)*OFFSET(ORÇAMENTO!$W$15,ROW(AP130)-ROW(AP$15),0),15-13*ORÇAMENTO!$AF$11)),
         0)</f>
        <v>0</v>
      </c>
      <c r="AQ130" s="453">
        <f ca="1">IF(AND($D130="Serviço",AQ$12&lt;&gt;0,$H130&gt;0,OR(AUTOEVENTO&lt;&gt;"manual",$M130&lt;&gt;$A$15)),
        IF(Import.TipoArredondamento&lt;&gt;"TransfereGOV",
              ROUND(OFFSET($P130,0,AQ$13),15-13*ORÇAMENTO!$AF$7)/$H130*OFFSET(ORÇAMENTO!$X$15,ROW(AQ130)-ROW(AQ$15),0),
              ROUND(ROUND(OFFSET($P130,0,AQ$13),15-13*ORÇAMENTO!$AF$7)*OFFSET(ORÇAMENTO!$W$15,ROW(AQ130)-ROW(AQ$15),0),15-13*ORÇAMENTO!$AF$11)),
         0)</f>
        <v>0</v>
      </c>
      <c r="AR130" s="453">
        <f ca="1">IF(AND($D130="Serviço",AR$12&lt;&gt;0,$H130&gt;0,OR(AUTOEVENTO&lt;&gt;"manual",$M130&lt;&gt;$A$15)),
        IF(Import.TipoArredondamento&lt;&gt;"TransfereGOV",
              ROUND(OFFSET($P130,0,AR$13),15-13*ORÇAMENTO!$AF$7)/$H130*OFFSET(ORÇAMENTO!$X$15,ROW(AR130)-ROW(AR$15),0),
              ROUND(ROUND(OFFSET($P130,0,AR$13),15-13*ORÇAMENTO!$AF$7)*OFFSET(ORÇAMENTO!$W$15,ROW(AR130)-ROW(AR$15),0),15-13*ORÇAMENTO!$AF$11)),
         0)</f>
        <v>0</v>
      </c>
      <c r="AS130" s="453">
        <f ca="1">IF(AND($D130="Serviço",AS$12&lt;&gt;0,$H130&gt;0,OR(AUTOEVENTO&lt;&gt;"manual",$M130&lt;&gt;$A$15)),
        IF(Import.TipoArredondamento&lt;&gt;"TransfereGOV",
              ROUND(OFFSET($P130,0,AS$13),15-13*ORÇAMENTO!$AF$7)/$H130*OFFSET(ORÇAMENTO!$X$15,ROW(AS130)-ROW(AS$15),0),
              ROUND(ROUND(OFFSET($P130,0,AS$13),15-13*ORÇAMENTO!$AF$7)*OFFSET(ORÇAMENTO!$W$15,ROW(AS130)-ROW(AS$15),0),15-13*ORÇAMENTO!$AF$11)),
         0)</f>
        <v>0</v>
      </c>
      <c r="AT130" s="453">
        <f ca="1">IF(AND($D130="Serviço",AT$12&lt;&gt;0,$H130&gt;0,OR(AUTOEVENTO&lt;&gt;"manual",$M130&lt;&gt;$A$15)),
        IF(Import.TipoArredondamento&lt;&gt;"TransfereGOV",
              ROUND(OFFSET($P130,0,AT$13),15-13*ORÇAMENTO!$AF$7)/$H130*OFFSET(ORÇAMENTO!$X$15,ROW(AT130)-ROW(AT$15),0),
              ROUND(ROUND(OFFSET($P130,0,AT$13),15-13*ORÇAMENTO!$AF$7)*OFFSET(ORÇAMENTO!$W$15,ROW(AT130)-ROW(AT$15),0),15-13*ORÇAMENTO!$AF$11)),
         0)</f>
        <v>0</v>
      </c>
      <c r="AU130" s="453">
        <f ca="1">IF(AND($D130="Serviço",AU$12&lt;&gt;0,$H130&gt;0,OR(AUTOEVENTO&lt;&gt;"manual",$M130&lt;&gt;$A$15)),
        IF(Import.TipoArredondamento&lt;&gt;"TransfereGOV",
              ROUND(OFFSET($P130,0,AU$13),15-13*ORÇAMENTO!$AF$7)/$H130*OFFSET(ORÇAMENTO!$X$15,ROW(AU130)-ROW(AU$15),0),
              ROUND(ROUND(OFFSET($P130,0,AU$13),15-13*ORÇAMENTO!$AF$7)*OFFSET(ORÇAMENTO!$W$15,ROW(AU130)-ROW(AU$15),0),15-13*ORÇAMENTO!$AF$11)),
         0)</f>
        <v>0</v>
      </c>
      <c r="AV130" s="453">
        <f ca="1">IF(AND($D130="Serviço",AV$12&lt;&gt;0,$H130&gt;0,OR(AUTOEVENTO&lt;&gt;"manual",$M130&lt;&gt;$A$15)),
        IF(Import.TipoArredondamento&lt;&gt;"TransfereGOV",
              ROUND(OFFSET($P130,0,AV$13),15-13*ORÇAMENTO!$AF$7)/$H130*OFFSET(ORÇAMENTO!$X$15,ROW(AV130)-ROW(AV$15),0),
              ROUND(ROUND(OFFSET($P130,0,AV$13),15-13*ORÇAMENTO!$AF$7)*OFFSET(ORÇAMENTO!$W$15,ROW(AV130)-ROW(AV$15),0),15-13*ORÇAMENTO!$AF$11)),
         0)</f>
        <v>0</v>
      </c>
      <c r="AW130" s="453">
        <f ca="1">IF(AND($D130="Serviço",AW$12&lt;&gt;0,$H130&gt;0,OR(AUTOEVENTO&lt;&gt;"manual",$M130&lt;&gt;$A$15)),
        IF(Import.TipoArredondamento&lt;&gt;"TransfereGOV",
              ROUND(OFFSET($P130,0,AW$13),15-13*ORÇAMENTO!$AF$7)/$H130*OFFSET(ORÇAMENTO!$X$15,ROW(AW130)-ROW(AW$15),0),
              ROUND(ROUND(OFFSET($P130,0,AW$13),15-13*ORÇAMENTO!$AF$7)*OFFSET(ORÇAMENTO!$W$15,ROW(AW130)-ROW(AW$15),0),15-13*ORÇAMENTO!$AF$11)),
         0)</f>
        <v>0</v>
      </c>
      <c r="AX130" s="453">
        <f ca="1">IF(AND($D130="Serviço",AX$12&lt;&gt;0,$H130&gt;0,OR(AUTOEVENTO&lt;&gt;"manual",$M130&lt;&gt;$A$15)),
        IF(Import.TipoArredondamento&lt;&gt;"TransfereGOV",
              ROUND(OFFSET($P130,0,AX$13),15-13*ORÇAMENTO!$AF$7)/$H130*OFFSET(ORÇAMENTO!$X$15,ROW(AX130)-ROW(AX$15),0),
              ROUND(ROUND(OFFSET($P130,0,AX$13),15-13*ORÇAMENTO!$AF$7)*OFFSET(ORÇAMENTO!$W$15,ROW(AX130)-ROW(AX$15),0),15-13*ORÇAMENTO!$AF$11)),
         0)</f>
        <v>0</v>
      </c>
      <c r="AY130" s="453">
        <f ca="1">IF(AND($D130="Serviço",AY$12&lt;&gt;0,$H130&gt;0,OR(AUTOEVENTO&lt;&gt;"manual",$M130&lt;&gt;$A$15)),
        IF(Import.TipoArredondamento&lt;&gt;"TransfereGOV",
              ROUND(OFFSET($P130,0,AY$13),15-13*ORÇAMENTO!$AF$7)/$H130*OFFSET(ORÇAMENTO!$X$15,ROW(AY130)-ROW(AY$15),0),
              ROUND(ROUND(OFFSET($P130,0,AY$13),15-13*ORÇAMENTO!$AF$7)*OFFSET(ORÇAMENTO!$W$15,ROW(AY130)-ROW(AY$15),0),15-13*ORÇAMENTO!$AF$11)),
         0)</f>
        <v>0</v>
      </c>
      <c r="AZ130" s="453">
        <f ca="1">IF(AND($D130="Serviço",AZ$12&lt;&gt;0,$H130&gt;0,OR(AUTOEVENTO&lt;&gt;"manual",$M130&lt;&gt;$A$15)),
        IF(Import.TipoArredondamento&lt;&gt;"TransfereGOV",
              ROUND(OFFSET($P130,0,AZ$13),15-13*ORÇAMENTO!$AF$7)/$H130*OFFSET(ORÇAMENTO!$X$15,ROW(AZ130)-ROW(AZ$15),0),
              ROUND(ROUND(OFFSET($P130,0,AZ$13),15-13*ORÇAMENTO!$AF$7)*OFFSET(ORÇAMENTO!$W$15,ROW(AZ130)-ROW(AZ$15),0),15-13*ORÇAMENTO!$AF$11)),
         0)</f>
        <v>0</v>
      </c>
      <c r="BA130" s="453">
        <f ca="1">IF(AND($D130="Serviço",BA$12&lt;&gt;0,$H130&gt;0,OR(AUTOEVENTO&lt;&gt;"manual",$M130&lt;&gt;$A$15)),
        IF(Import.TipoArredondamento&lt;&gt;"TransfereGOV",
              ROUND(OFFSET($P130,0,BA$13),15-13*ORÇAMENTO!$AF$7)/$H130*OFFSET(ORÇAMENTO!$X$15,ROW(BA130)-ROW(BA$15),0),
              ROUND(ROUND(OFFSET($P130,0,BA$13),15-13*ORÇAMENTO!$AF$7)*OFFSET(ORÇAMENTO!$W$15,ROW(BA130)-ROW(BA$15),0),15-13*ORÇAMENTO!$AF$11)),
         0)</f>
        <v>0</v>
      </c>
      <c r="BC130" s="171">
        <f ca="1">IF(OR($D130&lt;&gt;"Serviço",AND(AUTOEVENTO="Manual",$M130=$A$15)),0,
         IF(OFFSET(CRONOPLE!$F$15,$M130-$A$15,BC$13)=0,10^12,OFFSET(CRONOPLE!$F$15,$M130-$A$15,BC$13)))</f>
        <v>1000000000000</v>
      </c>
      <c r="BD130" s="171">
        <f ca="1">IF(OR($D130&lt;&gt;"Serviço",AND(AUTOEVENTO="Manual",$M130=$A$15)),0,
         IF(OFFSET(CRONOPLE!$F$15,$M130-$A$15,BD$13)=0,10^12,OFFSET(CRONOPLE!$F$15,$M130-$A$15,BD$13)))</f>
        <v>1000000000000</v>
      </c>
      <c r="BE130" s="171">
        <f ca="1">IF(OR($D130&lt;&gt;"Serviço",AND(AUTOEVENTO="Manual",$M130=$A$15)),0,
         IF(OFFSET(CRONOPLE!$F$15,$M130-$A$15,BE$13)=0,10^12,OFFSET(CRONOPLE!$F$15,$M130-$A$15,BE$13)))</f>
        <v>1000000000000</v>
      </c>
      <c r="BF130" s="171">
        <f ca="1">IF(OR($D130&lt;&gt;"Serviço",AND(AUTOEVENTO="Manual",$M130=$A$15)),0,
         IF(OFFSET(CRONOPLE!$F$15,$M130-$A$15,BF$13)=0,10^12,OFFSET(CRONOPLE!$F$15,$M130-$A$15,BF$13)))</f>
        <v>1000000000000</v>
      </c>
      <c r="BG130" s="171">
        <f ca="1">IF(OR($D130&lt;&gt;"Serviço",AND(AUTOEVENTO="Manual",$M130=$A$15)),0,
         IF(OFFSET(CRONOPLE!$F$15,$M130-$A$15,BG$13)=0,10^12,OFFSET(CRONOPLE!$F$15,$M130-$A$15,BG$13)))</f>
        <v>1000000000000</v>
      </c>
      <c r="BH130" s="171">
        <f ca="1">IF(OR($D130&lt;&gt;"Serviço",AND(AUTOEVENTO="Manual",$M130=$A$15)),0,
         IF(OFFSET(CRONOPLE!$F$15,$M130-$A$15,BH$13)=0,10^12,OFFSET(CRONOPLE!$F$15,$M130-$A$15,BH$13)))</f>
        <v>9</v>
      </c>
      <c r="BI130" s="171">
        <f ca="1">IF(OR($D130&lt;&gt;"Serviço",AND(AUTOEVENTO="Manual",$M130=$A$15)),0,
         IF(OFFSET(CRONOPLE!$F$15,$M130-$A$15,BI$13)=0,10^12,OFFSET(CRONOPLE!$F$15,$M130-$A$15,BI$13)))</f>
        <v>1000000000000</v>
      </c>
      <c r="BJ130" s="171">
        <f ca="1">IF(OR($D130&lt;&gt;"Serviço",AND(AUTOEVENTO="Manual",$M130=$A$15)),0,
         IF(OFFSET(CRONOPLE!$F$15,$M130-$A$15,BJ$13)=0,10^12,OFFSET(CRONOPLE!$F$15,$M130-$A$15,BJ$13)))</f>
        <v>1000000000000</v>
      </c>
      <c r="BK130" s="171">
        <f ca="1">IF(OR($D130&lt;&gt;"Serviço",AND(AUTOEVENTO="Manual",$M130=$A$15)),0,
         IF(OFFSET(CRONOPLE!$F$15,$M130-$A$15,BK$13)=0,10^12,OFFSET(CRONOPLE!$F$15,$M130-$A$15,BK$13)))</f>
        <v>1000000000000</v>
      </c>
      <c r="BL130" s="171">
        <f ca="1">IF(OR($D130&lt;&gt;"Serviço",AND(AUTOEVENTO="Manual",$M130=$A$15)),0,
         IF(OFFSET(CRONOPLE!$F$15,$M130-$A$15,BL$13)=0,10^12,OFFSET(CRONOPLE!$F$15,$M130-$A$15,BL$13)))</f>
        <v>1000000000000</v>
      </c>
      <c r="BM130" s="171">
        <f ca="1">IF(OR($D130&lt;&gt;"Serviço",AND(AUTOEVENTO="Manual",$M130=$A$15)),0,
         IF(OFFSET(CRONOPLE!$F$15,$M130-$A$15,BM$13)=0,10^12,OFFSET(CRONOPLE!$F$15,$M130-$A$15,BM$13)))</f>
        <v>1000000000000</v>
      </c>
      <c r="BN130" s="171">
        <f ca="1">IF(OR($D130&lt;&gt;"Serviço",AND(AUTOEVENTO="Manual",$M130=$A$15)),0,
         IF(OFFSET(CRONOPLE!$F$15,$M130-$A$15,BN$13)=0,10^12,OFFSET(CRONOPLE!$F$15,$M130-$A$15,BN$13)))</f>
        <v>1000000000000</v>
      </c>
      <c r="BO130" s="171">
        <f ca="1">IF(OR($D130&lt;&gt;"Serviço",AND(AUTOEVENTO="Manual",$M130=$A$15)),0,
         IF(OFFSET(CRONOPLE!$F$15,$M130-$A$15,BO$13)=0,10^12,OFFSET(CRONOPLE!$F$15,$M130-$A$15,BO$13)))</f>
        <v>1000000000000</v>
      </c>
      <c r="BP130" s="171">
        <f ca="1">IF(OR($D130&lt;&gt;"Serviço",AND(AUTOEVENTO="Manual",$M130=$A$15)),0,
         IF(OFFSET(CRONOPLE!$F$15,$M130-$A$15,BP$13)=0,10^12,OFFSET(CRONOPLE!$F$15,$M130-$A$15,BP$13)))</f>
        <v>1000000000000</v>
      </c>
      <c r="BQ130" s="171">
        <f ca="1">IF(OR($D130&lt;&gt;"Serviço",AND(AUTOEVENTO="Manual",$M130=$A$15)),0,
         IF(OFFSET(CRONOPLE!$F$15,$M130-$A$15,BQ$13)=0,10^12,OFFSET(CRONOPLE!$F$15,$M130-$A$15,BQ$13)))</f>
        <v>1000000000000</v>
      </c>
      <c r="BR130" s="171">
        <f ca="1">IF(OR($D130&lt;&gt;"Serviço",AND(AUTOEVENTO="Manual",$M130=$A$15)),0,
         IF(OFFSET(CRONOPLE!$F$15,$M130-$A$15,BR$13)=0,10^12,OFFSET(CRONOPLE!$F$15,$M130-$A$15,BR$13)))</f>
        <v>1000000000000</v>
      </c>
      <c r="BS130" s="171">
        <f ca="1">IF(OR($D130&lt;&gt;"Serviço",AND(AUTOEVENTO="Manual",$M130=$A$15)),0,
         IF(OFFSET(CRONOPLE!$F$15,$M130-$A$15,BS$13)=0,10^12,OFFSET(CRONOPLE!$F$15,$M130-$A$15,BS$13)))</f>
        <v>1000000000000</v>
      </c>
      <c r="BT130" s="171">
        <f ca="1">IF(OR($D130&lt;&gt;"Serviço",AND(AUTOEVENTO="Manual",$M130=$A$15)),0,
         IF(OFFSET(CRONOPLE!$F$15,$M130-$A$15,BT$13)=0,10^12,OFFSET(CRONOPLE!$F$15,$M130-$A$15,BT$13)))</f>
        <v>1000000000000</v>
      </c>
      <c r="BV130" s="172" cm="1">
        <f t="array" aca="1" ref="BV130" ca="1">IF(OR($D130&lt;&gt;"Serviço",AND(AUTOEVENTO="Manual",$M130=$A$15),$M130&gt;(ROW(PLE.lastrow)-ROW(PLE.firstrow))),0,
           IF(OFFSET(PLE!$G$15,$M130-$A$15,BV$13)="",10^12,OFFSET(PLE!$G$15,$M130-$A$15,BV$13)))</f>
        <v>1000000000000</v>
      </c>
      <c r="BW130" s="172" cm="1">
        <f t="array" aca="1" ref="BW130" ca="1">IF(OR($D130&lt;&gt;"Serviço",AND(AUTOEVENTO="Manual",$M130=$A$15),$M130&gt;(ROW(PLE.lastrow)-ROW(PLE.firstrow))),0,
           IF(OFFSET(PLE!$G$15,$M130-$A$15,BW$13)="",10^12,OFFSET(PLE!$G$15,$M130-$A$15,BW$13)))</f>
        <v>1000000000000</v>
      </c>
      <c r="BX130" s="172" cm="1">
        <f t="array" aca="1" ref="BX130" ca="1">IF(OR($D130&lt;&gt;"Serviço",AND(AUTOEVENTO="Manual",$M130=$A$15),$M130&gt;(ROW(PLE.lastrow)-ROW(PLE.firstrow))),0,
           IF(OFFSET(PLE!$G$15,$M130-$A$15,BX$13)="",10^12,OFFSET(PLE!$G$15,$M130-$A$15,BX$13)))</f>
        <v>1000000000000</v>
      </c>
      <c r="BY130" s="172" cm="1">
        <f t="array" aca="1" ref="BY130" ca="1">IF(OR($D130&lt;&gt;"Serviço",AND(AUTOEVENTO="Manual",$M130=$A$15),$M130&gt;(ROW(PLE.lastrow)-ROW(PLE.firstrow))),0,
           IF(OFFSET(PLE!$G$15,$M130-$A$15,BY$13)="",10^12,OFFSET(PLE!$G$15,$M130-$A$15,BY$13)))</f>
        <v>1000000000000</v>
      </c>
      <c r="BZ130" s="172" cm="1">
        <f t="array" aca="1" ref="BZ130" ca="1">IF(OR($D130&lt;&gt;"Serviço",AND(AUTOEVENTO="Manual",$M130=$A$15),$M130&gt;(ROW(PLE.lastrow)-ROW(PLE.firstrow))),0,
           IF(OFFSET(PLE!$G$15,$M130-$A$15,BZ$13)="",10^12,OFFSET(PLE!$G$15,$M130-$A$15,BZ$13)))</f>
        <v>1000000000000</v>
      </c>
      <c r="CA130" s="172" cm="1">
        <f t="array" aca="1" ref="CA130" ca="1">IF(OR($D130&lt;&gt;"Serviço",AND(AUTOEVENTO="Manual",$M130=$A$15),$M130&gt;(ROW(PLE.lastrow)-ROW(PLE.firstrow))),0,
           IF(OFFSET(PLE!$G$15,$M130-$A$15,CA$13)="",10^12,OFFSET(PLE!$G$15,$M130-$A$15,CA$13)))</f>
        <v>1000000000000</v>
      </c>
      <c r="CB130" s="172" cm="1">
        <f t="array" aca="1" ref="CB130" ca="1">IF(OR($D130&lt;&gt;"Serviço",AND(AUTOEVENTO="Manual",$M130=$A$15),$M130&gt;(ROW(PLE.lastrow)-ROW(PLE.firstrow))),0,
           IF(OFFSET(PLE!$G$15,$M130-$A$15,CB$13)="",10^12,OFFSET(PLE!$G$15,$M130-$A$15,CB$13)))</f>
        <v>1000000000000</v>
      </c>
      <c r="CC130" s="172" cm="1">
        <f t="array" aca="1" ref="CC130" ca="1">IF(OR($D130&lt;&gt;"Serviço",AND(AUTOEVENTO="Manual",$M130=$A$15),$M130&gt;(ROW(PLE.lastrow)-ROW(PLE.firstrow))),0,
           IF(OFFSET(PLE!$G$15,$M130-$A$15,CC$13)="",10^12,OFFSET(PLE!$G$15,$M130-$A$15,CC$13)))</f>
        <v>1000000000000</v>
      </c>
      <c r="CD130" s="172" cm="1">
        <f t="array" aca="1" ref="CD130" ca="1">IF(OR($D130&lt;&gt;"Serviço",AND(AUTOEVENTO="Manual",$M130=$A$15),$M130&gt;(ROW(PLE.lastrow)-ROW(PLE.firstrow))),0,
           IF(OFFSET(PLE!$G$15,$M130-$A$15,CD$13)="",10^12,OFFSET(PLE!$G$15,$M130-$A$15,CD$13)))</f>
        <v>1000000000000</v>
      </c>
      <c r="CE130" s="172" cm="1">
        <f t="array" aca="1" ref="CE130" ca="1">IF(OR($D130&lt;&gt;"Serviço",AND(AUTOEVENTO="Manual",$M130=$A$15),$M130&gt;(ROW(PLE.lastrow)-ROW(PLE.firstrow))),0,
           IF(OFFSET(PLE!$G$15,$M130-$A$15,CE$13)="",10^12,OFFSET(PLE!$G$15,$M130-$A$15,CE$13)))</f>
        <v>1000000000000</v>
      </c>
      <c r="CF130" s="172" cm="1">
        <f t="array" aca="1" ref="CF130" ca="1">IF(OR($D130&lt;&gt;"Serviço",AND(AUTOEVENTO="Manual",$M130=$A$15),$M130&gt;(ROW(PLE.lastrow)-ROW(PLE.firstrow))),0,
           IF(OFFSET(PLE!$G$15,$M130-$A$15,CF$13)="",10^12,OFFSET(PLE!$G$15,$M130-$A$15,CF$13)))</f>
        <v>1000000000000</v>
      </c>
      <c r="CG130" s="172" cm="1">
        <f t="array" aca="1" ref="CG130" ca="1">IF(OR($D130&lt;&gt;"Serviço",AND(AUTOEVENTO="Manual",$M130=$A$15),$M130&gt;(ROW(PLE.lastrow)-ROW(PLE.firstrow))),0,
           IF(OFFSET(PLE!$G$15,$M130-$A$15,CG$13)="",10^12,OFFSET(PLE!$G$15,$M130-$A$15,CG$13)))</f>
        <v>1000000000000</v>
      </c>
      <c r="CH130" s="172" cm="1">
        <f t="array" aca="1" ref="CH130" ca="1">IF(OR($D130&lt;&gt;"Serviço",AND(AUTOEVENTO="Manual",$M130=$A$15),$M130&gt;(ROW(PLE.lastrow)-ROW(PLE.firstrow))),0,
           IF(OFFSET(PLE!$G$15,$M130-$A$15,CH$13)="",10^12,OFFSET(PLE!$G$15,$M130-$A$15,CH$13)))</f>
        <v>1000000000000</v>
      </c>
      <c r="CI130" s="172" cm="1">
        <f t="array" aca="1" ref="CI130" ca="1">IF(OR($D130&lt;&gt;"Serviço",AND(AUTOEVENTO="Manual",$M130=$A$15),$M130&gt;(ROW(PLE.lastrow)-ROW(PLE.firstrow))),0,
           IF(OFFSET(PLE!$G$15,$M130-$A$15,CI$13)="",10^12,OFFSET(PLE!$G$15,$M130-$A$15,CI$13)))</f>
        <v>1000000000000</v>
      </c>
      <c r="CJ130" s="172" cm="1">
        <f t="array" aca="1" ref="CJ130" ca="1">IF(OR($D130&lt;&gt;"Serviço",AND(AUTOEVENTO="Manual",$M130=$A$15),$M130&gt;(ROW(PLE.lastrow)-ROW(PLE.firstrow))),0,
           IF(OFFSET(PLE!$G$15,$M130-$A$15,CJ$13)="",10^12,OFFSET(PLE!$G$15,$M130-$A$15,CJ$13)))</f>
        <v>1000000000000</v>
      </c>
      <c r="CK130" s="172" cm="1">
        <f t="array" aca="1" ref="CK130" ca="1">IF(OR($D130&lt;&gt;"Serviço",AND(AUTOEVENTO="Manual",$M130=$A$15),$M130&gt;(ROW(PLE.lastrow)-ROW(PLE.firstrow))),0,
           IF(OFFSET(PLE!$G$15,$M130-$A$15,CK$13)="",10^12,OFFSET(PLE!$G$15,$M130-$A$15,CK$13)))</f>
        <v>1000000000000</v>
      </c>
      <c r="CL130" s="172" cm="1">
        <f t="array" aca="1" ref="CL130" ca="1">IF(OR($D130&lt;&gt;"Serviço",AND(AUTOEVENTO="Manual",$M130=$A$15),$M130&gt;(ROW(PLE.lastrow)-ROW(PLE.firstrow))),0,
           IF(OFFSET(PLE!$G$15,$M130-$A$15,CL$13)="",10^12,OFFSET(PLE!$G$15,$M130-$A$15,CL$13)))</f>
        <v>1000000000000</v>
      </c>
      <c r="CM130" s="172" cm="1">
        <f t="array" aca="1" ref="CM130" ca="1">IF(OR($D130&lt;&gt;"Serviço",AND(AUTOEVENTO="Manual",$M130=$A$15),$M130&gt;(ROW(PLE.lastrow)-ROW(PLE.firstrow))),0,
           IF(OFFSET(PLE!$G$15,$M130-$A$15,CM$13)="",10^12,OFFSET(PLE!$G$15,$M130-$A$15,CM$13)))</f>
        <v>1000000000000</v>
      </c>
    </row>
    <row r="131" spans="1:91" s="670" customFormat="1" ht="38.25" x14ac:dyDescent="0.2">
      <c r="A131" s="668">
        <f t="shared" ca="1" si="12"/>
        <v>25</v>
      </c>
      <c r="B131" s="668" t="str">
        <f ca="1">OFFSET(ORÇAMENTO!C$15,$L131,0)</f>
        <v>S</v>
      </c>
      <c r="C131" s="668" t="str">
        <f ca="1">OFFSET(ORÇAMENTO!L$15,$L131,0)</f>
        <v>F</v>
      </c>
      <c r="D131" s="116" t="str">
        <f ca="1">OFFSET(ORÇAMENTO!N$15,$L131,0)</f>
        <v>Serviço</v>
      </c>
      <c r="E131" s="117" t="str">
        <f ca="1">OFFSET(ORÇAMENTO!O$15,$L131,0)</f>
        <v>1.17.17.</v>
      </c>
      <c r="F131" s="163" t="str">
        <f ca="1">OFFSET(ORÇAMENTO!R$15,$L131,0)</f>
        <v>CABO DE COBRE FLEXÍVEL ISOLADO, 70 MM², 0,6/1,0 KV, PARA REDE AÉREA DE DISTRIBUIÇÃO DE ENERGIA ELÉTRICA DE BAIXA TENSÃO - FORNECIMENTO E INSTALAÇÃO. AF_12/2025</v>
      </c>
      <c r="G131" s="164" t="str">
        <f ca="1">IF($D131&lt;&gt;"Serviço","",OFFSET(ORÇAMENTO!S$15,$L131,0))</f>
        <v>M</v>
      </c>
      <c r="H131" s="122" cm="1">
        <f t="array" aca="1" ref="H131" ca="1">IF($D131&lt;&gt;"Serviço",0,IF(ACOMPANHAMENTO="BM",ROUND(OFFSET(ORÇAMENTO!AJ$15,$L131,0),15-13*ORÇAMENTO!$AF$7),IF(IFERROR(CÁLCULO.FrentesPreenchidas,0)=0,0,SUM(ROUND(OFFSET($P131,0,1,1,CÁLCULO.FrentesPreenchidas),15-13*ORÇAMENTO!$AF$7)))))</f>
        <v>220</v>
      </c>
      <c r="I131" s="468" t="s">
        <v>1187</v>
      </c>
      <c r="J131" s="651" t="str" cm="1">
        <f t="array" aca="1" ref="J131" ca="1">IF(OR(B131&lt;&gt;"S",CÁLCULO.FrentesPreenchidas=0),"",IF(AND(ACOMPANHAMENTO="PLE",AUTOEVENTO="Manual",OR(H131&gt;0,ORÇAMENTO!AC131="QUANT."),OR(K131="",M131=0,N131="")),"►E",IF(AND(ACOMPANHAMENTO="PLE",ORÇAMENTO!AC131="QUANT."),"►Q",IF(AND(ACOMPANHAMENTO="PLE",H131&lt;&gt;SUMPRODUCT(($Q$1:$AI$1=1)*ROUND(Q131:AI131,15))),"►S",IF(AND(COUNTIF($P$11:$AI$11,"▼")=0,H131&gt;0,I131=""),"◄M","")))))</f>
        <v/>
      </c>
      <c r="K131" s="652" t="s">
        <v>1359</v>
      </c>
      <c r="L131" s="165">
        <f t="shared" ca="1" si="13"/>
        <v>116</v>
      </c>
      <c r="M131" s="166">
        <f ca="1">IF($D131&lt;&gt;"Serviço","",
          IF(AUTOEVENTO="manual",$A131,
                IF(ISERROR(MATCH($A131,$A$15:OFFSET($A131,-1,0),0)),MAX($M$15:OFFSET(M131,-1,0))+1,
                      INDEX($M$15:OFFSET(M131,-1,0),MATCH($A131,$A$15:OFFSET($A131,-1,0),0)))))</f>
        <v>25</v>
      </c>
      <c r="N131" s="167" t="str">
        <f ca="1">IF($D131&lt;&gt;"Serviço","",
         IF(AUTOEVENTO="Manual",
                IF($A131=0,"&lt;-- defina o número do agrupador",
                       OFFSET(EVENTOS!$D$15,$A131-$A$15,0)),
                OFFSET($F$15,$A131,0)))</f>
        <v>Instalações elétricas</v>
      </c>
      <c r="O131" s="168"/>
      <c r="Q131" s="168"/>
      <c r="R131" s="169"/>
      <c r="S131" s="169"/>
      <c r="T131" s="169"/>
      <c r="U131" s="169"/>
      <c r="V131" s="169">
        <v>220</v>
      </c>
      <c r="W131" s="169"/>
      <c r="X131" s="169"/>
      <c r="Y131" s="169"/>
      <c r="Z131" s="170"/>
      <c r="AA131" s="705"/>
      <c r="AB131" s="705"/>
      <c r="AC131" s="705"/>
      <c r="AD131" s="705"/>
      <c r="AE131" s="705"/>
      <c r="AF131" s="705"/>
      <c r="AG131" s="705"/>
      <c r="AH131" s="706"/>
      <c r="AJ131" s="453">
        <f ca="1">IF(AND($D131="Serviço",AJ$12&lt;&gt;0,$H131&gt;0,OR(AUTOEVENTO&lt;&gt;"manual",$M131&lt;&gt;$A$15)),
        IF(Import.TipoArredondamento&lt;&gt;"TransfereGOV",
              ROUND(OFFSET($P131,0,AJ$13),15-13*ORÇAMENTO!$AF$7)/$H131*OFFSET(ORÇAMENTO!$X$15,ROW(AJ131)-ROW(AJ$15),0),
              ROUND(ROUND(OFFSET($P131,0,AJ$13),15-13*ORÇAMENTO!$AF$7)*OFFSET(ORÇAMENTO!$W$15,ROW(AJ131)-ROW(AJ$15),0),15-13*ORÇAMENTO!$AF$11)),
         0)</f>
        <v>0</v>
      </c>
      <c r="AK131" s="453">
        <f ca="1">IF(AND($D131="Serviço",AK$12&lt;&gt;0,$H131&gt;0,OR(AUTOEVENTO&lt;&gt;"manual",$M131&lt;&gt;$A$15)),
        IF(Import.TipoArredondamento&lt;&gt;"TransfereGOV",
              ROUND(OFFSET($P131,0,AK$13),15-13*ORÇAMENTO!$AF$7)/$H131*OFFSET(ORÇAMENTO!$X$15,ROW(AK131)-ROW(AK$15),0),
              ROUND(ROUND(OFFSET($P131,0,AK$13),15-13*ORÇAMENTO!$AF$7)*OFFSET(ORÇAMENTO!$W$15,ROW(AK131)-ROW(AK$15),0),15-13*ORÇAMENTO!$AF$11)),
         0)</f>
        <v>0</v>
      </c>
      <c r="AL131" s="453">
        <f ca="1">IF(AND($D131="Serviço",AL$12&lt;&gt;0,$H131&gt;0,OR(AUTOEVENTO&lt;&gt;"manual",$M131&lt;&gt;$A$15)),
        IF(Import.TipoArredondamento&lt;&gt;"TransfereGOV",
              ROUND(OFFSET($P131,0,AL$13),15-13*ORÇAMENTO!$AF$7)/$H131*OFFSET(ORÇAMENTO!$X$15,ROW(AL131)-ROW(AL$15),0),
              ROUND(ROUND(OFFSET($P131,0,AL$13),15-13*ORÇAMENTO!$AF$7)*OFFSET(ORÇAMENTO!$W$15,ROW(AL131)-ROW(AL$15),0),15-13*ORÇAMENTO!$AF$11)),
         0)</f>
        <v>0</v>
      </c>
      <c r="AM131" s="453">
        <f ca="1">IF(AND($D131="Serviço",AM$12&lt;&gt;0,$H131&gt;0,OR(AUTOEVENTO&lt;&gt;"manual",$M131&lt;&gt;$A$15)),
        IF(Import.TipoArredondamento&lt;&gt;"TransfereGOV",
              ROUND(OFFSET($P131,0,AM$13),15-13*ORÇAMENTO!$AF$7)/$H131*OFFSET(ORÇAMENTO!$X$15,ROW(AM131)-ROW(AM$15),0),
              ROUND(ROUND(OFFSET($P131,0,AM$13),15-13*ORÇAMENTO!$AF$7)*OFFSET(ORÇAMENTO!$W$15,ROW(AM131)-ROW(AM$15),0),15-13*ORÇAMENTO!$AF$11)),
         0)</f>
        <v>0</v>
      </c>
      <c r="AN131" s="453">
        <f ca="1">IF(AND($D131="Serviço",AN$12&lt;&gt;0,$H131&gt;0,OR(AUTOEVENTO&lt;&gt;"manual",$M131&lt;&gt;$A$15)),
        IF(Import.TipoArredondamento&lt;&gt;"TransfereGOV",
              ROUND(OFFSET($P131,0,AN$13),15-13*ORÇAMENTO!$AF$7)/$H131*OFFSET(ORÇAMENTO!$X$15,ROW(AN131)-ROW(AN$15),0),
              ROUND(ROUND(OFFSET($P131,0,AN$13),15-13*ORÇAMENTO!$AF$7)*OFFSET(ORÇAMENTO!$W$15,ROW(AN131)-ROW(AN$15),0),15-13*ORÇAMENTO!$AF$11)),
         0)</f>
        <v>0</v>
      </c>
      <c r="AO131" s="453">
        <f ca="1">IF(AND($D131="Serviço",AO$12&lt;&gt;0,$H131&gt;0,OR(AUTOEVENTO&lt;&gt;"manual",$M131&lt;&gt;$A$15)),
        IF(Import.TipoArredondamento&lt;&gt;"TransfereGOV",
              ROUND(OFFSET($P131,0,AO$13),15-13*ORÇAMENTO!$AF$7)/$H131*OFFSET(ORÇAMENTO!$X$15,ROW(AO131)-ROW(AO$15),0),
              ROUND(ROUND(OFFSET($P131,0,AO$13),15-13*ORÇAMENTO!$AF$7)*OFFSET(ORÇAMENTO!$W$15,ROW(AO131)-ROW(AO$15),0),15-13*ORÇAMENTO!$AF$11)),
         0)</f>
        <v>21914.2</v>
      </c>
      <c r="AP131" s="453">
        <f ca="1">IF(AND($D131="Serviço",AP$12&lt;&gt;0,$H131&gt;0,OR(AUTOEVENTO&lt;&gt;"manual",$M131&lt;&gt;$A$15)),
        IF(Import.TipoArredondamento&lt;&gt;"TransfereGOV",
              ROUND(OFFSET($P131,0,AP$13),15-13*ORÇAMENTO!$AF$7)/$H131*OFFSET(ORÇAMENTO!$X$15,ROW(AP131)-ROW(AP$15),0),
              ROUND(ROUND(OFFSET($P131,0,AP$13),15-13*ORÇAMENTO!$AF$7)*OFFSET(ORÇAMENTO!$W$15,ROW(AP131)-ROW(AP$15),0),15-13*ORÇAMENTO!$AF$11)),
         0)</f>
        <v>0</v>
      </c>
      <c r="AQ131" s="453">
        <f ca="1">IF(AND($D131="Serviço",AQ$12&lt;&gt;0,$H131&gt;0,OR(AUTOEVENTO&lt;&gt;"manual",$M131&lt;&gt;$A$15)),
        IF(Import.TipoArredondamento&lt;&gt;"TransfereGOV",
              ROUND(OFFSET($P131,0,AQ$13),15-13*ORÇAMENTO!$AF$7)/$H131*OFFSET(ORÇAMENTO!$X$15,ROW(AQ131)-ROW(AQ$15),0),
              ROUND(ROUND(OFFSET($P131,0,AQ$13),15-13*ORÇAMENTO!$AF$7)*OFFSET(ORÇAMENTO!$W$15,ROW(AQ131)-ROW(AQ$15),0),15-13*ORÇAMENTO!$AF$11)),
         0)</f>
        <v>0</v>
      </c>
      <c r="AR131" s="453">
        <f ca="1">IF(AND($D131="Serviço",AR$12&lt;&gt;0,$H131&gt;0,OR(AUTOEVENTO&lt;&gt;"manual",$M131&lt;&gt;$A$15)),
        IF(Import.TipoArredondamento&lt;&gt;"TransfereGOV",
              ROUND(OFFSET($P131,0,AR$13),15-13*ORÇAMENTO!$AF$7)/$H131*OFFSET(ORÇAMENTO!$X$15,ROW(AR131)-ROW(AR$15),0),
              ROUND(ROUND(OFFSET($P131,0,AR$13),15-13*ORÇAMENTO!$AF$7)*OFFSET(ORÇAMENTO!$W$15,ROW(AR131)-ROW(AR$15),0),15-13*ORÇAMENTO!$AF$11)),
         0)</f>
        <v>0</v>
      </c>
      <c r="AS131" s="453">
        <f ca="1">IF(AND($D131="Serviço",AS$12&lt;&gt;0,$H131&gt;0,OR(AUTOEVENTO&lt;&gt;"manual",$M131&lt;&gt;$A$15)),
        IF(Import.TipoArredondamento&lt;&gt;"TransfereGOV",
              ROUND(OFFSET($P131,0,AS$13),15-13*ORÇAMENTO!$AF$7)/$H131*OFFSET(ORÇAMENTO!$X$15,ROW(AS131)-ROW(AS$15),0),
              ROUND(ROUND(OFFSET($P131,0,AS$13),15-13*ORÇAMENTO!$AF$7)*OFFSET(ORÇAMENTO!$W$15,ROW(AS131)-ROW(AS$15),0),15-13*ORÇAMENTO!$AF$11)),
         0)</f>
        <v>0</v>
      </c>
      <c r="AT131" s="453">
        <f ca="1">IF(AND($D131="Serviço",AT$12&lt;&gt;0,$H131&gt;0,OR(AUTOEVENTO&lt;&gt;"manual",$M131&lt;&gt;$A$15)),
        IF(Import.TipoArredondamento&lt;&gt;"TransfereGOV",
              ROUND(OFFSET($P131,0,AT$13),15-13*ORÇAMENTO!$AF$7)/$H131*OFFSET(ORÇAMENTO!$X$15,ROW(AT131)-ROW(AT$15),0),
              ROUND(ROUND(OFFSET($P131,0,AT$13),15-13*ORÇAMENTO!$AF$7)*OFFSET(ORÇAMENTO!$W$15,ROW(AT131)-ROW(AT$15),0),15-13*ORÇAMENTO!$AF$11)),
         0)</f>
        <v>0</v>
      </c>
      <c r="AU131" s="453">
        <f ca="1">IF(AND($D131="Serviço",AU$12&lt;&gt;0,$H131&gt;0,OR(AUTOEVENTO&lt;&gt;"manual",$M131&lt;&gt;$A$15)),
        IF(Import.TipoArredondamento&lt;&gt;"TransfereGOV",
              ROUND(OFFSET($P131,0,AU$13),15-13*ORÇAMENTO!$AF$7)/$H131*OFFSET(ORÇAMENTO!$X$15,ROW(AU131)-ROW(AU$15),0),
              ROUND(ROUND(OFFSET($P131,0,AU$13),15-13*ORÇAMENTO!$AF$7)*OFFSET(ORÇAMENTO!$W$15,ROW(AU131)-ROW(AU$15),0),15-13*ORÇAMENTO!$AF$11)),
         0)</f>
        <v>0</v>
      </c>
      <c r="AV131" s="453">
        <f ca="1">IF(AND($D131="Serviço",AV$12&lt;&gt;0,$H131&gt;0,OR(AUTOEVENTO&lt;&gt;"manual",$M131&lt;&gt;$A$15)),
        IF(Import.TipoArredondamento&lt;&gt;"TransfereGOV",
              ROUND(OFFSET($P131,0,AV$13),15-13*ORÇAMENTO!$AF$7)/$H131*OFFSET(ORÇAMENTO!$X$15,ROW(AV131)-ROW(AV$15),0),
              ROUND(ROUND(OFFSET($P131,0,AV$13),15-13*ORÇAMENTO!$AF$7)*OFFSET(ORÇAMENTO!$W$15,ROW(AV131)-ROW(AV$15),0),15-13*ORÇAMENTO!$AF$11)),
         0)</f>
        <v>0</v>
      </c>
      <c r="AW131" s="453">
        <f ca="1">IF(AND($D131="Serviço",AW$12&lt;&gt;0,$H131&gt;0,OR(AUTOEVENTO&lt;&gt;"manual",$M131&lt;&gt;$A$15)),
        IF(Import.TipoArredondamento&lt;&gt;"TransfereGOV",
              ROUND(OFFSET($P131,0,AW$13),15-13*ORÇAMENTO!$AF$7)/$H131*OFFSET(ORÇAMENTO!$X$15,ROW(AW131)-ROW(AW$15),0),
              ROUND(ROUND(OFFSET($P131,0,AW$13),15-13*ORÇAMENTO!$AF$7)*OFFSET(ORÇAMENTO!$W$15,ROW(AW131)-ROW(AW$15),0),15-13*ORÇAMENTO!$AF$11)),
         0)</f>
        <v>0</v>
      </c>
      <c r="AX131" s="453">
        <f ca="1">IF(AND($D131="Serviço",AX$12&lt;&gt;0,$H131&gt;0,OR(AUTOEVENTO&lt;&gt;"manual",$M131&lt;&gt;$A$15)),
        IF(Import.TipoArredondamento&lt;&gt;"TransfereGOV",
              ROUND(OFFSET($P131,0,AX$13),15-13*ORÇAMENTO!$AF$7)/$H131*OFFSET(ORÇAMENTO!$X$15,ROW(AX131)-ROW(AX$15),0),
              ROUND(ROUND(OFFSET($P131,0,AX$13),15-13*ORÇAMENTO!$AF$7)*OFFSET(ORÇAMENTO!$W$15,ROW(AX131)-ROW(AX$15),0),15-13*ORÇAMENTO!$AF$11)),
         0)</f>
        <v>0</v>
      </c>
      <c r="AY131" s="453">
        <f ca="1">IF(AND($D131="Serviço",AY$12&lt;&gt;0,$H131&gt;0,OR(AUTOEVENTO&lt;&gt;"manual",$M131&lt;&gt;$A$15)),
        IF(Import.TipoArredondamento&lt;&gt;"TransfereGOV",
              ROUND(OFFSET($P131,0,AY$13),15-13*ORÇAMENTO!$AF$7)/$H131*OFFSET(ORÇAMENTO!$X$15,ROW(AY131)-ROW(AY$15),0),
              ROUND(ROUND(OFFSET($P131,0,AY$13),15-13*ORÇAMENTO!$AF$7)*OFFSET(ORÇAMENTO!$W$15,ROW(AY131)-ROW(AY$15),0),15-13*ORÇAMENTO!$AF$11)),
         0)</f>
        <v>0</v>
      </c>
      <c r="AZ131" s="453">
        <f ca="1">IF(AND($D131="Serviço",AZ$12&lt;&gt;0,$H131&gt;0,OR(AUTOEVENTO&lt;&gt;"manual",$M131&lt;&gt;$A$15)),
        IF(Import.TipoArredondamento&lt;&gt;"TransfereGOV",
              ROUND(OFFSET($P131,0,AZ$13),15-13*ORÇAMENTO!$AF$7)/$H131*OFFSET(ORÇAMENTO!$X$15,ROW(AZ131)-ROW(AZ$15),0),
              ROUND(ROUND(OFFSET($P131,0,AZ$13),15-13*ORÇAMENTO!$AF$7)*OFFSET(ORÇAMENTO!$W$15,ROW(AZ131)-ROW(AZ$15),0),15-13*ORÇAMENTO!$AF$11)),
         0)</f>
        <v>0</v>
      </c>
      <c r="BA131" s="453">
        <f ca="1">IF(AND($D131="Serviço",BA$12&lt;&gt;0,$H131&gt;0,OR(AUTOEVENTO&lt;&gt;"manual",$M131&lt;&gt;$A$15)),
        IF(Import.TipoArredondamento&lt;&gt;"TransfereGOV",
              ROUND(OFFSET($P131,0,BA$13),15-13*ORÇAMENTO!$AF$7)/$H131*OFFSET(ORÇAMENTO!$X$15,ROW(BA131)-ROW(BA$15),0),
              ROUND(ROUND(OFFSET($P131,0,BA$13),15-13*ORÇAMENTO!$AF$7)*OFFSET(ORÇAMENTO!$W$15,ROW(BA131)-ROW(BA$15),0),15-13*ORÇAMENTO!$AF$11)),
         0)</f>
        <v>0</v>
      </c>
      <c r="BC131" s="171">
        <f ca="1">IF(OR($D131&lt;&gt;"Serviço",AND(AUTOEVENTO="Manual",$M131=$A$15)),0,
         IF(OFFSET(CRONOPLE!$F$15,$M131-$A$15,BC$13)=0,10^12,OFFSET(CRONOPLE!$F$15,$M131-$A$15,BC$13)))</f>
        <v>1000000000000</v>
      </c>
      <c r="BD131" s="171">
        <f ca="1">IF(OR($D131&lt;&gt;"Serviço",AND(AUTOEVENTO="Manual",$M131=$A$15)),0,
         IF(OFFSET(CRONOPLE!$F$15,$M131-$A$15,BD$13)=0,10^12,OFFSET(CRONOPLE!$F$15,$M131-$A$15,BD$13)))</f>
        <v>1000000000000</v>
      </c>
      <c r="BE131" s="171">
        <f ca="1">IF(OR($D131&lt;&gt;"Serviço",AND(AUTOEVENTO="Manual",$M131=$A$15)),0,
         IF(OFFSET(CRONOPLE!$F$15,$M131-$A$15,BE$13)=0,10^12,OFFSET(CRONOPLE!$F$15,$M131-$A$15,BE$13)))</f>
        <v>1000000000000</v>
      </c>
      <c r="BF131" s="171">
        <f ca="1">IF(OR($D131&lt;&gt;"Serviço",AND(AUTOEVENTO="Manual",$M131=$A$15)),0,
         IF(OFFSET(CRONOPLE!$F$15,$M131-$A$15,BF$13)=0,10^12,OFFSET(CRONOPLE!$F$15,$M131-$A$15,BF$13)))</f>
        <v>1000000000000</v>
      </c>
      <c r="BG131" s="171">
        <f ca="1">IF(OR($D131&lt;&gt;"Serviço",AND(AUTOEVENTO="Manual",$M131=$A$15)),0,
         IF(OFFSET(CRONOPLE!$F$15,$M131-$A$15,BG$13)=0,10^12,OFFSET(CRONOPLE!$F$15,$M131-$A$15,BG$13)))</f>
        <v>1000000000000</v>
      </c>
      <c r="BH131" s="171">
        <f ca="1">IF(OR($D131&lt;&gt;"Serviço",AND(AUTOEVENTO="Manual",$M131=$A$15)),0,
         IF(OFFSET(CRONOPLE!$F$15,$M131-$A$15,BH$13)=0,10^12,OFFSET(CRONOPLE!$F$15,$M131-$A$15,BH$13)))</f>
        <v>9</v>
      </c>
      <c r="BI131" s="171">
        <f ca="1">IF(OR($D131&lt;&gt;"Serviço",AND(AUTOEVENTO="Manual",$M131=$A$15)),0,
         IF(OFFSET(CRONOPLE!$F$15,$M131-$A$15,BI$13)=0,10^12,OFFSET(CRONOPLE!$F$15,$M131-$A$15,BI$13)))</f>
        <v>1000000000000</v>
      </c>
      <c r="BJ131" s="171">
        <f ca="1">IF(OR($D131&lt;&gt;"Serviço",AND(AUTOEVENTO="Manual",$M131=$A$15)),0,
         IF(OFFSET(CRONOPLE!$F$15,$M131-$A$15,BJ$13)=0,10^12,OFFSET(CRONOPLE!$F$15,$M131-$A$15,BJ$13)))</f>
        <v>1000000000000</v>
      </c>
      <c r="BK131" s="171">
        <f ca="1">IF(OR($D131&lt;&gt;"Serviço",AND(AUTOEVENTO="Manual",$M131=$A$15)),0,
         IF(OFFSET(CRONOPLE!$F$15,$M131-$A$15,BK$13)=0,10^12,OFFSET(CRONOPLE!$F$15,$M131-$A$15,BK$13)))</f>
        <v>1000000000000</v>
      </c>
      <c r="BL131" s="171">
        <f ca="1">IF(OR($D131&lt;&gt;"Serviço",AND(AUTOEVENTO="Manual",$M131=$A$15)),0,
         IF(OFFSET(CRONOPLE!$F$15,$M131-$A$15,BL$13)=0,10^12,OFFSET(CRONOPLE!$F$15,$M131-$A$15,BL$13)))</f>
        <v>1000000000000</v>
      </c>
      <c r="BM131" s="171">
        <f ca="1">IF(OR($D131&lt;&gt;"Serviço",AND(AUTOEVENTO="Manual",$M131=$A$15)),0,
         IF(OFFSET(CRONOPLE!$F$15,$M131-$A$15,BM$13)=0,10^12,OFFSET(CRONOPLE!$F$15,$M131-$A$15,BM$13)))</f>
        <v>1000000000000</v>
      </c>
      <c r="BN131" s="171">
        <f ca="1">IF(OR($D131&lt;&gt;"Serviço",AND(AUTOEVENTO="Manual",$M131=$A$15)),0,
         IF(OFFSET(CRONOPLE!$F$15,$M131-$A$15,BN$13)=0,10^12,OFFSET(CRONOPLE!$F$15,$M131-$A$15,BN$13)))</f>
        <v>1000000000000</v>
      </c>
      <c r="BO131" s="171">
        <f ca="1">IF(OR($D131&lt;&gt;"Serviço",AND(AUTOEVENTO="Manual",$M131=$A$15)),0,
         IF(OFFSET(CRONOPLE!$F$15,$M131-$A$15,BO$13)=0,10^12,OFFSET(CRONOPLE!$F$15,$M131-$A$15,BO$13)))</f>
        <v>1000000000000</v>
      </c>
      <c r="BP131" s="171">
        <f ca="1">IF(OR($D131&lt;&gt;"Serviço",AND(AUTOEVENTO="Manual",$M131=$A$15)),0,
         IF(OFFSET(CRONOPLE!$F$15,$M131-$A$15,BP$13)=0,10^12,OFFSET(CRONOPLE!$F$15,$M131-$A$15,BP$13)))</f>
        <v>1000000000000</v>
      </c>
      <c r="BQ131" s="171">
        <f ca="1">IF(OR($D131&lt;&gt;"Serviço",AND(AUTOEVENTO="Manual",$M131=$A$15)),0,
         IF(OFFSET(CRONOPLE!$F$15,$M131-$A$15,BQ$13)=0,10^12,OFFSET(CRONOPLE!$F$15,$M131-$A$15,BQ$13)))</f>
        <v>1000000000000</v>
      </c>
      <c r="BR131" s="171">
        <f ca="1">IF(OR($D131&lt;&gt;"Serviço",AND(AUTOEVENTO="Manual",$M131=$A$15)),0,
         IF(OFFSET(CRONOPLE!$F$15,$M131-$A$15,BR$13)=0,10^12,OFFSET(CRONOPLE!$F$15,$M131-$A$15,BR$13)))</f>
        <v>1000000000000</v>
      </c>
      <c r="BS131" s="171">
        <f ca="1">IF(OR($D131&lt;&gt;"Serviço",AND(AUTOEVENTO="Manual",$M131=$A$15)),0,
         IF(OFFSET(CRONOPLE!$F$15,$M131-$A$15,BS$13)=0,10^12,OFFSET(CRONOPLE!$F$15,$M131-$A$15,BS$13)))</f>
        <v>1000000000000</v>
      </c>
      <c r="BT131" s="171">
        <f ca="1">IF(OR($D131&lt;&gt;"Serviço",AND(AUTOEVENTO="Manual",$M131=$A$15)),0,
         IF(OFFSET(CRONOPLE!$F$15,$M131-$A$15,BT$13)=0,10^12,OFFSET(CRONOPLE!$F$15,$M131-$A$15,BT$13)))</f>
        <v>1000000000000</v>
      </c>
      <c r="BV131" s="172" cm="1">
        <f t="array" aca="1" ref="BV131" ca="1">IF(OR($D131&lt;&gt;"Serviço",AND(AUTOEVENTO="Manual",$M131=$A$15),$M131&gt;(ROW(PLE.lastrow)-ROW(PLE.firstrow))),0,
           IF(OFFSET(PLE!$G$15,$M131-$A$15,BV$13)="",10^12,OFFSET(PLE!$G$15,$M131-$A$15,BV$13)))</f>
        <v>1000000000000</v>
      </c>
      <c r="BW131" s="172" cm="1">
        <f t="array" aca="1" ref="BW131" ca="1">IF(OR($D131&lt;&gt;"Serviço",AND(AUTOEVENTO="Manual",$M131=$A$15),$M131&gt;(ROW(PLE.lastrow)-ROW(PLE.firstrow))),0,
           IF(OFFSET(PLE!$G$15,$M131-$A$15,BW$13)="",10^12,OFFSET(PLE!$G$15,$M131-$A$15,BW$13)))</f>
        <v>1000000000000</v>
      </c>
      <c r="BX131" s="172" cm="1">
        <f t="array" aca="1" ref="BX131" ca="1">IF(OR($D131&lt;&gt;"Serviço",AND(AUTOEVENTO="Manual",$M131=$A$15),$M131&gt;(ROW(PLE.lastrow)-ROW(PLE.firstrow))),0,
           IF(OFFSET(PLE!$G$15,$M131-$A$15,BX$13)="",10^12,OFFSET(PLE!$G$15,$M131-$A$15,BX$13)))</f>
        <v>1000000000000</v>
      </c>
      <c r="BY131" s="172" cm="1">
        <f t="array" aca="1" ref="BY131" ca="1">IF(OR($D131&lt;&gt;"Serviço",AND(AUTOEVENTO="Manual",$M131=$A$15),$M131&gt;(ROW(PLE.lastrow)-ROW(PLE.firstrow))),0,
           IF(OFFSET(PLE!$G$15,$M131-$A$15,BY$13)="",10^12,OFFSET(PLE!$G$15,$M131-$A$15,BY$13)))</f>
        <v>1000000000000</v>
      </c>
      <c r="BZ131" s="172" cm="1">
        <f t="array" aca="1" ref="BZ131" ca="1">IF(OR($D131&lt;&gt;"Serviço",AND(AUTOEVENTO="Manual",$M131=$A$15),$M131&gt;(ROW(PLE.lastrow)-ROW(PLE.firstrow))),0,
           IF(OFFSET(PLE!$G$15,$M131-$A$15,BZ$13)="",10^12,OFFSET(PLE!$G$15,$M131-$A$15,BZ$13)))</f>
        <v>1000000000000</v>
      </c>
      <c r="CA131" s="172" cm="1">
        <f t="array" aca="1" ref="CA131" ca="1">IF(OR($D131&lt;&gt;"Serviço",AND(AUTOEVENTO="Manual",$M131=$A$15),$M131&gt;(ROW(PLE.lastrow)-ROW(PLE.firstrow))),0,
           IF(OFFSET(PLE!$G$15,$M131-$A$15,CA$13)="",10^12,OFFSET(PLE!$G$15,$M131-$A$15,CA$13)))</f>
        <v>1000000000000</v>
      </c>
      <c r="CB131" s="172" cm="1">
        <f t="array" aca="1" ref="CB131" ca="1">IF(OR($D131&lt;&gt;"Serviço",AND(AUTOEVENTO="Manual",$M131=$A$15),$M131&gt;(ROW(PLE.lastrow)-ROW(PLE.firstrow))),0,
           IF(OFFSET(PLE!$G$15,$M131-$A$15,CB$13)="",10^12,OFFSET(PLE!$G$15,$M131-$A$15,CB$13)))</f>
        <v>1000000000000</v>
      </c>
      <c r="CC131" s="172" cm="1">
        <f t="array" aca="1" ref="CC131" ca="1">IF(OR($D131&lt;&gt;"Serviço",AND(AUTOEVENTO="Manual",$M131=$A$15),$M131&gt;(ROW(PLE.lastrow)-ROW(PLE.firstrow))),0,
           IF(OFFSET(PLE!$G$15,$M131-$A$15,CC$13)="",10^12,OFFSET(PLE!$G$15,$M131-$A$15,CC$13)))</f>
        <v>1000000000000</v>
      </c>
      <c r="CD131" s="172" cm="1">
        <f t="array" aca="1" ref="CD131" ca="1">IF(OR($D131&lt;&gt;"Serviço",AND(AUTOEVENTO="Manual",$M131=$A$15),$M131&gt;(ROW(PLE.lastrow)-ROW(PLE.firstrow))),0,
           IF(OFFSET(PLE!$G$15,$M131-$A$15,CD$13)="",10^12,OFFSET(PLE!$G$15,$M131-$A$15,CD$13)))</f>
        <v>1000000000000</v>
      </c>
      <c r="CE131" s="172" cm="1">
        <f t="array" aca="1" ref="CE131" ca="1">IF(OR($D131&lt;&gt;"Serviço",AND(AUTOEVENTO="Manual",$M131=$A$15),$M131&gt;(ROW(PLE.lastrow)-ROW(PLE.firstrow))),0,
           IF(OFFSET(PLE!$G$15,$M131-$A$15,CE$13)="",10^12,OFFSET(PLE!$G$15,$M131-$A$15,CE$13)))</f>
        <v>1000000000000</v>
      </c>
      <c r="CF131" s="172" cm="1">
        <f t="array" aca="1" ref="CF131" ca="1">IF(OR($D131&lt;&gt;"Serviço",AND(AUTOEVENTO="Manual",$M131=$A$15),$M131&gt;(ROW(PLE.lastrow)-ROW(PLE.firstrow))),0,
           IF(OFFSET(PLE!$G$15,$M131-$A$15,CF$13)="",10^12,OFFSET(PLE!$G$15,$M131-$A$15,CF$13)))</f>
        <v>1000000000000</v>
      </c>
      <c r="CG131" s="172" cm="1">
        <f t="array" aca="1" ref="CG131" ca="1">IF(OR($D131&lt;&gt;"Serviço",AND(AUTOEVENTO="Manual",$M131=$A$15),$M131&gt;(ROW(PLE.lastrow)-ROW(PLE.firstrow))),0,
           IF(OFFSET(PLE!$G$15,$M131-$A$15,CG$13)="",10^12,OFFSET(PLE!$G$15,$M131-$A$15,CG$13)))</f>
        <v>1000000000000</v>
      </c>
      <c r="CH131" s="172" cm="1">
        <f t="array" aca="1" ref="CH131" ca="1">IF(OR($D131&lt;&gt;"Serviço",AND(AUTOEVENTO="Manual",$M131=$A$15),$M131&gt;(ROW(PLE.lastrow)-ROW(PLE.firstrow))),0,
           IF(OFFSET(PLE!$G$15,$M131-$A$15,CH$13)="",10^12,OFFSET(PLE!$G$15,$M131-$A$15,CH$13)))</f>
        <v>1000000000000</v>
      </c>
      <c r="CI131" s="172" cm="1">
        <f t="array" aca="1" ref="CI131" ca="1">IF(OR($D131&lt;&gt;"Serviço",AND(AUTOEVENTO="Manual",$M131=$A$15),$M131&gt;(ROW(PLE.lastrow)-ROW(PLE.firstrow))),0,
           IF(OFFSET(PLE!$G$15,$M131-$A$15,CI$13)="",10^12,OFFSET(PLE!$G$15,$M131-$A$15,CI$13)))</f>
        <v>1000000000000</v>
      </c>
      <c r="CJ131" s="172" cm="1">
        <f t="array" aca="1" ref="CJ131" ca="1">IF(OR($D131&lt;&gt;"Serviço",AND(AUTOEVENTO="Manual",$M131=$A$15),$M131&gt;(ROW(PLE.lastrow)-ROW(PLE.firstrow))),0,
           IF(OFFSET(PLE!$G$15,$M131-$A$15,CJ$13)="",10^12,OFFSET(PLE!$G$15,$M131-$A$15,CJ$13)))</f>
        <v>1000000000000</v>
      </c>
      <c r="CK131" s="172" cm="1">
        <f t="array" aca="1" ref="CK131" ca="1">IF(OR($D131&lt;&gt;"Serviço",AND(AUTOEVENTO="Manual",$M131=$A$15),$M131&gt;(ROW(PLE.lastrow)-ROW(PLE.firstrow))),0,
           IF(OFFSET(PLE!$G$15,$M131-$A$15,CK$13)="",10^12,OFFSET(PLE!$G$15,$M131-$A$15,CK$13)))</f>
        <v>1000000000000</v>
      </c>
      <c r="CL131" s="172" cm="1">
        <f t="array" aca="1" ref="CL131" ca="1">IF(OR($D131&lt;&gt;"Serviço",AND(AUTOEVENTO="Manual",$M131=$A$15),$M131&gt;(ROW(PLE.lastrow)-ROW(PLE.firstrow))),0,
           IF(OFFSET(PLE!$G$15,$M131-$A$15,CL$13)="",10^12,OFFSET(PLE!$G$15,$M131-$A$15,CL$13)))</f>
        <v>1000000000000</v>
      </c>
      <c r="CM131" s="172" cm="1">
        <f t="array" aca="1" ref="CM131" ca="1">IF(OR($D131&lt;&gt;"Serviço",AND(AUTOEVENTO="Manual",$M131=$A$15),$M131&gt;(ROW(PLE.lastrow)-ROW(PLE.firstrow))),0,
           IF(OFFSET(PLE!$G$15,$M131-$A$15,CM$13)="",10^12,OFFSET(PLE!$G$15,$M131-$A$15,CM$13)))</f>
        <v>1000000000000</v>
      </c>
    </row>
    <row r="132" spans="1:91" s="670" customFormat="1" ht="25.5" x14ac:dyDescent="0.2">
      <c r="A132" s="668">
        <f t="shared" ca="1" si="12"/>
        <v>25</v>
      </c>
      <c r="B132" s="668" t="str">
        <f ca="1">OFFSET(ORÇAMENTO!C$15,$L132,0)</f>
        <v>S</v>
      </c>
      <c r="C132" s="668" t="str">
        <f ca="1">OFFSET(ORÇAMENTO!L$15,$L132,0)</f>
        <v>F</v>
      </c>
      <c r="D132" s="116" t="str">
        <f ca="1">OFFSET(ORÇAMENTO!N$15,$L132,0)</f>
        <v>Serviço</v>
      </c>
      <c r="E132" s="117" t="str">
        <f ca="1">OFFSET(ORÇAMENTO!O$15,$L132,0)</f>
        <v>1.17.18.</v>
      </c>
      <c r="F132" s="163" t="str">
        <f ca="1">OFFSET(ORÇAMENTO!R$15,$L132,0)</f>
        <v>PLACA DE MONTAGEM PARA QUADROS EM GERAL, EM CHAPA DE AÇO</v>
      </c>
      <c r="G132" s="164" t="str">
        <f ca="1">IF($D132&lt;&gt;"Serviço","",OFFSET(ORÇAMENTO!S$15,$L132,0))</f>
        <v>UNIDADE</v>
      </c>
      <c r="H132" s="122" cm="1">
        <f t="array" aca="1" ref="H132" ca="1">IF($D132&lt;&gt;"Serviço",0,IF(ACOMPANHAMENTO="BM",ROUND(OFFSET(ORÇAMENTO!AJ$15,$L132,0),15-13*ORÇAMENTO!$AF$7),IF(IFERROR(CÁLCULO.FrentesPreenchidas,0)=0,0,SUM(ROUND(OFFSET($P132,0,1,1,CÁLCULO.FrentesPreenchidas),15-13*ORÇAMENTO!$AF$7)))))</f>
        <v>2</v>
      </c>
      <c r="I132" s="679" t="s">
        <v>1188</v>
      </c>
      <c r="J132" s="651" t="str" cm="1">
        <f t="array" aca="1" ref="J132" ca="1">IF(OR(B132&lt;&gt;"S",CÁLCULO.FrentesPreenchidas=0),"",IF(AND(ACOMPANHAMENTO="PLE",AUTOEVENTO="Manual",OR(H132&gt;0,ORÇAMENTO!AC132="QUANT."),OR(K132="",M132=0,N132="")),"►E",IF(AND(ACOMPANHAMENTO="PLE",ORÇAMENTO!AC132="QUANT."),"►Q",IF(AND(ACOMPANHAMENTO="PLE",H132&lt;&gt;SUMPRODUCT(($Q$1:$AI$1=1)*ROUND(Q132:AI132,15))),"►S",IF(AND(COUNTIF($P$11:$AI$11,"▼")=0,H132&gt;0,I132=""),"◄M","")))))</f>
        <v/>
      </c>
      <c r="K132" s="652" t="s">
        <v>1359</v>
      </c>
      <c r="L132" s="165">
        <f t="shared" ca="1" si="13"/>
        <v>117</v>
      </c>
      <c r="M132" s="166">
        <f ca="1">IF($D132&lt;&gt;"Serviço","",
          IF(AUTOEVENTO="manual",$A132,
                IF(ISERROR(MATCH($A132,$A$15:OFFSET($A132,-1,0),0)),MAX($M$15:OFFSET(M132,-1,0))+1,
                      INDEX($M$15:OFFSET(M132,-1,0),MATCH($A132,$A$15:OFFSET($A132,-1,0),0)))))</f>
        <v>25</v>
      </c>
      <c r="N132" s="167" t="str">
        <f ca="1">IF($D132&lt;&gt;"Serviço","",
         IF(AUTOEVENTO="Manual",
                IF($A132=0,"&lt;-- defina o número do agrupador",
                       OFFSET(EVENTOS!$D$15,$A132-$A$15,0)),
                OFFSET($F$15,$A132,0)))</f>
        <v>Instalações elétricas</v>
      </c>
      <c r="O132" s="168"/>
      <c r="Q132" s="168"/>
      <c r="R132" s="169"/>
      <c r="S132" s="169"/>
      <c r="T132" s="169"/>
      <c r="U132" s="169"/>
      <c r="V132" s="169">
        <v>2</v>
      </c>
      <c r="W132" s="169"/>
      <c r="X132" s="169"/>
      <c r="Y132" s="169"/>
      <c r="Z132" s="170"/>
      <c r="AA132" s="705"/>
      <c r="AB132" s="705"/>
      <c r="AC132" s="705"/>
      <c r="AD132" s="705"/>
      <c r="AE132" s="705"/>
      <c r="AF132" s="705"/>
      <c r="AG132" s="705"/>
      <c r="AH132" s="706"/>
      <c r="AJ132" s="453">
        <f ca="1">IF(AND($D132="Serviço",AJ$12&lt;&gt;0,$H132&gt;0,OR(AUTOEVENTO&lt;&gt;"manual",$M132&lt;&gt;$A$15)),
        IF(Import.TipoArredondamento&lt;&gt;"TransfereGOV",
              ROUND(OFFSET($P132,0,AJ$13),15-13*ORÇAMENTO!$AF$7)/$H132*OFFSET(ORÇAMENTO!$X$15,ROW(AJ132)-ROW(AJ$15),0),
              ROUND(ROUND(OFFSET($P132,0,AJ$13),15-13*ORÇAMENTO!$AF$7)*OFFSET(ORÇAMENTO!$W$15,ROW(AJ132)-ROW(AJ$15),0),15-13*ORÇAMENTO!$AF$11)),
         0)</f>
        <v>0</v>
      </c>
      <c r="AK132" s="453">
        <f ca="1">IF(AND($D132="Serviço",AK$12&lt;&gt;0,$H132&gt;0,OR(AUTOEVENTO&lt;&gt;"manual",$M132&lt;&gt;$A$15)),
        IF(Import.TipoArredondamento&lt;&gt;"TransfereGOV",
              ROUND(OFFSET($P132,0,AK$13),15-13*ORÇAMENTO!$AF$7)/$H132*OFFSET(ORÇAMENTO!$X$15,ROW(AK132)-ROW(AK$15),0),
              ROUND(ROUND(OFFSET($P132,0,AK$13),15-13*ORÇAMENTO!$AF$7)*OFFSET(ORÇAMENTO!$W$15,ROW(AK132)-ROW(AK$15),0),15-13*ORÇAMENTO!$AF$11)),
         0)</f>
        <v>0</v>
      </c>
      <c r="AL132" s="453">
        <f ca="1">IF(AND($D132="Serviço",AL$12&lt;&gt;0,$H132&gt;0,OR(AUTOEVENTO&lt;&gt;"manual",$M132&lt;&gt;$A$15)),
        IF(Import.TipoArredondamento&lt;&gt;"TransfereGOV",
              ROUND(OFFSET($P132,0,AL$13),15-13*ORÇAMENTO!$AF$7)/$H132*OFFSET(ORÇAMENTO!$X$15,ROW(AL132)-ROW(AL$15),0),
              ROUND(ROUND(OFFSET($P132,0,AL$13),15-13*ORÇAMENTO!$AF$7)*OFFSET(ORÇAMENTO!$W$15,ROW(AL132)-ROW(AL$15),0),15-13*ORÇAMENTO!$AF$11)),
         0)</f>
        <v>0</v>
      </c>
      <c r="AM132" s="453">
        <f ca="1">IF(AND($D132="Serviço",AM$12&lt;&gt;0,$H132&gt;0,OR(AUTOEVENTO&lt;&gt;"manual",$M132&lt;&gt;$A$15)),
        IF(Import.TipoArredondamento&lt;&gt;"TransfereGOV",
              ROUND(OFFSET($P132,0,AM$13),15-13*ORÇAMENTO!$AF$7)/$H132*OFFSET(ORÇAMENTO!$X$15,ROW(AM132)-ROW(AM$15),0),
              ROUND(ROUND(OFFSET($P132,0,AM$13),15-13*ORÇAMENTO!$AF$7)*OFFSET(ORÇAMENTO!$W$15,ROW(AM132)-ROW(AM$15),0),15-13*ORÇAMENTO!$AF$11)),
         0)</f>
        <v>0</v>
      </c>
      <c r="AN132" s="453">
        <f ca="1">IF(AND($D132="Serviço",AN$12&lt;&gt;0,$H132&gt;0,OR(AUTOEVENTO&lt;&gt;"manual",$M132&lt;&gt;$A$15)),
        IF(Import.TipoArredondamento&lt;&gt;"TransfereGOV",
              ROUND(OFFSET($P132,0,AN$13),15-13*ORÇAMENTO!$AF$7)/$H132*OFFSET(ORÇAMENTO!$X$15,ROW(AN132)-ROW(AN$15),0),
              ROUND(ROUND(OFFSET($P132,0,AN$13),15-13*ORÇAMENTO!$AF$7)*OFFSET(ORÇAMENTO!$W$15,ROW(AN132)-ROW(AN$15),0),15-13*ORÇAMENTO!$AF$11)),
         0)</f>
        <v>0</v>
      </c>
      <c r="AO132" s="453">
        <f ca="1">IF(AND($D132="Serviço",AO$12&lt;&gt;0,$H132&gt;0,OR(AUTOEVENTO&lt;&gt;"manual",$M132&lt;&gt;$A$15)),
        IF(Import.TipoArredondamento&lt;&gt;"TransfereGOV",
              ROUND(OFFSET($P132,0,AO$13),15-13*ORÇAMENTO!$AF$7)/$H132*OFFSET(ORÇAMENTO!$X$15,ROW(AO132)-ROW(AO$15),0),
              ROUND(ROUND(OFFSET($P132,0,AO$13),15-13*ORÇAMENTO!$AF$7)*OFFSET(ORÇAMENTO!$W$15,ROW(AO132)-ROW(AO$15),0),15-13*ORÇAMENTO!$AF$11)),
         0)</f>
        <v>1106.58</v>
      </c>
      <c r="AP132" s="453">
        <f ca="1">IF(AND($D132="Serviço",AP$12&lt;&gt;0,$H132&gt;0,OR(AUTOEVENTO&lt;&gt;"manual",$M132&lt;&gt;$A$15)),
        IF(Import.TipoArredondamento&lt;&gt;"TransfereGOV",
              ROUND(OFFSET($P132,0,AP$13),15-13*ORÇAMENTO!$AF$7)/$H132*OFFSET(ORÇAMENTO!$X$15,ROW(AP132)-ROW(AP$15),0),
              ROUND(ROUND(OFFSET($P132,0,AP$13),15-13*ORÇAMENTO!$AF$7)*OFFSET(ORÇAMENTO!$W$15,ROW(AP132)-ROW(AP$15),0),15-13*ORÇAMENTO!$AF$11)),
         0)</f>
        <v>0</v>
      </c>
      <c r="AQ132" s="453">
        <f ca="1">IF(AND($D132="Serviço",AQ$12&lt;&gt;0,$H132&gt;0,OR(AUTOEVENTO&lt;&gt;"manual",$M132&lt;&gt;$A$15)),
        IF(Import.TipoArredondamento&lt;&gt;"TransfereGOV",
              ROUND(OFFSET($P132,0,AQ$13),15-13*ORÇAMENTO!$AF$7)/$H132*OFFSET(ORÇAMENTO!$X$15,ROW(AQ132)-ROW(AQ$15),0),
              ROUND(ROUND(OFFSET($P132,0,AQ$13),15-13*ORÇAMENTO!$AF$7)*OFFSET(ORÇAMENTO!$W$15,ROW(AQ132)-ROW(AQ$15),0),15-13*ORÇAMENTO!$AF$11)),
         0)</f>
        <v>0</v>
      </c>
      <c r="AR132" s="453">
        <f ca="1">IF(AND($D132="Serviço",AR$12&lt;&gt;0,$H132&gt;0,OR(AUTOEVENTO&lt;&gt;"manual",$M132&lt;&gt;$A$15)),
        IF(Import.TipoArredondamento&lt;&gt;"TransfereGOV",
              ROUND(OFFSET($P132,0,AR$13),15-13*ORÇAMENTO!$AF$7)/$H132*OFFSET(ORÇAMENTO!$X$15,ROW(AR132)-ROW(AR$15),0),
              ROUND(ROUND(OFFSET($P132,0,AR$13),15-13*ORÇAMENTO!$AF$7)*OFFSET(ORÇAMENTO!$W$15,ROW(AR132)-ROW(AR$15),0),15-13*ORÇAMENTO!$AF$11)),
         0)</f>
        <v>0</v>
      </c>
      <c r="AS132" s="453">
        <f ca="1">IF(AND($D132="Serviço",AS$12&lt;&gt;0,$H132&gt;0,OR(AUTOEVENTO&lt;&gt;"manual",$M132&lt;&gt;$A$15)),
        IF(Import.TipoArredondamento&lt;&gt;"TransfereGOV",
              ROUND(OFFSET($P132,0,AS$13),15-13*ORÇAMENTO!$AF$7)/$H132*OFFSET(ORÇAMENTO!$X$15,ROW(AS132)-ROW(AS$15),0),
              ROUND(ROUND(OFFSET($P132,0,AS$13),15-13*ORÇAMENTO!$AF$7)*OFFSET(ORÇAMENTO!$W$15,ROW(AS132)-ROW(AS$15),0),15-13*ORÇAMENTO!$AF$11)),
         0)</f>
        <v>0</v>
      </c>
      <c r="AT132" s="453">
        <f ca="1">IF(AND($D132="Serviço",AT$12&lt;&gt;0,$H132&gt;0,OR(AUTOEVENTO&lt;&gt;"manual",$M132&lt;&gt;$A$15)),
        IF(Import.TipoArredondamento&lt;&gt;"TransfereGOV",
              ROUND(OFFSET($P132,0,AT$13),15-13*ORÇAMENTO!$AF$7)/$H132*OFFSET(ORÇAMENTO!$X$15,ROW(AT132)-ROW(AT$15),0),
              ROUND(ROUND(OFFSET($P132,0,AT$13),15-13*ORÇAMENTO!$AF$7)*OFFSET(ORÇAMENTO!$W$15,ROW(AT132)-ROW(AT$15),0),15-13*ORÇAMENTO!$AF$11)),
         0)</f>
        <v>0</v>
      </c>
      <c r="AU132" s="453">
        <f ca="1">IF(AND($D132="Serviço",AU$12&lt;&gt;0,$H132&gt;0,OR(AUTOEVENTO&lt;&gt;"manual",$M132&lt;&gt;$A$15)),
        IF(Import.TipoArredondamento&lt;&gt;"TransfereGOV",
              ROUND(OFFSET($P132,0,AU$13),15-13*ORÇAMENTO!$AF$7)/$H132*OFFSET(ORÇAMENTO!$X$15,ROW(AU132)-ROW(AU$15),0),
              ROUND(ROUND(OFFSET($P132,0,AU$13),15-13*ORÇAMENTO!$AF$7)*OFFSET(ORÇAMENTO!$W$15,ROW(AU132)-ROW(AU$15),0),15-13*ORÇAMENTO!$AF$11)),
         0)</f>
        <v>0</v>
      </c>
      <c r="AV132" s="453">
        <f ca="1">IF(AND($D132="Serviço",AV$12&lt;&gt;0,$H132&gt;0,OR(AUTOEVENTO&lt;&gt;"manual",$M132&lt;&gt;$A$15)),
        IF(Import.TipoArredondamento&lt;&gt;"TransfereGOV",
              ROUND(OFFSET($P132,0,AV$13),15-13*ORÇAMENTO!$AF$7)/$H132*OFFSET(ORÇAMENTO!$X$15,ROW(AV132)-ROW(AV$15),0),
              ROUND(ROUND(OFFSET($P132,0,AV$13),15-13*ORÇAMENTO!$AF$7)*OFFSET(ORÇAMENTO!$W$15,ROW(AV132)-ROW(AV$15),0),15-13*ORÇAMENTO!$AF$11)),
         0)</f>
        <v>0</v>
      </c>
      <c r="AW132" s="453">
        <f ca="1">IF(AND($D132="Serviço",AW$12&lt;&gt;0,$H132&gt;0,OR(AUTOEVENTO&lt;&gt;"manual",$M132&lt;&gt;$A$15)),
        IF(Import.TipoArredondamento&lt;&gt;"TransfereGOV",
              ROUND(OFFSET($P132,0,AW$13),15-13*ORÇAMENTO!$AF$7)/$H132*OFFSET(ORÇAMENTO!$X$15,ROW(AW132)-ROW(AW$15),0),
              ROUND(ROUND(OFFSET($P132,0,AW$13),15-13*ORÇAMENTO!$AF$7)*OFFSET(ORÇAMENTO!$W$15,ROW(AW132)-ROW(AW$15),0),15-13*ORÇAMENTO!$AF$11)),
         0)</f>
        <v>0</v>
      </c>
      <c r="AX132" s="453">
        <f ca="1">IF(AND($D132="Serviço",AX$12&lt;&gt;0,$H132&gt;0,OR(AUTOEVENTO&lt;&gt;"manual",$M132&lt;&gt;$A$15)),
        IF(Import.TipoArredondamento&lt;&gt;"TransfereGOV",
              ROUND(OFFSET($P132,0,AX$13),15-13*ORÇAMENTO!$AF$7)/$H132*OFFSET(ORÇAMENTO!$X$15,ROW(AX132)-ROW(AX$15),0),
              ROUND(ROUND(OFFSET($P132,0,AX$13),15-13*ORÇAMENTO!$AF$7)*OFFSET(ORÇAMENTO!$W$15,ROW(AX132)-ROW(AX$15),0),15-13*ORÇAMENTO!$AF$11)),
         0)</f>
        <v>0</v>
      </c>
      <c r="AY132" s="453">
        <f ca="1">IF(AND($D132="Serviço",AY$12&lt;&gt;0,$H132&gt;0,OR(AUTOEVENTO&lt;&gt;"manual",$M132&lt;&gt;$A$15)),
        IF(Import.TipoArredondamento&lt;&gt;"TransfereGOV",
              ROUND(OFFSET($P132,0,AY$13),15-13*ORÇAMENTO!$AF$7)/$H132*OFFSET(ORÇAMENTO!$X$15,ROW(AY132)-ROW(AY$15),0),
              ROUND(ROUND(OFFSET($P132,0,AY$13),15-13*ORÇAMENTO!$AF$7)*OFFSET(ORÇAMENTO!$W$15,ROW(AY132)-ROW(AY$15),0),15-13*ORÇAMENTO!$AF$11)),
         0)</f>
        <v>0</v>
      </c>
      <c r="AZ132" s="453">
        <f ca="1">IF(AND($D132="Serviço",AZ$12&lt;&gt;0,$H132&gt;0,OR(AUTOEVENTO&lt;&gt;"manual",$M132&lt;&gt;$A$15)),
        IF(Import.TipoArredondamento&lt;&gt;"TransfereGOV",
              ROUND(OFFSET($P132,0,AZ$13),15-13*ORÇAMENTO!$AF$7)/$H132*OFFSET(ORÇAMENTO!$X$15,ROW(AZ132)-ROW(AZ$15),0),
              ROUND(ROUND(OFFSET($P132,0,AZ$13),15-13*ORÇAMENTO!$AF$7)*OFFSET(ORÇAMENTO!$W$15,ROW(AZ132)-ROW(AZ$15),0),15-13*ORÇAMENTO!$AF$11)),
         0)</f>
        <v>0</v>
      </c>
      <c r="BA132" s="453">
        <f ca="1">IF(AND($D132="Serviço",BA$12&lt;&gt;0,$H132&gt;0,OR(AUTOEVENTO&lt;&gt;"manual",$M132&lt;&gt;$A$15)),
        IF(Import.TipoArredondamento&lt;&gt;"TransfereGOV",
              ROUND(OFFSET($P132,0,BA$13),15-13*ORÇAMENTO!$AF$7)/$H132*OFFSET(ORÇAMENTO!$X$15,ROW(BA132)-ROW(BA$15),0),
              ROUND(ROUND(OFFSET($P132,0,BA$13),15-13*ORÇAMENTO!$AF$7)*OFFSET(ORÇAMENTO!$W$15,ROW(BA132)-ROW(BA$15),0),15-13*ORÇAMENTO!$AF$11)),
         0)</f>
        <v>0</v>
      </c>
      <c r="BC132" s="171">
        <f ca="1">IF(OR($D132&lt;&gt;"Serviço",AND(AUTOEVENTO="Manual",$M132=$A$15)),0,
         IF(OFFSET(CRONOPLE!$F$15,$M132-$A$15,BC$13)=0,10^12,OFFSET(CRONOPLE!$F$15,$M132-$A$15,BC$13)))</f>
        <v>1000000000000</v>
      </c>
      <c r="BD132" s="171">
        <f ca="1">IF(OR($D132&lt;&gt;"Serviço",AND(AUTOEVENTO="Manual",$M132=$A$15)),0,
         IF(OFFSET(CRONOPLE!$F$15,$M132-$A$15,BD$13)=0,10^12,OFFSET(CRONOPLE!$F$15,$M132-$A$15,BD$13)))</f>
        <v>1000000000000</v>
      </c>
      <c r="BE132" s="171">
        <f ca="1">IF(OR($D132&lt;&gt;"Serviço",AND(AUTOEVENTO="Manual",$M132=$A$15)),0,
         IF(OFFSET(CRONOPLE!$F$15,$M132-$A$15,BE$13)=0,10^12,OFFSET(CRONOPLE!$F$15,$M132-$A$15,BE$13)))</f>
        <v>1000000000000</v>
      </c>
      <c r="BF132" s="171">
        <f ca="1">IF(OR($D132&lt;&gt;"Serviço",AND(AUTOEVENTO="Manual",$M132=$A$15)),0,
         IF(OFFSET(CRONOPLE!$F$15,$M132-$A$15,BF$13)=0,10^12,OFFSET(CRONOPLE!$F$15,$M132-$A$15,BF$13)))</f>
        <v>1000000000000</v>
      </c>
      <c r="BG132" s="171">
        <f ca="1">IF(OR($D132&lt;&gt;"Serviço",AND(AUTOEVENTO="Manual",$M132=$A$15)),0,
         IF(OFFSET(CRONOPLE!$F$15,$M132-$A$15,BG$13)=0,10^12,OFFSET(CRONOPLE!$F$15,$M132-$A$15,BG$13)))</f>
        <v>1000000000000</v>
      </c>
      <c r="BH132" s="171">
        <f ca="1">IF(OR($D132&lt;&gt;"Serviço",AND(AUTOEVENTO="Manual",$M132=$A$15)),0,
         IF(OFFSET(CRONOPLE!$F$15,$M132-$A$15,BH$13)=0,10^12,OFFSET(CRONOPLE!$F$15,$M132-$A$15,BH$13)))</f>
        <v>9</v>
      </c>
      <c r="BI132" s="171">
        <f ca="1">IF(OR($D132&lt;&gt;"Serviço",AND(AUTOEVENTO="Manual",$M132=$A$15)),0,
         IF(OFFSET(CRONOPLE!$F$15,$M132-$A$15,BI$13)=0,10^12,OFFSET(CRONOPLE!$F$15,$M132-$A$15,BI$13)))</f>
        <v>1000000000000</v>
      </c>
      <c r="BJ132" s="171">
        <f ca="1">IF(OR($D132&lt;&gt;"Serviço",AND(AUTOEVENTO="Manual",$M132=$A$15)),0,
         IF(OFFSET(CRONOPLE!$F$15,$M132-$A$15,BJ$13)=0,10^12,OFFSET(CRONOPLE!$F$15,$M132-$A$15,BJ$13)))</f>
        <v>1000000000000</v>
      </c>
      <c r="BK132" s="171">
        <f ca="1">IF(OR($D132&lt;&gt;"Serviço",AND(AUTOEVENTO="Manual",$M132=$A$15)),0,
         IF(OFFSET(CRONOPLE!$F$15,$M132-$A$15,BK$13)=0,10^12,OFFSET(CRONOPLE!$F$15,$M132-$A$15,BK$13)))</f>
        <v>1000000000000</v>
      </c>
      <c r="BL132" s="171">
        <f ca="1">IF(OR($D132&lt;&gt;"Serviço",AND(AUTOEVENTO="Manual",$M132=$A$15)),0,
         IF(OFFSET(CRONOPLE!$F$15,$M132-$A$15,BL$13)=0,10^12,OFFSET(CRONOPLE!$F$15,$M132-$A$15,BL$13)))</f>
        <v>1000000000000</v>
      </c>
      <c r="BM132" s="171">
        <f ca="1">IF(OR($D132&lt;&gt;"Serviço",AND(AUTOEVENTO="Manual",$M132=$A$15)),0,
         IF(OFFSET(CRONOPLE!$F$15,$M132-$A$15,BM$13)=0,10^12,OFFSET(CRONOPLE!$F$15,$M132-$A$15,BM$13)))</f>
        <v>1000000000000</v>
      </c>
      <c r="BN132" s="171">
        <f ca="1">IF(OR($D132&lt;&gt;"Serviço",AND(AUTOEVENTO="Manual",$M132=$A$15)),0,
         IF(OFFSET(CRONOPLE!$F$15,$M132-$A$15,BN$13)=0,10^12,OFFSET(CRONOPLE!$F$15,$M132-$A$15,BN$13)))</f>
        <v>1000000000000</v>
      </c>
      <c r="BO132" s="171">
        <f ca="1">IF(OR($D132&lt;&gt;"Serviço",AND(AUTOEVENTO="Manual",$M132=$A$15)),0,
         IF(OFFSET(CRONOPLE!$F$15,$M132-$A$15,BO$13)=0,10^12,OFFSET(CRONOPLE!$F$15,$M132-$A$15,BO$13)))</f>
        <v>1000000000000</v>
      </c>
      <c r="BP132" s="171">
        <f ca="1">IF(OR($D132&lt;&gt;"Serviço",AND(AUTOEVENTO="Manual",$M132=$A$15)),0,
         IF(OFFSET(CRONOPLE!$F$15,$M132-$A$15,BP$13)=0,10^12,OFFSET(CRONOPLE!$F$15,$M132-$A$15,BP$13)))</f>
        <v>1000000000000</v>
      </c>
      <c r="BQ132" s="171">
        <f ca="1">IF(OR($D132&lt;&gt;"Serviço",AND(AUTOEVENTO="Manual",$M132=$A$15)),0,
         IF(OFFSET(CRONOPLE!$F$15,$M132-$A$15,BQ$13)=0,10^12,OFFSET(CRONOPLE!$F$15,$M132-$A$15,BQ$13)))</f>
        <v>1000000000000</v>
      </c>
      <c r="BR132" s="171">
        <f ca="1">IF(OR($D132&lt;&gt;"Serviço",AND(AUTOEVENTO="Manual",$M132=$A$15)),0,
         IF(OFFSET(CRONOPLE!$F$15,$M132-$A$15,BR$13)=0,10^12,OFFSET(CRONOPLE!$F$15,$M132-$A$15,BR$13)))</f>
        <v>1000000000000</v>
      </c>
      <c r="BS132" s="171">
        <f ca="1">IF(OR($D132&lt;&gt;"Serviço",AND(AUTOEVENTO="Manual",$M132=$A$15)),0,
         IF(OFFSET(CRONOPLE!$F$15,$M132-$A$15,BS$13)=0,10^12,OFFSET(CRONOPLE!$F$15,$M132-$A$15,BS$13)))</f>
        <v>1000000000000</v>
      </c>
      <c r="BT132" s="171">
        <f ca="1">IF(OR($D132&lt;&gt;"Serviço",AND(AUTOEVENTO="Manual",$M132=$A$15)),0,
         IF(OFFSET(CRONOPLE!$F$15,$M132-$A$15,BT$13)=0,10^12,OFFSET(CRONOPLE!$F$15,$M132-$A$15,BT$13)))</f>
        <v>1000000000000</v>
      </c>
      <c r="BV132" s="172" cm="1">
        <f t="array" aca="1" ref="BV132" ca="1">IF(OR($D132&lt;&gt;"Serviço",AND(AUTOEVENTO="Manual",$M132=$A$15),$M132&gt;(ROW(PLE.lastrow)-ROW(PLE.firstrow))),0,
           IF(OFFSET(PLE!$G$15,$M132-$A$15,BV$13)="",10^12,OFFSET(PLE!$G$15,$M132-$A$15,BV$13)))</f>
        <v>1000000000000</v>
      </c>
      <c r="BW132" s="172" cm="1">
        <f t="array" aca="1" ref="BW132" ca="1">IF(OR($D132&lt;&gt;"Serviço",AND(AUTOEVENTO="Manual",$M132=$A$15),$M132&gt;(ROW(PLE.lastrow)-ROW(PLE.firstrow))),0,
           IF(OFFSET(PLE!$G$15,$M132-$A$15,BW$13)="",10^12,OFFSET(PLE!$G$15,$M132-$A$15,BW$13)))</f>
        <v>1000000000000</v>
      </c>
      <c r="BX132" s="172" cm="1">
        <f t="array" aca="1" ref="BX132" ca="1">IF(OR($D132&lt;&gt;"Serviço",AND(AUTOEVENTO="Manual",$M132=$A$15),$M132&gt;(ROW(PLE.lastrow)-ROW(PLE.firstrow))),0,
           IF(OFFSET(PLE!$G$15,$M132-$A$15,BX$13)="",10^12,OFFSET(PLE!$G$15,$M132-$A$15,BX$13)))</f>
        <v>1000000000000</v>
      </c>
      <c r="BY132" s="172" cm="1">
        <f t="array" aca="1" ref="BY132" ca="1">IF(OR($D132&lt;&gt;"Serviço",AND(AUTOEVENTO="Manual",$M132=$A$15),$M132&gt;(ROW(PLE.lastrow)-ROW(PLE.firstrow))),0,
           IF(OFFSET(PLE!$G$15,$M132-$A$15,BY$13)="",10^12,OFFSET(PLE!$G$15,$M132-$A$15,BY$13)))</f>
        <v>1000000000000</v>
      </c>
      <c r="BZ132" s="172" cm="1">
        <f t="array" aca="1" ref="BZ132" ca="1">IF(OR($D132&lt;&gt;"Serviço",AND(AUTOEVENTO="Manual",$M132=$A$15),$M132&gt;(ROW(PLE.lastrow)-ROW(PLE.firstrow))),0,
           IF(OFFSET(PLE!$G$15,$M132-$A$15,BZ$13)="",10^12,OFFSET(PLE!$G$15,$M132-$A$15,BZ$13)))</f>
        <v>1000000000000</v>
      </c>
      <c r="CA132" s="172" cm="1">
        <f t="array" aca="1" ref="CA132" ca="1">IF(OR($D132&lt;&gt;"Serviço",AND(AUTOEVENTO="Manual",$M132=$A$15),$M132&gt;(ROW(PLE.lastrow)-ROW(PLE.firstrow))),0,
           IF(OFFSET(PLE!$G$15,$M132-$A$15,CA$13)="",10^12,OFFSET(PLE!$G$15,$M132-$A$15,CA$13)))</f>
        <v>1000000000000</v>
      </c>
      <c r="CB132" s="172" cm="1">
        <f t="array" aca="1" ref="CB132" ca="1">IF(OR($D132&lt;&gt;"Serviço",AND(AUTOEVENTO="Manual",$M132=$A$15),$M132&gt;(ROW(PLE.lastrow)-ROW(PLE.firstrow))),0,
           IF(OFFSET(PLE!$G$15,$M132-$A$15,CB$13)="",10^12,OFFSET(PLE!$G$15,$M132-$A$15,CB$13)))</f>
        <v>1000000000000</v>
      </c>
      <c r="CC132" s="172" cm="1">
        <f t="array" aca="1" ref="CC132" ca="1">IF(OR($D132&lt;&gt;"Serviço",AND(AUTOEVENTO="Manual",$M132=$A$15),$M132&gt;(ROW(PLE.lastrow)-ROW(PLE.firstrow))),0,
           IF(OFFSET(PLE!$G$15,$M132-$A$15,CC$13)="",10^12,OFFSET(PLE!$G$15,$M132-$A$15,CC$13)))</f>
        <v>1000000000000</v>
      </c>
      <c r="CD132" s="172" cm="1">
        <f t="array" aca="1" ref="CD132" ca="1">IF(OR($D132&lt;&gt;"Serviço",AND(AUTOEVENTO="Manual",$M132=$A$15),$M132&gt;(ROW(PLE.lastrow)-ROW(PLE.firstrow))),0,
           IF(OFFSET(PLE!$G$15,$M132-$A$15,CD$13)="",10^12,OFFSET(PLE!$G$15,$M132-$A$15,CD$13)))</f>
        <v>1000000000000</v>
      </c>
      <c r="CE132" s="172" cm="1">
        <f t="array" aca="1" ref="CE132" ca="1">IF(OR($D132&lt;&gt;"Serviço",AND(AUTOEVENTO="Manual",$M132=$A$15),$M132&gt;(ROW(PLE.lastrow)-ROW(PLE.firstrow))),0,
           IF(OFFSET(PLE!$G$15,$M132-$A$15,CE$13)="",10^12,OFFSET(PLE!$G$15,$M132-$A$15,CE$13)))</f>
        <v>1000000000000</v>
      </c>
      <c r="CF132" s="172" cm="1">
        <f t="array" aca="1" ref="CF132" ca="1">IF(OR($D132&lt;&gt;"Serviço",AND(AUTOEVENTO="Manual",$M132=$A$15),$M132&gt;(ROW(PLE.lastrow)-ROW(PLE.firstrow))),0,
           IF(OFFSET(PLE!$G$15,$M132-$A$15,CF$13)="",10^12,OFFSET(PLE!$G$15,$M132-$A$15,CF$13)))</f>
        <v>1000000000000</v>
      </c>
      <c r="CG132" s="172" cm="1">
        <f t="array" aca="1" ref="CG132" ca="1">IF(OR($D132&lt;&gt;"Serviço",AND(AUTOEVENTO="Manual",$M132=$A$15),$M132&gt;(ROW(PLE.lastrow)-ROW(PLE.firstrow))),0,
           IF(OFFSET(PLE!$G$15,$M132-$A$15,CG$13)="",10^12,OFFSET(PLE!$G$15,$M132-$A$15,CG$13)))</f>
        <v>1000000000000</v>
      </c>
      <c r="CH132" s="172" cm="1">
        <f t="array" aca="1" ref="CH132" ca="1">IF(OR($D132&lt;&gt;"Serviço",AND(AUTOEVENTO="Manual",$M132=$A$15),$M132&gt;(ROW(PLE.lastrow)-ROW(PLE.firstrow))),0,
           IF(OFFSET(PLE!$G$15,$M132-$A$15,CH$13)="",10^12,OFFSET(PLE!$G$15,$M132-$A$15,CH$13)))</f>
        <v>1000000000000</v>
      </c>
      <c r="CI132" s="172" cm="1">
        <f t="array" aca="1" ref="CI132" ca="1">IF(OR($D132&lt;&gt;"Serviço",AND(AUTOEVENTO="Manual",$M132=$A$15),$M132&gt;(ROW(PLE.lastrow)-ROW(PLE.firstrow))),0,
           IF(OFFSET(PLE!$G$15,$M132-$A$15,CI$13)="",10^12,OFFSET(PLE!$G$15,$M132-$A$15,CI$13)))</f>
        <v>1000000000000</v>
      </c>
      <c r="CJ132" s="172" cm="1">
        <f t="array" aca="1" ref="CJ132" ca="1">IF(OR($D132&lt;&gt;"Serviço",AND(AUTOEVENTO="Manual",$M132=$A$15),$M132&gt;(ROW(PLE.lastrow)-ROW(PLE.firstrow))),0,
           IF(OFFSET(PLE!$G$15,$M132-$A$15,CJ$13)="",10^12,OFFSET(PLE!$G$15,$M132-$A$15,CJ$13)))</f>
        <v>1000000000000</v>
      </c>
      <c r="CK132" s="172" cm="1">
        <f t="array" aca="1" ref="CK132" ca="1">IF(OR($D132&lt;&gt;"Serviço",AND(AUTOEVENTO="Manual",$M132=$A$15),$M132&gt;(ROW(PLE.lastrow)-ROW(PLE.firstrow))),0,
           IF(OFFSET(PLE!$G$15,$M132-$A$15,CK$13)="",10^12,OFFSET(PLE!$G$15,$M132-$A$15,CK$13)))</f>
        <v>1000000000000</v>
      </c>
      <c r="CL132" s="172" cm="1">
        <f t="array" aca="1" ref="CL132" ca="1">IF(OR($D132&lt;&gt;"Serviço",AND(AUTOEVENTO="Manual",$M132=$A$15),$M132&gt;(ROW(PLE.lastrow)-ROW(PLE.firstrow))),0,
           IF(OFFSET(PLE!$G$15,$M132-$A$15,CL$13)="",10^12,OFFSET(PLE!$G$15,$M132-$A$15,CL$13)))</f>
        <v>1000000000000</v>
      </c>
      <c r="CM132" s="172" cm="1">
        <f t="array" aca="1" ref="CM132" ca="1">IF(OR($D132&lt;&gt;"Serviço",AND(AUTOEVENTO="Manual",$M132=$A$15),$M132&gt;(ROW(PLE.lastrow)-ROW(PLE.firstrow))),0,
           IF(OFFSET(PLE!$G$15,$M132-$A$15,CM$13)="",10^12,OFFSET(PLE!$G$15,$M132-$A$15,CM$13)))</f>
        <v>1000000000000</v>
      </c>
    </row>
    <row r="133" spans="1:91" s="670" customFormat="1" ht="25.5" x14ac:dyDescent="0.2">
      <c r="A133" s="668">
        <f t="shared" ca="1" si="12"/>
        <v>25</v>
      </c>
      <c r="B133" s="668" t="str">
        <f ca="1">OFFSET(ORÇAMENTO!C$15,$L133,0)</f>
        <v>S</v>
      </c>
      <c r="C133" s="668" t="str">
        <f ca="1">OFFSET(ORÇAMENTO!L$15,$L133,0)</f>
        <v>F</v>
      </c>
      <c r="D133" s="116" t="str">
        <f ca="1">OFFSET(ORÇAMENTO!N$15,$L133,0)</f>
        <v>Serviço</v>
      </c>
      <c r="E133" s="117" t="str">
        <f ca="1">OFFSET(ORÇAMENTO!O$15,$L133,0)</f>
        <v>1.17.19.</v>
      </c>
      <c r="F133" s="163" t="str">
        <f ca="1">OFFSET(ORÇAMENTO!R$15,$L133,0)</f>
        <v>DISPOSITIVO SOFT STARTER PARA MOTOR 50 CV, TRIFÁSICO 220 V</v>
      </c>
      <c r="G133" s="164" t="str">
        <f ca="1">IF($D133&lt;&gt;"Serviço","",OFFSET(ORÇAMENTO!S$15,$L133,0))</f>
        <v>UNIDADE</v>
      </c>
      <c r="H133" s="122" cm="1">
        <f t="array" aca="1" ref="H133" ca="1">IF($D133&lt;&gt;"Serviço",0,IF(ACOMPANHAMENTO="BM",ROUND(OFFSET(ORÇAMENTO!AJ$15,$L133,0),15-13*ORÇAMENTO!$AF$7),IF(IFERROR(CÁLCULO.FrentesPreenchidas,0)=0,0,SUM(ROUND(OFFSET($P133,0,1,1,CÁLCULO.FrentesPreenchidas),15-13*ORÇAMENTO!$AF$7)))))</f>
        <v>2</v>
      </c>
      <c r="I133" s="468" t="s">
        <v>1188</v>
      </c>
      <c r="J133" s="651" t="str" cm="1">
        <f t="array" aca="1" ref="J133" ca="1">IF(OR(B133&lt;&gt;"S",CÁLCULO.FrentesPreenchidas=0),"",IF(AND(ACOMPANHAMENTO="PLE",AUTOEVENTO="Manual",OR(H133&gt;0,ORÇAMENTO!AC133="QUANT."),OR(K133="",M133=0,N133="")),"►E",IF(AND(ACOMPANHAMENTO="PLE",ORÇAMENTO!AC133="QUANT."),"►Q",IF(AND(ACOMPANHAMENTO="PLE",H133&lt;&gt;SUMPRODUCT(($Q$1:$AI$1=1)*ROUND(Q133:AI133,15))),"►S",IF(AND(COUNTIF($P$11:$AI$11,"▼")=0,H133&gt;0,I133=""),"◄M","")))))</f>
        <v/>
      </c>
      <c r="K133" s="652" t="s">
        <v>1359</v>
      </c>
      <c r="L133" s="165">
        <f t="shared" ca="1" si="13"/>
        <v>118</v>
      </c>
      <c r="M133" s="166">
        <f ca="1">IF($D133&lt;&gt;"Serviço","",
          IF(AUTOEVENTO="manual",$A133,
                IF(ISERROR(MATCH($A133,$A$15:OFFSET($A133,-1,0),0)),MAX($M$15:OFFSET(M133,-1,0))+1,
                      INDEX($M$15:OFFSET(M133,-1,0),MATCH($A133,$A$15:OFFSET($A133,-1,0),0)))))</f>
        <v>25</v>
      </c>
      <c r="N133" s="167" t="str">
        <f ca="1">IF($D133&lt;&gt;"Serviço","",
         IF(AUTOEVENTO="Manual",
                IF($A133=0,"&lt;-- defina o número do agrupador",
                       OFFSET(EVENTOS!$D$15,$A133-$A$15,0)),
                OFFSET($F$15,$A133,0)))</f>
        <v>Instalações elétricas</v>
      </c>
      <c r="O133" s="168"/>
      <c r="Q133" s="168"/>
      <c r="R133" s="169"/>
      <c r="S133" s="169"/>
      <c r="T133" s="169"/>
      <c r="U133" s="169"/>
      <c r="V133" s="169">
        <v>2</v>
      </c>
      <c r="W133" s="169"/>
      <c r="X133" s="169"/>
      <c r="Y133" s="169"/>
      <c r="Z133" s="170"/>
      <c r="AA133" s="705"/>
      <c r="AB133" s="705"/>
      <c r="AC133" s="705"/>
      <c r="AD133" s="705"/>
      <c r="AE133" s="705"/>
      <c r="AF133" s="705"/>
      <c r="AG133" s="705"/>
      <c r="AH133" s="706"/>
      <c r="AJ133" s="453">
        <f ca="1">IF(AND($D133="Serviço",AJ$12&lt;&gt;0,$H133&gt;0,OR(AUTOEVENTO&lt;&gt;"manual",$M133&lt;&gt;$A$15)),
        IF(Import.TipoArredondamento&lt;&gt;"TransfereGOV",
              ROUND(OFFSET($P133,0,AJ$13),15-13*ORÇAMENTO!$AF$7)/$H133*OFFSET(ORÇAMENTO!$X$15,ROW(AJ133)-ROW(AJ$15),0),
              ROUND(ROUND(OFFSET($P133,0,AJ$13),15-13*ORÇAMENTO!$AF$7)*OFFSET(ORÇAMENTO!$W$15,ROW(AJ133)-ROW(AJ$15),0),15-13*ORÇAMENTO!$AF$11)),
         0)</f>
        <v>0</v>
      </c>
      <c r="AK133" s="453">
        <f ca="1">IF(AND($D133="Serviço",AK$12&lt;&gt;0,$H133&gt;0,OR(AUTOEVENTO&lt;&gt;"manual",$M133&lt;&gt;$A$15)),
        IF(Import.TipoArredondamento&lt;&gt;"TransfereGOV",
              ROUND(OFFSET($P133,0,AK$13),15-13*ORÇAMENTO!$AF$7)/$H133*OFFSET(ORÇAMENTO!$X$15,ROW(AK133)-ROW(AK$15),0),
              ROUND(ROUND(OFFSET($P133,0,AK$13),15-13*ORÇAMENTO!$AF$7)*OFFSET(ORÇAMENTO!$W$15,ROW(AK133)-ROW(AK$15),0),15-13*ORÇAMENTO!$AF$11)),
         0)</f>
        <v>0</v>
      </c>
      <c r="AL133" s="453">
        <f ca="1">IF(AND($D133="Serviço",AL$12&lt;&gt;0,$H133&gt;0,OR(AUTOEVENTO&lt;&gt;"manual",$M133&lt;&gt;$A$15)),
        IF(Import.TipoArredondamento&lt;&gt;"TransfereGOV",
              ROUND(OFFSET($P133,0,AL$13),15-13*ORÇAMENTO!$AF$7)/$H133*OFFSET(ORÇAMENTO!$X$15,ROW(AL133)-ROW(AL$15),0),
              ROUND(ROUND(OFFSET($P133,0,AL$13),15-13*ORÇAMENTO!$AF$7)*OFFSET(ORÇAMENTO!$W$15,ROW(AL133)-ROW(AL$15),0),15-13*ORÇAMENTO!$AF$11)),
         0)</f>
        <v>0</v>
      </c>
      <c r="AM133" s="453">
        <f ca="1">IF(AND($D133="Serviço",AM$12&lt;&gt;0,$H133&gt;0,OR(AUTOEVENTO&lt;&gt;"manual",$M133&lt;&gt;$A$15)),
        IF(Import.TipoArredondamento&lt;&gt;"TransfereGOV",
              ROUND(OFFSET($P133,0,AM$13),15-13*ORÇAMENTO!$AF$7)/$H133*OFFSET(ORÇAMENTO!$X$15,ROW(AM133)-ROW(AM$15),0),
              ROUND(ROUND(OFFSET($P133,0,AM$13),15-13*ORÇAMENTO!$AF$7)*OFFSET(ORÇAMENTO!$W$15,ROW(AM133)-ROW(AM$15),0),15-13*ORÇAMENTO!$AF$11)),
         0)</f>
        <v>0</v>
      </c>
      <c r="AN133" s="453">
        <f ca="1">IF(AND($D133="Serviço",AN$12&lt;&gt;0,$H133&gt;0,OR(AUTOEVENTO&lt;&gt;"manual",$M133&lt;&gt;$A$15)),
        IF(Import.TipoArredondamento&lt;&gt;"TransfereGOV",
              ROUND(OFFSET($P133,0,AN$13),15-13*ORÇAMENTO!$AF$7)/$H133*OFFSET(ORÇAMENTO!$X$15,ROW(AN133)-ROW(AN$15),0),
              ROUND(ROUND(OFFSET($P133,0,AN$13),15-13*ORÇAMENTO!$AF$7)*OFFSET(ORÇAMENTO!$W$15,ROW(AN133)-ROW(AN$15),0),15-13*ORÇAMENTO!$AF$11)),
         0)</f>
        <v>0</v>
      </c>
      <c r="AO133" s="453">
        <f ca="1">IF(AND($D133="Serviço",AO$12&lt;&gt;0,$H133&gt;0,OR(AUTOEVENTO&lt;&gt;"manual",$M133&lt;&gt;$A$15)),
        IF(Import.TipoArredondamento&lt;&gt;"TransfereGOV",
              ROUND(OFFSET($P133,0,AO$13),15-13*ORÇAMENTO!$AF$7)/$H133*OFFSET(ORÇAMENTO!$X$15,ROW(AO133)-ROW(AO$15),0),
              ROUND(ROUND(OFFSET($P133,0,AO$13),15-13*ORÇAMENTO!$AF$7)*OFFSET(ORÇAMENTO!$W$15,ROW(AO133)-ROW(AO$15),0),15-13*ORÇAMENTO!$AF$11)),
         0)</f>
        <v>14172.26</v>
      </c>
      <c r="AP133" s="453">
        <f ca="1">IF(AND($D133="Serviço",AP$12&lt;&gt;0,$H133&gt;0,OR(AUTOEVENTO&lt;&gt;"manual",$M133&lt;&gt;$A$15)),
        IF(Import.TipoArredondamento&lt;&gt;"TransfereGOV",
              ROUND(OFFSET($P133,0,AP$13),15-13*ORÇAMENTO!$AF$7)/$H133*OFFSET(ORÇAMENTO!$X$15,ROW(AP133)-ROW(AP$15),0),
              ROUND(ROUND(OFFSET($P133,0,AP$13),15-13*ORÇAMENTO!$AF$7)*OFFSET(ORÇAMENTO!$W$15,ROW(AP133)-ROW(AP$15),0),15-13*ORÇAMENTO!$AF$11)),
         0)</f>
        <v>0</v>
      </c>
      <c r="AQ133" s="453">
        <f ca="1">IF(AND($D133="Serviço",AQ$12&lt;&gt;0,$H133&gt;0,OR(AUTOEVENTO&lt;&gt;"manual",$M133&lt;&gt;$A$15)),
        IF(Import.TipoArredondamento&lt;&gt;"TransfereGOV",
              ROUND(OFFSET($P133,0,AQ$13),15-13*ORÇAMENTO!$AF$7)/$H133*OFFSET(ORÇAMENTO!$X$15,ROW(AQ133)-ROW(AQ$15),0),
              ROUND(ROUND(OFFSET($P133,0,AQ$13),15-13*ORÇAMENTO!$AF$7)*OFFSET(ORÇAMENTO!$W$15,ROW(AQ133)-ROW(AQ$15),0),15-13*ORÇAMENTO!$AF$11)),
         0)</f>
        <v>0</v>
      </c>
      <c r="AR133" s="453">
        <f ca="1">IF(AND($D133="Serviço",AR$12&lt;&gt;0,$H133&gt;0,OR(AUTOEVENTO&lt;&gt;"manual",$M133&lt;&gt;$A$15)),
        IF(Import.TipoArredondamento&lt;&gt;"TransfereGOV",
              ROUND(OFFSET($P133,0,AR$13),15-13*ORÇAMENTO!$AF$7)/$H133*OFFSET(ORÇAMENTO!$X$15,ROW(AR133)-ROW(AR$15),0),
              ROUND(ROUND(OFFSET($P133,0,AR$13),15-13*ORÇAMENTO!$AF$7)*OFFSET(ORÇAMENTO!$W$15,ROW(AR133)-ROW(AR$15),0),15-13*ORÇAMENTO!$AF$11)),
         0)</f>
        <v>0</v>
      </c>
      <c r="AS133" s="453">
        <f ca="1">IF(AND($D133="Serviço",AS$12&lt;&gt;0,$H133&gt;0,OR(AUTOEVENTO&lt;&gt;"manual",$M133&lt;&gt;$A$15)),
        IF(Import.TipoArredondamento&lt;&gt;"TransfereGOV",
              ROUND(OFFSET($P133,0,AS$13),15-13*ORÇAMENTO!$AF$7)/$H133*OFFSET(ORÇAMENTO!$X$15,ROW(AS133)-ROW(AS$15),0),
              ROUND(ROUND(OFFSET($P133,0,AS$13),15-13*ORÇAMENTO!$AF$7)*OFFSET(ORÇAMENTO!$W$15,ROW(AS133)-ROW(AS$15),0),15-13*ORÇAMENTO!$AF$11)),
         0)</f>
        <v>0</v>
      </c>
      <c r="AT133" s="453">
        <f ca="1">IF(AND($D133="Serviço",AT$12&lt;&gt;0,$H133&gt;0,OR(AUTOEVENTO&lt;&gt;"manual",$M133&lt;&gt;$A$15)),
        IF(Import.TipoArredondamento&lt;&gt;"TransfereGOV",
              ROUND(OFFSET($P133,0,AT$13),15-13*ORÇAMENTO!$AF$7)/$H133*OFFSET(ORÇAMENTO!$X$15,ROW(AT133)-ROW(AT$15),0),
              ROUND(ROUND(OFFSET($P133,0,AT$13),15-13*ORÇAMENTO!$AF$7)*OFFSET(ORÇAMENTO!$W$15,ROW(AT133)-ROW(AT$15),0),15-13*ORÇAMENTO!$AF$11)),
         0)</f>
        <v>0</v>
      </c>
      <c r="AU133" s="453">
        <f ca="1">IF(AND($D133="Serviço",AU$12&lt;&gt;0,$H133&gt;0,OR(AUTOEVENTO&lt;&gt;"manual",$M133&lt;&gt;$A$15)),
        IF(Import.TipoArredondamento&lt;&gt;"TransfereGOV",
              ROUND(OFFSET($P133,0,AU$13),15-13*ORÇAMENTO!$AF$7)/$H133*OFFSET(ORÇAMENTO!$X$15,ROW(AU133)-ROW(AU$15),0),
              ROUND(ROUND(OFFSET($P133,0,AU$13),15-13*ORÇAMENTO!$AF$7)*OFFSET(ORÇAMENTO!$W$15,ROW(AU133)-ROW(AU$15),0),15-13*ORÇAMENTO!$AF$11)),
         0)</f>
        <v>0</v>
      </c>
      <c r="AV133" s="453">
        <f ca="1">IF(AND($D133="Serviço",AV$12&lt;&gt;0,$H133&gt;0,OR(AUTOEVENTO&lt;&gt;"manual",$M133&lt;&gt;$A$15)),
        IF(Import.TipoArredondamento&lt;&gt;"TransfereGOV",
              ROUND(OFFSET($P133,0,AV$13),15-13*ORÇAMENTO!$AF$7)/$H133*OFFSET(ORÇAMENTO!$X$15,ROW(AV133)-ROW(AV$15),0),
              ROUND(ROUND(OFFSET($P133,0,AV$13),15-13*ORÇAMENTO!$AF$7)*OFFSET(ORÇAMENTO!$W$15,ROW(AV133)-ROW(AV$15),0),15-13*ORÇAMENTO!$AF$11)),
         0)</f>
        <v>0</v>
      </c>
      <c r="AW133" s="453">
        <f ca="1">IF(AND($D133="Serviço",AW$12&lt;&gt;0,$H133&gt;0,OR(AUTOEVENTO&lt;&gt;"manual",$M133&lt;&gt;$A$15)),
        IF(Import.TipoArredondamento&lt;&gt;"TransfereGOV",
              ROUND(OFFSET($P133,0,AW$13),15-13*ORÇAMENTO!$AF$7)/$H133*OFFSET(ORÇAMENTO!$X$15,ROW(AW133)-ROW(AW$15),0),
              ROUND(ROUND(OFFSET($P133,0,AW$13),15-13*ORÇAMENTO!$AF$7)*OFFSET(ORÇAMENTO!$W$15,ROW(AW133)-ROW(AW$15),0),15-13*ORÇAMENTO!$AF$11)),
         0)</f>
        <v>0</v>
      </c>
      <c r="AX133" s="453">
        <f ca="1">IF(AND($D133="Serviço",AX$12&lt;&gt;0,$H133&gt;0,OR(AUTOEVENTO&lt;&gt;"manual",$M133&lt;&gt;$A$15)),
        IF(Import.TipoArredondamento&lt;&gt;"TransfereGOV",
              ROUND(OFFSET($P133,0,AX$13),15-13*ORÇAMENTO!$AF$7)/$H133*OFFSET(ORÇAMENTO!$X$15,ROW(AX133)-ROW(AX$15),0),
              ROUND(ROUND(OFFSET($P133,0,AX$13),15-13*ORÇAMENTO!$AF$7)*OFFSET(ORÇAMENTO!$W$15,ROW(AX133)-ROW(AX$15),0),15-13*ORÇAMENTO!$AF$11)),
         0)</f>
        <v>0</v>
      </c>
      <c r="AY133" s="453">
        <f ca="1">IF(AND($D133="Serviço",AY$12&lt;&gt;0,$H133&gt;0,OR(AUTOEVENTO&lt;&gt;"manual",$M133&lt;&gt;$A$15)),
        IF(Import.TipoArredondamento&lt;&gt;"TransfereGOV",
              ROUND(OFFSET($P133,0,AY$13),15-13*ORÇAMENTO!$AF$7)/$H133*OFFSET(ORÇAMENTO!$X$15,ROW(AY133)-ROW(AY$15),0),
              ROUND(ROUND(OFFSET($P133,0,AY$13),15-13*ORÇAMENTO!$AF$7)*OFFSET(ORÇAMENTO!$W$15,ROW(AY133)-ROW(AY$15),0),15-13*ORÇAMENTO!$AF$11)),
         0)</f>
        <v>0</v>
      </c>
      <c r="AZ133" s="453">
        <f ca="1">IF(AND($D133="Serviço",AZ$12&lt;&gt;0,$H133&gt;0,OR(AUTOEVENTO&lt;&gt;"manual",$M133&lt;&gt;$A$15)),
        IF(Import.TipoArredondamento&lt;&gt;"TransfereGOV",
              ROUND(OFFSET($P133,0,AZ$13),15-13*ORÇAMENTO!$AF$7)/$H133*OFFSET(ORÇAMENTO!$X$15,ROW(AZ133)-ROW(AZ$15),0),
              ROUND(ROUND(OFFSET($P133,0,AZ$13),15-13*ORÇAMENTO!$AF$7)*OFFSET(ORÇAMENTO!$W$15,ROW(AZ133)-ROW(AZ$15),0),15-13*ORÇAMENTO!$AF$11)),
         0)</f>
        <v>0</v>
      </c>
      <c r="BA133" s="453">
        <f ca="1">IF(AND($D133="Serviço",BA$12&lt;&gt;0,$H133&gt;0,OR(AUTOEVENTO&lt;&gt;"manual",$M133&lt;&gt;$A$15)),
        IF(Import.TipoArredondamento&lt;&gt;"TransfereGOV",
              ROUND(OFFSET($P133,0,BA$13),15-13*ORÇAMENTO!$AF$7)/$H133*OFFSET(ORÇAMENTO!$X$15,ROW(BA133)-ROW(BA$15),0),
              ROUND(ROUND(OFFSET($P133,0,BA$13),15-13*ORÇAMENTO!$AF$7)*OFFSET(ORÇAMENTO!$W$15,ROW(BA133)-ROW(BA$15),0),15-13*ORÇAMENTO!$AF$11)),
         0)</f>
        <v>0</v>
      </c>
      <c r="BC133" s="171">
        <f ca="1">IF(OR($D133&lt;&gt;"Serviço",AND(AUTOEVENTO="Manual",$M133=$A$15)),0,
         IF(OFFSET(CRONOPLE!$F$15,$M133-$A$15,BC$13)=0,10^12,OFFSET(CRONOPLE!$F$15,$M133-$A$15,BC$13)))</f>
        <v>1000000000000</v>
      </c>
      <c r="BD133" s="171">
        <f ca="1">IF(OR($D133&lt;&gt;"Serviço",AND(AUTOEVENTO="Manual",$M133=$A$15)),0,
         IF(OFFSET(CRONOPLE!$F$15,$M133-$A$15,BD$13)=0,10^12,OFFSET(CRONOPLE!$F$15,$M133-$A$15,BD$13)))</f>
        <v>1000000000000</v>
      </c>
      <c r="BE133" s="171">
        <f ca="1">IF(OR($D133&lt;&gt;"Serviço",AND(AUTOEVENTO="Manual",$M133=$A$15)),0,
         IF(OFFSET(CRONOPLE!$F$15,$M133-$A$15,BE$13)=0,10^12,OFFSET(CRONOPLE!$F$15,$M133-$A$15,BE$13)))</f>
        <v>1000000000000</v>
      </c>
      <c r="BF133" s="171">
        <f ca="1">IF(OR($D133&lt;&gt;"Serviço",AND(AUTOEVENTO="Manual",$M133=$A$15)),0,
         IF(OFFSET(CRONOPLE!$F$15,$M133-$A$15,BF$13)=0,10^12,OFFSET(CRONOPLE!$F$15,$M133-$A$15,BF$13)))</f>
        <v>1000000000000</v>
      </c>
      <c r="BG133" s="171">
        <f ca="1">IF(OR($D133&lt;&gt;"Serviço",AND(AUTOEVENTO="Manual",$M133=$A$15)),0,
         IF(OFFSET(CRONOPLE!$F$15,$M133-$A$15,BG$13)=0,10^12,OFFSET(CRONOPLE!$F$15,$M133-$A$15,BG$13)))</f>
        <v>1000000000000</v>
      </c>
      <c r="BH133" s="171">
        <f ca="1">IF(OR($D133&lt;&gt;"Serviço",AND(AUTOEVENTO="Manual",$M133=$A$15)),0,
         IF(OFFSET(CRONOPLE!$F$15,$M133-$A$15,BH$13)=0,10^12,OFFSET(CRONOPLE!$F$15,$M133-$A$15,BH$13)))</f>
        <v>9</v>
      </c>
      <c r="BI133" s="171">
        <f ca="1">IF(OR($D133&lt;&gt;"Serviço",AND(AUTOEVENTO="Manual",$M133=$A$15)),0,
         IF(OFFSET(CRONOPLE!$F$15,$M133-$A$15,BI$13)=0,10^12,OFFSET(CRONOPLE!$F$15,$M133-$A$15,BI$13)))</f>
        <v>1000000000000</v>
      </c>
      <c r="BJ133" s="171">
        <f ca="1">IF(OR($D133&lt;&gt;"Serviço",AND(AUTOEVENTO="Manual",$M133=$A$15)),0,
         IF(OFFSET(CRONOPLE!$F$15,$M133-$A$15,BJ$13)=0,10^12,OFFSET(CRONOPLE!$F$15,$M133-$A$15,BJ$13)))</f>
        <v>1000000000000</v>
      </c>
      <c r="BK133" s="171">
        <f ca="1">IF(OR($D133&lt;&gt;"Serviço",AND(AUTOEVENTO="Manual",$M133=$A$15)),0,
         IF(OFFSET(CRONOPLE!$F$15,$M133-$A$15,BK$13)=0,10^12,OFFSET(CRONOPLE!$F$15,$M133-$A$15,BK$13)))</f>
        <v>1000000000000</v>
      </c>
      <c r="BL133" s="171">
        <f ca="1">IF(OR($D133&lt;&gt;"Serviço",AND(AUTOEVENTO="Manual",$M133=$A$15)),0,
         IF(OFFSET(CRONOPLE!$F$15,$M133-$A$15,BL$13)=0,10^12,OFFSET(CRONOPLE!$F$15,$M133-$A$15,BL$13)))</f>
        <v>1000000000000</v>
      </c>
      <c r="BM133" s="171">
        <f ca="1">IF(OR($D133&lt;&gt;"Serviço",AND(AUTOEVENTO="Manual",$M133=$A$15)),0,
         IF(OFFSET(CRONOPLE!$F$15,$M133-$A$15,BM$13)=0,10^12,OFFSET(CRONOPLE!$F$15,$M133-$A$15,BM$13)))</f>
        <v>1000000000000</v>
      </c>
      <c r="BN133" s="171">
        <f ca="1">IF(OR($D133&lt;&gt;"Serviço",AND(AUTOEVENTO="Manual",$M133=$A$15)),0,
         IF(OFFSET(CRONOPLE!$F$15,$M133-$A$15,BN$13)=0,10^12,OFFSET(CRONOPLE!$F$15,$M133-$A$15,BN$13)))</f>
        <v>1000000000000</v>
      </c>
      <c r="BO133" s="171">
        <f ca="1">IF(OR($D133&lt;&gt;"Serviço",AND(AUTOEVENTO="Manual",$M133=$A$15)),0,
         IF(OFFSET(CRONOPLE!$F$15,$M133-$A$15,BO$13)=0,10^12,OFFSET(CRONOPLE!$F$15,$M133-$A$15,BO$13)))</f>
        <v>1000000000000</v>
      </c>
      <c r="BP133" s="171">
        <f ca="1">IF(OR($D133&lt;&gt;"Serviço",AND(AUTOEVENTO="Manual",$M133=$A$15)),0,
         IF(OFFSET(CRONOPLE!$F$15,$M133-$A$15,BP$13)=0,10^12,OFFSET(CRONOPLE!$F$15,$M133-$A$15,BP$13)))</f>
        <v>1000000000000</v>
      </c>
      <c r="BQ133" s="171">
        <f ca="1">IF(OR($D133&lt;&gt;"Serviço",AND(AUTOEVENTO="Manual",$M133=$A$15)),0,
         IF(OFFSET(CRONOPLE!$F$15,$M133-$A$15,BQ$13)=0,10^12,OFFSET(CRONOPLE!$F$15,$M133-$A$15,BQ$13)))</f>
        <v>1000000000000</v>
      </c>
      <c r="BR133" s="171">
        <f ca="1">IF(OR($D133&lt;&gt;"Serviço",AND(AUTOEVENTO="Manual",$M133=$A$15)),0,
         IF(OFFSET(CRONOPLE!$F$15,$M133-$A$15,BR$13)=0,10^12,OFFSET(CRONOPLE!$F$15,$M133-$A$15,BR$13)))</f>
        <v>1000000000000</v>
      </c>
      <c r="BS133" s="171">
        <f ca="1">IF(OR($D133&lt;&gt;"Serviço",AND(AUTOEVENTO="Manual",$M133=$A$15)),0,
         IF(OFFSET(CRONOPLE!$F$15,$M133-$A$15,BS$13)=0,10^12,OFFSET(CRONOPLE!$F$15,$M133-$A$15,BS$13)))</f>
        <v>1000000000000</v>
      </c>
      <c r="BT133" s="171">
        <f ca="1">IF(OR($D133&lt;&gt;"Serviço",AND(AUTOEVENTO="Manual",$M133=$A$15)),0,
         IF(OFFSET(CRONOPLE!$F$15,$M133-$A$15,BT$13)=0,10^12,OFFSET(CRONOPLE!$F$15,$M133-$A$15,BT$13)))</f>
        <v>1000000000000</v>
      </c>
      <c r="BV133" s="172" cm="1">
        <f t="array" aca="1" ref="BV133" ca="1">IF(OR($D133&lt;&gt;"Serviço",AND(AUTOEVENTO="Manual",$M133=$A$15),$M133&gt;(ROW(PLE.lastrow)-ROW(PLE.firstrow))),0,
           IF(OFFSET(PLE!$G$15,$M133-$A$15,BV$13)="",10^12,OFFSET(PLE!$G$15,$M133-$A$15,BV$13)))</f>
        <v>1000000000000</v>
      </c>
      <c r="BW133" s="172" cm="1">
        <f t="array" aca="1" ref="BW133" ca="1">IF(OR($D133&lt;&gt;"Serviço",AND(AUTOEVENTO="Manual",$M133=$A$15),$M133&gt;(ROW(PLE.lastrow)-ROW(PLE.firstrow))),0,
           IF(OFFSET(PLE!$G$15,$M133-$A$15,BW$13)="",10^12,OFFSET(PLE!$G$15,$M133-$A$15,BW$13)))</f>
        <v>1000000000000</v>
      </c>
      <c r="BX133" s="172" cm="1">
        <f t="array" aca="1" ref="BX133" ca="1">IF(OR($D133&lt;&gt;"Serviço",AND(AUTOEVENTO="Manual",$M133=$A$15),$M133&gt;(ROW(PLE.lastrow)-ROW(PLE.firstrow))),0,
           IF(OFFSET(PLE!$G$15,$M133-$A$15,BX$13)="",10^12,OFFSET(PLE!$G$15,$M133-$A$15,BX$13)))</f>
        <v>1000000000000</v>
      </c>
      <c r="BY133" s="172" cm="1">
        <f t="array" aca="1" ref="BY133" ca="1">IF(OR($D133&lt;&gt;"Serviço",AND(AUTOEVENTO="Manual",$M133=$A$15),$M133&gt;(ROW(PLE.lastrow)-ROW(PLE.firstrow))),0,
           IF(OFFSET(PLE!$G$15,$M133-$A$15,BY$13)="",10^12,OFFSET(PLE!$G$15,$M133-$A$15,BY$13)))</f>
        <v>1000000000000</v>
      </c>
      <c r="BZ133" s="172" cm="1">
        <f t="array" aca="1" ref="BZ133" ca="1">IF(OR($D133&lt;&gt;"Serviço",AND(AUTOEVENTO="Manual",$M133=$A$15),$M133&gt;(ROW(PLE.lastrow)-ROW(PLE.firstrow))),0,
           IF(OFFSET(PLE!$G$15,$M133-$A$15,BZ$13)="",10^12,OFFSET(PLE!$G$15,$M133-$A$15,BZ$13)))</f>
        <v>1000000000000</v>
      </c>
      <c r="CA133" s="172" cm="1">
        <f t="array" aca="1" ref="CA133" ca="1">IF(OR($D133&lt;&gt;"Serviço",AND(AUTOEVENTO="Manual",$M133=$A$15),$M133&gt;(ROW(PLE.lastrow)-ROW(PLE.firstrow))),0,
           IF(OFFSET(PLE!$G$15,$M133-$A$15,CA$13)="",10^12,OFFSET(PLE!$G$15,$M133-$A$15,CA$13)))</f>
        <v>1000000000000</v>
      </c>
      <c r="CB133" s="172" cm="1">
        <f t="array" aca="1" ref="CB133" ca="1">IF(OR($D133&lt;&gt;"Serviço",AND(AUTOEVENTO="Manual",$M133=$A$15),$M133&gt;(ROW(PLE.lastrow)-ROW(PLE.firstrow))),0,
           IF(OFFSET(PLE!$G$15,$M133-$A$15,CB$13)="",10^12,OFFSET(PLE!$G$15,$M133-$A$15,CB$13)))</f>
        <v>1000000000000</v>
      </c>
      <c r="CC133" s="172" cm="1">
        <f t="array" aca="1" ref="CC133" ca="1">IF(OR($D133&lt;&gt;"Serviço",AND(AUTOEVENTO="Manual",$M133=$A$15),$M133&gt;(ROW(PLE.lastrow)-ROW(PLE.firstrow))),0,
           IF(OFFSET(PLE!$G$15,$M133-$A$15,CC$13)="",10^12,OFFSET(PLE!$G$15,$M133-$A$15,CC$13)))</f>
        <v>1000000000000</v>
      </c>
      <c r="CD133" s="172" cm="1">
        <f t="array" aca="1" ref="CD133" ca="1">IF(OR($D133&lt;&gt;"Serviço",AND(AUTOEVENTO="Manual",$M133=$A$15),$M133&gt;(ROW(PLE.lastrow)-ROW(PLE.firstrow))),0,
           IF(OFFSET(PLE!$G$15,$M133-$A$15,CD$13)="",10^12,OFFSET(PLE!$G$15,$M133-$A$15,CD$13)))</f>
        <v>1000000000000</v>
      </c>
      <c r="CE133" s="172" cm="1">
        <f t="array" aca="1" ref="CE133" ca="1">IF(OR($D133&lt;&gt;"Serviço",AND(AUTOEVENTO="Manual",$M133=$A$15),$M133&gt;(ROW(PLE.lastrow)-ROW(PLE.firstrow))),0,
           IF(OFFSET(PLE!$G$15,$M133-$A$15,CE$13)="",10^12,OFFSET(PLE!$G$15,$M133-$A$15,CE$13)))</f>
        <v>1000000000000</v>
      </c>
      <c r="CF133" s="172" cm="1">
        <f t="array" aca="1" ref="CF133" ca="1">IF(OR($D133&lt;&gt;"Serviço",AND(AUTOEVENTO="Manual",$M133=$A$15),$M133&gt;(ROW(PLE.lastrow)-ROW(PLE.firstrow))),0,
           IF(OFFSET(PLE!$G$15,$M133-$A$15,CF$13)="",10^12,OFFSET(PLE!$G$15,$M133-$A$15,CF$13)))</f>
        <v>1000000000000</v>
      </c>
      <c r="CG133" s="172" cm="1">
        <f t="array" aca="1" ref="CG133" ca="1">IF(OR($D133&lt;&gt;"Serviço",AND(AUTOEVENTO="Manual",$M133=$A$15),$M133&gt;(ROW(PLE.lastrow)-ROW(PLE.firstrow))),0,
           IF(OFFSET(PLE!$G$15,$M133-$A$15,CG$13)="",10^12,OFFSET(PLE!$G$15,$M133-$A$15,CG$13)))</f>
        <v>1000000000000</v>
      </c>
      <c r="CH133" s="172" cm="1">
        <f t="array" aca="1" ref="CH133" ca="1">IF(OR($D133&lt;&gt;"Serviço",AND(AUTOEVENTO="Manual",$M133=$A$15),$M133&gt;(ROW(PLE.lastrow)-ROW(PLE.firstrow))),0,
           IF(OFFSET(PLE!$G$15,$M133-$A$15,CH$13)="",10^12,OFFSET(PLE!$G$15,$M133-$A$15,CH$13)))</f>
        <v>1000000000000</v>
      </c>
      <c r="CI133" s="172" cm="1">
        <f t="array" aca="1" ref="CI133" ca="1">IF(OR($D133&lt;&gt;"Serviço",AND(AUTOEVENTO="Manual",$M133=$A$15),$M133&gt;(ROW(PLE.lastrow)-ROW(PLE.firstrow))),0,
           IF(OFFSET(PLE!$G$15,$M133-$A$15,CI$13)="",10^12,OFFSET(PLE!$G$15,$M133-$A$15,CI$13)))</f>
        <v>1000000000000</v>
      </c>
      <c r="CJ133" s="172" cm="1">
        <f t="array" aca="1" ref="CJ133" ca="1">IF(OR($D133&lt;&gt;"Serviço",AND(AUTOEVENTO="Manual",$M133=$A$15),$M133&gt;(ROW(PLE.lastrow)-ROW(PLE.firstrow))),0,
           IF(OFFSET(PLE!$G$15,$M133-$A$15,CJ$13)="",10^12,OFFSET(PLE!$G$15,$M133-$A$15,CJ$13)))</f>
        <v>1000000000000</v>
      </c>
      <c r="CK133" s="172" cm="1">
        <f t="array" aca="1" ref="CK133" ca="1">IF(OR($D133&lt;&gt;"Serviço",AND(AUTOEVENTO="Manual",$M133=$A$15),$M133&gt;(ROW(PLE.lastrow)-ROW(PLE.firstrow))),0,
           IF(OFFSET(PLE!$G$15,$M133-$A$15,CK$13)="",10^12,OFFSET(PLE!$G$15,$M133-$A$15,CK$13)))</f>
        <v>1000000000000</v>
      </c>
      <c r="CL133" s="172" cm="1">
        <f t="array" aca="1" ref="CL133" ca="1">IF(OR($D133&lt;&gt;"Serviço",AND(AUTOEVENTO="Manual",$M133=$A$15),$M133&gt;(ROW(PLE.lastrow)-ROW(PLE.firstrow))),0,
           IF(OFFSET(PLE!$G$15,$M133-$A$15,CL$13)="",10^12,OFFSET(PLE!$G$15,$M133-$A$15,CL$13)))</f>
        <v>1000000000000</v>
      </c>
      <c r="CM133" s="172" cm="1">
        <f t="array" aca="1" ref="CM133" ca="1">IF(OR($D133&lt;&gt;"Serviço",AND(AUTOEVENTO="Manual",$M133=$A$15),$M133&gt;(ROW(PLE.lastrow)-ROW(PLE.firstrow))),0,
           IF(OFFSET(PLE!$G$15,$M133-$A$15,CM$13)="",10^12,OFFSET(PLE!$G$15,$M133-$A$15,CM$13)))</f>
        <v>1000000000000</v>
      </c>
    </row>
    <row r="134" spans="1:91" s="670" customFormat="1" ht="25.5" x14ac:dyDescent="0.2">
      <c r="A134" s="668">
        <f t="shared" ca="1" si="12"/>
        <v>25</v>
      </c>
      <c r="B134" s="668" t="str">
        <f ca="1">OFFSET(ORÇAMENTO!C$15,$L134,0)</f>
        <v>S</v>
      </c>
      <c r="C134" s="668" t="str">
        <f ca="1">OFFSET(ORÇAMENTO!L$15,$L134,0)</f>
        <v>F</v>
      </c>
      <c r="D134" s="116" t="str">
        <f ca="1">OFFSET(ORÇAMENTO!N$15,$L134,0)</f>
        <v>Serviço</v>
      </c>
      <c r="E134" s="117" t="str">
        <f ca="1">OFFSET(ORÇAMENTO!O$15,$L134,0)</f>
        <v>1.17.20.</v>
      </c>
      <c r="F134" s="163" t="str">
        <f ca="1">OFFSET(ORÇAMENTO!R$15,$L134,0)</f>
        <v>FUSÍVEL TIPO NH 2 DE 224 A ATÉ 400 A</v>
      </c>
      <c r="G134" s="164" t="str">
        <f ca="1">IF($D134&lt;&gt;"Serviço","",OFFSET(ORÇAMENTO!S$15,$L134,0))</f>
        <v>UNIDADE</v>
      </c>
      <c r="H134" s="122" cm="1">
        <f t="array" aca="1" ref="H134" ca="1">IF($D134&lt;&gt;"Serviço",0,IF(ACOMPANHAMENTO="BM",ROUND(OFFSET(ORÇAMENTO!AJ$15,$L134,0),15-13*ORÇAMENTO!$AF$7),IF(IFERROR(CÁLCULO.FrentesPreenchidas,0)=0,0,SUM(ROUND(OFFSET($P134,0,1,1,CÁLCULO.FrentesPreenchidas),15-13*ORÇAMENTO!$AF$7)))))</f>
        <v>2</v>
      </c>
      <c r="I134" s="679" t="s">
        <v>1189</v>
      </c>
      <c r="J134" s="651" t="str" cm="1">
        <f t="array" aca="1" ref="J134" ca="1">IF(OR(B134&lt;&gt;"S",CÁLCULO.FrentesPreenchidas=0),"",IF(AND(ACOMPANHAMENTO="PLE",AUTOEVENTO="Manual",OR(H134&gt;0,ORÇAMENTO!AC134="QUANT."),OR(K134="",M134=0,N134="")),"►E",IF(AND(ACOMPANHAMENTO="PLE",ORÇAMENTO!AC134="QUANT."),"►Q",IF(AND(ACOMPANHAMENTO="PLE",H134&lt;&gt;SUMPRODUCT(($Q$1:$AI$1=1)*ROUND(Q134:AI134,15))),"►S",IF(AND(COUNTIF($P$11:$AI$11,"▼")=0,H134&gt;0,I134=""),"◄M","")))))</f>
        <v/>
      </c>
      <c r="K134" s="652" t="s">
        <v>1359</v>
      </c>
      <c r="L134" s="165">
        <f t="shared" ca="1" si="13"/>
        <v>119</v>
      </c>
      <c r="M134" s="166">
        <f ca="1">IF($D134&lt;&gt;"Serviço","",
          IF(AUTOEVENTO="manual",$A134,
                IF(ISERROR(MATCH($A134,$A$15:OFFSET($A134,-1,0),0)),MAX($M$15:OFFSET(M134,-1,0))+1,
                      INDEX($M$15:OFFSET(M134,-1,0),MATCH($A134,$A$15:OFFSET($A134,-1,0),0)))))</f>
        <v>25</v>
      </c>
      <c r="N134" s="167" t="str">
        <f ca="1">IF($D134&lt;&gt;"Serviço","",
         IF(AUTOEVENTO="Manual",
                IF($A134=0,"&lt;-- defina o número do agrupador",
                       OFFSET(EVENTOS!$D$15,$A134-$A$15,0)),
                OFFSET($F$15,$A134,0)))</f>
        <v>Instalações elétricas</v>
      </c>
      <c r="O134" s="168"/>
      <c r="Q134" s="168"/>
      <c r="R134" s="169"/>
      <c r="S134" s="169"/>
      <c r="T134" s="169"/>
      <c r="U134" s="169"/>
      <c r="V134" s="169">
        <v>2</v>
      </c>
      <c r="W134" s="169"/>
      <c r="X134" s="169"/>
      <c r="Y134" s="169"/>
      <c r="Z134" s="170"/>
      <c r="AA134" s="705"/>
      <c r="AB134" s="705"/>
      <c r="AC134" s="705"/>
      <c r="AD134" s="705"/>
      <c r="AE134" s="705"/>
      <c r="AF134" s="705"/>
      <c r="AG134" s="705"/>
      <c r="AH134" s="706"/>
      <c r="AJ134" s="453">
        <f ca="1">IF(AND($D134="Serviço",AJ$12&lt;&gt;0,$H134&gt;0,OR(AUTOEVENTO&lt;&gt;"manual",$M134&lt;&gt;$A$15)),
        IF(Import.TipoArredondamento&lt;&gt;"TransfereGOV",
              ROUND(OFFSET($P134,0,AJ$13),15-13*ORÇAMENTO!$AF$7)/$H134*OFFSET(ORÇAMENTO!$X$15,ROW(AJ134)-ROW(AJ$15),0),
              ROUND(ROUND(OFFSET($P134,0,AJ$13),15-13*ORÇAMENTO!$AF$7)*OFFSET(ORÇAMENTO!$W$15,ROW(AJ134)-ROW(AJ$15),0),15-13*ORÇAMENTO!$AF$11)),
         0)</f>
        <v>0</v>
      </c>
      <c r="AK134" s="453">
        <f ca="1">IF(AND($D134="Serviço",AK$12&lt;&gt;0,$H134&gt;0,OR(AUTOEVENTO&lt;&gt;"manual",$M134&lt;&gt;$A$15)),
        IF(Import.TipoArredondamento&lt;&gt;"TransfereGOV",
              ROUND(OFFSET($P134,0,AK$13),15-13*ORÇAMENTO!$AF$7)/$H134*OFFSET(ORÇAMENTO!$X$15,ROW(AK134)-ROW(AK$15),0),
              ROUND(ROUND(OFFSET($P134,0,AK$13),15-13*ORÇAMENTO!$AF$7)*OFFSET(ORÇAMENTO!$W$15,ROW(AK134)-ROW(AK$15),0),15-13*ORÇAMENTO!$AF$11)),
         0)</f>
        <v>0</v>
      </c>
      <c r="AL134" s="453">
        <f ca="1">IF(AND($D134="Serviço",AL$12&lt;&gt;0,$H134&gt;0,OR(AUTOEVENTO&lt;&gt;"manual",$M134&lt;&gt;$A$15)),
        IF(Import.TipoArredondamento&lt;&gt;"TransfereGOV",
              ROUND(OFFSET($P134,0,AL$13),15-13*ORÇAMENTO!$AF$7)/$H134*OFFSET(ORÇAMENTO!$X$15,ROW(AL134)-ROW(AL$15),0),
              ROUND(ROUND(OFFSET($P134,0,AL$13),15-13*ORÇAMENTO!$AF$7)*OFFSET(ORÇAMENTO!$W$15,ROW(AL134)-ROW(AL$15),0),15-13*ORÇAMENTO!$AF$11)),
         0)</f>
        <v>0</v>
      </c>
      <c r="AM134" s="453">
        <f ca="1">IF(AND($D134="Serviço",AM$12&lt;&gt;0,$H134&gt;0,OR(AUTOEVENTO&lt;&gt;"manual",$M134&lt;&gt;$A$15)),
        IF(Import.TipoArredondamento&lt;&gt;"TransfereGOV",
              ROUND(OFFSET($P134,0,AM$13),15-13*ORÇAMENTO!$AF$7)/$H134*OFFSET(ORÇAMENTO!$X$15,ROW(AM134)-ROW(AM$15),0),
              ROUND(ROUND(OFFSET($P134,0,AM$13),15-13*ORÇAMENTO!$AF$7)*OFFSET(ORÇAMENTO!$W$15,ROW(AM134)-ROW(AM$15),0),15-13*ORÇAMENTO!$AF$11)),
         0)</f>
        <v>0</v>
      </c>
      <c r="AN134" s="453">
        <f ca="1">IF(AND($D134="Serviço",AN$12&lt;&gt;0,$H134&gt;0,OR(AUTOEVENTO&lt;&gt;"manual",$M134&lt;&gt;$A$15)),
        IF(Import.TipoArredondamento&lt;&gt;"TransfereGOV",
              ROUND(OFFSET($P134,0,AN$13),15-13*ORÇAMENTO!$AF$7)/$H134*OFFSET(ORÇAMENTO!$X$15,ROW(AN134)-ROW(AN$15),0),
              ROUND(ROUND(OFFSET($P134,0,AN$13),15-13*ORÇAMENTO!$AF$7)*OFFSET(ORÇAMENTO!$W$15,ROW(AN134)-ROW(AN$15),0),15-13*ORÇAMENTO!$AF$11)),
         0)</f>
        <v>0</v>
      </c>
      <c r="AO134" s="453">
        <f ca="1">IF(AND($D134="Serviço",AO$12&lt;&gt;0,$H134&gt;0,OR(AUTOEVENTO&lt;&gt;"manual",$M134&lt;&gt;$A$15)),
        IF(Import.TipoArredondamento&lt;&gt;"TransfereGOV",
              ROUND(OFFSET($P134,0,AO$13),15-13*ORÇAMENTO!$AF$7)/$H134*OFFSET(ORÇAMENTO!$X$15,ROW(AO134)-ROW(AO$15),0),
              ROUND(ROUND(OFFSET($P134,0,AO$13),15-13*ORÇAMENTO!$AF$7)*OFFSET(ORÇAMENTO!$W$15,ROW(AO134)-ROW(AO$15),0),15-13*ORÇAMENTO!$AF$11)),
         0)</f>
        <v>299.32</v>
      </c>
      <c r="AP134" s="453">
        <f ca="1">IF(AND($D134="Serviço",AP$12&lt;&gt;0,$H134&gt;0,OR(AUTOEVENTO&lt;&gt;"manual",$M134&lt;&gt;$A$15)),
        IF(Import.TipoArredondamento&lt;&gt;"TransfereGOV",
              ROUND(OFFSET($P134,0,AP$13),15-13*ORÇAMENTO!$AF$7)/$H134*OFFSET(ORÇAMENTO!$X$15,ROW(AP134)-ROW(AP$15),0),
              ROUND(ROUND(OFFSET($P134,0,AP$13),15-13*ORÇAMENTO!$AF$7)*OFFSET(ORÇAMENTO!$W$15,ROW(AP134)-ROW(AP$15),0),15-13*ORÇAMENTO!$AF$11)),
         0)</f>
        <v>0</v>
      </c>
      <c r="AQ134" s="453">
        <f ca="1">IF(AND($D134="Serviço",AQ$12&lt;&gt;0,$H134&gt;0,OR(AUTOEVENTO&lt;&gt;"manual",$M134&lt;&gt;$A$15)),
        IF(Import.TipoArredondamento&lt;&gt;"TransfereGOV",
              ROUND(OFFSET($P134,0,AQ$13),15-13*ORÇAMENTO!$AF$7)/$H134*OFFSET(ORÇAMENTO!$X$15,ROW(AQ134)-ROW(AQ$15),0),
              ROUND(ROUND(OFFSET($P134,0,AQ$13),15-13*ORÇAMENTO!$AF$7)*OFFSET(ORÇAMENTO!$W$15,ROW(AQ134)-ROW(AQ$15),0),15-13*ORÇAMENTO!$AF$11)),
         0)</f>
        <v>0</v>
      </c>
      <c r="AR134" s="453">
        <f ca="1">IF(AND($D134="Serviço",AR$12&lt;&gt;0,$H134&gt;0,OR(AUTOEVENTO&lt;&gt;"manual",$M134&lt;&gt;$A$15)),
        IF(Import.TipoArredondamento&lt;&gt;"TransfereGOV",
              ROUND(OFFSET($P134,0,AR$13),15-13*ORÇAMENTO!$AF$7)/$H134*OFFSET(ORÇAMENTO!$X$15,ROW(AR134)-ROW(AR$15),0),
              ROUND(ROUND(OFFSET($P134,0,AR$13),15-13*ORÇAMENTO!$AF$7)*OFFSET(ORÇAMENTO!$W$15,ROW(AR134)-ROW(AR$15),0),15-13*ORÇAMENTO!$AF$11)),
         0)</f>
        <v>0</v>
      </c>
      <c r="AS134" s="453">
        <f ca="1">IF(AND($D134="Serviço",AS$12&lt;&gt;0,$H134&gt;0,OR(AUTOEVENTO&lt;&gt;"manual",$M134&lt;&gt;$A$15)),
        IF(Import.TipoArredondamento&lt;&gt;"TransfereGOV",
              ROUND(OFFSET($P134,0,AS$13),15-13*ORÇAMENTO!$AF$7)/$H134*OFFSET(ORÇAMENTO!$X$15,ROW(AS134)-ROW(AS$15),0),
              ROUND(ROUND(OFFSET($P134,0,AS$13),15-13*ORÇAMENTO!$AF$7)*OFFSET(ORÇAMENTO!$W$15,ROW(AS134)-ROW(AS$15),0),15-13*ORÇAMENTO!$AF$11)),
         0)</f>
        <v>0</v>
      </c>
      <c r="AT134" s="453">
        <f ca="1">IF(AND($D134="Serviço",AT$12&lt;&gt;0,$H134&gt;0,OR(AUTOEVENTO&lt;&gt;"manual",$M134&lt;&gt;$A$15)),
        IF(Import.TipoArredondamento&lt;&gt;"TransfereGOV",
              ROUND(OFFSET($P134,0,AT$13),15-13*ORÇAMENTO!$AF$7)/$H134*OFFSET(ORÇAMENTO!$X$15,ROW(AT134)-ROW(AT$15),0),
              ROUND(ROUND(OFFSET($P134,0,AT$13),15-13*ORÇAMENTO!$AF$7)*OFFSET(ORÇAMENTO!$W$15,ROW(AT134)-ROW(AT$15),0),15-13*ORÇAMENTO!$AF$11)),
         0)</f>
        <v>0</v>
      </c>
      <c r="AU134" s="453">
        <f ca="1">IF(AND($D134="Serviço",AU$12&lt;&gt;0,$H134&gt;0,OR(AUTOEVENTO&lt;&gt;"manual",$M134&lt;&gt;$A$15)),
        IF(Import.TipoArredondamento&lt;&gt;"TransfereGOV",
              ROUND(OFFSET($P134,0,AU$13),15-13*ORÇAMENTO!$AF$7)/$H134*OFFSET(ORÇAMENTO!$X$15,ROW(AU134)-ROW(AU$15),0),
              ROUND(ROUND(OFFSET($P134,0,AU$13),15-13*ORÇAMENTO!$AF$7)*OFFSET(ORÇAMENTO!$W$15,ROW(AU134)-ROW(AU$15),0),15-13*ORÇAMENTO!$AF$11)),
         0)</f>
        <v>0</v>
      </c>
      <c r="AV134" s="453">
        <f ca="1">IF(AND($D134="Serviço",AV$12&lt;&gt;0,$H134&gt;0,OR(AUTOEVENTO&lt;&gt;"manual",$M134&lt;&gt;$A$15)),
        IF(Import.TipoArredondamento&lt;&gt;"TransfereGOV",
              ROUND(OFFSET($P134,0,AV$13),15-13*ORÇAMENTO!$AF$7)/$H134*OFFSET(ORÇAMENTO!$X$15,ROW(AV134)-ROW(AV$15),0),
              ROUND(ROUND(OFFSET($P134,0,AV$13),15-13*ORÇAMENTO!$AF$7)*OFFSET(ORÇAMENTO!$W$15,ROW(AV134)-ROW(AV$15),0),15-13*ORÇAMENTO!$AF$11)),
         0)</f>
        <v>0</v>
      </c>
      <c r="AW134" s="453">
        <f ca="1">IF(AND($D134="Serviço",AW$12&lt;&gt;0,$H134&gt;0,OR(AUTOEVENTO&lt;&gt;"manual",$M134&lt;&gt;$A$15)),
        IF(Import.TipoArredondamento&lt;&gt;"TransfereGOV",
              ROUND(OFFSET($P134,0,AW$13),15-13*ORÇAMENTO!$AF$7)/$H134*OFFSET(ORÇAMENTO!$X$15,ROW(AW134)-ROW(AW$15),0),
              ROUND(ROUND(OFFSET($P134,0,AW$13),15-13*ORÇAMENTO!$AF$7)*OFFSET(ORÇAMENTO!$W$15,ROW(AW134)-ROW(AW$15),0),15-13*ORÇAMENTO!$AF$11)),
         0)</f>
        <v>0</v>
      </c>
      <c r="AX134" s="453">
        <f ca="1">IF(AND($D134="Serviço",AX$12&lt;&gt;0,$H134&gt;0,OR(AUTOEVENTO&lt;&gt;"manual",$M134&lt;&gt;$A$15)),
        IF(Import.TipoArredondamento&lt;&gt;"TransfereGOV",
              ROUND(OFFSET($P134,0,AX$13),15-13*ORÇAMENTO!$AF$7)/$H134*OFFSET(ORÇAMENTO!$X$15,ROW(AX134)-ROW(AX$15),0),
              ROUND(ROUND(OFFSET($P134,0,AX$13),15-13*ORÇAMENTO!$AF$7)*OFFSET(ORÇAMENTO!$W$15,ROW(AX134)-ROW(AX$15),0),15-13*ORÇAMENTO!$AF$11)),
         0)</f>
        <v>0</v>
      </c>
      <c r="AY134" s="453">
        <f ca="1">IF(AND($D134="Serviço",AY$12&lt;&gt;0,$H134&gt;0,OR(AUTOEVENTO&lt;&gt;"manual",$M134&lt;&gt;$A$15)),
        IF(Import.TipoArredondamento&lt;&gt;"TransfereGOV",
              ROUND(OFFSET($P134,0,AY$13),15-13*ORÇAMENTO!$AF$7)/$H134*OFFSET(ORÇAMENTO!$X$15,ROW(AY134)-ROW(AY$15),0),
              ROUND(ROUND(OFFSET($P134,0,AY$13),15-13*ORÇAMENTO!$AF$7)*OFFSET(ORÇAMENTO!$W$15,ROW(AY134)-ROW(AY$15),0),15-13*ORÇAMENTO!$AF$11)),
         0)</f>
        <v>0</v>
      </c>
      <c r="AZ134" s="453">
        <f ca="1">IF(AND($D134="Serviço",AZ$12&lt;&gt;0,$H134&gt;0,OR(AUTOEVENTO&lt;&gt;"manual",$M134&lt;&gt;$A$15)),
        IF(Import.TipoArredondamento&lt;&gt;"TransfereGOV",
              ROUND(OFFSET($P134,0,AZ$13),15-13*ORÇAMENTO!$AF$7)/$H134*OFFSET(ORÇAMENTO!$X$15,ROW(AZ134)-ROW(AZ$15),0),
              ROUND(ROUND(OFFSET($P134,0,AZ$13),15-13*ORÇAMENTO!$AF$7)*OFFSET(ORÇAMENTO!$W$15,ROW(AZ134)-ROW(AZ$15),0),15-13*ORÇAMENTO!$AF$11)),
         0)</f>
        <v>0</v>
      </c>
      <c r="BA134" s="453">
        <f ca="1">IF(AND($D134="Serviço",BA$12&lt;&gt;0,$H134&gt;0,OR(AUTOEVENTO&lt;&gt;"manual",$M134&lt;&gt;$A$15)),
        IF(Import.TipoArredondamento&lt;&gt;"TransfereGOV",
              ROUND(OFFSET($P134,0,BA$13),15-13*ORÇAMENTO!$AF$7)/$H134*OFFSET(ORÇAMENTO!$X$15,ROW(BA134)-ROW(BA$15),0),
              ROUND(ROUND(OFFSET($P134,0,BA$13),15-13*ORÇAMENTO!$AF$7)*OFFSET(ORÇAMENTO!$W$15,ROW(BA134)-ROW(BA$15),0),15-13*ORÇAMENTO!$AF$11)),
         0)</f>
        <v>0</v>
      </c>
      <c r="BC134" s="171">
        <f ca="1">IF(OR($D134&lt;&gt;"Serviço",AND(AUTOEVENTO="Manual",$M134=$A$15)),0,
         IF(OFFSET(CRONOPLE!$F$15,$M134-$A$15,BC$13)=0,10^12,OFFSET(CRONOPLE!$F$15,$M134-$A$15,BC$13)))</f>
        <v>1000000000000</v>
      </c>
      <c r="BD134" s="171">
        <f ca="1">IF(OR($D134&lt;&gt;"Serviço",AND(AUTOEVENTO="Manual",$M134=$A$15)),0,
         IF(OFFSET(CRONOPLE!$F$15,$M134-$A$15,BD$13)=0,10^12,OFFSET(CRONOPLE!$F$15,$M134-$A$15,BD$13)))</f>
        <v>1000000000000</v>
      </c>
      <c r="BE134" s="171">
        <f ca="1">IF(OR($D134&lt;&gt;"Serviço",AND(AUTOEVENTO="Manual",$M134=$A$15)),0,
         IF(OFFSET(CRONOPLE!$F$15,$M134-$A$15,BE$13)=0,10^12,OFFSET(CRONOPLE!$F$15,$M134-$A$15,BE$13)))</f>
        <v>1000000000000</v>
      </c>
      <c r="BF134" s="171">
        <f ca="1">IF(OR($D134&lt;&gt;"Serviço",AND(AUTOEVENTO="Manual",$M134=$A$15)),0,
         IF(OFFSET(CRONOPLE!$F$15,$M134-$A$15,BF$13)=0,10^12,OFFSET(CRONOPLE!$F$15,$M134-$A$15,BF$13)))</f>
        <v>1000000000000</v>
      </c>
      <c r="BG134" s="171">
        <f ca="1">IF(OR($D134&lt;&gt;"Serviço",AND(AUTOEVENTO="Manual",$M134=$A$15)),0,
         IF(OFFSET(CRONOPLE!$F$15,$M134-$A$15,BG$13)=0,10^12,OFFSET(CRONOPLE!$F$15,$M134-$A$15,BG$13)))</f>
        <v>1000000000000</v>
      </c>
      <c r="BH134" s="171">
        <f ca="1">IF(OR($D134&lt;&gt;"Serviço",AND(AUTOEVENTO="Manual",$M134=$A$15)),0,
         IF(OFFSET(CRONOPLE!$F$15,$M134-$A$15,BH$13)=0,10^12,OFFSET(CRONOPLE!$F$15,$M134-$A$15,BH$13)))</f>
        <v>9</v>
      </c>
      <c r="BI134" s="171">
        <f ca="1">IF(OR($D134&lt;&gt;"Serviço",AND(AUTOEVENTO="Manual",$M134=$A$15)),0,
         IF(OFFSET(CRONOPLE!$F$15,$M134-$A$15,BI$13)=0,10^12,OFFSET(CRONOPLE!$F$15,$M134-$A$15,BI$13)))</f>
        <v>1000000000000</v>
      </c>
      <c r="BJ134" s="171">
        <f ca="1">IF(OR($D134&lt;&gt;"Serviço",AND(AUTOEVENTO="Manual",$M134=$A$15)),0,
         IF(OFFSET(CRONOPLE!$F$15,$M134-$A$15,BJ$13)=0,10^12,OFFSET(CRONOPLE!$F$15,$M134-$A$15,BJ$13)))</f>
        <v>1000000000000</v>
      </c>
      <c r="BK134" s="171">
        <f ca="1">IF(OR($D134&lt;&gt;"Serviço",AND(AUTOEVENTO="Manual",$M134=$A$15)),0,
         IF(OFFSET(CRONOPLE!$F$15,$M134-$A$15,BK$13)=0,10^12,OFFSET(CRONOPLE!$F$15,$M134-$A$15,BK$13)))</f>
        <v>1000000000000</v>
      </c>
      <c r="BL134" s="171">
        <f ca="1">IF(OR($D134&lt;&gt;"Serviço",AND(AUTOEVENTO="Manual",$M134=$A$15)),0,
         IF(OFFSET(CRONOPLE!$F$15,$M134-$A$15,BL$13)=0,10^12,OFFSET(CRONOPLE!$F$15,$M134-$A$15,BL$13)))</f>
        <v>1000000000000</v>
      </c>
      <c r="BM134" s="171">
        <f ca="1">IF(OR($D134&lt;&gt;"Serviço",AND(AUTOEVENTO="Manual",$M134=$A$15)),0,
         IF(OFFSET(CRONOPLE!$F$15,$M134-$A$15,BM$13)=0,10^12,OFFSET(CRONOPLE!$F$15,$M134-$A$15,BM$13)))</f>
        <v>1000000000000</v>
      </c>
      <c r="BN134" s="171">
        <f ca="1">IF(OR($D134&lt;&gt;"Serviço",AND(AUTOEVENTO="Manual",$M134=$A$15)),0,
         IF(OFFSET(CRONOPLE!$F$15,$M134-$A$15,BN$13)=0,10^12,OFFSET(CRONOPLE!$F$15,$M134-$A$15,BN$13)))</f>
        <v>1000000000000</v>
      </c>
      <c r="BO134" s="171">
        <f ca="1">IF(OR($D134&lt;&gt;"Serviço",AND(AUTOEVENTO="Manual",$M134=$A$15)),0,
         IF(OFFSET(CRONOPLE!$F$15,$M134-$A$15,BO$13)=0,10^12,OFFSET(CRONOPLE!$F$15,$M134-$A$15,BO$13)))</f>
        <v>1000000000000</v>
      </c>
      <c r="BP134" s="171">
        <f ca="1">IF(OR($D134&lt;&gt;"Serviço",AND(AUTOEVENTO="Manual",$M134=$A$15)),0,
         IF(OFFSET(CRONOPLE!$F$15,$M134-$A$15,BP$13)=0,10^12,OFFSET(CRONOPLE!$F$15,$M134-$A$15,BP$13)))</f>
        <v>1000000000000</v>
      </c>
      <c r="BQ134" s="171">
        <f ca="1">IF(OR($D134&lt;&gt;"Serviço",AND(AUTOEVENTO="Manual",$M134=$A$15)),0,
         IF(OFFSET(CRONOPLE!$F$15,$M134-$A$15,BQ$13)=0,10^12,OFFSET(CRONOPLE!$F$15,$M134-$A$15,BQ$13)))</f>
        <v>1000000000000</v>
      </c>
      <c r="BR134" s="171">
        <f ca="1">IF(OR($D134&lt;&gt;"Serviço",AND(AUTOEVENTO="Manual",$M134=$A$15)),0,
         IF(OFFSET(CRONOPLE!$F$15,$M134-$A$15,BR$13)=0,10^12,OFFSET(CRONOPLE!$F$15,$M134-$A$15,BR$13)))</f>
        <v>1000000000000</v>
      </c>
      <c r="BS134" s="171">
        <f ca="1">IF(OR($D134&lt;&gt;"Serviço",AND(AUTOEVENTO="Manual",$M134=$A$15)),0,
         IF(OFFSET(CRONOPLE!$F$15,$M134-$A$15,BS$13)=0,10^12,OFFSET(CRONOPLE!$F$15,$M134-$A$15,BS$13)))</f>
        <v>1000000000000</v>
      </c>
      <c r="BT134" s="171">
        <f ca="1">IF(OR($D134&lt;&gt;"Serviço",AND(AUTOEVENTO="Manual",$M134=$A$15)),0,
         IF(OFFSET(CRONOPLE!$F$15,$M134-$A$15,BT$13)=0,10^12,OFFSET(CRONOPLE!$F$15,$M134-$A$15,BT$13)))</f>
        <v>1000000000000</v>
      </c>
      <c r="BV134" s="172" cm="1">
        <f t="array" aca="1" ref="BV134" ca="1">IF(OR($D134&lt;&gt;"Serviço",AND(AUTOEVENTO="Manual",$M134=$A$15),$M134&gt;(ROW(PLE.lastrow)-ROW(PLE.firstrow))),0,
           IF(OFFSET(PLE!$G$15,$M134-$A$15,BV$13)="",10^12,OFFSET(PLE!$G$15,$M134-$A$15,BV$13)))</f>
        <v>1000000000000</v>
      </c>
      <c r="BW134" s="172" cm="1">
        <f t="array" aca="1" ref="BW134" ca="1">IF(OR($D134&lt;&gt;"Serviço",AND(AUTOEVENTO="Manual",$M134=$A$15),$M134&gt;(ROW(PLE.lastrow)-ROW(PLE.firstrow))),0,
           IF(OFFSET(PLE!$G$15,$M134-$A$15,BW$13)="",10^12,OFFSET(PLE!$G$15,$M134-$A$15,BW$13)))</f>
        <v>1000000000000</v>
      </c>
      <c r="BX134" s="172" cm="1">
        <f t="array" aca="1" ref="BX134" ca="1">IF(OR($D134&lt;&gt;"Serviço",AND(AUTOEVENTO="Manual",$M134=$A$15),$M134&gt;(ROW(PLE.lastrow)-ROW(PLE.firstrow))),0,
           IF(OFFSET(PLE!$G$15,$M134-$A$15,BX$13)="",10^12,OFFSET(PLE!$G$15,$M134-$A$15,BX$13)))</f>
        <v>1000000000000</v>
      </c>
      <c r="BY134" s="172" cm="1">
        <f t="array" aca="1" ref="BY134" ca="1">IF(OR($D134&lt;&gt;"Serviço",AND(AUTOEVENTO="Manual",$M134=$A$15),$M134&gt;(ROW(PLE.lastrow)-ROW(PLE.firstrow))),0,
           IF(OFFSET(PLE!$G$15,$M134-$A$15,BY$13)="",10^12,OFFSET(PLE!$G$15,$M134-$A$15,BY$13)))</f>
        <v>1000000000000</v>
      </c>
      <c r="BZ134" s="172" cm="1">
        <f t="array" aca="1" ref="BZ134" ca="1">IF(OR($D134&lt;&gt;"Serviço",AND(AUTOEVENTO="Manual",$M134=$A$15),$M134&gt;(ROW(PLE.lastrow)-ROW(PLE.firstrow))),0,
           IF(OFFSET(PLE!$G$15,$M134-$A$15,BZ$13)="",10^12,OFFSET(PLE!$G$15,$M134-$A$15,BZ$13)))</f>
        <v>1000000000000</v>
      </c>
      <c r="CA134" s="172" cm="1">
        <f t="array" aca="1" ref="CA134" ca="1">IF(OR($D134&lt;&gt;"Serviço",AND(AUTOEVENTO="Manual",$M134=$A$15),$M134&gt;(ROW(PLE.lastrow)-ROW(PLE.firstrow))),0,
           IF(OFFSET(PLE!$G$15,$M134-$A$15,CA$13)="",10^12,OFFSET(PLE!$G$15,$M134-$A$15,CA$13)))</f>
        <v>1000000000000</v>
      </c>
      <c r="CB134" s="172" cm="1">
        <f t="array" aca="1" ref="CB134" ca="1">IF(OR($D134&lt;&gt;"Serviço",AND(AUTOEVENTO="Manual",$M134=$A$15),$M134&gt;(ROW(PLE.lastrow)-ROW(PLE.firstrow))),0,
           IF(OFFSET(PLE!$G$15,$M134-$A$15,CB$13)="",10^12,OFFSET(PLE!$G$15,$M134-$A$15,CB$13)))</f>
        <v>1000000000000</v>
      </c>
      <c r="CC134" s="172" cm="1">
        <f t="array" aca="1" ref="CC134" ca="1">IF(OR($D134&lt;&gt;"Serviço",AND(AUTOEVENTO="Manual",$M134=$A$15),$M134&gt;(ROW(PLE.lastrow)-ROW(PLE.firstrow))),0,
           IF(OFFSET(PLE!$G$15,$M134-$A$15,CC$13)="",10^12,OFFSET(PLE!$G$15,$M134-$A$15,CC$13)))</f>
        <v>1000000000000</v>
      </c>
      <c r="CD134" s="172" cm="1">
        <f t="array" aca="1" ref="CD134" ca="1">IF(OR($D134&lt;&gt;"Serviço",AND(AUTOEVENTO="Manual",$M134=$A$15),$M134&gt;(ROW(PLE.lastrow)-ROW(PLE.firstrow))),0,
           IF(OFFSET(PLE!$G$15,$M134-$A$15,CD$13)="",10^12,OFFSET(PLE!$G$15,$M134-$A$15,CD$13)))</f>
        <v>1000000000000</v>
      </c>
      <c r="CE134" s="172" cm="1">
        <f t="array" aca="1" ref="CE134" ca="1">IF(OR($D134&lt;&gt;"Serviço",AND(AUTOEVENTO="Manual",$M134=$A$15),$M134&gt;(ROW(PLE.lastrow)-ROW(PLE.firstrow))),0,
           IF(OFFSET(PLE!$G$15,$M134-$A$15,CE$13)="",10^12,OFFSET(PLE!$G$15,$M134-$A$15,CE$13)))</f>
        <v>1000000000000</v>
      </c>
      <c r="CF134" s="172" cm="1">
        <f t="array" aca="1" ref="CF134" ca="1">IF(OR($D134&lt;&gt;"Serviço",AND(AUTOEVENTO="Manual",$M134=$A$15),$M134&gt;(ROW(PLE.lastrow)-ROW(PLE.firstrow))),0,
           IF(OFFSET(PLE!$G$15,$M134-$A$15,CF$13)="",10^12,OFFSET(PLE!$G$15,$M134-$A$15,CF$13)))</f>
        <v>1000000000000</v>
      </c>
      <c r="CG134" s="172" cm="1">
        <f t="array" aca="1" ref="CG134" ca="1">IF(OR($D134&lt;&gt;"Serviço",AND(AUTOEVENTO="Manual",$M134=$A$15),$M134&gt;(ROW(PLE.lastrow)-ROW(PLE.firstrow))),0,
           IF(OFFSET(PLE!$G$15,$M134-$A$15,CG$13)="",10^12,OFFSET(PLE!$G$15,$M134-$A$15,CG$13)))</f>
        <v>1000000000000</v>
      </c>
      <c r="CH134" s="172" cm="1">
        <f t="array" aca="1" ref="CH134" ca="1">IF(OR($D134&lt;&gt;"Serviço",AND(AUTOEVENTO="Manual",$M134=$A$15),$M134&gt;(ROW(PLE.lastrow)-ROW(PLE.firstrow))),0,
           IF(OFFSET(PLE!$G$15,$M134-$A$15,CH$13)="",10^12,OFFSET(PLE!$G$15,$M134-$A$15,CH$13)))</f>
        <v>1000000000000</v>
      </c>
      <c r="CI134" s="172" cm="1">
        <f t="array" aca="1" ref="CI134" ca="1">IF(OR($D134&lt;&gt;"Serviço",AND(AUTOEVENTO="Manual",$M134=$A$15),$M134&gt;(ROW(PLE.lastrow)-ROW(PLE.firstrow))),0,
           IF(OFFSET(PLE!$G$15,$M134-$A$15,CI$13)="",10^12,OFFSET(PLE!$G$15,$M134-$A$15,CI$13)))</f>
        <v>1000000000000</v>
      </c>
      <c r="CJ134" s="172" cm="1">
        <f t="array" aca="1" ref="CJ134" ca="1">IF(OR($D134&lt;&gt;"Serviço",AND(AUTOEVENTO="Manual",$M134=$A$15),$M134&gt;(ROW(PLE.lastrow)-ROW(PLE.firstrow))),0,
           IF(OFFSET(PLE!$G$15,$M134-$A$15,CJ$13)="",10^12,OFFSET(PLE!$G$15,$M134-$A$15,CJ$13)))</f>
        <v>1000000000000</v>
      </c>
      <c r="CK134" s="172" cm="1">
        <f t="array" aca="1" ref="CK134" ca="1">IF(OR($D134&lt;&gt;"Serviço",AND(AUTOEVENTO="Manual",$M134=$A$15),$M134&gt;(ROW(PLE.lastrow)-ROW(PLE.firstrow))),0,
           IF(OFFSET(PLE!$G$15,$M134-$A$15,CK$13)="",10^12,OFFSET(PLE!$G$15,$M134-$A$15,CK$13)))</f>
        <v>1000000000000</v>
      </c>
      <c r="CL134" s="172" cm="1">
        <f t="array" aca="1" ref="CL134" ca="1">IF(OR($D134&lt;&gt;"Serviço",AND(AUTOEVENTO="Manual",$M134=$A$15),$M134&gt;(ROW(PLE.lastrow)-ROW(PLE.firstrow))),0,
           IF(OFFSET(PLE!$G$15,$M134-$A$15,CL$13)="",10^12,OFFSET(PLE!$G$15,$M134-$A$15,CL$13)))</f>
        <v>1000000000000</v>
      </c>
      <c r="CM134" s="172" cm="1">
        <f t="array" aca="1" ref="CM134" ca="1">IF(OR($D134&lt;&gt;"Serviço",AND(AUTOEVENTO="Manual",$M134=$A$15),$M134&gt;(ROW(PLE.lastrow)-ROW(PLE.firstrow))),0,
           IF(OFFSET(PLE!$G$15,$M134-$A$15,CM$13)="",10^12,OFFSET(PLE!$G$15,$M134-$A$15,CM$13)))</f>
        <v>1000000000000</v>
      </c>
    </row>
    <row r="135" spans="1:91" s="670" customFormat="1" ht="51" x14ac:dyDescent="0.2">
      <c r="A135" s="668">
        <f t="shared" ca="1" si="12"/>
        <v>25</v>
      </c>
      <c r="B135" s="668" t="str">
        <f ca="1">OFFSET(ORÇAMENTO!C$15,$L135,0)</f>
        <v>S</v>
      </c>
      <c r="C135" s="668" t="str">
        <f ca="1">OFFSET(ORÇAMENTO!L$15,$L135,0)</f>
        <v>F</v>
      </c>
      <c r="D135" s="116" t="str">
        <f ca="1">OFFSET(ORÇAMENTO!N$15,$L135,0)</f>
        <v>Serviço</v>
      </c>
      <c r="E135" s="117" t="str">
        <f ca="1">OFFSET(ORÇAMENTO!O$15,$L135,0)</f>
        <v>1.17.21.</v>
      </c>
      <c r="F135" s="163" t="str">
        <f ca="1">OFFSET(ORÇAMENTO!R$15,$L135,0)</f>
        <v>QUADRO DE DISTRIBUIÇÃO DE ENERGIA EM CHAPA DE AÇO GALVANIZADO, DE EMBUTIR, COM BARRAMENTO TRIFÁSICO, PARA 18 DISJUNTORES DIN 100A - FORNECIMENTO E INSTALAÇÃO. AF_07/2025</v>
      </c>
      <c r="G135" s="164" t="str">
        <f ca="1">IF($D135&lt;&gt;"Serviço","",OFFSET(ORÇAMENTO!S$15,$L135,0))</f>
        <v>UN</v>
      </c>
      <c r="H135" s="122" cm="1">
        <f t="array" aca="1" ref="H135" ca="1">IF($D135&lt;&gt;"Serviço",0,IF(ACOMPANHAMENTO="BM",ROUND(OFFSET(ORÇAMENTO!AJ$15,$L135,0),15-13*ORÇAMENTO!$AF$7),IF(IFERROR(CÁLCULO.FrentesPreenchidas,0)=0,0,SUM(ROUND(OFFSET($P135,0,1,1,CÁLCULO.FrentesPreenchidas),15-13*ORÇAMENTO!$AF$7)))))</f>
        <v>2</v>
      </c>
      <c r="I135" s="468" t="s">
        <v>1188</v>
      </c>
      <c r="J135" s="651" t="str" cm="1">
        <f t="array" aca="1" ref="J135" ca="1">IF(OR(B135&lt;&gt;"S",CÁLCULO.FrentesPreenchidas=0),"",IF(AND(ACOMPANHAMENTO="PLE",AUTOEVENTO="Manual",OR(H135&gt;0,ORÇAMENTO!AC135="QUANT."),OR(K135="",M135=0,N135="")),"►E",IF(AND(ACOMPANHAMENTO="PLE",ORÇAMENTO!AC135="QUANT."),"►Q",IF(AND(ACOMPANHAMENTO="PLE",H135&lt;&gt;SUMPRODUCT(($Q$1:$AI$1=1)*ROUND(Q135:AI135,15))),"►S",IF(AND(COUNTIF($P$11:$AI$11,"▼")=0,H135&gt;0,I135=""),"◄M","")))))</f>
        <v/>
      </c>
      <c r="K135" s="652" t="s">
        <v>1359</v>
      </c>
      <c r="L135" s="165">
        <f t="shared" ca="1" si="13"/>
        <v>120</v>
      </c>
      <c r="M135" s="166">
        <f ca="1">IF($D135&lt;&gt;"Serviço","",
          IF(AUTOEVENTO="manual",$A135,
                IF(ISERROR(MATCH($A135,$A$15:OFFSET($A135,-1,0),0)),MAX($M$15:OFFSET(M135,-1,0))+1,
                      INDEX($M$15:OFFSET(M135,-1,0),MATCH($A135,$A$15:OFFSET($A135,-1,0),0)))))</f>
        <v>25</v>
      </c>
      <c r="N135" s="167" t="str">
        <f ca="1">IF($D135&lt;&gt;"Serviço","",
         IF(AUTOEVENTO="Manual",
                IF($A135=0,"&lt;-- defina o número do agrupador",
                       OFFSET(EVENTOS!$D$15,$A135-$A$15,0)),
                OFFSET($F$15,$A135,0)))</f>
        <v>Instalações elétricas</v>
      </c>
      <c r="O135" s="168"/>
      <c r="Q135" s="168"/>
      <c r="R135" s="169"/>
      <c r="S135" s="169"/>
      <c r="T135" s="169"/>
      <c r="U135" s="169"/>
      <c r="V135" s="169">
        <v>2</v>
      </c>
      <c r="W135" s="169"/>
      <c r="X135" s="169"/>
      <c r="Y135" s="169"/>
      <c r="Z135" s="170"/>
      <c r="AA135" s="705"/>
      <c r="AB135" s="705"/>
      <c r="AC135" s="705"/>
      <c r="AD135" s="705"/>
      <c r="AE135" s="705"/>
      <c r="AF135" s="705"/>
      <c r="AG135" s="705"/>
      <c r="AH135" s="706"/>
      <c r="AJ135" s="453">
        <f ca="1">IF(AND($D135="Serviço",AJ$12&lt;&gt;0,$H135&gt;0,OR(AUTOEVENTO&lt;&gt;"manual",$M135&lt;&gt;$A$15)),
        IF(Import.TipoArredondamento&lt;&gt;"TransfereGOV",
              ROUND(OFFSET($P135,0,AJ$13),15-13*ORÇAMENTO!$AF$7)/$H135*OFFSET(ORÇAMENTO!$X$15,ROW(AJ135)-ROW(AJ$15),0),
              ROUND(ROUND(OFFSET($P135,0,AJ$13),15-13*ORÇAMENTO!$AF$7)*OFFSET(ORÇAMENTO!$W$15,ROW(AJ135)-ROW(AJ$15),0),15-13*ORÇAMENTO!$AF$11)),
         0)</f>
        <v>0</v>
      </c>
      <c r="AK135" s="453">
        <f ca="1">IF(AND($D135="Serviço",AK$12&lt;&gt;0,$H135&gt;0,OR(AUTOEVENTO&lt;&gt;"manual",$M135&lt;&gt;$A$15)),
        IF(Import.TipoArredondamento&lt;&gt;"TransfereGOV",
              ROUND(OFFSET($P135,0,AK$13),15-13*ORÇAMENTO!$AF$7)/$H135*OFFSET(ORÇAMENTO!$X$15,ROW(AK135)-ROW(AK$15),0),
              ROUND(ROUND(OFFSET($P135,0,AK$13),15-13*ORÇAMENTO!$AF$7)*OFFSET(ORÇAMENTO!$W$15,ROW(AK135)-ROW(AK$15),0),15-13*ORÇAMENTO!$AF$11)),
         0)</f>
        <v>0</v>
      </c>
      <c r="AL135" s="453">
        <f ca="1">IF(AND($D135="Serviço",AL$12&lt;&gt;0,$H135&gt;0,OR(AUTOEVENTO&lt;&gt;"manual",$M135&lt;&gt;$A$15)),
        IF(Import.TipoArredondamento&lt;&gt;"TransfereGOV",
              ROUND(OFFSET($P135,0,AL$13),15-13*ORÇAMENTO!$AF$7)/$H135*OFFSET(ORÇAMENTO!$X$15,ROW(AL135)-ROW(AL$15),0),
              ROUND(ROUND(OFFSET($P135,0,AL$13),15-13*ORÇAMENTO!$AF$7)*OFFSET(ORÇAMENTO!$W$15,ROW(AL135)-ROW(AL$15),0),15-13*ORÇAMENTO!$AF$11)),
         0)</f>
        <v>0</v>
      </c>
      <c r="AM135" s="453">
        <f ca="1">IF(AND($D135="Serviço",AM$12&lt;&gt;0,$H135&gt;0,OR(AUTOEVENTO&lt;&gt;"manual",$M135&lt;&gt;$A$15)),
        IF(Import.TipoArredondamento&lt;&gt;"TransfereGOV",
              ROUND(OFFSET($P135,0,AM$13),15-13*ORÇAMENTO!$AF$7)/$H135*OFFSET(ORÇAMENTO!$X$15,ROW(AM135)-ROW(AM$15),0),
              ROUND(ROUND(OFFSET($P135,0,AM$13),15-13*ORÇAMENTO!$AF$7)*OFFSET(ORÇAMENTO!$W$15,ROW(AM135)-ROW(AM$15),0),15-13*ORÇAMENTO!$AF$11)),
         0)</f>
        <v>0</v>
      </c>
      <c r="AN135" s="453">
        <f ca="1">IF(AND($D135="Serviço",AN$12&lt;&gt;0,$H135&gt;0,OR(AUTOEVENTO&lt;&gt;"manual",$M135&lt;&gt;$A$15)),
        IF(Import.TipoArredondamento&lt;&gt;"TransfereGOV",
              ROUND(OFFSET($P135,0,AN$13),15-13*ORÇAMENTO!$AF$7)/$H135*OFFSET(ORÇAMENTO!$X$15,ROW(AN135)-ROW(AN$15),0),
              ROUND(ROUND(OFFSET($P135,0,AN$13),15-13*ORÇAMENTO!$AF$7)*OFFSET(ORÇAMENTO!$W$15,ROW(AN135)-ROW(AN$15),0),15-13*ORÇAMENTO!$AF$11)),
         0)</f>
        <v>0</v>
      </c>
      <c r="AO135" s="453">
        <f ca="1">IF(AND($D135="Serviço",AO$12&lt;&gt;0,$H135&gt;0,OR(AUTOEVENTO&lt;&gt;"manual",$M135&lt;&gt;$A$15)),
        IF(Import.TipoArredondamento&lt;&gt;"TransfereGOV",
              ROUND(OFFSET($P135,0,AO$13),15-13*ORÇAMENTO!$AF$7)/$H135*OFFSET(ORÇAMENTO!$X$15,ROW(AO135)-ROW(AO$15),0),
              ROUND(ROUND(OFFSET($P135,0,AO$13),15-13*ORÇAMENTO!$AF$7)*OFFSET(ORÇAMENTO!$W$15,ROW(AO135)-ROW(AO$15),0),15-13*ORÇAMENTO!$AF$11)),
         0)</f>
        <v>1487.72</v>
      </c>
      <c r="AP135" s="453">
        <f ca="1">IF(AND($D135="Serviço",AP$12&lt;&gt;0,$H135&gt;0,OR(AUTOEVENTO&lt;&gt;"manual",$M135&lt;&gt;$A$15)),
        IF(Import.TipoArredondamento&lt;&gt;"TransfereGOV",
              ROUND(OFFSET($P135,0,AP$13),15-13*ORÇAMENTO!$AF$7)/$H135*OFFSET(ORÇAMENTO!$X$15,ROW(AP135)-ROW(AP$15),0),
              ROUND(ROUND(OFFSET($P135,0,AP$13),15-13*ORÇAMENTO!$AF$7)*OFFSET(ORÇAMENTO!$W$15,ROW(AP135)-ROW(AP$15),0),15-13*ORÇAMENTO!$AF$11)),
         0)</f>
        <v>0</v>
      </c>
      <c r="AQ135" s="453">
        <f ca="1">IF(AND($D135="Serviço",AQ$12&lt;&gt;0,$H135&gt;0,OR(AUTOEVENTO&lt;&gt;"manual",$M135&lt;&gt;$A$15)),
        IF(Import.TipoArredondamento&lt;&gt;"TransfereGOV",
              ROUND(OFFSET($P135,0,AQ$13),15-13*ORÇAMENTO!$AF$7)/$H135*OFFSET(ORÇAMENTO!$X$15,ROW(AQ135)-ROW(AQ$15),0),
              ROUND(ROUND(OFFSET($P135,0,AQ$13),15-13*ORÇAMENTO!$AF$7)*OFFSET(ORÇAMENTO!$W$15,ROW(AQ135)-ROW(AQ$15),0),15-13*ORÇAMENTO!$AF$11)),
         0)</f>
        <v>0</v>
      </c>
      <c r="AR135" s="453">
        <f ca="1">IF(AND($D135="Serviço",AR$12&lt;&gt;0,$H135&gt;0,OR(AUTOEVENTO&lt;&gt;"manual",$M135&lt;&gt;$A$15)),
        IF(Import.TipoArredondamento&lt;&gt;"TransfereGOV",
              ROUND(OFFSET($P135,0,AR$13),15-13*ORÇAMENTO!$AF$7)/$H135*OFFSET(ORÇAMENTO!$X$15,ROW(AR135)-ROW(AR$15),0),
              ROUND(ROUND(OFFSET($P135,0,AR$13),15-13*ORÇAMENTO!$AF$7)*OFFSET(ORÇAMENTO!$W$15,ROW(AR135)-ROW(AR$15),0),15-13*ORÇAMENTO!$AF$11)),
         0)</f>
        <v>0</v>
      </c>
      <c r="AS135" s="453">
        <f ca="1">IF(AND($D135="Serviço",AS$12&lt;&gt;0,$H135&gt;0,OR(AUTOEVENTO&lt;&gt;"manual",$M135&lt;&gt;$A$15)),
        IF(Import.TipoArredondamento&lt;&gt;"TransfereGOV",
              ROUND(OFFSET($P135,0,AS$13),15-13*ORÇAMENTO!$AF$7)/$H135*OFFSET(ORÇAMENTO!$X$15,ROW(AS135)-ROW(AS$15),0),
              ROUND(ROUND(OFFSET($P135,0,AS$13),15-13*ORÇAMENTO!$AF$7)*OFFSET(ORÇAMENTO!$W$15,ROW(AS135)-ROW(AS$15),0),15-13*ORÇAMENTO!$AF$11)),
         0)</f>
        <v>0</v>
      </c>
      <c r="AT135" s="453">
        <f ca="1">IF(AND($D135="Serviço",AT$12&lt;&gt;0,$H135&gt;0,OR(AUTOEVENTO&lt;&gt;"manual",$M135&lt;&gt;$A$15)),
        IF(Import.TipoArredondamento&lt;&gt;"TransfereGOV",
              ROUND(OFFSET($P135,0,AT$13),15-13*ORÇAMENTO!$AF$7)/$H135*OFFSET(ORÇAMENTO!$X$15,ROW(AT135)-ROW(AT$15),0),
              ROUND(ROUND(OFFSET($P135,0,AT$13),15-13*ORÇAMENTO!$AF$7)*OFFSET(ORÇAMENTO!$W$15,ROW(AT135)-ROW(AT$15),0),15-13*ORÇAMENTO!$AF$11)),
         0)</f>
        <v>0</v>
      </c>
      <c r="AU135" s="453">
        <f ca="1">IF(AND($D135="Serviço",AU$12&lt;&gt;0,$H135&gt;0,OR(AUTOEVENTO&lt;&gt;"manual",$M135&lt;&gt;$A$15)),
        IF(Import.TipoArredondamento&lt;&gt;"TransfereGOV",
              ROUND(OFFSET($P135,0,AU$13),15-13*ORÇAMENTO!$AF$7)/$H135*OFFSET(ORÇAMENTO!$X$15,ROW(AU135)-ROW(AU$15),0),
              ROUND(ROUND(OFFSET($P135,0,AU$13),15-13*ORÇAMENTO!$AF$7)*OFFSET(ORÇAMENTO!$W$15,ROW(AU135)-ROW(AU$15),0),15-13*ORÇAMENTO!$AF$11)),
         0)</f>
        <v>0</v>
      </c>
      <c r="AV135" s="453">
        <f ca="1">IF(AND($D135="Serviço",AV$12&lt;&gt;0,$H135&gt;0,OR(AUTOEVENTO&lt;&gt;"manual",$M135&lt;&gt;$A$15)),
        IF(Import.TipoArredondamento&lt;&gt;"TransfereGOV",
              ROUND(OFFSET($P135,0,AV$13),15-13*ORÇAMENTO!$AF$7)/$H135*OFFSET(ORÇAMENTO!$X$15,ROW(AV135)-ROW(AV$15),0),
              ROUND(ROUND(OFFSET($P135,0,AV$13),15-13*ORÇAMENTO!$AF$7)*OFFSET(ORÇAMENTO!$W$15,ROW(AV135)-ROW(AV$15),0),15-13*ORÇAMENTO!$AF$11)),
         0)</f>
        <v>0</v>
      </c>
      <c r="AW135" s="453">
        <f ca="1">IF(AND($D135="Serviço",AW$12&lt;&gt;0,$H135&gt;0,OR(AUTOEVENTO&lt;&gt;"manual",$M135&lt;&gt;$A$15)),
        IF(Import.TipoArredondamento&lt;&gt;"TransfereGOV",
              ROUND(OFFSET($P135,0,AW$13),15-13*ORÇAMENTO!$AF$7)/$H135*OFFSET(ORÇAMENTO!$X$15,ROW(AW135)-ROW(AW$15),0),
              ROUND(ROUND(OFFSET($P135,0,AW$13),15-13*ORÇAMENTO!$AF$7)*OFFSET(ORÇAMENTO!$W$15,ROW(AW135)-ROW(AW$15),0),15-13*ORÇAMENTO!$AF$11)),
         0)</f>
        <v>0</v>
      </c>
      <c r="AX135" s="453">
        <f ca="1">IF(AND($D135="Serviço",AX$12&lt;&gt;0,$H135&gt;0,OR(AUTOEVENTO&lt;&gt;"manual",$M135&lt;&gt;$A$15)),
        IF(Import.TipoArredondamento&lt;&gt;"TransfereGOV",
              ROUND(OFFSET($P135,0,AX$13),15-13*ORÇAMENTO!$AF$7)/$H135*OFFSET(ORÇAMENTO!$X$15,ROW(AX135)-ROW(AX$15),0),
              ROUND(ROUND(OFFSET($P135,0,AX$13),15-13*ORÇAMENTO!$AF$7)*OFFSET(ORÇAMENTO!$W$15,ROW(AX135)-ROW(AX$15),0),15-13*ORÇAMENTO!$AF$11)),
         0)</f>
        <v>0</v>
      </c>
      <c r="AY135" s="453">
        <f ca="1">IF(AND($D135="Serviço",AY$12&lt;&gt;0,$H135&gt;0,OR(AUTOEVENTO&lt;&gt;"manual",$M135&lt;&gt;$A$15)),
        IF(Import.TipoArredondamento&lt;&gt;"TransfereGOV",
              ROUND(OFFSET($P135,0,AY$13),15-13*ORÇAMENTO!$AF$7)/$H135*OFFSET(ORÇAMENTO!$X$15,ROW(AY135)-ROW(AY$15),0),
              ROUND(ROUND(OFFSET($P135,0,AY$13),15-13*ORÇAMENTO!$AF$7)*OFFSET(ORÇAMENTO!$W$15,ROW(AY135)-ROW(AY$15),0),15-13*ORÇAMENTO!$AF$11)),
         0)</f>
        <v>0</v>
      </c>
      <c r="AZ135" s="453">
        <f ca="1">IF(AND($D135="Serviço",AZ$12&lt;&gt;0,$H135&gt;0,OR(AUTOEVENTO&lt;&gt;"manual",$M135&lt;&gt;$A$15)),
        IF(Import.TipoArredondamento&lt;&gt;"TransfereGOV",
              ROUND(OFFSET($P135,0,AZ$13),15-13*ORÇAMENTO!$AF$7)/$H135*OFFSET(ORÇAMENTO!$X$15,ROW(AZ135)-ROW(AZ$15),0),
              ROUND(ROUND(OFFSET($P135,0,AZ$13),15-13*ORÇAMENTO!$AF$7)*OFFSET(ORÇAMENTO!$W$15,ROW(AZ135)-ROW(AZ$15),0),15-13*ORÇAMENTO!$AF$11)),
         0)</f>
        <v>0</v>
      </c>
      <c r="BA135" s="453">
        <f ca="1">IF(AND($D135="Serviço",BA$12&lt;&gt;0,$H135&gt;0,OR(AUTOEVENTO&lt;&gt;"manual",$M135&lt;&gt;$A$15)),
        IF(Import.TipoArredondamento&lt;&gt;"TransfereGOV",
              ROUND(OFFSET($P135,0,BA$13),15-13*ORÇAMENTO!$AF$7)/$H135*OFFSET(ORÇAMENTO!$X$15,ROW(BA135)-ROW(BA$15),0),
              ROUND(ROUND(OFFSET($P135,0,BA$13),15-13*ORÇAMENTO!$AF$7)*OFFSET(ORÇAMENTO!$W$15,ROW(BA135)-ROW(BA$15),0),15-13*ORÇAMENTO!$AF$11)),
         0)</f>
        <v>0</v>
      </c>
      <c r="BC135" s="171">
        <f ca="1">IF(OR($D135&lt;&gt;"Serviço",AND(AUTOEVENTO="Manual",$M135=$A$15)),0,
         IF(OFFSET(CRONOPLE!$F$15,$M135-$A$15,BC$13)=0,10^12,OFFSET(CRONOPLE!$F$15,$M135-$A$15,BC$13)))</f>
        <v>1000000000000</v>
      </c>
      <c r="BD135" s="171">
        <f ca="1">IF(OR($D135&lt;&gt;"Serviço",AND(AUTOEVENTO="Manual",$M135=$A$15)),0,
         IF(OFFSET(CRONOPLE!$F$15,$M135-$A$15,BD$13)=0,10^12,OFFSET(CRONOPLE!$F$15,$M135-$A$15,BD$13)))</f>
        <v>1000000000000</v>
      </c>
      <c r="BE135" s="171">
        <f ca="1">IF(OR($D135&lt;&gt;"Serviço",AND(AUTOEVENTO="Manual",$M135=$A$15)),0,
         IF(OFFSET(CRONOPLE!$F$15,$M135-$A$15,BE$13)=0,10^12,OFFSET(CRONOPLE!$F$15,$M135-$A$15,BE$13)))</f>
        <v>1000000000000</v>
      </c>
      <c r="BF135" s="171">
        <f ca="1">IF(OR($D135&lt;&gt;"Serviço",AND(AUTOEVENTO="Manual",$M135=$A$15)),0,
         IF(OFFSET(CRONOPLE!$F$15,$M135-$A$15,BF$13)=0,10^12,OFFSET(CRONOPLE!$F$15,$M135-$A$15,BF$13)))</f>
        <v>1000000000000</v>
      </c>
      <c r="BG135" s="171">
        <f ca="1">IF(OR($D135&lt;&gt;"Serviço",AND(AUTOEVENTO="Manual",$M135=$A$15)),0,
         IF(OFFSET(CRONOPLE!$F$15,$M135-$A$15,BG$13)=0,10^12,OFFSET(CRONOPLE!$F$15,$M135-$A$15,BG$13)))</f>
        <v>1000000000000</v>
      </c>
      <c r="BH135" s="171">
        <f ca="1">IF(OR($D135&lt;&gt;"Serviço",AND(AUTOEVENTO="Manual",$M135=$A$15)),0,
         IF(OFFSET(CRONOPLE!$F$15,$M135-$A$15,BH$13)=0,10^12,OFFSET(CRONOPLE!$F$15,$M135-$A$15,BH$13)))</f>
        <v>9</v>
      </c>
      <c r="BI135" s="171">
        <f ca="1">IF(OR($D135&lt;&gt;"Serviço",AND(AUTOEVENTO="Manual",$M135=$A$15)),0,
         IF(OFFSET(CRONOPLE!$F$15,$M135-$A$15,BI$13)=0,10^12,OFFSET(CRONOPLE!$F$15,$M135-$A$15,BI$13)))</f>
        <v>1000000000000</v>
      </c>
      <c r="BJ135" s="171">
        <f ca="1">IF(OR($D135&lt;&gt;"Serviço",AND(AUTOEVENTO="Manual",$M135=$A$15)),0,
         IF(OFFSET(CRONOPLE!$F$15,$M135-$A$15,BJ$13)=0,10^12,OFFSET(CRONOPLE!$F$15,$M135-$A$15,BJ$13)))</f>
        <v>1000000000000</v>
      </c>
      <c r="BK135" s="171">
        <f ca="1">IF(OR($D135&lt;&gt;"Serviço",AND(AUTOEVENTO="Manual",$M135=$A$15)),0,
         IF(OFFSET(CRONOPLE!$F$15,$M135-$A$15,BK$13)=0,10^12,OFFSET(CRONOPLE!$F$15,$M135-$A$15,BK$13)))</f>
        <v>1000000000000</v>
      </c>
      <c r="BL135" s="171">
        <f ca="1">IF(OR($D135&lt;&gt;"Serviço",AND(AUTOEVENTO="Manual",$M135=$A$15)),0,
         IF(OFFSET(CRONOPLE!$F$15,$M135-$A$15,BL$13)=0,10^12,OFFSET(CRONOPLE!$F$15,$M135-$A$15,BL$13)))</f>
        <v>1000000000000</v>
      </c>
      <c r="BM135" s="171">
        <f ca="1">IF(OR($D135&lt;&gt;"Serviço",AND(AUTOEVENTO="Manual",$M135=$A$15)),0,
         IF(OFFSET(CRONOPLE!$F$15,$M135-$A$15,BM$13)=0,10^12,OFFSET(CRONOPLE!$F$15,$M135-$A$15,BM$13)))</f>
        <v>1000000000000</v>
      </c>
      <c r="BN135" s="171">
        <f ca="1">IF(OR($D135&lt;&gt;"Serviço",AND(AUTOEVENTO="Manual",$M135=$A$15)),0,
         IF(OFFSET(CRONOPLE!$F$15,$M135-$A$15,BN$13)=0,10^12,OFFSET(CRONOPLE!$F$15,$M135-$A$15,BN$13)))</f>
        <v>1000000000000</v>
      </c>
      <c r="BO135" s="171">
        <f ca="1">IF(OR($D135&lt;&gt;"Serviço",AND(AUTOEVENTO="Manual",$M135=$A$15)),0,
         IF(OFFSET(CRONOPLE!$F$15,$M135-$A$15,BO$13)=0,10^12,OFFSET(CRONOPLE!$F$15,$M135-$A$15,BO$13)))</f>
        <v>1000000000000</v>
      </c>
      <c r="BP135" s="171">
        <f ca="1">IF(OR($D135&lt;&gt;"Serviço",AND(AUTOEVENTO="Manual",$M135=$A$15)),0,
         IF(OFFSET(CRONOPLE!$F$15,$M135-$A$15,BP$13)=0,10^12,OFFSET(CRONOPLE!$F$15,$M135-$A$15,BP$13)))</f>
        <v>1000000000000</v>
      </c>
      <c r="BQ135" s="171">
        <f ca="1">IF(OR($D135&lt;&gt;"Serviço",AND(AUTOEVENTO="Manual",$M135=$A$15)),0,
         IF(OFFSET(CRONOPLE!$F$15,$M135-$A$15,BQ$13)=0,10^12,OFFSET(CRONOPLE!$F$15,$M135-$A$15,BQ$13)))</f>
        <v>1000000000000</v>
      </c>
      <c r="BR135" s="171">
        <f ca="1">IF(OR($D135&lt;&gt;"Serviço",AND(AUTOEVENTO="Manual",$M135=$A$15)),0,
         IF(OFFSET(CRONOPLE!$F$15,$M135-$A$15,BR$13)=0,10^12,OFFSET(CRONOPLE!$F$15,$M135-$A$15,BR$13)))</f>
        <v>1000000000000</v>
      </c>
      <c r="BS135" s="171">
        <f ca="1">IF(OR($D135&lt;&gt;"Serviço",AND(AUTOEVENTO="Manual",$M135=$A$15)),0,
         IF(OFFSET(CRONOPLE!$F$15,$M135-$A$15,BS$13)=0,10^12,OFFSET(CRONOPLE!$F$15,$M135-$A$15,BS$13)))</f>
        <v>1000000000000</v>
      </c>
      <c r="BT135" s="171">
        <f ca="1">IF(OR($D135&lt;&gt;"Serviço",AND(AUTOEVENTO="Manual",$M135=$A$15)),0,
         IF(OFFSET(CRONOPLE!$F$15,$M135-$A$15,BT$13)=0,10^12,OFFSET(CRONOPLE!$F$15,$M135-$A$15,BT$13)))</f>
        <v>1000000000000</v>
      </c>
      <c r="BV135" s="172" cm="1">
        <f t="array" aca="1" ref="BV135" ca="1">IF(OR($D135&lt;&gt;"Serviço",AND(AUTOEVENTO="Manual",$M135=$A$15),$M135&gt;(ROW(PLE.lastrow)-ROW(PLE.firstrow))),0,
           IF(OFFSET(PLE!$G$15,$M135-$A$15,BV$13)="",10^12,OFFSET(PLE!$G$15,$M135-$A$15,BV$13)))</f>
        <v>1000000000000</v>
      </c>
      <c r="BW135" s="172" cm="1">
        <f t="array" aca="1" ref="BW135" ca="1">IF(OR($D135&lt;&gt;"Serviço",AND(AUTOEVENTO="Manual",$M135=$A$15),$M135&gt;(ROW(PLE.lastrow)-ROW(PLE.firstrow))),0,
           IF(OFFSET(PLE!$G$15,$M135-$A$15,BW$13)="",10^12,OFFSET(PLE!$G$15,$M135-$A$15,BW$13)))</f>
        <v>1000000000000</v>
      </c>
      <c r="BX135" s="172" cm="1">
        <f t="array" aca="1" ref="BX135" ca="1">IF(OR($D135&lt;&gt;"Serviço",AND(AUTOEVENTO="Manual",$M135=$A$15),$M135&gt;(ROW(PLE.lastrow)-ROW(PLE.firstrow))),0,
           IF(OFFSET(PLE!$G$15,$M135-$A$15,BX$13)="",10^12,OFFSET(PLE!$G$15,$M135-$A$15,BX$13)))</f>
        <v>1000000000000</v>
      </c>
      <c r="BY135" s="172" cm="1">
        <f t="array" aca="1" ref="BY135" ca="1">IF(OR($D135&lt;&gt;"Serviço",AND(AUTOEVENTO="Manual",$M135=$A$15),$M135&gt;(ROW(PLE.lastrow)-ROW(PLE.firstrow))),0,
           IF(OFFSET(PLE!$G$15,$M135-$A$15,BY$13)="",10^12,OFFSET(PLE!$G$15,$M135-$A$15,BY$13)))</f>
        <v>1000000000000</v>
      </c>
      <c r="BZ135" s="172" cm="1">
        <f t="array" aca="1" ref="BZ135" ca="1">IF(OR($D135&lt;&gt;"Serviço",AND(AUTOEVENTO="Manual",$M135=$A$15),$M135&gt;(ROW(PLE.lastrow)-ROW(PLE.firstrow))),0,
           IF(OFFSET(PLE!$G$15,$M135-$A$15,BZ$13)="",10^12,OFFSET(PLE!$G$15,$M135-$A$15,BZ$13)))</f>
        <v>1000000000000</v>
      </c>
      <c r="CA135" s="172" cm="1">
        <f t="array" aca="1" ref="CA135" ca="1">IF(OR($D135&lt;&gt;"Serviço",AND(AUTOEVENTO="Manual",$M135=$A$15),$M135&gt;(ROW(PLE.lastrow)-ROW(PLE.firstrow))),0,
           IF(OFFSET(PLE!$G$15,$M135-$A$15,CA$13)="",10^12,OFFSET(PLE!$G$15,$M135-$A$15,CA$13)))</f>
        <v>1000000000000</v>
      </c>
      <c r="CB135" s="172" cm="1">
        <f t="array" aca="1" ref="CB135" ca="1">IF(OR($D135&lt;&gt;"Serviço",AND(AUTOEVENTO="Manual",$M135=$A$15),$M135&gt;(ROW(PLE.lastrow)-ROW(PLE.firstrow))),0,
           IF(OFFSET(PLE!$G$15,$M135-$A$15,CB$13)="",10^12,OFFSET(PLE!$G$15,$M135-$A$15,CB$13)))</f>
        <v>1000000000000</v>
      </c>
      <c r="CC135" s="172" cm="1">
        <f t="array" aca="1" ref="CC135" ca="1">IF(OR($D135&lt;&gt;"Serviço",AND(AUTOEVENTO="Manual",$M135=$A$15),$M135&gt;(ROW(PLE.lastrow)-ROW(PLE.firstrow))),0,
           IF(OFFSET(PLE!$G$15,$M135-$A$15,CC$13)="",10^12,OFFSET(PLE!$G$15,$M135-$A$15,CC$13)))</f>
        <v>1000000000000</v>
      </c>
      <c r="CD135" s="172" cm="1">
        <f t="array" aca="1" ref="CD135" ca="1">IF(OR($D135&lt;&gt;"Serviço",AND(AUTOEVENTO="Manual",$M135=$A$15),$M135&gt;(ROW(PLE.lastrow)-ROW(PLE.firstrow))),0,
           IF(OFFSET(PLE!$G$15,$M135-$A$15,CD$13)="",10^12,OFFSET(PLE!$G$15,$M135-$A$15,CD$13)))</f>
        <v>1000000000000</v>
      </c>
      <c r="CE135" s="172" cm="1">
        <f t="array" aca="1" ref="CE135" ca="1">IF(OR($D135&lt;&gt;"Serviço",AND(AUTOEVENTO="Manual",$M135=$A$15),$M135&gt;(ROW(PLE.lastrow)-ROW(PLE.firstrow))),0,
           IF(OFFSET(PLE!$G$15,$M135-$A$15,CE$13)="",10^12,OFFSET(PLE!$G$15,$M135-$A$15,CE$13)))</f>
        <v>1000000000000</v>
      </c>
      <c r="CF135" s="172" cm="1">
        <f t="array" aca="1" ref="CF135" ca="1">IF(OR($D135&lt;&gt;"Serviço",AND(AUTOEVENTO="Manual",$M135=$A$15),$M135&gt;(ROW(PLE.lastrow)-ROW(PLE.firstrow))),0,
           IF(OFFSET(PLE!$G$15,$M135-$A$15,CF$13)="",10^12,OFFSET(PLE!$G$15,$M135-$A$15,CF$13)))</f>
        <v>1000000000000</v>
      </c>
      <c r="CG135" s="172" cm="1">
        <f t="array" aca="1" ref="CG135" ca="1">IF(OR($D135&lt;&gt;"Serviço",AND(AUTOEVENTO="Manual",$M135=$A$15),$M135&gt;(ROW(PLE.lastrow)-ROW(PLE.firstrow))),0,
           IF(OFFSET(PLE!$G$15,$M135-$A$15,CG$13)="",10^12,OFFSET(PLE!$G$15,$M135-$A$15,CG$13)))</f>
        <v>1000000000000</v>
      </c>
      <c r="CH135" s="172" cm="1">
        <f t="array" aca="1" ref="CH135" ca="1">IF(OR($D135&lt;&gt;"Serviço",AND(AUTOEVENTO="Manual",$M135=$A$15),$M135&gt;(ROW(PLE.lastrow)-ROW(PLE.firstrow))),0,
           IF(OFFSET(PLE!$G$15,$M135-$A$15,CH$13)="",10^12,OFFSET(PLE!$G$15,$M135-$A$15,CH$13)))</f>
        <v>1000000000000</v>
      </c>
      <c r="CI135" s="172" cm="1">
        <f t="array" aca="1" ref="CI135" ca="1">IF(OR($D135&lt;&gt;"Serviço",AND(AUTOEVENTO="Manual",$M135=$A$15),$M135&gt;(ROW(PLE.lastrow)-ROW(PLE.firstrow))),0,
           IF(OFFSET(PLE!$G$15,$M135-$A$15,CI$13)="",10^12,OFFSET(PLE!$G$15,$M135-$A$15,CI$13)))</f>
        <v>1000000000000</v>
      </c>
      <c r="CJ135" s="172" cm="1">
        <f t="array" aca="1" ref="CJ135" ca="1">IF(OR($D135&lt;&gt;"Serviço",AND(AUTOEVENTO="Manual",$M135=$A$15),$M135&gt;(ROW(PLE.lastrow)-ROW(PLE.firstrow))),0,
           IF(OFFSET(PLE!$G$15,$M135-$A$15,CJ$13)="",10^12,OFFSET(PLE!$G$15,$M135-$A$15,CJ$13)))</f>
        <v>1000000000000</v>
      </c>
      <c r="CK135" s="172" cm="1">
        <f t="array" aca="1" ref="CK135" ca="1">IF(OR($D135&lt;&gt;"Serviço",AND(AUTOEVENTO="Manual",$M135=$A$15),$M135&gt;(ROW(PLE.lastrow)-ROW(PLE.firstrow))),0,
           IF(OFFSET(PLE!$G$15,$M135-$A$15,CK$13)="",10^12,OFFSET(PLE!$G$15,$M135-$A$15,CK$13)))</f>
        <v>1000000000000</v>
      </c>
      <c r="CL135" s="172" cm="1">
        <f t="array" aca="1" ref="CL135" ca="1">IF(OR($D135&lt;&gt;"Serviço",AND(AUTOEVENTO="Manual",$M135=$A$15),$M135&gt;(ROW(PLE.lastrow)-ROW(PLE.firstrow))),0,
           IF(OFFSET(PLE!$G$15,$M135-$A$15,CL$13)="",10^12,OFFSET(PLE!$G$15,$M135-$A$15,CL$13)))</f>
        <v>1000000000000</v>
      </c>
      <c r="CM135" s="172" cm="1">
        <f t="array" aca="1" ref="CM135" ca="1">IF(OR($D135&lt;&gt;"Serviço",AND(AUTOEVENTO="Manual",$M135=$A$15),$M135&gt;(ROW(PLE.lastrow)-ROW(PLE.firstrow))),0,
           IF(OFFSET(PLE!$G$15,$M135-$A$15,CM$13)="",10^12,OFFSET(PLE!$G$15,$M135-$A$15,CM$13)))</f>
        <v>1000000000000</v>
      </c>
    </row>
    <row r="136" spans="1:91" s="670" customFormat="1" ht="25.5" x14ac:dyDescent="0.2">
      <c r="A136" s="668">
        <f t="shared" ca="1" si="12"/>
        <v>25</v>
      </c>
      <c r="B136" s="668" t="str">
        <f ca="1">OFFSET(ORÇAMENTO!C$15,$L136,0)</f>
        <v>S</v>
      </c>
      <c r="C136" s="668" t="str">
        <f ca="1">OFFSET(ORÇAMENTO!L$15,$L136,0)</f>
        <v>F</v>
      </c>
      <c r="D136" s="116" t="str">
        <f ca="1">OFFSET(ORÇAMENTO!N$15,$L136,0)</f>
        <v>Serviço</v>
      </c>
      <c r="E136" s="117" t="str">
        <f ca="1">OFFSET(ORÇAMENTO!O$15,$L136,0)</f>
        <v>1.17.22.</v>
      </c>
      <c r="F136" s="163" t="str">
        <f ca="1">OFFSET(ORÇAMENTO!R$15,$L136,0)</f>
        <v>DISPOSITIVO DE PROTEÇÃO CONTRA SURTOS 275V - 15KA</v>
      </c>
      <c r="G136" s="164" t="str">
        <f ca="1">IF($D136&lt;&gt;"Serviço","",OFFSET(ORÇAMENTO!S$15,$L136,0))</f>
        <v>UNIDADE</v>
      </c>
      <c r="H136" s="122" cm="1">
        <f t="array" aca="1" ref="H136" ca="1">IF($D136&lt;&gt;"Serviço",0,IF(ACOMPANHAMENTO="BM",ROUND(OFFSET(ORÇAMENTO!AJ$15,$L136,0),15-13*ORÇAMENTO!$AF$7),IF(IFERROR(CÁLCULO.FrentesPreenchidas,0)=0,0,SUM(ROUND(OFFSET($P136,0,1,1,CÁLCULO.FrentesPreenchidas),15-13*ORÇAMENTO!$AF$7)))))</f>
        <v>6</v>
      </c>
      <c r="I136" s="679" t="s">
        <v>1189</v>
      </c>
      <c r="J136" s="651" t="str" cm="1">
        <f t="array" aca="1" ref="J136" ca="1">IF(OR(B136&lt;&gt;"S",CÁLCULO.FrentesPreenchidas=0),"",IF(AND(ACOMPANHAMENTO="PLE",AUTOEVENTO="Manual",OR(H136&gt;0,ORÇAMENTO!AC136="QUANT."),OR(K136="",M136=0,N136="")),"►E",IF(AND(ACOMPANHAMENTO="PLE",ORÇAMENTO!AC136="QUANT."),"►Q",IF(AND(ACOMPANHAMENTO="PLE",H136&lt;&gt;SUMPRODUCT(($Q$1:$AI$1=1)*ROUND(Q136:AI136,15))),"►S",IF(AND(COUNTIF($P$11:$AI$11,"▼")=0,H136&gt;0,I136=""),"◄M","")))))</f>
        <v/>
      </c>
      <c r="K136" s="652" t="s">
        <v>1359</v>
      </c>
      <c r="L136" s="165">
        <f t="shared" ca="1" si="13"/>
        <v>121</v>
      </c>
      <c r="M136" s="166">
        <f ca="1">IF($D136&lt;&gt;"Serviço","",
          IF(AUTOEVENTO="manual",$A136,
                IF(ISERROR(MATCH($A136,$A$15:OFFSET($A136,-1,0),0)),MAX($M$15:OFFSET(M136,-1,0))+1,
                      INDEX($M$15:OFFSET(M136,-1,0),MATCH($A136,$A$15:OFFSET($A136,-1,0),0)))))</f>
        <v>25</v>
      </c>
      <c r="N136" s="167" t="str">
        <f ca="1">IF($D136&lt;&gt;"Serviço","",
         IF(AUTOEVENTO="Manual",
                IF($A136=0,"&lt;-- defina o número do agrupador",
                       OFFSET(EVENTOS!$D$15,$A136-$A$15,0)),
                OFFSET($F$15,$A136,0)))</f>
        <v>Instalações elétricas</v>
      </c>
      <c r="O136" s="168"/>
      <c r="Q136" s="168"/>
      <c r="R136" s="169"/>
      <c r="S136" s="169"/>
      <c r="T136" s="169"/>
      <c r="U136" s="169"/>
      <c r="V136" s="169">
        <v>6</v>
      </c>
      <c r="W136" s="169"/>
      <c r="X136" s="169"/>
      <c r="Y136" s="169"/>
      <c r="Z136" s="170"/>
      <c r="AA136" s="705"/>
      <c r="AB136" s="705"/>
      <c r="AC136" s="705"/>
      <c r="AD136" s="705"/>
      <c r="AE136" s="705"/>
      <c r="AF136" s="705"/>
      <c r="AG136" s="705"/>
      <c r="AH136" s="706"/>
      <c r="AJ136" s="453">
        <f ca="1">IF(AND($D136="Serviço",AJ$12&lt;&gt;0,$H136&gt;0,OR(AUTOEVENTO&lt;&gt;"manual",$M136&lt;&gt;$A$15)),
        IF(Import.TipoArredondamento&lt;&gt;"TransfereGOV",
              ROUND(OFFSET($P136,0,AJ$13),15-13*ORÇAMENTO!$AF$7)/$H136*OFFSET(ORÇAMENTO!$X$15,ROW(AJ136)-ROW(AJ$15),0),
              ROUND(ROUND(OFFSET($P136,0,AJ$13),15-13*ORÇAMENTO!$AF$7)*OFFSET(ORÇAMENTO!$W$15,ROW(AJ136)-ROW(AJ$15),0),15-13*ORÇAMENTO!$AF$11)),
         0)</f>
        <v>0</v>
      </c>
      <c r="AK136" s="453">
        <f ca="1">IF(AND($D136="Serviço",AK$12&lt;&gt;0,$H136&gt;0,OR(AUTOEVENTO&lt;&gt;"manual",$M136&lt;&gt;$A$15)),
        IF(Import.TipoArredondamento&lt;&gt;"TransfereGOV",
              ROUND(OFFSET($P136,0,AK$13),15-13*ORÇAMENTO!$AF$7)/$H136*OFFSET(ORÇAMENTO!$X$15,ROW(AK136)-ROW(AK$15),0),
              ROUND(ROUND(OFFSET($P136,0,AK$13),15-13*ORÇAMENTO!$AF$7)*OFFSET(ORÇAMENTO!$W$15,ROW(AK136)-ROW(AK$15),0),15-13*ORÇAMENTO!$AF$11)),
         0)</f>
        <v>0</v>
      </c>
      <c r="AL136" s="453">
        <f ca="1">IF(AND($D136="Serviço",AL$12&lt;&gt;0,$H136&gt;0,OR(AUTOEVENTO&lt;&gt;"manual",$M136&lt;&gt;$A$15)),
        IF(Import.TipoArredondamento&lt;&gt;"TransfereGOV",
              ROUND(OFFSET($P136,0,AL$13),15-13*ORÇAMENTO!$AF$7)/$H136*OFFSET(ORÇAMENTO!$X$15,ROW(AL136)-ROW(AL$15),0),
              ROUND(ROUND(OFFSET($P136,0,AL$13),15-13*ORÇAMENTO!$AF$7)*OFFSET(ORÇAMENTO!$W$15,ROW(AL136)-ROW(AL$15),0),15-13*ORÇAMENTO!$AF$11)),
         0)</f>
        <v>0</v>
      </c>
      <c r="AM136" s="453">
        <f ca="1">IF(AND($D136="Serviço",AM$12&lt;&gt;0,$H136&gt;0,OR(AUTOEVENTO&lt;&gt;"manual",$M136&lt;&gt;$A$15)),
        IF(Import.TipoArredondamento&lt;&gt;"TransfereGOV",
              ROUND(OFFSET($P136,0,AM$13),15-13*ORÇAMENTO!$AF$7)/$H136*OFFSET(ORÇAMENTO!$X$15,ROW(AM136)-ROW(AM$15),0),
              ROUND(ROUND(OFFSET($P136,0,AM$13),15-13*ORÇAMENTO!$AF$7)*OFFSET(ORÇAMENTO!$W$15,ROW(AM136)-ROW(AM$15),0),15-13*ORÇAMENTO!$AF$11)),
         0)</f>
        <v>0</v>
      </c>
      <c r="AN136" s="453">
        <f ca="1">IF(AND($D136="Serviço",AN$12&lt;&gt;0,$H136&gt;0,OR(AUTOEVENTO&lt;&gt;"manual",$M136&lt;&gt;$A$15)),
        IF(Import.TipoArredondamento&lt;&gt;"TransfereGOV",
              ROUND(OFFSET($P136,0,AN$13),15-13*ORÇAMENTO!$AF$7)/$H136*OFFSET(ORÇAMENTO!$X$15,ROW(AN136)-ROW(AN$15),0),
              ROUND(ROUND(OFFSET($P136,0,AN$13),15-13*ORÇAMENTO!$AF$7)*OFFSET(ORÇAMENTO!$W$15,ROW(AN136)-ROW(AN$15),0),15-13*ORÇAMENTO!$AF$11)),
         0)</f>
        <v>0</v>
      </c>
      <c r="AO136" s="453">
        <f ca="1">IF(AND($D136="Serviço",AO$12&lt;&gt;0,$H136&gt;0,OR(AUTOEVENTO&lt;&gt;"manual",$M136&lt;&gt;$A$15)),
        IF(Import.TipoArredondamento&lt;&gt;"TransfereGOV",
              ROUND(OFFSET($P136,0,AO$13),15-13*ORÇAMENTO!$AF$7)/$H136*OFFSET(ORÇAMENTO!$X$15,ROW(AO136)-ROW(AO$15),0),
              ROUND(ROUND(OFFSET($P136,0,AO$13),15-13*ORÇAMENTO!$AF$7)*OFFSET(ORÇAMENTO!$W$15,ROW(AO136)-ROW(AO$15),0),15-13*ORÇAMENTO!$AF$11)),
         0)</f>
        <v>493.56</v>
      </c>
      <c r="AP136" s="453">
        <f ca="1">IF(AND($D136="Serviço",AP$12&lt;&gt;0,$H136&gt;0,OR(AUTOEVENTO&lt;&gt;"manual",$M136&lt;&gt;$A$15)),
        IF(Import.TipoArredondamento&lt;&gt;"TransfereGOV",
              ROUND(OFFSET($P136,0,AP$13),15-13*ORÇAMENTO!$AF$7)/$H136*OFFSET(ORÇAMENTO!$X$15,ROW(AP136)-ROW(AP$15),0),
              ROUND(ROUND(OFFSET($P136,0,AP$13),15-13*ORÇAMENTO!$AF$7)*OFFSET(ORÇAMENTO!$W$15,ROW(AP136)-ROW(AP$15),0),15-13*ORÇAMENTO!$AF$11)),
         0)</f>
        <v>0</v>
      </c>
      <c r="AQ136" s="453">
        <f ca="1">IF(AND($D136="Serviço",AQ$12&lt;&gt;0,$H136&gt;0,OR(AUTOEVENTO&lt;&gt;"manual",$M136&lt;&gt;$A$15)),
        IF(Import.TipoArredondamento&lt;&gt;"TransfereGOV",
              ROUND(OFFSET($P136,0,AQ$13),15-13*ORÇAMENTO!$AF$7)/$H136*OFFSET(ORÇAMENTO!$X$15,ROW(AQ136)-ROW(AQ$15),0),
              ROUND(ROUND(OFFSET($P136,0,AQ$13),15-13*ORÇAMENTO!$AF$7)*OFFSET(ORÇAMENTO!$W$15,ROW(AQ136)-ROW(AQ$15),0),15-13*ORÇAMENTO!$AF$11)),
         0)</f>
        <v>0</v>
      </c>
      <c r="AR136" s="453">
        <f ca="1">IF(AND($D136="Serviço",AR$12&lt;&gt;0,$H136&gt;0,OR(AUTOEVENTO&lt;&gt;"manual",$M136&lt;&gt;$A$15)),
        IF(Import.TipoArredondamento&lt;&gt;"TransfereGOV",
              ROUND(OFFSET($P136,0,AR$13),15-13*ORÇAMENTO!$AF$7)/$H136*OFFSET(ORÇAMENTO!$X$15,ROW(AR136)-ROW(AR$15),0),
              ROUND(ROUND(OFFSET($P136,0,AR$13),15-13*ORÇAMENTO!$AF$7)*OFFSET(ORÇAMENTO!$W$15,ROW(AR136)-ROW(AR$15),0),15-13*ORÇAMENTO!$AF$11)),
         0)</f>
        <v>0</v>
      </c>
      <c r="AS136" s="453">
        <f ca="1">IF(AND($D136="Serviço",AS$12&lt;&gt;0,$H136&gt;0,OR(AUTOEVENTO&lt;&gt;"manual",$M136&lt;&gt;$A$15)),
        IF(Import.TipoArredondamento&lt;&gt;"TransfereGOV",
              ROUND(OFFSET($P136,0,AS$13),15-13*ORÇAMENTO!$AF$7)/$H136*OFFSET(ORÇAMENTO!$X$15,ROW(AS136)-ROW(AS$15),0),
              ROUND(ROUND(OFFSET($P136,0,AS$13),15-13*ORÇAMENTO!$AF$7)*OFFSET(ORÇAMENTO!$W$15,ROW(AS136)-ROW(AS$15),0),15-13*ORÇAMENTO!$AF$11)),
         0)</f>
        <v>0</v>
      </c>
      <c r="AT136" s="453">
        <f ca="1">IF(AND($D136="Serviço",AT$12&lt;&gt;0,$H136&gt;0,OR(AUTOEVENTO&lt;&gt;"manual",$M136&lt;&gt;$A$15)),
        IF(Import.TipoArredondamento&lt;&gt;"TransfereGOV",
              ROUND(OFFSET($P136,0,AT$13),15-13*ORÇAMENTO!$AF$7)/$H136*OFFSET(ORÇAMENTO!$X$15,ROW(AT136)-ROW(AT$15),0),
              ROUND(ROUND(OFFSET($P136,0,AT$13),15-13*ORÇAMENTO!$AF$7)*OFFSET(ORÇAMENTO!$W$15,ROW(AT136)-ROW(AT$15),0),15-13*ORÇAMENTO!$AF$11)),
         0)</f>
        <v>0</v>
      </c>
      <c r="AU136" s="453">
        <f ca="1">IF(AND($D136="Serviço",AU$12&lt;&gt;0,$H136&gt;0,OR(AUTOEVENTO&lt;&gt;"manual",$M136&lt;&gt;$A$15)),
        IF(Import.TipoArredondamento&lt;&gt;"TransfereGOV",
              ROUND(OFFSET($P136,0,AU$13),15-13*ORÇAMENTO!$AF$7)/$H136*OFFSET(ORÇAMENTO!$X$15,ROW(AU136)-ROW(AU$15),0),
              ROUND(ROUND(OFFSET($P136,0,AU$13),15-13*ORÇAMENTO!$AF$7)*OFFSET(ORÇAMENTO!$W$15,ROW(AU136)-ROW(AU$15),0),15-13*ORÇAMENTO!$AF$11)),
         0)</f>
        <v>0</v>
      </c>
      <c r="AV136" s="453">
        <f ca="1">IF(AND($D136="Serviço",AV$12&lt;&gt;0,$H136&gt;0,OR(AUTOEVENTO&lt;&gt;"manual",$M136&lt;&gt;$A$15)),
        IF(Import.TipoArredondamento&lt;&gt;"TransfereGOV",
              ROUND(OFFSET($P136,0,AV$13),15-13*ORÇAMENTO!$AF$7)/$H136*OFFSET(ORÇAMENTO!$X$15,ROW(AV136)-ROW(AV$15),0),
              ROUND(ROUND(OFFSET($P136,0,AV$13),15-13*ORÇAMENTO!$AF$7)*OFFSET(ORÇAMENTO!$W$15,ROW(AV136)-ROW(AV$15),0),15-13*ORÇAMENTO!$AF$11)),
         0)</f>
        <v>0</v>
      </c>
      <c r="AW136" s="453">
        <f ca="1">IF(AND($D136="Serviço",AW$12&lt;&gt;0,$H136&gt;0,OR(AUTOEVENTO&lt;&gt;"manual",$M136&lt;&gt;$A$15)),
        IF(Import.TipoArredondamento&lt;&gt;"TransfereGOV",
              ROUND(OFFSET($P136,0,AW$13),15-13*ORÇAMENTO!$AF$7)/$H136*OFFSET(ORÇAMENTO!$X$15,ROW(AW136)-ROW(AW$15),0),
              ROUND(ROUND(OFFSET($P136,0,AW$13),15-13*ORÇAMENTO!$AF$7)*OFFSET(ORÇAMENTO!$W$15,ROW(AW136)-ROW(AW$15),0),15-13*ORÇAMENTO!$AF$11)),
         0)</f>
        <v>0</v>
      </c>
      <c r="AX136" s="453">
        <f ca="1">IF(AND($D136="Serviço",AX$12&lt;&gt;0,$H136&gt;0,OR(AUTOEVENTO&lt;&gt;"manual",$M136&lt;&gt;$A$15)),
        IF(Import.TipoArredondamento&lt;&gt;"TransfereGOV",
              ROUND(OFFSET($P136,0,AX$13),15-13*ORÇAMENTO!$AF$7)/$H136*OFFSET(ORÇAMENTO!$X$15,ROW(AX136)-ROW(AX$15),0),
              ROUND(ROUND(OFFSET($P136,0,AX$13),15-13*ORÇAMENTO!$AF$7)*OFFSET(ORÇAMENTO!$W$15,ROW(AX136)-ROW(AX$15),0),15-13*ORÇAMENTO!$AF$11)),
         0)</f>
        <v>0</v>
      </c>
      <c r="AY136" s="453">
        <f ca="1">IF(AND($D136="Serviço",AY$12&lt;&gt;0,$H136&gt;0,OR(AUTOEVENTO&lt;&gt;"manual",$M136&lt;&gt;$A$15)),
        IF(Import.TipoArredondamento&lt;&gt;"TransfereGOV",
              ROUND(OFFSET($P136,0,AY$13),15-13*ORÇAMENTO!$AF$7)/$H136*OFFSET(ORÇAMENTO!$X$15,ROW(AY136)-ROW(AY$15),0),
              ROUND(ROUND(OFFSET($P136,0,AY$13),15-13*ORÇAMENTO!$AF$7)*OFFSET(ORÇAMENTO!$W$15,ROW(AY136)-ROW(AY$15),0),15-13*ORÇAMENTO!$AF$11)),
         0)</f>
        <v>0</v>
      </c>
      <c r="AZ136" s="453">
        <f ca="1">IF(AND($D136="Serviço",AZ$12&lt;&gt;0,$H136&gt;0,OR(AUTOEVENTO&lt;&gt;"manual",$M136&lt;&gt;$A$15)),
        IF(Import.TipoArredondamento&lt;&gt;"TransfereGOV",
              ROUND(OFFSET($P136,0,AZ$13),15-13*ORÇAMENTO!$AF$7)/$H136*OFFSET(ORÇAMENTO!$X$15,ROW(AZ136)-ROW(AZ$15),0),
              ROUND(ROUND(OFFSET($P136,0,AZ$13),15-13*ORÇAMENTO!$AF$7)*OFFSET(ORÇAMENTO!$W$15,ROW(AZ136)-ROW(AZ$15),0),15-13*ORÇAMENTO!$AF$11)),
         0)</f>
        <v>0</v>
      </c>
      <c r="BA136" s="453">
        <f ca="1">IF(AND($D136="Serviço",BA$12&lt;&gt;0,$H136&gt;0,OR(AUTOEVENTO&lt;&gt;"manual",$M136&lt;&gt;$A$15)),
        IF(Import.TipoArredondamento&lt;&gt;"TransfereGOV",
              ROUND(OFFSET($P136,0,BA$13),15-13*ORÇAMENTO!$AF$7)/$H136*OFFSET(ORÇAMENTO!$X$15,ROW(BA136)-ROW(BA$15),0),
              ROUND(ROUND(OFFSET($P136,0,BA$13),15-13*ORÇAMENTO!$AF$7)*OFFSET(ORÇAMENTO!$W$15,ROW(BA136)-ROW(BA$15),0),15-13*ORÇAMENTO!$AF$11)),
         0)</f>
        <v>0</v>
      </c>
      <c r="BC136" s="171">
        <f ca="1">IF(OR($D136&lt;&gt;"Serviço",AND(AUTOEVENTO="Manual",$M136=$A$15)),0,
         IF(OFFSET(CRONOPLE!$F$15,$M136-$A$15,BC$13)=0,10^12,OFFSET(CRONOPLE!$F$15,$M136-$A$15,BC$13)))</f>
        <v>1000000000000</v>
      </c>
      <c r="BD136" s="171">
        <f ca="1">IF(OR($D136&lt;&gt;"Serviço",AND(AUTOEVENTO="Manual",$M136=$A$15)),0,
         IF(OFFSET(CRONOPLE!$F$15,$M136-$A$15,BD$13)=0,10^12,OFFSET(CRONOPLE!$F$15,$M136-$A$15,BD$13)))</f>
        <v>1000000000000</v>
      </c>
      <c r="BE136" s="171">
        <f ca="1">IF(OR($D136&lt;&gt;"Serviço",AND(AUTOEVENTO="Manual",$M136=$A$15)),0,
         IF(OFFSET(CRONOPLE!$F$15,$M136-$A$15,BE$13)=0,10^12,OFFSET(CRONOPLE!$F$15,$M136-$A$15,BE$13)))</f>
        <v>1000000000000</v>
      </c>
      <c r="BF136" s="171">
        <f ca="1">IF(OR($D136&lt;&gt;"Serviço",AND(AUTOEVENTO="Manual",$M136=$A$15)),0,
         IF(OFFSET(CRONOPLE!$F$15,$M136-$A$15,BF$13)=0,10^12,OFFSET(CRONOPLE!$F$15,$M136-$A$15,BF$13)))</f>
        <v>1000000000000</v>
      </c>
      <c r="BG136" s="171">
        <f ca="1">IF(OR($D136&lt;&gt;"Serviço",AND(AUTOEVENTO="Manual",$M136=$A$15)),0,
         IF(OFFSET(CRONOPLE!$F$15,$M136-$A$15,BG$13)=0,10^12,OFFSET(CRONOPLE!$F$15,$M136-$A$15,BG$13)))</f>
        <v>1000000000000</v>
      </c>
      <c r="BH136" s="171">
        <f ca="1">IF(OR($D136&lt;&gt;"Serviço",AND(AUTOEVENTO="Manual",$M136=$A$15)),0,
         IF(OFFSET(CRONOPLE!$F$15,$M136-$A$15,BH$13)=0,10^12,OFFSET(CRONOPLE!$F$15,$M136-$A$15,BH$13)))</f>
        <v>9</v>
      </c>
      <c r="BI136" s="171">
        <f ca="1">IF(OR($D136&lt;&gt;"Serviço",AND(AUTOEVENTO="Manual",$M136=$A$15)),0,
         IF(OFFSET(CRONOPLE!$F$15,$M136-$A$15,BI$13)=0,10^12,OFFSET(CRONOPLE!$F$15,$M136-$A$15,BI$13)))</f>
        <v>1000000000000</v>
      </c>
      <c r="BJ136" s="171">
        <f ca="1">IF(OR($D136&lt;&gt;"Serviço",AND(AUTOEVENTO="Manual",$M136=$A$15)),0,
         IF(OFFSET(CRONOPLE!$F$15,$M136-$A$15,BJ$13)=0,10^12,OFFSET(CRONOPLE!$F$15,$M136-$A$15,BJ$13)))</f>
        <v>1000000000000</v>
      </c>
      <c r="BK136" s="171">
        <f ca="1">IF(OR($D136&lt;&gt;"Serviço",AND(AUTOEVENTO="Manual",$M136=$A$15)),0,
         IF(OFFSET(CRONOPLE!$F$15,$M136-$A$15,BK$13)=0,10^12,OFFSET(CRONOPLE!$F$15,$M136-$A$15,BK$13)))</f>
        <v>1000000000000</v>
      </c>
      <c r="BL136" s="171">
        <f ca="1">IF(OR($D136&lt;&gt;"Serviço",AND(AUTOEVENTO="Manual",$M136=$A$15)),0,
         IF(OFFSET(CRONOPLE!$F$15,$M136-$A$15,BL$13)=0,10^12,OFFSET(CRONOPLE!$F$15,$M136-$A$15,BL$13)))</f>
        <v>1000000000000</v>
      </c>
      <c r="BM136" s="171">
        <f ca="1">IF(OR($D136&lt;&gt;"Serviço",AND(AUTOEVENTO="Manual",$M136=$A$15)),0,
         IF(OFFSET(CRONOPLE!$F$15,$M136-$A$15,BM$13)=0,10^12,OFFSET(CRONOPLE!$F$15,$M136-$A$15,BM$13)))</f>
        <v>1000000000000</v>
      </c>
      <c r="BN136" s="171">
        <f ca="1">IF(OR($D136&lt;&gt;"Serviço",AND(AUTOEVENTO="Manual",$M136=$A$15)),0,
         IF(OFFSET(CRONOPLE!$F$15,$M136-$A$15,BN$13)=0,10^12,OFFSET(CRONOPLE!$F$15,$M136-$A$15,BN$13)))</f>
        <v>1000000000000</v>
      </c>
      <c r="BO136" s="171">
        <f ca="1">IF(OR($D136&lt;&gt;"Serviço",AND(AUTOEVENTO="Manual",$M136=$A$15)),0,
         IF(OFFSET(CRONOPLE!$F$15,$M136-$A$15,BO$13)=0,10^12,OFFSET(CRONOPLE!$F$15,$M136-$A$15,BO$13)))</f>
        <v>1000000000000</v>
      </c>
      <c r="BP136" s="171">
        <f ca="1">IF(OR($D136&lt;&gt;"Serviço",AND(AUTOEVENTO="Manual",$M136=$A$15)),0,
         IF(OFFSET(CRONOPLE!$F$15,$M136-$A$15,BP$13)=0,10^12,OFFSET(CRONOPLE!$F$15,$M136-$A$15,BP$13)))</f>
        <v>1000000000000</v>
      </c>
      <c r="BQ136" s="171">
        <f ca="1">IF(OR($D136&lt;&gt;"Serviço",AND(AUTOEVENTO="Manual",$M136=$A$15)),0,
         IF(OFFSET(CRONOPLE!$F$15,$M136-$A$15,BQ$13)=0,10^12,OFFSET(CRONOPLE!$F$15,$M136-$A$15,BQ$13)))</f>
        <v>1000000000000</v>
      </c>
      <c r="BR136" s="171">
        <f ca="1">IF(OR($D136&lt;&gt;"Serviço",AND(AUTOEVENTO="Manual",$M136=$A$15)),0,
         IF(OFFSET(CRONOPLE!$F$15,$M136-$A$15,BR$13)=0,10^12,OFFSET(CRONOPLE!$F$15,$M136-$A$15,BR$13)))</f>
        <v>1000000000000</v>
      </c>
      <c r="BS136" s="171">
        <f ca="1">IF(OR($D136&lt;&gt;"Serviço",AND(AUTOEVENTO="Manual",$M136=$A$15)),0,
         IF(OFFSET(CRONOPLE!$F$15,$M136-$A$15,BS$13)=0,10^12,OFFSET(CRONOPLE!$F$15,$M136-$A$15,BS$13)))</f>
        <v>1000000000000</v>
      </c>
      <c r="BT136" s="171">
        <f ca="1">IF(OR($D136&lt;&gt;"Serviço",AND(AUTOEVENTO="Manual",$M136=$A$15)),0,
         IF(OFFSET(CRONOPLE!$F$15,$M136-$A$15,BT$13)=0,10^12,OFFSET(CRONOPLE!$F$15,$M136-$A$15,BT$13)))</f>
        <v>1000000000000</v>
      </c>
      <c r="BV136" s="172" cm="1">
        <f t="array" aca="1" ref="BV136" ca="1">IF(OR($D136&lt;&gt;"Serviço",AND(AUTOEVENTO="Manual",$M136=$A$15),$M136&gt;(ROW(PLE.lastrow)-ROW(PLE.firstrow))),0,
           IF(OFFSET(PLE!$G$15,$M136-$A$15,BV$13)="",10^12,OFFSET(PLE!$G$15,$M136-$A$15,BV$13)))</f>
        <v>1000000000000</v>
      </c>
      <c r="BW136" s="172" cm="1">
        <f t="array" aca="1" ref="BW136" ca="1">IF(OR($D136&lt;&gt;"Serviço",AND(AUTOEVENTO="Manual",$M136=$A$15),$M136&gt;(ROW(PLE.lastrow)-ROW(PLE.firstrow))),0,
           IF(OFFSET(PLE!$G$15,$M136-$A$15,BW$13)="",10^12,OFFSET(PLE!$G$15,$M136-$A$15,BW$13)))</f>
        <v>1000000000000</v>
      </c>
      <c r="BX136" s="172" cm="1">
        <f t="array" aca="1" ref="BX136" ca="1">IF(OR($D136&lt;&gt;"Serviço",AND(AUTOEVENTO="Manual",$M136=$A$15),$M136&gt;(ROW(PLE.lastrow)-ROW(PLE.firstrow))),0,
           IF(OFFSET(PLE!$G$15,$M136-$A$15,BX$13)="",10^12,OFFSET(PLE!$G$15,$M136-$A$15,BX$13)))</f>
        <v>1000000000000</v>
      </c>
      <c r="BY136" s="172" cm="1">
        <f t="array" aca="1" ref="BY136" ca="1">IF(OR($D136&lt;&gt;"Serviço",AND(AUTOEVENTO="Manual",$M136=$A$15),$M136&gt;(ROW(PLE.lastrow)-ROW(PLE.firstrow))),0,
           IF(OFFSET(PLE!$G$15,$M136-$A$15,BY$13)="",10^12,OFFSET(PLE!$G$15,$M136-$A$15,BY$13)))</f>
        <v>1000000000000</v>
      </c>
      <c r="BZ136" s="172" cm="1">
        <f t="array" aca="1" ref="BZ136" ca="1">IF(OR($D136&lt;&gt;"Serviço",AND(AUTOEVENTO="Manual",$M136=$A$15),$M136&gt;(ROW(PLE.lastrow)-ROW(PLE.firstrow))),0,
           IF(OFFSET(PLE!$G$15,$M136-$A$15,BZ$13)="",10^12,OFFSET(PLE!$G$15,$M136-$A$15,BZ$13)))</f>
        <v>1000000000000</v>
      </c>
      <c r="CA136" s="172" cm="1">
        <f t="array" aca="1" ref="CA136" ca="1">IF(OR($D136&lt;&gt;"Serviço",AND(AUTOEVENTO="Manual",$M136=$A$15),$M136&gt;(ROW(PLE.lastrow)-ROW(PLE.firstrow))),0,
           IF(OFFSET(PLE!$G$15,$M136-$A$15,CA$13)="",10^12,OFFSET(PLE!$G$15,$M136-$A$15,CA$13)))</f>
        <v>1000000000000</v>
      </c>
      <c r="CB136" s="172" cm="1">
        <f t="array" aca="1" ref="CB136" ca="1">IF(OR($D136&lt;&gt;"Serviço",AND(AUTOEVENTO="Manual",$M136=$A$15),$M136&gt;(ROW(PLE.lastrow)-ROW(PLE.firstrow))),0,
           IF(OFFSET(PLE!$G$15,$M136-$A$15,CB$13)="",10^12,OFFSET(PLE!$G$15,$M136-$A$15,CB$13)))</f>
        <v>1000000000000</v>
      </c>
      <c r="CC136" s="172" cm="1">
        <f t="array" aca="1" ref="CC136" ca="1">IF(OR($D136&lt;&gt;"Serviço",AND(AUTOEVENTO="Manual",$M136=$A$15),$M136&gt;(ROW(PLE.lastrow)-ROW(PLE.firstrow))),0,
           IF(OFFSET(PLE!$G$15,$M136-$A$15,CC$13)="",10^12,OFFSET(PLE!$G$15,$M136-$A$15,CC$13)))</f>
        <v>1000000000000</v>
      </c>
      <c r="CD136" s="172" cm="1">
        <f t="array" aca="1" ref="CD136" ca="1">IF(OR($D136&lt;&gt;"Serviço",AND(AUTOEVENTO="Manual",$M136=$A$15),$M136&gt;(ROW(PLE.lastrow)-ROW(PLE.firstrow))),0,
           IF(OFFSET(PLE!$G$15,$M136-$A$15,CD$13)="",10^12,OFFSET(PLE!$G$15,$M136-$A$15,CD$13)))</f>
        <v>1000000000000</v>
      </c>
      <c r="CE136" s="172" cm="1">
        <f t="array" aca="1" ref="CE136" ca="1">IF(OR($D136&lt;&gt;"Serviço",AND(AUTOEVENTO="Manual",$M136=$A$15),$M136&gt;(ROW(PLE.lastrow)-ROW(PLE.firstrow))),0,
           IF(OFFSET(PLE!$G$15,$M136-$A$15,CE$13)="",10^12,OFFSET(PLE!$G$15,$M136-$A$15,CE$13)))</f>
        <v>1000000000000</v>
      </c>
      <c r="CF136" s="172" cm="1">
        <f t="array" aca="1" ref="CF136" ca="1">IF(OR($D136&lt;&gt;"Serviço",AND(AUTOEVENTO="Manual",$M136=$A$15),$M136&gt;(ROW(PLE.lastrow)-ROW(PLE.firstrow))),0,
           IF(OFFSET(PLE!$G$15,$M136-$A$15,CF$13)="",10^12,OFFSET(PLE!$G$15,$M136-$A$15,CF$13)))</f>
        <v>1000000000000</v>
      </c>
      <c r="CG136" s="172" cm="1">
        <f t="array" aca="1" ref="CG136" ca="1">IF(OR($D136&lt;&gt;"Serviço",AND(AUTOEVENTO="Manual",$M136=$A$15),$M136&gt;(ROW(PLE.lastrow)-ROW(PLE.firstrow))),0,
           IF(OFFSET(PLE!$G$15,$M136-$A$15,CG$13)="",10^12,OFFSET(PLE!$G$15,$M136-$A$15,CG$13)))</f>
        <v>1000000000000</v>
      </c>
      <c r="CH136" s="172" cm="1">
        <f t="array" aca="1" ref="CH136" ca="1">IF(OR($D136&lt;&gt;"Serviço",AND(AUTOEVENTO="Manual",$M136=$A$15),$M136&gt;(ROW(PLE.lastrow)-ROW(PLE.firstrow))),0,
           IF(OFFSET(PLE!$G$15,$M136-$A$15,CH$13)="",10^12,OFFSET(PLE!$G$15,$M136-$A$15,CH$13)))</f>
        <v>1000000000000</v>
      </c>
      <c r="CI136" s="172" cm="1">
        <f t="array" aca="1" ref="CI136" ca="1">IF(OR($D136&lt;&gt;"Serviço",AND(AUTOEVENTO="Manual",$M136=$A$15),$M136&gt;(ROW(PLE.lastrow)-ROW(PLE.firstrow))),0,
           IF(OFFSET(PLE!$G$15,$M136-$A$15,CI$13)="",10^12,OFFSET(PLE!$G$15,$M136-$A$15,CI$13)))</f>
        <v>1000000000000</v>
      </c>
      <c r="CJ136" s="172" cm="1">
        <f t="array" aca="1" ref="CJ136" ca="1">IF(OR($D136&lt;&gt;"Serviço",AND(AUTOEVENTO="Manual",$M136=$A$15),$M136&gt;(ROW(PLE.lastrow)-ROW(PLE.firstrow))),0,
           IF(OFFSET(PLE!$G$15,$M136-$A$15,CJ$13)="",10^12,OFFSET(PLE!$G$15,$M136-$A$15,CJ$13)))</f>
        <v>1000000000000</v>
      </c>
      <c r="CK136" s="172" cm="1">
        <f t="array" aca="1" ref="CK136" ca="1">IF(OR($D136&lt;&gt;"Serviço",AND(AUTOEVENTO="Manual",$M136=$A$15),$M136&gt;(ROW(PLE.lastrow)-ROW(PLE.firstrow))),0,
           IF(OFFSET(PLE!$G$15,$M136-$A$15,CK$13)="",10^12,OFFSET(PLE!$G$15,$M136-$A$15,CK$13)))</f>
        <v>1000000000000</v>
      </c>
      <c r="CL136" s="172" cm="1">
        <f t="array" aca="1" ref="CL136" ca="1">IF(OR($D136&lt;&gt;"Serviço",AND(AUTOEVENTO="Manual",$M136=$A$15),$M136&gt;(ROW(PLE.lastrow)-ROW(PLE.firstrow))),0,
           IF(OFFSET(PLE!$G$15,$M136-$A$15,CL$13)="",10^12,OFFSET(PLE!$G$15,$M136-$A$15,CL$13)))</f>
        <v>1000000000000</v>
      </c>
      <c r="CM136" s="172" cm="1">
        <f t="array" aca="1" ref="CM136" ca="1">IF(OR($D136&lt;&gt;"Serviço",AND(AUTOEVENTO="Manual",$M136=$A$15),$M136&gt;(ROW(PLE.lastrow)-ROW(PLE.firstrow))),0,
           IF(OFFSET(PLE!$G$15,$M136-$A$15,CM$13)="",10^12,OFFSET(PLE!$G$15,$M136-$A$15,CM$13)))</f>
        <v>1000000000000</v>
      </c>
    </row>
    <row r="137" spans="1:91" s="670" customFormat="1" ht="25.5" x14ac:dyDescent="0.2">
      <c r="A137" s="668">
        <f t="shared" ca="1" si="12"/>
        <v>25</v>
      </c>
      <c r="B137" s="668" t="str">
        <f ca="1">OFFSET(ORÇAMENTO!C$15,$L137,0)</f>
        <v>S</v>
      </c>
      <c r="C137" s="668" t="str">
        <f ca="1">OFFSET(ORÇAMENTO!L$15,$L137,0)</f>
        <v>F</v>
      </c>
      <c r="D137" s="116" t="str">
        <f ca="1">OFFSET(ORÇAMENTO!N$15,$L137,0)</f>
        <v>Serviço</v>
      </c>
      <c r="E137" s="117" t="str">
        <f ca="1">OFFSET(ORÇAMENTO!O$15,$L137,0)</f>
        <v>1.17.23.</v>
      </c>
      <c r="F137" s="163" t="str">
        <f ca="1">OFFSET(ORÇAMENTO!R$15,$L137,0)</f>
        <v>Disjuntor termomagnetico tripolar  63 A, padrão DIN (Europeu - linha branca),curva C</v>
      </c>
      <c r="G137" s="164" t="str">
        <f ca="1">IF($D137&lt;&gt;"Serviço","",OFFSET(ORÇAMENTO!S$15,$L137,0))</f>
        <v>UNIDADE</v>
      </c>
      <c r="H137" s="122" cm="1">
        <f t="array" aca="1" ref="H137" ca="1">IF($D137&lt;&gt;"Serviço",0,IF(ACOMPANHAMENTO="BM",ROUND(OFFSET(ORÇAMENTO!AJ$15,$L137,0),15-13*ORÇAMENTO!$AF$7),IF(IFERROR(CÁLCULO.FrentesPreenchidas,0)=0,0,SUM(ROUND(OFFSET($P137,0,1,1,CÁLCULO.FrentesPreenchidas),15-13*ORÇAMENTO!$AF$7)))))</f>
        <v>1</v>
      </c>
      <c r="I137" s="679" t="s">
        <v>1189</v>
      </c>
      <c r="J137" s="651" t="str" cm="1">
        <f t="array" aca="1" ref="J137" ca="1">IF(OR(B137&lt;&gt;"S",CÁLCULO.FrentesPreenchidas=0),"",IF(AND(ACOMPANHAMENTO="PLE",AUTOEVENTO="Manual",OR(H137&gt;0,ORÇAMENTO!AC137="QUANT."),OR(K137="",M137=0,N137="")),"►E",IF(AND(ACOMPANHAMENTO="PLE",ORÇAMENTO!AC137="QUANT."),"►Q",IF(AND(ACOMPANHAMENTO="PLE",H137&lt;&gt;SUMPRODUCT(($Q$1:$AI$1=1)*ROUND(Q137:AI137,15))),"►S",IF(AND(COUNTIF($P$11:$AI$11,"▼")=0,H137&gt;0,I137=""),"◄M","")))))</f>
        <v/>
      </c>
      <c r="K137" s="652" t="s">
        <v>1359</v>
      </c>
      <c r="L137" s="165">
        <f t="shared" ca="1" si="13"/>
        <v>122</v>
      </c>
      <c r="M137" s="166">
        <f ca="1">IF($D137&lt;&gt;"Serviço","",
          IF(AUTOEVENTO="manual",$A137,
                IF(ISERROR(MATCH($A137,$A$15:OFFSET($A137,-1,0),0)),MAX($M$15:OFFSET(M137,-1,0))+1,
                      INDEX($M$15:OFFSET(M137,-1,0),MATCH($A137,$A$15:OFFSET($A137,-1,0),0)))))</f>
        <v>25</v>
      </c>
      <c r="N137" s="167" t="str">
        <f ca="1">IF($D137&lt;&gt;"Serviço","",
         IF(AUTOEVENTO="Manual",
                IF($A137=0,"&lt;-- defina o número do agrupador",
                       OFFSET(EVENTOS!$D$15,$A137-$A$15,0)),
                OFFSET($F$15,$A137,0)))</f>
        <v>Instalações elétricas</v>
      </c>
      <c r="O137" s="168"/>
      <c r="Q137" s="168"/>
      <c r="R137" s="169"/>
      <c r="S137" s="169"/>
      <c r="T137" s="169"/>
      <c r="U137" s="169"/>
      <c r="V137" s="169">
        <v>1</v>
      </c>
      <c r="W137" s="169"/>
      <c r="X137" s="169"/>
      <c r="Y137" s="169"/>
      <c r="Z137" s="170"/>
      <c r="AA137" s="705"/>
      <c r="AB137" s="705"/>
      <c r="AC137" s="705"/>
      <c r="AD137" s="705"/>
      <c r="AE137" s="705"/>
      <c r="AF137" s="705"/>
      <c r="AG137" s="705"/>
      <c r="AH137" s="706"/>
      <c r="AJ137" s="453">
        <f ca="1">IF(AND($D137="Serviço",AJ$12&lt;&gt;0,$H137&gt;0,OR(AUTOEVENTO&lt;&gt;"manual",$M137&lt;&gt;$A$15)),
        IF(Import.TipoArredondamento&lt;&gt;"TransfereGOV",
              ROUND(OFFSET($P137,0,AJ$13),15-13*ORÇAMENTO!$AF$7)/$H137*OFFSET(ORÇAMENTO!$X$15,ROW(AJ137)-ROW(AJ$15),0),
              ROUND(ROUND(OFFSET($P137,0,AJ$13),15-13*ORÇAMENTO!$AF$7)*OFFSET(ORÇAMENTO!$W$15,ROW(AJ137)-ROW(AJ$15),0),15-13*ORÇAMENTO!$AF$11)),
         0)</f>
        <v>0</v>
      </c>
      <c r="AK137" s="453">
        <f ca="1">IF(AND($D137="Serviço",AK$12&lt;&gt;0,$H137&gt;0,OR(AUTOEVENTO&lt;&gt;"manual",$M137&lt;&gt;$A$15)),
        IF(Import.TipoArredondamento&lt;&gt;"TransfereGOV",
              ROUND(OFFSET($P137,0,AK$13),15-13*ORÇAMENTO!$AF$7)/$H137*OFFSET(ORÇAMENTO!$X$15,ROW(AK137)-ROW(AK$15),0),
              ROUND(ROUND(OFFSET($P137,0,AK$13),15-13*ORÇAMENTO!$AF$7)*OFFSET(ORÇAMENTO!$W$15,ROW(AK137)-ROW(AK$15),0),15-13*ORÇAMENTO!$AF$11)),
         0)</f>
        <v>0</v>
      </c>
      <c r="AL137" s="453">
        <f ca="1">IF(AND($D137="Serviço",AL$12&lt;&gt;0,$H137&gt;0,OR(AUTOEVENTO&lt;&gt;"manual",$M137&lt;&gt;$A$15)),
        IF(Import.TipoArredondamento&lt;&gt;"TransfereGOV",
              ROUND(OFFSET($P137,0,AL$13),15-13*ORÇAMENTO!$AF$7)/$H137*OFFSET(ORÇAMENTO!$X$15,ROW(AL137)-ROW(AL$15),0),
              ROUND(ROUND(OFFSET($P137,0,AL$13),15-13*ORÇAMENTO!$AF$7)*OFFSET(ORÇAMENTO!$W$15,ROW(AL137)-ROW(AL$15),0),15-13*ORÇAMENTO!$AF$11)),
         0)</f>
        <v>0</v>
      </c>
      <c r="AM137" s="453">
        <f ca="1">IF(AND($D137="Serviço",AM$12&lt;&gt;0,$H137&gt;0,OR(AUTOEVENTO&lt;&gt;"manual",$M137&lt;&gt;$A$15)),
        IF(Import.TipoArredondamento&lt;&gt;"TransfereGOV",
              ROUND(OFFSET($P137,0,AM$13),15-13*ORÇAMENTO!$AF$7)/$H137*OFFSET(ORÇAMENTO!$X$15,ROW(AM137)-ROW(AM$15),0),
              ROUND(ROUND(OFFSET($P137,0,AM$13),15-13*ORÇAMENTO!$AF$7)*OFFSET(ORÇAMENTO!$W$15,ROW(AM137)-ROW(AM$15),0),15-13*ORÇAMENTO!$AF$11)),
         0)</f>
        <v>0</v>
      </c>
      <c r="AN137" s="453">
        <f ca="1">IF(AND($D137="Serviço",AN$12&lt;&gt;0,$H137&gt;0,OR(AUTOEVENTO&lt;&gt;"manual",$M137&lt;&gt;$A$15)),
        IF(Import.TipoArredondamento&lt;&gt;"TransfereGOV",
              ROUND(OFFSET($P137,0,AN$13),15-13*ORÇAMENTO!$AF$7)/$H137*OFFSET(ORÇAMENTO!$X$15,ROW(AN137)-ROW(AN$15),0),
              ROUND(ROUND(OFFSET($P137,0,AN$13),15-13*ORÇAMENTO!$AF$7)*OFFSET(ORÇAMENTO!$W$15,ROW(AN137)-ROW(AN$15),0),15-13*ORÇAMENTO!$AF$11)),
         0)</f>
        <v>0</v>
      </c>
      <c r="AO137" s="453">
        <f ca="1">IF(AND($D137="Serviço",AO$12&lt;&gt;0,$H137&gt;0,OR(AUTOEVENTO&lt;&gt;"manual",$M137&lt;&gt;$A$15)),
        IF(Import.TipoArredondamento&lt;&gt;"TransfereGOV",
              ROUND(OFFSET($P137,0,AO$13),15-13*ORÇAMENTO!$AF$7)/$H137*OFFSET(ORÇAMENTO!$X$15,ROW(AO137)-ROW(AO$15),0),
              ROUND(ROUND(OFFSET($P137,0,AO$13),15-13*ORÇAMENTO!$AF$7)*OFFSET(ORÇAMENTO!$W$15,ROW(AO137)-ROW(AO$15),0),15-13*ORÇAMENTO!$AF$11)),
         0)</f>
        <v>141.87</v>
      </c>
      <c r="AP137" s="453">
        <f ca="1">IF(AND($D137="Serviço",AP$12&lt;&gt;0,$H137&gt;0,OR(AUTOEVENTO&lt;&gt;"manual",$M137&lt;&gt;$A$15)),
        IF(Import.TipoArredondamento&lt;&gt;"TransfereGOV",
              ROUND(OFFSET($P137,0,AP$13),15-13*ORÇAMENTO!$AF$7)/$H137*OFFSET(ORÇAMENTO!$X$15,ROW(AP137)-ROW(AP$15),0),
              ROUND(ROUND(OFFSET($P137,0,AP$13),15-13*ORÇAMENTO!$AF$7)*OFFSET(ORÇAMENTO!$W$15,ROW(AP137)-ROW(AP$15),0),15-13*ORÇAMENTO!$AF$11)),
         0)</f>
        <v>0</v>
      </c>
      <c r="AQ137" s="453">
        <f ca="1">IF(AND($D137="Serviço",AQ$12&lt;&gt;0,$H137&gt;0,OR(AUTOEVENTO&lt;&gt;"manual",$M137&lt;&gt;$A$15)),
        IF(Import.TipoArredondamento&lt;&gt;"TransfereGOV",
              ROUND(OFFSET($P137,0,AQ$13),15-13*ORÇAMENTO!$AF$7)/$H137*OFFSET(ORÇAMENTO!$X$15,ROW(AQ137)-ROW(AQ$15),0),
              ROUND(ROUND(OFFSET($P137,0,AQ$13),15-13*ORÇAMENTO!$AF$7)*OFFSET(ORÇAMENTO!$W$15,ROW(AQ137)-ROW(AQ$15),0),15-13*ORÇAMENTO!$AF$11)),
         0)</f>
        <v>0</v>
      </c>
      <c r="AR137" s="453">
        <f ca="1">IF(AND($D137="Serviço",AR$12&lt;&gt;0,$H137&gt;0,OR(AUTOEVENTO&lt;&gt;"manual",$M137&lt;&gt;$A$15)),
        IF(Import.TipoArredondamento&lt;&gt;"TransfereGOV",
              ROUND(OFFSET($P137,0,AR$13),15-13*ORÇAMENTO!$AF$7)/$H137*OFFSET(ORÇAMENTO!$X$15,ROW(AR137)-ROW(AR$15),0),
              ROUND(ROUND(OFFSET($P137,0,AR$13),15-13*ORÇAMENTO!$AF$7)*OFFSET(ORÇAMENTO!$W$15,ROW(AR137)-ROW(AR$15),0),15-13*ORÇAMENTO!$AF$11)),
         0)</f>
        <v>0</v>
      </c>
      <c r="AS137" s="453">
        <f ca="1">IF(AND($D137="Serviço",AS$12&lt;&gt;0,$H137&gt;0,OR(AUTOEVENTO&lt;&gt;"manual",$M137&lt;&gt;$A$15)),
        IF(Import.TipoArredondamento&lt;&gt;"TransfereGOV",
              ROUND(OFFSET($P137,0,AS$13),15-13*ORÇAMENTO!$AF$7)/$H137*OFFSET(ORÇAMENTO!$X$15,ROW(AS137)-ROW(AS$15),0),
              ROUND(ROUND(OFFSET($P137,0,AS$13),15-13*ORÇAMENTO!$AF$7)*OFFSET(ORÇAMENTO!$W$15,ROW(AS137)-ROW(AS$15),0),15-13*ORÇAMENTO!$AF$11)),
         0)</f>
        <v>0</v>
      </c>
      <c r="AT137" s="453">
        <f ca="1">IF(AND($D137="Serviço",AT$12&lt;&gt;0,$H137&gt;0,OR(AUTOEVENTO&lt;&gt;"manual",$M137&lt;&gt;$A$15)),
        IF(Import.TipoArredondamento&lt;&gt;"TransfereGOV",
              ROUND(OFFSET($P137,0,AT$13),15-13*ORÇAMENTO!$AF$7)/$H137*OFFSET(ORÇAMENTO!$X$15,ROW(AT137)-ROW(AT$15),0),
              ROUND(ROUND(OFFSET($P137,0,AT$13),15-13*ORÇAMENTO!$AF$7)*OFFSET(ORÇAMENTO!$W$15,ROW(AT137)-ROW(AT$15),0),15-13*ORÇAMENTO!$AF$11)),
         0)</f>
        <v>0</v>
      </c>
      <c r="AU137" s="453">
        <f ca="1">IF(AND($D137="Serviço",AU$12&lt;&gt;0,$H137&gt;0,OR(AUTOEVENTO&lt;&gt;"manual",$M137&lt;&gt;$A$15)),
        IF(Import.TipoArredondamento&lt;&gt;"TransfereGOV",
              ROUND(OFFSET($P137,0,AU$13),15-13*ORÇAMENTO!$AF$7)/$H137*OFFSET(ORÇAMENTO!$X$15,ROW(AU137)-ROW(AU$15),0),
              ROUND(ROUND(OFFSET($P137,0,AU$13),15-13*ORÇAMENTO!$AF$7)*OFFSET(ORÇAMENTO!$W$15,ROW(AU137)-ROW(AU$15),0),15-13*ORÇAMENTO!$AF$11)),
         0)</f>
        <v>0</v>
      </c>
      <c r="AV137" s="453">
        <f ca="1">IF(AND($D137="Serviço",AV$12&lt;&gt;0,$H137&gt;0,OR(AUTOEVENTO&lt;&gt;"manual",$M137&lt;&gt;$A$15)),
        IF(Import.TipoArredondamento&lt;&gt;"TransfereGOV",
              ROUND(OFFSET($P137,0,AV$13),15-13*ORÇAMENTO!$AF$7)/$H137*OFFSET(ORÇAMENTO!$X$15,ROW(AV137)-ROW(AV$15),0),
              ROUND(ROUND(OFFSET($P137,0,AV$13),15-13*ORÇAMENTO!$AF$7)*OFFSET(ORÇAMENTO!$W$15,ROW(AV137)-ROW(AV$15),0),15-13*ORÇAMENTO!$AF$11)),
         0)</f>
        <v>0</v>
      </c>
      <c r="AW137" s="453">
        <f ca="1">IF(AND($D137="Serviço",AW$12&lt;&gt;0,$H137&gt;0,OR(AUTOEVENTO&lt;&gt;"manual",$M137&lt;&gt;$A$15)),
        IF(Import.TipoArredondamento&lt;&gt;"TransfereGOV",
              ROUND(OFFSET($P137,0,AW$13),15-13*ORÇAMENTO!$AF$7)/$H137*OFFSET(ORÇAMENTO!$X$15,ROW(AW137)-ROW(AW$15),0),
              ROUND(ROUND(OFFSET($P137,0,AW$13),15-13*ORÇAMENTO!$AF$7)*OFFSET(ORÇAMENTO!$W$15,ROW(AW137)-ROW(AW$15),0),15-13*ORÇAMENTO!$AF$11)),
         0)</f>
        <v>0</v>
      </c>
      <c r="AX137" s="453">
        <f ca="1">IF(AND($D137="Serviço",AX$12&lt;&gt;0,$H137&gt;0,OR(AUTOEVENTO&lt;&gt;"manual",$M137&lt;&gt;$A$15)),
        IF(Import.TipoArredondamento&lt;&gt;"TransfereGOV",
              ROUND(OFFSET($P137,0,AX$13),15-13*ORÇAMENTO!$AF$7)/$H137*OFFSET(ORÇAMENTO!$X$15,ROW(AX137)-ROW(AX$15),0),
              ROUND(ROUND(OFFSET($P137,0,AX$13),15-13*ORÇAMENTO!$AF$7)*OFFSET(ORÇAMENTO!$W$15,ROW(AX137)-ROW(AX$15),0),15-13*ORÇAMENTO!$AF$11)),
         0)</f>
        <v>0</v>
      </c>
      <c r="AY137" s="453">
        <f ca="1">IF(AND($D137="Serviço",AY$12&lt;&gt;0,$H137&gt;0,OR(AUTOEVENTO&lt;&gt;"manual",$M137&lt;&gt;$A$15)),
        IF(Import.TipoArredondamento&lt;&gt;"TransfereGOV",
              ROUND(OFFSET($P137,0,AY$13),15-13*ORÇAMENTO!$AF$7)/$H137*OFFSET(ORÇAMENTO!$X$15,ROW(AY137)-ROW(AY$15),0),
              ROUND(ROUND(OFFSET($P137,0,AY$13),15-13*ORÇAMENTO!$AF$7)*OFFSET(ORÇAMENTO!$W$15,ROW(AY137)-ROW(AY$15),0),15-13*ORÇAMENTO!$AF$11)),
         0)</f>
        <v>0</v>
      </c>
      <c r="AZ137" s="453">
        <f ca="1">IF(AND($D137="Serviço",AZ$12&lt;&gt;0,$H137&gt;0,OR(AUTOEVENTO&lt;&gt;"manual",$M137&lt;&gt;$A$15)),
        IF(Import.TipoArredondamento&lt;&gt;"TransfereGOV",
              ROUND(OFFSET($P137,0,AZ$13),15-13*ORÇAMENTO!$AF$7)/$H137*OFFSET(ORÇAMENTO!$X$15,ROW(AZ137)-ROW(AZ$15),0),
              ROUND(ROUND(OFFSET($P137,0,AZ$13),15-13*ORÇAMENTO!$AF$7)*OFFSET(ORÇAMENTO!$W$15,ROW(AZ137)-ROW(AZ$15),0),15-13*ORÇAMENTO!$AF$11)),
         0)</f>
        <v>0</v>
      </c>
      <c r="BA137" s="453">
        <f ca="1">IF(AND($D137="Serviço",BA$12&lt;&gt;0,$H137&gt;0,OR(AUTOEVENTO&lt;&gt;"manual",$M137&lt;&gt;$A$15)),
        IF(Import.TipoArredondamento&lt;&gt;"TransfereGOV",
              ROUND(OFFSET($P137,0,BA$13),15-13*ORÇAMENTO!$AF$7)/$H137*OFFSET(ORÇAMENTO!$X$15,ROW(BA137)-ROW(BA$15),0),
              ROUND(ROUND(OFFSET($P137,0,BA$13),15-13*ORÇAMENTO!$AF$7)*OFFSET(ORÇAMENTO!$W$15,ROW(BA137)-ROW(BA$15),0),15-13*ORÇAMENTO!$AF$11)),
         0)</f>
        <v>0</v>
      </c>
      <c r="BC137" s="171">
        <f ca="1">IF(OR($D137&lt;&gt;"Serviço",AND(AUTOEVENTO="Manual",$M137=$A$15)),0,
         IF(OFFSET(CRONOPLE!$F$15,$M137-$A$15,BC$13)=0,10^12,OFFSET(CRONOPLE!$F$15,$M137-$A$15,BC$13)))</f>
        <v>1000000000000</v>
      </c>
      <c r="BD137" s="171">
        <f ca="1">IF(OR($D137&lt;&gt;"Serviço",AND(AUTOEVENTO="Manual",$M137=$A$15)),0,
         IF(OFFSET(CRONOPLE!$F$15,$M137-$A$15,BD$13)=0,10^12,OFFSET(CRONOPLE!$F$15,$M137-$A$15,BD$13)))</f>
        <v>1000000000000</v>
      </c>
      <c r="BE137" s="171">
        <f ca="1">IF(OR($D137&lt;&gt;"Serviço",AND(AUTOEVENTO="Manual",$M137=$A$15)),0,
         IF(OFFSET(CRONOPLE!$F$15,$M137-$A$15,BE$13)=0,10^12,OFFSET(CRONOPLE!$F$15,$M137-$A$15,BE$13)))</f>
        <v>1000000000000</v>
      </c>
      <c r="BF137" s="171">
        <f ca="1">IF(OR($D137&lt;&gt;"Serviço",AND(AUTOEVENTO="Manual",$M137=$A$15)),0,
         IF(OFFSET(CRONOPLE!$F$15,$M137-$A$15,BF$13)=0,10^12,OFFSET(CRONOPLE!$F$15,$M137-$A$15,BF$13)))</f>
        <v>1000000000000</v>
      </c>
      <c r="BG137" s="171">
        <f ca="1">IF(OR($D137&lt;&gt;"Serviço",AND(AUTOEVENTO="Manual",$M137=$A$15)),0,
         IF(OFFSET(CRONOPLE!$F$15,$M137-$A$15,BG$13)=0,10^12,OFFSET(CRONOPLE!$F$15,$M137-$A$15,BG$13)))</f>
        <v>1000000000000</v>
      </c>
      <c r="BH137" s="171">
        <f ca="1">IF(OR($D137&lt;&gt;"Serviço",AND(AUTOEVENTO="Manual",$M137=$A$15)),0,
         IF(OFFSET(CRONOPLE!$F$15,$M137-$A$15,BH$13)=0,10^12,OFFSET(CRONOPLE!$F$15,$M137-$A$15,BH$13)))</f>
        <v>9</v>
      </c>
      <c r="BI137" s="171">
        <f ca="1">IF(OR($D137&lt;&gt;"Serviço",AND(AUTOEVENTO="Manual",$M137=$A$15)),0,
         IF(OFFSET(CRONOPLE!$F$15,$M137-$A$15,BI$13)=0,10^12,OFFSET(CRONOPLE!$F$15,$M137-$A$15,BI$13)))</f>
        <v>1000000000000</v>
      </c>
      <c r="BJ137" s="171">
        <f ca="1">IF(OR($D137&lt;&gt;"Serviço",AND(AUTOEVENTO="Manual",$M137=$A$15)),0,
         IF(OFFSET(CRONOPLE!$F$15,$M137-$A$15,BJ$13)=0,10^12,OFFSET(CRONOPLE!$F$15,$M137-$A$15,BJ$13)))</f>
        <v>1000000000000</v>
      </c>
      <c r="BK137" s="171">
        <f ca="1">IF(OR($D137&lt;&gt;"Serviço",AND(AUTOEVENTO="Manual",$M137=$A$15)),0,
         IF(OFFSET(CRONOPLE!$F$15,$M137-$A$15,BK$13)=0,10^12,OFFSET(CRONOPLE!$F$15,$M137-$A$15,BK$13)))</f>
        <v>1000000000000</v>
      </c>
      <c r="BL137" s="171">
        <f ca="1">IF(OR($D137&lt;&gt;"Serviço",AND(AUTOEVENTO="Manual",$M137=$A$15)),0,
         IF(OFFSET(CRONOPLE!$F$15,$M137-$A$15,BL$13)=0,10^12,OFFSET(CRONOPLE!$F$15,$M137-$A$15,BL$13)))</f>
        <v>1000000000000</v>
      </c>
      <c r="BM137" s="171">
        <f ca="1">IF(OR($D137&lt;&gt;"Serviço",AND(AUTOEVENTO="Manual",$M137=$A$15)),0,
         IF(OFFSET(CRONOPLE!$F$15,$M137-$A$15,BM$13)=0,10^12,OFFSET(CRONOPLE!$F$15,$M137-$A$15,BM$13)))</f>
        <v>1000000000000</v>
      </c>
      <c r="BN137" s="171">
        <f ca="1">IF(OR($D137&lt;&gt;"Serviço",AND(AUTOEVENTO="Manual",$M137=$A$15)),0,
         IF(OFFSET(CRONOPLE!$F$15,$M137-$A$15,BN$13)=0,10^12,OFFSET(CRONOPLE!$F$15,$M137-$A$15,BN$13)))</f>
        <v>1000000000000</v>
      </c>
      <c r="BO137" s="171">
        <f ca="1">IF(OR($D137&lt;&gt;"Serviço",AND(AUTOEVENTO="Manual",$M137=$A$15)),0,
         IF(OFFSET(CRONOPLE!$F$15,$M137-$A$15,BO$13)=0,10^12,OFFSET(CRONOPLE!$F$15,$M137-$A$15,BO$13)))</f>
        <v>1000000000000</v>
      </c>
      <c r="BP137" s="171">
        <f ca="1">IF(OR($D137&lt;&gt;"Serviço",AND(AUTOEVENTO="Manual",$M137=$A$15)),0,
         IF(OFFSET(CRONOPLE!$F$15,$M137-$A$15,BP$13)=0,10^12,OFFSET(CRONOPLE!$F$15,$M137-$A$15,BP$13)))</f>
        <v>1000000000000</v>
      </c>
      <c r="BQ137" s="171">
        <f ca="1">IF(OR($D137&lt;&gt;"Serviço",AND(AUTOEVENTO="Manual",$M137=$A$15)),0,
         IF(OFFSET(CRONOPLE!$F$15,$M137-$A$15,BQ$13)=0,10^12,OFFSET(CRONOPLE!$F$15,$M137-$A$15,BQ$13)))</f>
        <v>1000000000000</v>
      </c>
      <c r="BR137" s="171">
        <f ca="1">IF(OR($D137&lt;&gt;"Serviço",AND(AUTOEVENTO="Manual",$M137=$A$15)),0,
         IF(OFFSET(CRONOPLE!$F$15,$M137-$A$15,BR$13)=0,10^12,OFFSET(CRONOPLE!$F$15,$M137-$A$15,BR$13)))</f>
        <v>1000000000000</v>
      </c>
      <c r="BS137" s="171">
        <f ca="1">IF(OR($D137&lt;&gt;"Serviço",AND(AUTOEVENTO="Manual",$M137=$A$15)),0,
         IF(OFFSET(CRONOPLE!$F$15,$M137-$A$15,BS$13)=0,10^12,OFFSET(CRONOPLE!$F$15,$M137-$A$15,BS$13)))</f>
        <v>1000000000000</v>
      </c>
      <c r="BT137" s="171">
        <f ca="1">IF(OR($D137&lt;&gt;"Serviço",AND(AUTOEVENTO="Manual",$M137=$A$15)),0,
         IF(OFFSET(CRONOPLE!$F$15,$M137-$A$15,BT$13)=0,10^12,OFFSET(CRONOPLE!$F$15,$M137-$A$15,BT$13)))</f>
        <v>1000000000000</v>
      </c>
      <c r="BV137" s="172" cm="1">
        <f t="array" aca="1" ref="BV137" ca="1">IF(OR($D137&lt;&gt;"Serviço",AND(AUTOEVENTO="Manual",$M137=$A$15),$M137&gt;(ROW(PLE.lastrow)-ROW(PLE.firstrow))),0,
           IF(OFFSET(PLE!$G$15,$M137-$A$15,BV$13)="",10^12,OFFSET(PLE!$G$15,$M137-$A$15,BV$13)))</f>
        <v>1000000000000</v>
      </c>
      <c r="BW137" s="172" cm="1">
        <f t="array" aca="1" ref="BW137" ca="1">IF(OR($D137&lt;&gt;"Serviço",AND(AUTOEVENTO="Manual",$M137=$A$15),$M137&gt;(ROW(PLE.lastrow)-ROW(PLE.firstrow))),0,
           IF(OFFSET(PLE!$G$15,$M137-$A$15,BW$13)="",10^12,OFFSET(PLE!$G$15,$M137-$A$15,BW$13)))</f>
        <v>1000000000000</v>
      </c>
      <c r="BX137" s="172" cm="1">
        <f t="array" aca="1" ref="BX137" ca="1">IF(OR($D137&lt;&gt;"Serviço",AND(AUTOEVENTO="Manual",$M137=$A$15),$M137&gt;(ROW(PLE.lastrow)-ROW(PLE.firstrow))),0,
           IF(OFFSET(PLE!$G$15,$M137-$A$15,BX$13)="",10^12,OFFSET(PLE!$G$15,$M137-$A$15,BX$13)))</f>
        <v>1000000000000</v>
      </c>
      <c r="BY137" s="172" cm="1">
        <f t="array" aca="1" ref="BY137" ca="1">IF(OR($D137&lt;&gt;"Serviço",AND(AUTOEVENTO="Manual",$M137=$A$15),$M137&gt;(ROW(PLE.lastrow)-ROW(PLE.firstrow))),0,
           IF(OFFSET(PLE!$G$15,$M137-$A$15,BY$13)="",10^12,OFFSET(PLE!$G$15,$M137-$A$15,BY$13)))</f>
        <v>1000000000000</v>
      </c>
      <c r="BZ137" s="172" cm="1">
        <f t="array" aca="1" ref="BZ137" ca="1">IF(OR($D137&lt;&gt;"Serviço",AND(AUTOEVENTO="Manual",$M137=$A$15),$M137&gt;(ROW(PLE.lastrow)-ROW(PLE.firstrow))),0,
           IF(OFFSET(PLE!$G$15,$M137-$A$15,BZ$13)="",10^12,OFFSET(PLE!$G$15,$M137-$A$15,BZ$13)))</f>
        <v>1000000000000</v>
      </c>
      <c r="CA137" s="172" cm="1">
        <f t="array" aca="1" ref="CA137" ca="1">IF(OR($D137&lt;&gt;"Serviço",AND(AUTOEVENTO="Manual",$M137=$A$15),$M137&gt;(ROW(PLE.lastrow)-ROW(PLE.firstrow))),0,
           IF(OFFSET(PLE!$G$15,$M137-$A$15,CA$13)="",10^12,OFFSET(PLE!$G$15,$M137-$A$15,CA$13)))</f>
        <v>1000000000000</v>
      </c>
      <c r="CB137" s="172" cm="1">
        <f t="array" aca="1" ref="CB137" ca="1">IF(OR($D137&lt;&gt;"Serviço",AND(AUTOEVENTO="Manual",$M137=$A$15),$M137&gt;(ROW(PLE.lastrow)-ROW(PLE.firstrow))),0,
           IF(OFFSET(PLE!$G$15,$M137-$A$15,CB$13)="",10^12,OFFSET(PLE!$G$15,$M137-$A$15,CB$13)))</f>
        <v>1000000000000</v>
      </c>
      <c r="CC137" s="172" cm="1">
        <f t="array" aca="1" ref="CC137" ca="1">IF(OR($D137&lt;&gt;"Serviço",AND(AUTOEVENTO="Manual",$M137=$A$15),$M137&gt;(ROW(PLE.lastrow)-ROW(PLE.firstrow))),0,
           IF(OFFSET(PLE!$G$15,$M137-$A$15,CC$13)="",10^12,OFFSET(PLE!$G$15,$M137-$A$15,CC$13)))</f>
        <v>1000000000000</v>
      </c>
      <c r="CD137" s="172" cm="1">
        <f t="array" aca="1" ref="CD137" ca="1">IF(OR($D137&lt;&gt;"Serviço",AND(AUTOEVENTO="Manual",$M137=$A$15),$M137&gt;(ROW(PLE.lastrow)-ROW(PLE.firstrow))),0,
           IF(OFFSET(PLE!$G$15,$M137-$A$15,CD$13)="",10^12,OFFSET(PLE!$G$15,$M137-$A$15,CD$13)))</f>
        <v>1000000000000</v>
      </c>
      <c r="CE137" s="172" cm="1">
        <f t="array" aca="1" ref="CE137" ca="1">IF(OR($D137&lt;&gt;"Serviço",AND(AUTOEVENTO="Manual",$M137=$A$15),$M137&gt;(ROW(PLE.lastrow)-ROW(PLE.firstrow))),0,
           IF(OFFSET(PLE!$G$15,$M137-$A$15,CE$13)="",10^12,OFFSET(PLE!$G$15,$M137-$A$15,CE$13)))</f>
        <v>1000000000000</v>
      </c>
      <c r="CF137" s="172" cm="1">
        <f t="array" aca="1" ref="CF137" ca="1">IF(OR($D137&lt;&gt;"Serviço",AND(AUTOEVENTO="Manual",$M137=$A$15),$M137&gt;(ROW(PLE.lastrow)-ROW(PLE.firstrow))),0,
           IF(OFFSET(PLE!$G$15,$M137-$A$15,CF$13)="",10^12,OFFSET(PLE!$G$15,$M137-$A$15,CF$13)))</f>
        <v>1000000000000</v>
      </c>
      <c r="CG137" s="172" cm="1">
        <f t="array" aca="1" ref="CG137" ca="1">IF(OR($D137&lt;&gt;"Serviço",AND(AUTOEVENTO="Manual",$M137=$A$15),$M137&gt;(ROW(PLE.lastrow)-ROW(PLE.firstrow))),0,
           IF(OFFSET(PLE!$G$15,$M137-$A$15,CG$13)="",10^12,OFFSET(PLE!$G$15,$M137-$A$15,CG$13)))</f>
        <v>1000000000000</v>
      </c>
      <c r="CH137" s="172" cm="1">
        <f t="array" aca="1" ref="CH137" ca="1">IF(OR($D137&lt;&gt;"Serviço",AND(AUTOEVENTO="Manual",$M137=$A$15),$M137&gt;(ROW(PLE.lastrow)-ROW(PLE.firstrow))),0,
           IF(OFFSET(PLE!$G$15,$M137-$A$15,CH$13)="",10^12,OFFSET(PLE!$G$15,$M137-$A$15,CH$13)))</f>
        <v>1000000000000</v>
      </c>
      <c r="CI137" s="172" cm="1">
        <f t="array" aca="1" ref="CI137" ca="1">IF(OR($D137&lt;&gt;"Serviço",AND(AUTOEVENTO="Manual",$M137=$A$15),$M137&gt;(ROW(PLE.lastrow)-ROW(PLE.firstrow))),0,
           IF(OFFSET(PLE!$G$15,$M137-$A$15,CI$13)="",10^12,OFFSET(PLE!$G$15,$M137-$A$15,CI$13)))</f>
        <v>1000000000000</v>
      </c>
      <c r="CJ137" s="172" cm="1">
        <f t="array" aca="1" ref="CJ137" ca="1">IF(OR($D137&lt;&gt;"Serviço",AND(AUTOEVENTO="Manual",$M137=$A$15),$M137&gt;(ROW(PLE.lastrow)-ROW(PLE.firstrow))),0,
           IF(OFFSET(PLE!$G$15,$M137-$A$15,CJ$13)="",10^12,OFFSET(PLE!$G$15,$M137-$A$15,CJ$13)))</f>
        <v>1000000000000</v>
      </c>
      <c r="CK137" s="172" cm="1">
        <f t="array" aca="1" ref="CK137" ca="1">IF(OR($D137&lt;&gt;"Serviço",AND(AUTOEVENTO="Manual",$M137=$A$15),$M137&gt;(ROW(PLE.lastrow)-ROW(PLE.firstrow))),0,
           IF(OFFSET(PLE!$G$15,$M137-$A$15,CK$13)="",10^12,OFFSET(PLE!$G$15,$M137-$A$15,CK$13)))</f>
        <v>1000000000000</v>
      </c>
      <c r="CL137" s="172" cm="1">
        <f t="array" aca="1" ref="CL137" ca="1">IF(OR($D137&lt;&gt;"Serviço",AND(AUTOEVENTO="Manual",$M137=$A$15),$M137&gt;(ROW(PLE.lastrow)-ROW(PLE.firstrow))),0,
           IF(OFFSET(PLE!$G$15,$M137-$A$15,CL$13)="",10^12,OFFSET(PLE!$G$15,$M137-$A$15,CL$13)))</f>
        <v>1000000000000</v>
      </c>
      <c r="CM137" s="172" cm="1">
        <f t="array" aca="1" ref="CM137" ca="1">IF(OR($D137&lt;&gt;"Serviço",AND(AUTOEVENTO="Manual",$M137=$A$15),$M137&gt;(ROW(PLE.lastrow)-ROW(PLE.firstrow))),0,
           IF(OFFSET(PLE!$G$15,$M137-$A$15,CM$13)="",10^12,OFFSET(PLE!$G$15,$M137-$A$15,CM$13)))</f>
        <v>1000000000000</v>
      </c>
    </row>
    <row r="138" spans="1:91" s="670" customFormat="1" ht="25.5" x14ac:dyDescent="0.2">
      <c r="A138" s="668">
        <f t="shared" ca="1" si="12"/>
        <v>25</v>
      </c>
      <c r="B138" s="668" t="str">
        <f ca="1">OFFSET(ORÇAMENTO!C$15,$L138,0)</f>
        <v>S</v>
      </c>
      <c r="C138" s="668" t="str">
        <f ca="1">OFFSET(ORÇAMENTO!L$15,$L138,0)</f>
        <v>F</v>
      </c>
      <c r="D138" s="116" t="str">
        <f ca="1">OFFSET(ORÇAMENTO!N$15,$L138,0)</f>
        <v>Serviço</v>
      </c>
      <c r="E138" s="117" t="str">
        <f ca="1">OFFSET(ORÇAMENTO!O$15,$L138,0)</f>
        <v>1.17.24.</v>
      </c>
      <c r="F138" s="163" t="str">
        <f ca="1">OFFSET(ORÇAMENTO!R$15,$L138,0)</f>
        <v>Disjuntor termomagnetico tripolar 125 A, padrão DIN (Europeu - linha branca),10KA</v>
      </c>
      <c r="G138" s="164" t="str">
        <f ca="1">IF($D138&lt;&gt;"Serviço","",OFFSET(ORÇAMENTO!S$15,$L138,0))</f>
        <v>UNIDADE</v>
      </c>
      <c r="H138" s="122" cm="1">
        <f t="array" aca="1" ref="H138" ca="1">IF($D138&lt;&gt;"Serviço",0,IF(ACOMPANHAMENTO="BM",ROUND(OFFSET(ORÇAMENTO!AJ$15,$L138,0),15-13*ORÇAMENTO!$AF$7),IF(IFERROR(CÁLCULO.FrentesPreenchidas,0)=0,0,SUM(ROUND(OFFSET($P138,0,1,1,CÁLCULO.FrentesPreenchidas),15-13*ORÇAMENTO!$AF$7)))))</f>
        <v>1</v>
      </c>
      <c r="I138" s="679" t="s">
        <v>1189</v>
      </c>
      <c r="J138" s="651" t="str" cm="1">
        <f t="array" aca="1" ref="J138" ca="1">IF(OR(B138&lt;&gt;"S",CÁLCULO.FrentesPreenchidas=0),"",IF(AND(ACOMPANHAMENTO="PLE",AUTOEVENTO="Manual",OR(H138&gt;0,ORÇAMENTO!AC138="QUANT."),OR(K138="",M138=0,N138="")),"►E",IF(AND(ACOMPANHAMENTO="PLE",ORÇAMENTO!AC138="QUANT."),"►Q",IF(AND(ACOMPANHAMENTO="PLE",H138&lt;&gt;SUMPRODUCT(($Q$1:$AI$1=1)*ROUND(Q138:AI138,15))),"►S",IF(AND(COUNTIF($P$11:$AI$11,"▼")=0,H138&gt;0,I138=""),"◄M","")))))</f>
        <v/>
      </c>
      <c r="K138" s="652" t="s">
        <v>1359</v>
      </c>
      <c r="L138" s="165">
        <f t="shared" ca="1" si="13"/>
        <v>123</v>
      </c>
      <c r="M138" s="166">
        <f ca="1">IF($D138&lt;&gt;"Serviço","",
          IF(AUTOEVENTO="manual",$A138,
                IF(ISERROR(MATCH($A138,$A$15:OFFSET($A138,-1,0),0)),MAX($M$15:OFFSET(M138,-1,0))+1,
                      INDEX($M$15:OFFSET(M138,-1,0),MATCH($A138,$A$15:OFFSET($A138,-1,0),0)))))</f>
        <v>25</v>
      </c>
      <c r="N138" s="167" t="str">
        <f ca="1">IF($D138&lt;&gt;"Serviço","",
         IF(AUTOEVENTO="Manual",
                IF($A138=0,"&lt;-- defina o número do agrupador",
                       OFFSET(EVENTOS!$D$15,$A138-$A$15,0)),
                OFFSET($F$15,$A138,0)))</f>
        <v>Instalações elétricas</v>
      </c>
      <c r="O138" s="168"/>
      <c r="Q138" s="168"/>
      <c r="R138" s="169"/>
      <c r="S138" s="169"/>
      <c r="T138" s="169"/>
      <c r="U138" s="169"/>
      <c r="V138" s="169">
        <v>1</v>
      </c>
      <c r="W138" s="169"/>
      <c r="X138" s="169"/>
      <c r="Y138" s="169"/>
      <c r="Z138" s="170"/>
      <c r="AA138" s="705"/>
      <c r="AB138" s="705"/>
      <c r="AC138" s="705"/>
      <c r="AD138" s="705"/>
      <c r="AE138" s="705"/>
      <c r="AF138" s="705"/>
      <c r="AG138" s="705"/>
      <c r="AH138" s="706"/>
      <c r="AJ138" s="453">
        <f ca="1">IF(AND($D138="Serviço",AJ$12&lt;&gt;0,$H138&gt;0,OR(AUTOEVENTO&lt;&gt;"manual",$M138&lt;&gt;$A$15)),
        IF(Import.TipoArredondamento&lt;&gt;"TransfereGOV",
              ROUND(OFFSET($P138,0,AJ$13),15-13*ORÇAMENTO!$AF$7)/$H138*OFFSET(ORÇAMENTO!$X$15,ROW(AJ138)-ROW(AJ$15),0),
              ROUND(ROUND(OFFSET($P138,0,AJ$13),15-13*ORÇAMENTO!$AF$7)*OFFSET(ORÇAMENTO!$W$15,ROW(AJ138)-ROW(AJ$15),0),15-13*ORÇAMENTO!$AF$11)),
         0)</f>
        <v>0</v>
      </c>
      <c r="AK138" s="453">
        <f ca="1">IF(AND($D138="Serviço",AK$12&lt;&gt;0,$H138&gt;0,OR(AUTOEVENTO&lt;&gt;"manual",$M138&lt;&gt;$A$15)),
        IF(Import.TipoArredondamento&lt;&gt;"TransfereGOV",
              ROUND(OFFSET($P138,0,AK$13),15-13*ORÇAMENTO!$AF$7)/$H138*OFFSET(ORÇAMENTO!$X$15,ROW(AK138)-ROW(AK$15),0),
              ROUND(ROUND(OFFSET($P138,0,AK$13),15-13*ORÇAMENTO!$AF$7)*OFFSET(ORÇAMENTO!$W$15,ROW(AK138)-ROW(AK$15),0),15-13*ORÇAMENTO!$AF$11)),
         0)</f>
        <v>0</v>
      </c>
      <c r="AL138" s="453">
        <f ca="1">IF(AND($D138="Serviço",AL$12&lt;&gt;0,$H138&gt;0,OR(AUTOEVENTO&lt;&gt;"manual",$M138&lt;&gt;$A$15)),
        IF(Import.TipoArredondamento&lt;&gt;"TransfereGOV",
              ROUND(OFFSET($P138,0,AL$13),15-13*ORÇAMENTO!$AF$7)/$H138*OFFSET(ORÇAMENTO!$X$15,ROW(AL138)-ROW(AL$15),0),
              ROUND(ROUND(OFFSET($P138,0,AL$13),15-13*ORÇAMENTO!$AF$7)*OFFSET(ORÇAMENTO!$W$15,ROW(AL138)-ROW(AL$15),0),15-13*ORÇAMENTO!$AF$11)),
         0)</f>
        <v>0</v>
      </c>
      <c r="AM138" s="453">
        <f ca="1">IF(AND($D138="Serviço",AM$12&lt;&gt;0,$H138&gt;0,OR(AUTOEVENTO&lt;&gt;"manual",$M138&lt;&gt;$A$15)),
        IF(Import.TipoArredondamento&lt;&gt;"TransfereGOV",
              ROUND(OFFSET($P138,0,AM$13),15-13*ORÇAMENTO!$AF$7)/$H138*OFFSET(ORÇAMENTO!$X$15,ROW(AM138)-ROW(AM$15),0),
              ROUND(ROUND(OFFSET($P138,0,AM$13),15-13*ORÇAMENTO!$AF$7)*OFFSET(ORÇAMENTO!$W$15,ROW(AM138)-ROW(AM$15),0),15-13*ORÇAMENTO!$AF$11)),
         0)</f>
        <v>0</v>
      </c>
      <c r="AN138" s="453">
        <f ca="1">IF(AND($D138="Serviço",AN$12&lt;&gt;0,$H138&gt;0,OR(AUTOEVENTO&lt;&gt;"manual",$M138&lt;&gt;$A$15)),
        IF(Import.TipoArredondamento&lt;&gt;"TransfereGOV",
              ROUND(OFFSET($P138,0,AN$13),15-13*ORÇAMENTO!$AF$7)/$H138*OFFSET(ORÇAMENTO!$X$15,ROW(AN138)-ROW(AN$15),0),
              ROUND(ROUND(OFFSET($P138,0,AN$13),15-13*ORÇAMENTO!$AF$7)*OFFSET(ORÇAMENTO!$W$15,ROW(AN138)-ROW(AN$15),0),15-13*ORÇAMENTO!$AF$11)),
         0)</f>
        <v>0</v>
      </c>
      <c r="AO138" s="453">
        <f ca="1">IF(AND($D138="Serviço",AO$12&lt;&gt;0,$H138&gt;0,OR(AUTOEVENTO&lt;&gt;"manual",$M138&lt;&gt;$A$15)),
        IF(Import.TipoArredondamento&lt;&gt;"TransfereGOV",
              ROUND(OFFSET($P138,0,AO$13),15-13*ORÇAMENTO!$AF$7)/$H138*OFFSET(ORÇAMENTO!$X$15,ROW(AO138)-ROW(AO$15),0),
              ROUND(ROUND(OFFSET($P138,0,AO$13),15-13*ORÇAMENTO!$AF$7)*OFFSET(ORÇAMENTO!$W$15,ROW(AO138)-ROW(AO$15),0),15-13*ORÇAMENTO!$AF$11)),
         0)</f>
        <v>509.57</v>
      </c>
      <c r="AP138" s="453">
        <f ca="1">IF(AND($D138="Serviço",AP$12&lt;&gt;0,$H138&gt;0,OR(AUTOEVENTO&lt;&gt;"manual",$M138&lt;&gt;$A$15)),
        IF(Import.TipoArredondamento&lt;&gt;"TransfereGOV",
              ROUND(OFFSET($P138,0,AP$13),15-13*ORÇAMENTO!$AF$7)/$H138*OFFSET(ORÇAMENTO!$X$15,ROW(AP138)-ROW(AP$15),0),
              ROUND(ROUND(OFFSET($P138,0,AP$13),15-13*ORÇAMENTO!$AF$7)*OFFSET(ORÇAMENTO!$W$15,ROW(AP138)-ROW(AP$15),0),15-13*ORÇAMENTO!$AF$11)),
         0)</f>
        <v>0</v>
      </c>
      <c r="AQ138" s="453">
        <f ca="1">IF(AND($D138="Serviço",AQ$12&lt;&gt;0,$H138&gt;0,OR(AUTOEVENTO&lt;&gt;"manual",$M138&lt;&gt;$A$15)),
        IF(Import.TipoArredondamento&lt;&gt;"TransfereGOV",
              ROUND(OFFSET($P138,0,AQ$13),15-13*ORÇAMENTO!$AF$7)/$H138*OFFSET(ORÇAMENTO!$X$15,ROW(AQ138)-ROW(AQ$15),0),
              ROUND(ROUND(OFFSET($P138,0,AQ$13),15-13*ORÇAMENTO!$AF$7)*OFFSET(ORÇAMENTO!$W$15,ROW(AQ138)-ROW(AQ$15),0),15-13*ORÇAMENTO!$AF$11)),
         0)</f>
        <v>0</v>
      </c>
      <c r="AR138" s="453">
        <f ca="1">IF(AND($D138="Serviço",AR$12&lt;&gt;0,$H138&gt;0,OR(AUTOEVENTO&lt;&gt;"manual",$M138&lt;&gt;$A$15)),
        IF(Import.TipoArredondamento&lt;&gt;"TransfereGOV",
              ROUND(OFFSET($P138,0,AR$13),15-13*ORÇAMENTO!$AF$7)/$H138*OFFSET(ORÇAMENTO!$X$15,ROW(AR138)-ROW(AR$15),0),
              ROUND(ROUND(OFFSET($P138,0,AR$13),15-13*ORÇAMENTO!$AF$7)*OFFSET(ORÇAMENTO!$W$15,ROW(AR138)-ROW(AR$15),0),15-13*ORÇAMENTO!$AF$11)),
         0)</f>
        <v>0</v>
      </c>
      <c r="AS138" s="453">
        <f ca="1">IF(AND($D138="Serviço",AS$12&lt;&gt;0,$H138&gt;0,OR(AUTOEVENTO&lt;&gt;"manual",$M138&lt;&gt;$A$15)),
        IF(Import.TipoArredondamento&lt;&gt;"TransfereGOV",
              ROUND(OFFSET($P138,0,AS$13),15-13*ORÇAMENTO!$AF$7)/$H138*OFFSET(ORÇAMENTO!$X$15,ROW(AS138)-ROW(AS$15),0),
              ROUND(ROUND(OFFSET($P138,0,AS$13),15-13*ORÇAMENTO!$AF$7)*OFFSET(ORÇAMENTO!$W$15,ROW(AS138)-ROW(AS$15),0),15-13*ORÇAMENTO!$AF$11)),
         0)</f>
        <v>0</v>
      </c>
      <c r="AT138" s="453">
        <f ca="1">IF(AND($D138="Serviço",AT$12&lt;&gt;0,$H138&gt;0,OR(AUTOEVENTO&lt;&gt;"manual",$M138&lt;&gt;$A$15)),
        IF(Import.TipoArredondamento&lt;&gt;"TransfereGOV",
              ROUND(OFFSET($P138,0,AT$13),15-13*ORÇAMENTO!$AF$7)/$H138*OFFSET(ORÇAMENTO!$X$15,ROW(AT138)-ROW(AT$15),0),
              ROUND(ROUND(OFFSET($P138,0,AT$13),15-13*ORÇAMENTO!$AF$7)*OFFSET(ORÇAMENTO!$W$15,ROW(AT138)-ROW(AT$15),0),15-13*ORÇAMENTO!$AF$11)),
         0)</f>
        <v>0</v>
      </c>
      <c r="AU138" s="453">
        <f ca="1">IF(AND($D138="Serviço",AU$12&lt;&gt;0,$H138&gt;0,OR(AUTOEVENTO&lt;&gt;"manual",$M138&lt;&gt;$A$15)),
        IF(Import.TipoArredondamento&lt;&gt;"TransfereGOV",
              ROUND(OFFSET($P138,0,AU$13),15-13*ORÇAMENTO!$AF$7)/$H138*OFFSET(ORÇAMENTO!$X$15,ROW(AU138)-ROW(AU$15),0),
              ROUND(ROUND(OFFSET($P138,0,AU$13),15-13*ORÇAMENTO!$AF$7)*OFFSET(ORÇAMENTO!$W$15,ROW(AU138)-ROW(AU$15),0),15-13*ORÇAMENTO!$AF$11)),
         0)</f>
        <v>0</v>
      </c>
      <c r="AV138" s="453">
        <f ca="1">IF(AND($D138="Serviço",AV$12&lt;&gt;0,$H138&gt;0,OR(AUTOEVENTO&lt;&gt;"manual",$M138&lt;&gt;$A$15)),
        IF(Import.TipoArredondamento&lt;&gt;"TransfereGOV",
              ROUND(OFFSET($P138,0,AV$13),15-13*ORÇAMENTO!$AF$7)/$H138*OFFSET(ORÇAMENTO!$X$15,ROW(AV138)-ROW(AV$15),0),
              ROUND(ROUND(OFFSET($P138,0,AV$13),15-13*ORÇAMENTO!$AF$7)*OFFSET(ORÇAMENTO!$W$15,ROW(AV138)-ROW(AV$15),0),15-13*ORÇAMENTO!$AF$11)),
         0)</f>
        <v>0</v>
      </c>
      <c r="AW138" s="453">
        <f ca="1">IF(AND($D138="Serviço",AW$12&lt;&gt;0,$H138&gt;0,OR(AUTOEVENTO&lt;&gt;"manual",$M138&lt;&gt;$A$15)),
        IF(Import.TipoArredondamento&lt;&gt;"TransfereGOV",
              ROUND(OFFSET($P138,0,AW$13),15-13*ORÇAMENTO!$AF$7)/$H138*OFFSET(ORÇAMENTO!$X$15,ROW(AW138)-ROW(AW$15),0),
              ROUND(ROUND(OFFSET($P138,0,AW$13),15-13*ORÇAMENTO!$AF$7)*OFFSET(ORÇAMENTO!$W$15,ROW(AW138)-ROW(AW$15),0),15-13*ORÇAMENTO!$AF$11)),
         0)</f>
        <v>0</v>
      </c>
      <c r="AX138" s="453">
        <f ca="1">IF(AND($D138="Serviço",AX$12&lt;&gt;0,$H138&gt;0,OR(AUTOEVENTO&lt;&gt;"manual",$M138&lt;&gt;$A$15)),
        IF(Import.TipoArredondamento&lt;&gt;"TransfereGOV",
              ROUND(OFFSET($P138,0,AX$13),15-13*ORÇAMENTO!$AF$7)/$H138*OFFSET(ORÇAMENTO!$X$15,ROW(AX138)-ROW(AX$15),0),
              ROUND(ROUND(OFFSET($P138,0,AX$13),15-13*ORÇAMENTO!$AF$7)*OFFSET(ORÇAMENTO!$W$15,ROW(AX138)-ROW(AX$15),0),15-13*ORÇAMENTO!$AF$11)),
         0)</f>
        <v>0</v>
      </c>
      <c r="AY138" s="453">
        <f ca="1">IF(AND($D138="Serviço",AY$12&lt;&gt;0,$H138&gt;0,OR(AUTOEVENTO&lt;&gt;"manual",$M138&lt;&gt;$A$15)),
        IF(Import.TipoArredondamento&lt;&gt;"TransfereGOV",
              ROUND(OFFSET($P138,0,AY$13),15-13*ORÇAMENTO!$AF$7)/$H138*OFFSET(ORÇAMENTO!$X$15,ROW(AY138)-ROW(AY$15),0),
              ROUND(ROUND(OFFSET($P138,0,AY$13),15-13*ORÇAMENTO!$AF$7)*OFFSET(ORÇAMENTO!$W$15,ROW(AY138)-ROW(AY$15),0),15-13*ORÇAMENTO!$AF$11)),
         0)</f>
        <v>0</v>
      </c>
      <c r="AZ138" s="453">
        <f ca="1">IF(AND($D138="Serviço",AZ$12&lt;&gt;0,$H138&gt;0,OR(AUTOEVENTO&lt;&gt;"manual",$M138&lt;&gt;$A$15)),
        IF(Import.TipoArredondamento&lt;&gt;"TransfereGOV",
              ROUND(OFFSET($P138,0,AZ$13),15-13*ORÇAMENTO!$AF$7)/$H138*OFFSET(ORÇAMENTO!$X$15,ROW(AZ138)-ROW(AZ$15),0),
              ROUND(ROUND(OFFSET($P138,0,AZ$13),15-13*ORÇAMENTO!$AF$7)*OFFSET(ORÇAMENTO!$W$15,ROW(AZ138)-ROW(AZ$15),0),15-13*ORÇAMENTO!$AF$11)),
         0)</f>
        <v>0</v>
      </c>
      <c r="BA138" s="453">
        <f ca="1">IF(AND($D138="Serviço",BA$12&lt;&gt;0,$H138&gt;0,OR(AUTOEVENTO&lt;&gt;"manual",$M138&lt;&gt;$A$15)),
        IF(Import.TipoArredondamento&lt;&gt;"TransfereGOV",
              ROUND(OFFSET($P138,0,BA$13),15-13*ORÇAMENTO!$AF$7)/$H138*OFFSET(ORÇAMENTO!$X$15,ROW(BA138)-ROW(BA$15),0),
              ROUND(ROUND(OFFSET($P138,0,BA$13),15-13*ORÇAMENTO!$AF$7)*OFFSET(ORÇAMENTO!$W$15,ROW(BA138)-ROW(BA$15),0),15-13*ORÇAMENTO!$AF$11)),
         0)</f>
        <v>0</v>
      </c>
      <c r="BC138" s="171">
        <f ca="1">IF(OR($D138&lt;&gt;"Serviço",AND(AUTOEVENTO="Manual",$M138=$A$15)),0,
         IF(OFFSET(CRONOPLE!$F$15,$M138-$A$15,BC$13)=0,10^12,OFFSET(CRONOPLE!$F$15,$M138-$A$15,BC$13)))</f>
        <v>1000000000000</v>
      </c>
      <c r="BD138" s="171">
        <f ca="1">IF(OR($D138&lt;&gt;"Serviço",AND(AUTOEVENTO="Manual",$M138=$A$15)),0,
         IF(OFFSET(CRONOPLE!$F$15,$M138-$A$15,BD$13)=0,10^12,OFFSET(CRONOPLE!$F$15,$M138-$A$15,BD$13)))</f>
        <v>1000000000000</v>
      </c>
      <c r="BE138" s="171">
        <f ca="1">IF(OR($D138&lt;&gt;"Serviço",AND(AUTOEVENTO="Manual",$M138=$A$15)),0,
         IF(OFFSET(CRONOPLE!$F$15,$M138-$A$15,BE$13)=0,10^12,OFFSET(CRONOPLE!$F$15,$M138-$A$15,BE$13)))</f>
        <v>1000000000000</v>
      </c>
      <c r="BF138" s="171">
        <f ca="1">IF(OR($D138&lt;&gt;"Serviço",AND(AUTOEVENTO="Manual",$M138=$A$15)),0,
         IF(OFFSET(CRONOPLE!$F$15,$M138-$A$15,BF$13)=0,10^12,OFFSET(CRONOPLE!$F$15,$M138-$A$15,BF$13)))</f>
        <v>1000000000000</v>
      </c>
      <c r="BG138" s="171">
        <f ca="1">IF(OR($D138&lt;&gt;"Serviço",AND(AUTOEVENTO="Manual",$M138=$A$15)),0,
         IF(OFFSET(CRONOPLE!$F$15,$M138-$A$15,BG$13)=0,10^12,OFFSET(CRONOPLE!$F$15,$M138-$A$15,BG$13)))</f>
        <v>1000000000000</v>
      </c>
      <c r="BH138" s="171">
        <f ca="1">IF(OR($D138&lt;&gt;"Serviço",AND(AUTOEVENTO="Manual",$M138=$A$15)),0,
         IF(OFFSET(CRONOPLE!$F$15,$M138-$A$15,BH$13)=0,10^12,OFFSET(CRONOPLE!$F$15,$M138-$A$15,BH$13)))</f>
        <v>9</v>
      </c>
      <c r="BI138" s="171">
        <f ca="1">IF(OR($D138&lt;&gt;"Serviço",AND(AUTOEVENTO="Manual",$M138=$A$15)),0,
         IF(OFFSET(CRONOPLE!$F$15,$M138-$A$15,BI$13)=0,10^12,OFFSET(CRONOPLE!$F$15,$M138-$A$15,BI$13)))</f>
        <v>1000000000000</v>
      </c>
      <c r="BJ138" s="171">
        <f ca="1">IF(OR($D138&lt;&gt;"Serviço",AND(AUTOEVENTO="Manual",$M138=$A$15)),0,
         IF(OFFSET(CRONOPLE!$F$15,$M138-$A$15,BJ$13)=0,10^12,OFFSET(CRONOPLE!$F$15,$M138-$A$15,BJ$13)))</f>
        <v>1000000000000</v>
      </c>
      <c r="BK138" s="171">
        <f ca="1">IF(OR($D138&lt;&gt;"Serviço",AND(AUTOEVENTO="Manual",$M138=$A$15)),0,
         IF(OFFSET(CRONOPLE!$F$15,$M138-$A$15,BK$13)=0,10^12,OFFSET(CRONOPLE!$F$15,$M138-$A$15,BK$13)))</f>
        <v>1000000000000</v>
      </c>
      <c r="BL138" s="171">
        <f ca="1">IF(OR($D138&lt;&gt;"Serviço",AND(AUTOEVENTO="Manual",$M138=$A$15)),0,
         IF(OFFSET(CRONOPLE!$F$15,$M138-$A$15,BL$13)=0,10^12,OFFSET(CRONOPLE!$F$15,$M138-$A$15,BL$13)))</f>
        <v>1000000000000</v>
      </c>
      <c r="BM138" s="171">
        <f ca="1">IF(OR($D138&lt;&gt;"Serviço",AND(AUTOEVENTO="Manual",$M138=$A$15)),0,
         IF(OFFSET(CRONOPLE!$F$15,$M138-$A$15,BM$13)=0,10^12,OFFSET(CRONOPLE!$F$15,$M138-$A$15,BM$13)))</f>
        <v>1000000000000</v>
      </c>
      <c r="BN138" s="171">
        <f ca="1">IF(OR($D138&lt;&gt;"Serviço",AND(AUTOEVENTO="Manual",$M138=$A$15)),0,
         IF(OFFSET(CRONOPLE!$F$15,$M138-$A$15,BN$13)=0,10^12,OFFSET(CRONOPLE!$F$15,$M138-$A$15,BN$13)))</f>
        <v>1000000000000</v>
      </c>
      <c r="BO138" s="171">
        <f ca="1">IF(OR($D138&lt;&gt;"Serviço",AND(AUTOEVENTO="Manual",$M138=$A$15)),0,
         IF(OFFSET(CRONOPLE!$F$15,$M138-$A$15,BO$13)=0,10^12,OFFSET(CRONOPLE!$F$15,$M138-$A$15,BO$13)))</f>
        <v>1000000000000</v>
      </c>
      <c r="BP138" s="171">
        <f ca="1">IF(OR($D138&lt;&gt;"Serviço",AND(AUTOEVENTO="Manual",$M138=$A$15)),0,
         IF(OFFSET(CRONOPLE!$F$15,$M138-$A$15,BP$13)=0,10^12,OFFSET(CRONOPLE!$F$15,$M138-$A$15,BP$13)))</f>
        <v>1000000000000</v>
      </c>
      <c r="BQ138" s="171">
        <f ca="1">IF(OR($D138&lt;&gt;"Serviço",AND(AUTOEVENTO="Manual",$M138=$A$15)),0,
         IF(OFFSET(CRONOPLE!$F$15,$M138-$A$15,BQ$13)=0,10^12,OFFSET(CRONOPLE!$F$15,$M138-$A$15,BQ$13)))</f>
        <v>1000000000000</v>
      </c>
      <c r="BR138" s="171">
        <f ca="1">IF(OR($D138&lt;&gt;"Serviço",AND(AUTOEVENTO="Manual",$M138=$A$15)),0,
         IF(OFFSET(CRONOPLE!$F$15,$M138-$A$15,BR$13)=0,10^12,OFFSET(CRONOPLE!$F$15,$M138-$A$15,BR$13)))</f>
        <v>1000000000000</v>
      </c>
      <c r="BS138" s="171">
        <f ca="1">IF(OR($D138&lt;&gt;"Serviço",AND(AUTOEVENTO="Manual",$M138=$A$15)),0,
         IF(OFFSET(CRONOPLE!$F$15,$M138-$A$15,BS$13)=0,10^12,OFFSET(CRONOPLE!$F$15,$M138-$A$15,BS$13)))</f>
        <v>1000000000000</v>
      </c>
      <c r="BT138" s="171">
        <f ca="1">IF(OR($D138&lt;&gt;"Serviço",AND(AUTOEVENTO="Manual",$M138=$A$15)),0,
         IF(OFFSET(CRONOPLE!$F$15,$M138-$A$15,BT$13)=0,10^12,OFFSET(CRONOPLE!$F$15,$M138-$A$15,BT$13)))</f>
        <v>1000000000000</v>
      </c>
      <c r="BV138" s="172" cm="1">
        <f t="array" aca="1" ref="BV138" ca="1">IF(OR($D138&lt;&gt;"Serviço",AND(AUTOEVENTO="Manual",$M138=$A$15),$M138&gt;(ROW(PLE.lastrow)-ROW(PLE.firstrow))),0,
           IF(OFFSET(PLE!$G$15,$M138-$A$15,BV$13)="",10^12,OFFSET(PLE!$G$15,$M138-$A$15,BV$13)))</f>
        <v>1000000000000</v>
      </c>
      <c r="BW138" s="172" cm="1">
        <f t="array" aca="1" ref="BW138" ca="1">IF(OR($D138&lt;&gt;"Serviço",AND(AUTOEVENTO="Manual",$M138=$A$15),$M138&gt;(ROW(PLE.lastrow)-ROW(PLE.firstrow))),0,
           IF(OFFSET(PLE!$G$15,$M138-$A$15,BW$13)="",10^12,OFFSET(PLE!$G$15,$M138-$A$15,BW$13)))</f>
        <v>1000000000000</v>
      </c>
      <c r="BX138" s="172" cm="1">
        <f t="array" aca="1" ref="BX138" ca="1">IF(OR($D138&lt;&gt;"Serviço",AND(AUTOEVENTO="Manual",$M138=$A$15),$M138&gt;(ROW(PLE.lastrow)-ROW(PLE.firstrow))),0,
           IF(OFFSET(PLE!$G$15,$M138-$A$15,BX$13)="",10^12,OFFSET(PLE!$G$15,$M138-$A$15,BX$13)))</f>
        <v>1000000000000</v>
      </c>
      <c r="BY138" s="172" cm="1">
        <f t="array" aca="1" ref="BY138" ca="1">IF(OR($D138&lt;&gt;"Serviço",AND(AUTOEVENTO="Manual",$M138=$A$15),$M138&gt;(ROW(PLE.lastrow)-ROW(PLE.firstrow))),0,
           IF(OFFSET(PLE!$G$15,$M138-$A$15,BY$13)="",10^12,OFFSET(PLE!$G$15,$M138-$A$15,BY$13)))</f>
        <v>1000000000000</v>
      </c>
      <c r="BZ138" s="172" cm="1">
        <f t="array" aca="1" ref="BZ138" ca="1">IF(OR($D138&lt;&gt;"Serviço",AND(AUTOEVENTO="Manual",$M138=$A$15),$M138&gt;(ROW(PLE.lastrow)-ROW(PLE.firstrow))),0,
           IF(OFFSET(PLE!$G$15,$M138-$A$15,BZ$13)="",10^12,OFFSET(PLE!$G$15,$M138-$A$15,BZ$13)))</f>
        <v>1000000000000</v>
      </c>
      <c r="CA138" s="172" cm="1">
        <f t="array" aca="1" ref="CA138" ca="1">IF(OR($D138&lt;&gt;"Serviço",AND(AUTOEVENTO="Manual",$M138=$A$15),$M138&gt;(ROW(PLE.lastrow)-ROW(PLE.firstrow))),0,
           IF(OFFSET(PLE!$G$15,$M138-$A$15,CA$13)="",10^12,OFFSET(PLE!$G$15,$M138-$A$15,CA$13)))</f>
        <v>1000000000000</v>
      </c>
      <c r="CB138" s="172" cm="1">
        <f t="array" aca="1" ref="CB138" ca="1">IF(OR($D138&lt;&gt;"Serviço",AND(AUTOEVENTO="Manual",$M138=$A$15),$M138&gt;(ROW(PLE.lastrow)-ROW(PLE.firstrow))),0,
           IF(OFFSET(PLE!$G$15,$M138-$A$15,CB$13)="",10^12,OFFSET(PLE!$G$15,$M138-$A$15,CB$13)))</f>
        <v>1000000000000</v>
      </c>
      <c r="CC138" s="172" cm="1">
        <f t="array" aca="1" ref="CC138" ca="1">IF(OR($D138&lt;&gt;"Serviço",AND(AUTOEVENTO="Manual",$M138=$A$15),$M138&gt;(ROW(PLE.lastrow)-ROW(PLE.firstrow))),0,
           IF(OFFSET(PLE!$G$15,$M138-$A$15,CC$13)="",10^12,OFFSET(PLE!$G$15,$M138-$A$15,CC$13)))</f>
        <v>1000000000000</v>
      </c>
      <c r="CD138" s="172" cm="1">
        <f t="array" aca="1" ref="CD138" ca="1">IF(OR($D138&lt;&gt;"Serviço",AND(AUTOEVENTO="Manual",$M138=$A$15),$M138&gt;(ROW(PLE.lastrow)-ROW(PLE.firstrow))),0,
           IF(OFFSET(PLE!$G$15,$M138-$A$15,CD$13)="",10^12,OFFSET(PLE!$G$15,$M138-$A$15,CD$13)))</f>
        <v>1000000000000</v>
      </c>
      <c r="CE138" s="172" cm="1">
        <f t="array" aca="1" ref="CE138" ca="1">IF(OR($D138&lt;&gt;"Serviço",AND(AUTOEVENTO="Manual",$M138=$A$15),$M138&gt;(ROW(PLE.lastrow)-ROW(PLE.firstrow))),0,
           IF(OFFSET(PLE!$G$15,$M138-$A$15,CE$13)="",10^12,OFFSET(PLE!$G$15,$M138-$A$15,CE$13)))</f>
        <v>1000000000000</v>
      </c>
      <c r="CF138" s="172" cm="1">
        <f t="array" aca="1" ref="CF138" ca="1">IF(OR($D138&lt;&gt;"Serviço",AND(AUTOEVENTO="Manual",$M138=$A$15),$M138&gt;(ROW(PLE.lastrow)-ROW(PLE.firstrow))),0,
           IF(OFFSET(PLE!$G$15,$M138-$A$15,CF$13)="",10^12,OFFSET(PLE!$G$15,$M138-$A$15,CF$13)))</f>
        <v>1000000000000</v>
      </c>
      <c r="CG138" s="172" cm="1">
        <f t="array" aca="1" ref="CG138" ca="1">IF(OR($D138&lt;&gt;"Serviço",AND(AUTOEVENTO="Manual",$M138=$A$15),$M138&gt;(ROW(PLE.lastrow)-ROW(PLE.firstrow))),0,
           IF(OFFSET(PLE!$G$15,$M138-$A$15,CG$13)="",10^12,OFFSET(PLE!$G$15,$M138-$A$15,CG$13)))</f>
        <v>1000000000000</v>
      </c>
      <c r="CH138" s="172" cm="1">
        <f t="array" aca="1" ref="CH138" ca="1">IF(OR($D138&lt;&gt;"Serviço",AND(AUTOEVENTO="Manual",$M138=$A$15),$M138&gt;(ROW(PLE.lastrow)-ROW(PLE.firstrow))),0,
           IF(OFFSET(PLE!$G$15,$M138-$A$15,CH$13)="",10^12,OFFSET(PLE!$G$15,$M138-$A$15,CH$13)))</f>
        <v>1000000000000</v>
      </c>
      <c r="CI138" s="172" cm="1">
        <f t="array" aca="1" ref="CI138" ca="1">IF(OR($D138&lt;&gt;"Serviço",AND(AUTOEVENTO="Manual",$M138=$A$15),$M138&gt;(ROW(PLE.lastrow)-ROW(PLE.firstrow))),0,
           IF(OFFSET(PLE!$G$15,$M138-$A$15,CI$13)="",10^12,OFFSET(PLE!$G$15,$M138-$A$15,CI$13)))</f>
        <v>1000000000000</v>
      </c>
      <c r="CJ138" s="172" cm="1">
        <f t="array" aca="1" ref="CJ138" ca="1">IF(OR($D138&lt;&gt;"Serviço",AND(AUTOEVENTO="Manual",$M138=$A$15),$M138&gt;(ROW(PLE.lastrow)-ROW(PLE.firstrow))),0,
           IF(OFFSET(PLE!$G$15,$M138-$A$15,CJ$13)="",10^12,OFFSET(PLE!$G$15,$M138-$A$15,CJ$13)))</f>
        <v>1000000000000</v>
      </c>
      <c r="CK138" s="172" cm="1">
        <f t="array" aca="1" ref="CK138" ca="1">IF(OR($D138&lt;&gt;"Serviço",AND(AUTOEVENTO="Manual",$M138=$A$15),$M138&gt;(ROW(PLE.lastrow)-ROW(PLE.firstrow))),0,
           IF(OFFSET(PLE!$G$15,$M138-$A$15,CK$13)="",10^12,OFFSET(PLE!$G$15,$M138-$A$15,CK$13)))</f>
        <v>1000000000000</v>
      </c>
      <c r="CL138" s="172" cm="1">
        <f t="array" aca="1" ref="CL138" ca="1">IF(OR($D138&lt;&gt;"Serviço",AND(AUTOEVENTO="Manual",$M138=$A$15),$M138&gt;(ROW(PLE.lastrow)-ROW(PLE.firstrow))),0,
           IF(OFFSET(PLE!$G$15,$M138-$A$15,CL$13)="",10^12,OFFSET(PLE!$G$15,$M138-$A$15,CL$13)))</f>
        <v>1000000000000</v>
      </c>
      <c r="CM138" s="172" cm="1">
        <f t="array" aca="1" ref="CM138" ca="1">IF(OR($D138&lt;&gt;"Serviço",AND(AUTOEVENTO="Manual",$M138=$A$15),$M138&gt;(ROW(PLE.lastrow)-ROW(PLE.firstrow))),0,
           IF(OFFSET(PLE!$G$15,$M138-$A$15,CM$13)="",10^12,OFFSET(PLE!$G$15,$M138-$A$15,CM$13)))</f>
        <v>1000000000000</v>
      </c>
    </row>
    <row r="139" spans="1:91" s="670" customFormat="1" ht="25.5" x14ac:dyDescent="0.2">
      <c r="A139" s="668">
        <f t="shared" ca="1" si="12"/>
        <v>25</v>
      </c>
      <c r="B139" s="668" t="str">
        <f ca="1">OFFSET(ORÇAMENTO!C$15,$L139,0)</f>
        <v>S</v>
      </c>
      <c r="C139" s="668" t="str">
        <f ca="1">OFFSET(ORÇAMENTO!L$15,$L139,0)</f>
        <v>F</v>
      </c>
      <c r="D139" s="116" t="str">
        <f ca="1">OFFSET(ORÇAMENTO!N$15,$L139,0)</f>
        <v>Serviço</v>
      </c>
      <c r="E139" s="117" t="str">
        <f ca="1">OFFSET(ORÇAMENTO!O$15,$L139,0)</f>
        <v>1.17.25.</v>
      </c>
      <c r="F139" s="163" t="str">
        <f ca="1">OFFSET(ORÇAMENTO!R$15,$L139,0)</f>
        <v>Disjuntor termomagnetico tripolar 175 A, padrão DIN (Europeu - linha branca),10KA</v>
      </c>
      <c r="G139" s="164" t="str">
        <f ca="1">IF($D139&lt;&gt;"Serviço","",OFFSET(ORÇAMENTO!S$15,$L139,0))</f>
        <v>UNIDADE</v>
      </c>
      <c r="H139" s="122" cm="1">
        <f t="array" aca="1" ref="H139" ca="1">IF($D139&lt;&gt;"Serviço",0,IF(ACOMPANHAMENTO="BM",ROUND(OFFSET(ORÇAMENTO!AJ$15,$L139,0),15-13*ORÇAMENTO!$AF$7),IF(IFERROR(CÁLCULO.FrentesPreenchidas,0)=0,0,SUM(ROUND(OFFSET($P139,0,1,1,CÁLCULO.FrentesPreenchidas),15-13*ORÇAMENTO!$AF$7)))))</f>
        <v>1</v>
      </c>
      <c r="I139" s="679" t="s">
        <v>1189</v>
      </c>
      <c r="J139" s="651" t="str" cm="1">
        <f t="array" aca="1" ref="J139" ca="1">IF(OR(B139&lt;&gt;"S",CÁLCULO.FrentesPreenchidas=0),"",IF(AND(ACOMPANHAMENTO="PLE",AUTOEVENTO="Manual",OR(H139&gt;0,ORÇAMENTO!AC139="QUANT."),OR(K139="",M139=0,N139="")),"►E",IF(AND(ACOMPANHAMENTO="PLE",ORÇAMENTO!AC139="QUANT."),"►Q",IF(AND(ACOMPANHAMENTO="PLE",H139&lt;&gt;SUMPRODUCT(($Q$1:$AI$1=1)*ROUND(Q139:AI139,15))),"►S",IF(AND(COUNTIF($P$11:$AI$11,"▼")=0,H139&gt;0,I139=""),"◄M","")))))</f>
        <v/>
      </c>
      <c r="K139" s="652" t="s">
        <v>1359</v>
      </c>
      <c r="L139" s="165">
        <f t="shared" ca="1" si="13"/>
        <v>124</v>
      </c>
      <c r="M139" s="166">
        <f ca="1">IF($D139&lt;&gt;"Serviço","",
          IF(AUTOEVENTO="manual",$A139,
                IF(ISERROR(MATCH($A139,$A$15:OFFSET($A139,-1,0),0)),MAX($M$15:OFFSET(M139,-1,0))+1,
                      INDEX($M$15:OFFSET(M139,-1,0),MATCH($A139,$A$15:OFFSET($A139,-1,0),0)))))</f>
        <v>25</v>
      </c>
      <c r="N139" s="167" t="str">
        <f ca="1">IF($D139&lt;&gt;"Serviço","",
         IF(AUTOEVENTO="Manual",
                IF($A139=0,"&lt;-- defina o número do agrupador",
                       OFFSET(EVENTOS!$D$15,$A139-$A$15,0)),
                OFFSET($F$15,$A139,0)))</f>
        <v>Instalações elétricas</v>
      </c>
      <c r="O139" s="168"/>
      <c r="Q139" s="168"/>
      <c r="R139" s="169"/>
      <c r="S139" s="169"/>
      <c r="T139" s="169"/>
      <c r="U139" s="169"/>
      <c r="V139" s="169">
        <v>1</v>
      </c>
      <c r="W139" s="169"/>
      <c r="X139" s="169"/>
      <c r="Y139" s="169"/>
      <c r="Z139" s="170"/>
      <c r="AA139" s="705"/>
      <c r="AB139" s="705"/>
      <c r="AC139" s="705"/>
      <c r="AD139" s="705"/>
      <c r="AE139" s="705"/>
      <c r="AF139" s="705"/>
      <c r="AG139" s="705"/>
      <c r="AH139" s="706"/>
      <c r="AJ139" s="453">
        <f ca="1">IF(AND($D139="Serviço",AJ$12&lt;&gt;0,$H139&gt;0,OR(AUTOEVENTO&lt;&gt;"manual",$M139&lt;&gt;$A$15)),
        IF(Import.TipoArredondamento&lt;&gt;"TransfereGOV",
              ROUND(OFFSET($P139,0,AJ$13),15-13*ORÇAMENTO!$AF$7)/$H139*OFFSET(ORÇAMENTO!$X$15,ROW(AJ139)-ROW(AJ$15),0),
              ROUND(ROUND(OFFSET($P139,0,AJ$13),15-13*ORÇAMENTO!$AF$7)*OFFSET(ORÇAMENTO!$W$15,ROW(AJ139)-ROW(AJ$15),0),15-13*ORÇAMENTO!$AF$11)),
         0)</f>
        <v>0</v>
      </c>
      <c r="AK139" s="453">
        <f ca="1">IF(AND($D139="Serviço",AK$12&lt;&gt;0,$H139&gt;0,OR(AUTOEVENTO&lt;&gt;"manual",$M139&lt;&gt;$A$15)),
        IF(Import.TipoArredondamento&lt;&gt;"TransfereGOV",
              ROUND(OFFSET($P139,0,AK$13),15-13*ORÇAMENTO!$AF$7)/$H139*OFFSET(ORÇAMENTO!$X$15,ROW(AK139)-ROW(AK$15),0),
              ROUND(ROUND(OFFSET($P139,0,AK$13),15-13*ORÇAMENTO!$AF$7)*OFFSET(ORÇAMENTO!$W$15,ROW(AK139)-ROW(AK$15),0),15-13*ORÇAMENTO!$AF$11)),
         0)</f>
        <v>0</v>
      </c>
      <c r="AL139" s="453">
        <f ca="1">IF(AND($D139="Serviço",AL$12&lt;&gt;0,$H139&gt;0,OR(AUTOEVENTO&lt;&gt;"manual",$M139&lt;&gt;$A$15)),
        IF(Import.TipoArredondamento&lt;&gt;"TransfereGOV",
              ROUND(OFFSET($P139,0,AL$13),15-13*ORÇAMENTO!$AF$7)/$H139*OFFSET(ORÇAMENTO!$X$15,ROW(AL139)-ROW(AL$15),0),
              ROUND(ROUND(OFFSET($P139,0,AL$13),15-13*ORÇAMENTO!$AF$7)*OFFSET(ORÇAMENTO!$W$15,ROW(AL139)-ROW(AL$15),0),15-13*ORÇAMENTO!$AF$11)),
         0)</f>
        <v>0</v>
      </c>
      <c r="AM139" s="453">
        <f ca="1">IF(AND($D139="Serviço",AM$12&lt;&gt;0,$H139&gt;0,OR(AUTOEVENTO&lt;&gt;"manual",$M139&lt;&gt;$A$15)),
        IF(Import.TipoArredondamento&lt;&gt;"TransfereGOV",
              ROUND(OFFSET($P139,0,AM$13),15-13*ORÇAMENTO!$AF$7)/$H139*OFFSET(ORÇAMENTO!$X$15,ROW(AM139)-ROW(AM$15),0),
              ROUND(ROUND(OFFSET($P139,0,AM$13),15-13*ORÇAMENTO!$AF$7)*OFFSET(ORÇAMENTO!$W$15,ROW(AM139)-ROW(AM$15),0),15-13*ORÇAMENTO!$AF$11)),
         0)</f>
        <v>0</v>
      </c>
      <c r="AN139" s="453">
        <f ca="1">IF(AND($D139="Serviço",AN$12&lt;&gt;0,$H139&gt;0,OR(AUTOEVENTO&lt;&gt;"manual",$M139&lt;&gt;$A$15)),
        IF(Import.TipoArredondamento&lt;&gt;"TransfereGOV",
              ROUND(OFFSET($P139,0,AN$13),15-13*ORÇAMENTO!$AF$7)/$H139*OFFSET(ORÇAMENTO!$X$15,ROW(AN139)-ROW(AN$15),0),
              ROUND(ROUND(OFFSET($P139,0,AN$13),15-13*ORÇAMENTO!$AF$7)*OFFSET(ORÇAMENTO!$W$15,ROW(AN139)-ROW(AN$15),0),15-13*ORÇAMENTO!$AF$11)),
         0)</f>
        <v>0</v>
      </c>
      <c r="AO139" s="453">
        <f ca="1">IF(AND($D139="Serviço",AO$12&lt;&gt;0,$H139&gt;0,OR(AUTOEVENTO&lt;&gt;"manual",$M139&lt;&gt;$A$15)),
        IF(Import.TipoArredondamento&lt;&gt;"TransfereGOV",
              ROUND(OFFSET($P139,0,AO$13),15-13*ORÇAMENTO!$AF$7)/$H139*OFFSET(ORÇAMENTO!$X$15,ROW(AO139)-ROW(AO$15),0),
              ROUND(ROUND(OFFSET($P139,0,AO$13),15-13*ORÇAMENTO!$AF$7)*OFFSET(ORÇAMENTO!$W$15,ROW(AO139)-ROW(AO$15),0),15-13*ORÇAMENTO!$AF$11)),
         0)</f>
        <v>257.54000000000002</v>
      </c>
      <c r="AP139" s="453">
        <f ca="1">IF(AND($D139="Serviço",AP$12&lt;&gt;0,$H139&gt;0,OR(AUTOEVENTO&lt;&gt;"manual",$M139&lt;&gt;$A$15)),
        IF(Import.TipoArredondamento&lt;&gt;"TransfereGOV",
              ROUND(OFFSET($P139,0,AP$13),15-13*ORÇAMENTO!$AF$7)/$H139*OFFSET(ORÇAMENTO!$X$15,ROW(AP139)-ROW(AP$15),0),
              ROUND(ROUND(OFFSET($P139,0,AP$13),15-13*ORÇAMENTO!$AF$7)*OFFSET(ORÇAMENTO!$W$15,ROW(AP139)-ROW(AP$15),0),15-13*ORÇAMENTO!$AF$11)),
         0)</f>
        <v>0</v>
      </c>
      <c r="AQ139" s="453">
        <f ca="1">IF(AND($D139="Serviço",AQ$12&lt;&gt;0,$H139&gt;0,OR(AUTOEVENTO&lt;&gt;"manual",$M139&lt;&gt;$A$15)),
        IF(Import.TipoArredondamento&lt;&gt;"TransfereGOV",
              ROUND(OFFSET($P139,0,AQ$13),15-13*ORÇAMENTO!$AF$7)/$H139*OFFSET(ORÇAMENTO!$X$15,ROW(AQ139)-ROW(AQ$15),0),
              ROUND(ROUND(OFFSET($P139,0,AQ$13),15-13*ORÇAMENTO!$AF$7)*OFFSET(ORÇAMENTO!$W$15,ROW(AQ139)-ROW(AQ$15),0),15-13*ORÇAMENTO!$AF$11)),
         0)</f>
        <v>0</v>
      </c>
      <c r="AR139" s="453">
        <f ca="1">IF(AND($D139="Serviço",AR$12&lt;&gt;0,$H139&gt;0,OR(AUTOEVENTO&lt;&gt;"manual",$M139&lt;&gt;$A$15)),
        IF(Import.TipoArredondamento&lt;&gt;"TransfereGOV",
              ROUND(OFFSET($P139,0,AR$13),15-13*ORÇAMENTO!$AF$7)/$H139*OFFSET(ORÇAMENTO!$X$15,ROW(AR139)-ROW(AR$15),0),
              ROUND(ROUND(OFFSET($P139,0,AR$13),15-13*ORÇAMENTO!$AF$7)*OFFSET(ORÇAMENTO!$W$15,ROW(AR139)-ROW(AR$15),0),15-13*ORÇAMENTO!$AF$11)),
         0)</f>
        <v>0</v>
      </c>
      <c r="AS139" s="453">
        <f ca="1">IF(AND($D139="Serviço",AS$12&lt;&gt;0,$H139&gt;0,OR(AUTOEVENTO&lt;&gt;"manual",$M139&lt;&gt;$A$15)),
        IF(Import.TipoArredondamento&lt;&gt;"TransfereGOV",
              ROUND(OFFSET($P139,0,AS$13),15-13*ORÇAMENTO!$AF$7)/$H139*OFFSET(ORÇAMENTO!$X$15,ROW(AS139)-ROW(AS$15),0),
              ROUND(ROUND(OFFSET($P139,0,AS$13),15-13*ORÇAMENTO!$AF$7)*OFFSET(ORÇAMENTO!$W$15,ROW(AS139)-ROW(AS$15),0),15-13*ORÇAMENTO!$AF$11)),
         0)</f>
        <v>0</v>
      </c>
      <c r="AT139" s="453">
        <f ca="1">IF(AND($D139="Serviço",AT$12&lt;&gt;0,$H139&gt;0,OR(AUTOEVENTO&lt;&gt;"manual",$M139&lt;&gt;$A$15)),
        IF(Import.TipoArredondamento&lt;&gt;"TransfereGOV",
              ROUND(OFFSET($P139,0,AT$13),15-13*ORÇAMENTO!$AF$7)/$H139*OFFSET(ORÇAMENTO!$X$15,ROW(AT139)-ROW(AT$15),0),
              ROUND(ROUND(OFFSET($P139,0,AT$13),15-13*ORÇAMENTO!$AF$7)*OFFSET(ORÇAMENTO!$W$15,ROW(AT139)-ROW(AT$15),0),15-13*ORÇAMENTO!$AF$11)),
         0)</f>
        <v>0</v>
      </c>
      <c r="AU139" s="453">
        <f ca="1">IF(AND($D139="Serviço",AU$12&lt;&gt;0,$H139&gt;0,OR(AUTOEVENTO&lt;&gt;"manual",$M139&lt;&gt;$A$15)),
        IF(Import.TipoArredondamento&lt;&gt;"TransfereGOV",
              ROUND(OFFSET($P139,0,AU$13),15-13*ORÇAMENTO!$AF$7)/$H139*OFFSET(ORÇAMENTO!$X$15,ROW(AU139)-ROW(AU$15),0),
              ROUND(ROUND(OFFSET($P139,0,AU$13),15-13*ORÇAMENTO!$AF$7)*OFFSET(ORÇAMENTO!$W$15,ROW(AU139)-ROW(AU$15),0),15-13*ORÇAMENTO!$AF$11)),
         0)</f>
        <v>0</v>
      </c>
      <c r="AV139" s="453">
        <f ca="1">IF(AND($D139="Serviço",AV$12&lt;&gt;0,$H139&gt;0,OR(AUTOEVENTO&lt;&gt;"manual",$M139&lt;&gt;$A$15)),
        IF(Import.TipoArredondamento&lt;&gt;"TransfereGOV",
              ROUND(OFFSET($P139,0,AV$13),15-13*ORÇAMENTO!$AF$7)/$H139*OFFSET(ORÇAMENTO!$X$15,ROW(AV139)-ROW(AV$15),0),
              ROUND(ROUND(OFFSET($P139,0,AV$13),15-13*ORÇAMENTO!$AF$7)*OFFSET(ORÇAMENTO!$W$15,ROW(AV139)-ROW(AV$15),0),15-13*ORÇAMENTO!$AF$11)),
         0)</f>
        <v>0</v>
      </c>
      <c r="AW139" s="453">
        <f ca="1">IF(AND($D139="Serviço",AW$12&lt;&gt;0,$H139&gt;0,OR(AUTOEVENTO&lt;&gt;"manual",$M139&lt;&gt;$A$15)),
        IF(Import.TipoArredondamento&lt;&gt;"TransfereGOV",
              ROUND(OFFSET($P139,0,AW$13),15-13*ORÇAMENTO!$AF$7)/$H139*OFFSET(ORÇAMENTO!$X$15,ROW(AW139)-ROW(AW$15),0),
              ROUND(ROUND(OFFSET($P139,0,AW$13),15-13*ORÇAMENTO!$AF$7)*OFFSET(ORÇAMENTO!$W$15,ROW(AW139)-ROW(AW$15),0),15-13*ORÇAMENTO!$AF$11)),
         0)</f>
        <v>0</v>
      </c>
      <c r="AX139" s="453">
        <f ca="1">IF(AND($D139="Serviço",AX$12&lt;&gt;0,$H139&gt;0,OR(AUTOEVENTO&lt;&gt;"manual",$M139&lt;&gt;$A$15)),
        IF(Import.TipoArredondamento&lt;&gt;"TransfereGOV",
              ROUND(OFFSET($P139,0,AX$13),15-13*ORÇAMENTO!$AF$7)/$H139*OFFSET(ORÇAMENTO!$X$15,ROW(AX139)-ROW(AX$15),0),
              ROUND(ROUND(OFFSET($P139,0,AX$13),15-13*ORÇAMENTO!$AF$7)*OFFSET(ORÇAMENTO!$W$15,ROW(AX139)-ROW(AX$15),0),15-13*ORÇAMENTO!$AF$11)),
         0)</f>
        <v>0</v>
      </c>
      <c r="AY139" s="453">
        <f ca="1">IF(AND($D139="Serviço",AY$12&lt;&gt;0,$H139&gt;0,OR(AUTOEVENTO&lt;&gt;"manual",$M139&lt;&gt;$A$15)),
        IF(Import.TipoArredondamento&lt;&gt;"TransfereGOV",
              ROUND(OFFSET($P139,0,AY$13),15-13*ORÇAMENTO!$AF$7)/$H139*OFFSET(ORÇAMENTO!$X$15,ROW(AY139)-ROW(AY$15),0),
              ROUND(ROUND(OFFSET($P139,0,AY$13),15-13*ORÇAMENTO!$AF$7)*OFFSET(ORÇAMENTO!$W$15,ROW(AY139)-ROW(AY$15),0),15-13*ORÇAMENTO!$AF$11)),
         0)</f>
        <v>0</v>
      </c>
      <c r="AZ139" s="453">
        <f ca="1">IF(AND($D139="Serviço",AZ$12&lt;&gt;0,$H139&gt;0,OR(AUTOEVENTO&lt;&gt;"manual",$M139&lt;&gt;$A$15)),
        IF(Import.TipoArredondamento&lt;&gt;"TransfereGOV",
              ROUND(OFFSET($P139,0,AZ$13),15-13*ORÇAMENTO!$AF$7)/$H139*OFFSET(ORÇAMENTO!$X$15,ROW(AZ139)-ROW(AZ$15),0),
              ROUND(ROUND(OFFSET($P139,0,AZ$13),15-13*ORÇAMENTO!$AF$7)*OFFSET(ORÇAMENTO!$W$15,ROW(AZ139)-ROW(AZ$15),0),15-13*ORÇAMENTO!$AF$11)),
         0)</f>
        <v>0</v>
      </c>
      <c r="BA139" s="453">
        <f ca="1">IF(AND($D139="Serviço",BA$12&lt;&gt;0,$H139&gt;0,OR(AUTOEVENTO&lt;&gt;"manual",$M139&lt;&gt;$A$15)),
        IF(Import.TipoArredondamento&lt;&gt;"TransfereGOV",
              ROUND(OFFSET($P139,0,BA$13),15-13*ORÇAMENTO!$AF$7)/$H139*OFFSET(ORÇAMENTO!$X$15,ROW(BA139)-ROW(BA$15),0),
              ROUND(ROUND(OFFSET($P139,0,BA$13),15-13*ORÇAMENTO!$AF$7)*OFFSET(ORÇAMENTO!$W$15,ROW(BA139)-ROW(BA$15),0),15-13*ORÇAMENTO!$AF$11)),
         0)</f>
        <v>0</v>
      </c>
      <c r="BC139" s="171">
        <f ca="1">IF(OR($D139&lt;&gt;"Serviço",AND(AUTOEVENTO="Manual",$M139=$A$15)),0,
         IF(OFFSET(CRONOPLE!$F$15,$M139-$A$15,BC$13)=0,10^12,OFFSET(CRONOPLE!$F$15,$M139-$A$15,BC$13)))</f>
        <v>1000000000000</v>
      </c>
      <c r="BD139" s="171">
        <f ca="1">IF(OR($D139&lt;&gt;"Serviço",AND(AUTOEVENTO="Manual",$M139=$A$15)),0,
         IF(OFFSET(CRONOPLE!$F$15,$M139-$A$15,BD$13)=0,10^12,OFFSET(CRONOPLE!$F$15,$M139-$A$15,BD$13)))</f>
        <v>1000000000000</v>
      </c>
      <c r="BE139" s="171">
        <f ca="1">IF(OR($D139&lt;&gt;"Serviço",AND(AUTOEVENTO="Manual",$M139=$A$15)),0,
         IF(OFFSET(CRONOPLE!$F$15,$M139-$A$15,BE$13)=0,10^12,OFFSET(CRONOPLE!$F$15,$M139-$A$15,BE$13)))</f>
        <v>1000000000000</v>
      </c>
      <c r="BF139" s="171">
        <f ca="1">IF(OR($D139&lt;&gt;"Serviço",AND(AUTOEVENTO="Manual",$M139=$A$15)),0,
         IF(OFFSET(CRONOPLE!$F$15,$M139-$A$15,BF$13)=0,10^12,OFFSET(CRONOPLE!$F$15,$M139-$A$15,BF$13)))</f>
        <v>1000000000000</v>
      </c>
      <c r="BG139" s="171">
        <f ca="1">IF(OR($D139&lt;&gt;"Serviço",AND(AUTOEVENTO="Manual",$M139=$A$15)),0,
         IF(OFFSET(CRONOPLE!$F$15,$M139-$A$15,BG$13)=0,10^12,OFFSET(CRONOPLE!$F$15,$M139-$A$15,BG$13)))</f>
        <v>1000000000000</v>
      </c>
      <c r="BH139" s="171">
        <f ca="1">IF(OR($D139&lt;&gt;"Serviço",AND(AUTOEVENTO="Manual",$M139=$A$15)),0,
         IF(OFFSET(CRONOPLE!$F$15,$M139-$A$15,BH$13)=0,10^12,OFFSET(CRONOPLE!$F$15,$M139-$A$15,BH$13)))</f>
        <v>9</v>
      </c>
      <c r="BI139" s="171">
        <f ca="1">IF(OR($D139&lt;&gt;"Serviço",AND(AUTOEVENTO="Manual",$M139=$A$15)),0,
         IF(OFFSET(CRONOPLE!$F$15,$M139-$A$15,BI$13)=0,10^12,OFFSET(CRONOPLE!$F$15,$M139-$A$15,BI$13)))</f>
        <v>1000000000000</v>
      </c>
      <c r="BJ139" s="171">
        <f ca="1">IF(OR($D139&lt;&gt;"Serviço",AND(AUTOEVENTO="Manual",$M139=$A$15)),0,
         IF(OFFSET(CRONOPLE!$F$15,$M139-$A$15,BJ$13)=0,10^12,OFFSET(CRONOPLE!$F$15,$M139-$A$15,BJ$13)))</f>
        <v>1000000000000</v>
      </c>
      <c r="BK139" s="171">
        <f ca="1">IF(OR($D139&lt;&gt;"Serviço",AND(AUTOEVENTO="Manual",$M139=$A$15)),0,
         IF(OFFSET(CRONOPLE!$F$15,$M139-$A$15,BK$13)=0,10^12,OFFSET(CRONOPLE!$F$15,$M139-$A$15,BK$13)))</f>
        <v>1000000000000</v>
      </c>
      <c r="BL139" s="171">
        <f ca="1">IF(OR($D139&lt;&gt;"Serviço",AND(AUTOEVENTO="Manual",$M139=$A$15)),0,
         IF(OFFSET(CRONOPLE!$F$15,$M139-$A$15,BL$13)=0,10^12,OFFSET(CRONOPLE!$F$15,$M139-$A$15,BL$13)))</f>
        <v>1000000000000</v>
      </c>
      <c r="BM139" s="171">
        <f ca="1">IF(OR($D139&lt;&gt;"Serviço",AND(AUTOEVENTO="Manual",$M139=$A$15)),0,
         IF(OFFSET(CRONOPLE!$F$15,$M139-$A$15,BM$13)=0,10^12,OFFSET(CRONOPLE!$F$15,$M139-$A$15,BM$13)))</f>
        <v>1000000000000</v>
      </c>
      <c r="BN139" s="171">
        <f ca="1">IF(OR($D139&lt;&gt;"Serviço",AND(AUTOEVENTO="Manual",$M139=$A$15)),0,
         IF(OFFSET(CRONOPLE!$F$15,$M139-$A$15,BN$13)=0,10^12,OFFSET(CRONOPLE!$F$15,$M139-$A$15,BN$13)))</f>
        <v>1000000000000</v>
      </c>
      <c r="BO139" s="171">
        <f ca="1">IF(OR($D139&lt;&gt;"Serviço",AND(AUTOEVENTO="Manual",$M139=$A$15)),0,
         IF(OFFSET(CRONOPLE!$F$15,$M139-$A$15,BO$13)=0,10^12,OFFSET(CRONOPLE!$F$15,$M139-$A$15,BO$13)))</f>
        <v>1000000000000</v>
      </c>
      <c r="BP139" s="171">
        <f ca="1">IF(OR($D139&lt;&gt;"Serviço",AND(AUTOEVENTO="Manual",$M139=$A$15)),0,
         IF(OFFSET(CRONOPLE!$F$15,$M139-$A$15,BP$13)=0,10^12,OFFSET(CRONOPLE!$F$15,$M139-$A$15,BP$13)))</f>
        <v>1000000000000</v>
      </c>
      <c r="BQ139" s="171">
        <f ca="1">IF(OR($D139&lt;&gt;"Serviço",AND(AUTOEVENTO="Manual",$M139=$A$15)),0,
         IF(OFFSET(CRONOPLE!$F$15,$M139-$A$15,BQ$13)=0,10^12,OFFSET(CRONOPLE!$F$15,$M139-$A$15,BQ$13)))</f>
        <v>1000000000000</v>
      </c>
      <c r="BR139" s="171">
        <f ca="1">IF(OR($D139&lt;&gt;"Serviço",AND(AUTOEVENTO="Manual",$M139=$A$15)),0,
         IF(OFFSET(CRONOPLE!$F$15,$M139-$A$15,BR$13)=0,10^12,OFFSET(CRONOPLE!$F$15,$M139-$A$15,BR$13)))</f>
        <v>1000000000000</v>
      </c>
      <c r="BS139" s="171">
        <f ca="1">IF(OR($D139&lt;&gt;"Serviço",AND(AUTOEVENTO="Manual",$M139=$A$15)),0,
         IF(OFFSET(CRONOPLE!$F$15,$M139-$A$15,BS$13)=0,10^12,OFFSET(CRONOPLE!$F$15,$M139-$A$15,BS$13)))</f>
        <v>1000000000000</v>
      </c>
      <c r="BT139" s="171">
        <f ca="1">IF(OR($D139&lt;&gt;"Serviço",AND(AUTOEVENTO="Manual",$M139=$A$15)),0,
         IF(OFFSET(CRONOPLE!$F$15,$M139-$A$15,BT$13)=0,10^12,OFFSET(CRONOPLE!$F$15,$M139-$A$15,BT$13)))</f>
        <v>1000000000000</v>
      </c>
      <c r="BV139" s="172" cm="1">
        <f t="array" aca="1" ref="BV139" ca="1">IF(OR($D139&lt;&gt;"Serviço",AND(AUTOEVENTO="Manual",$M139=$A$15),$M139&gt;(ROW(PLE.lastrow)-ROW(PLE.firstrow))),0,
           IF(OFFSET(PLE!$G$15,$M139-$A$15,BV$13)="",10^12,OFFSET(PLE!$G$15,$M139-$A$15,BV$13)))</f>
        <v>1000000000000</v>
      </c>
      <c r="BW139" s="172" cm="1">
        <f t="array" aca="1" ref="BW139" ca="1">IF(OR($D139&lt;&gt;"Serviço",AND(AUTOEVENTO="Manual",$M139=$A$15),$M139&gt;(ROW(PLE.lastrow)-ROW(PLE.firstrow))),0,
           IF(OFFSET(PLE!$G$15,$M139-$A$15,BW$13)="",10^12,OFFSET(PLE!$G$15,$M139-$A$15,BW$13)))</f>
        <v>1000000000000</v>
      </c>
      <c r="BX139" s="172" cm="1">
        <f t="array" aca="1" ref="BX139" ca="1">IF(OR($D139&lt;&gt;"Serviço",AND(AUTOEVENTO="Manual",$M139=$A$15),$M139&gt;(ROW(PLE.lastrow)-ROW(PLE.firstrow))),0,
           IF(OFFSET(PLE!$G$15,$M139-$A$15,BX$13)="",10^12,OFFSET(PLE!$G$15,$M139-$A$15,BX$13)))</f>
        <v>1000000000000</v>
      </c>
      <c r="BY139" s="172" cm="1">
        <f t="array" aca="1" ref="BY139" ca="1">IF(OR($D139&lt;&gt;"Serviço",AND(AUTOEVENTO="Manual",$M139=$A$15),$M139&gt;(ROW(PLE.lastrow)-ROW(PLE.firstrow))),0,
           IF(OFFSET(PLE!$G$15,$M139-$A$15,BY$13)="",10^12,OFFSET(PLE!$G$15,$M139-$A$15,BY$13)))</f>
        <v>1000000000000</v>
      </c>
      <c r="BZ139" s="172" cm="1">
        <f t="array" aca="1" ref="BZ139" ca="1">IF(OR($D139&lt;&gt;"Serviço",AND(AUTOEVENTO="Manual",$M139=$A$15),$M139&gt;(ROW(PLE.lastrow)-ROW(PLE.firstrow))),0,
           IF(OFFSET(PLE!$G$15,$M139-$A$15,BZ$13)="",10^12,OFFSET(PLE!$G$15,$M139-$A$15,BZ$13)))</f>
        <v>1000000000000</v>
      </c>
      <c r="CA139" s="172" cm="1">
        <f t="array" aca="1" ref="CA139" ca="1">IF(OR($D139&lt;&gt;"Serviço",AND(AUTOEVENTO="Manual",$M139=$A$15),$M139&gt;(ROW(PLE.lastrow)-ROW(PLE.firstrow))),0,
           IF(OFFSET(PLE!$G$15,$M139-$A$15,CA$13)="",10^12,OFFSET(PLE!$G$15,$M139-$A$15,CA$13)))</f>
        <v>1000000000000</v>
      </c>
      <c r="CB139" s="172" cm="1">
        <f t="array" aca="1" ref="CB139" ca="1">IF(OR($D139&lt;&gt;"Serviço",AND(AUTOEVENTO="Manual",$M139=$A$15),$M139&gt;(ROW(PLE.lastrow)-ROW(PLE.firstrow))),0,
           IF(OFFSET(PLE!$G$15,$M139-$A$15,CB$13)="",10^12,OFFSET(PLE!$G$15,$M139-$A$15,CB$13)))</f>
        <v>1000000000000</v>
      </c>
      <c r="CC139" s="172" cm="1">
        <f t="array" aca="1" ref="CC139" ca="1">IF(OR($D139&lt;&gt;"Serviço",AND(AUTOEVENTO="Manual",$M139=$A$15),$M139&gt;(ROW(PLE.lastrow)-ROW(PLE.firstrow))),0,
           IF(OFFSET(PLE!$G$15,$M139-$A$15,CC$13)="",10^12,OFFSET(PLE!$G$15,$M139-$A$15,CC$13)))</f>
        <v>1000000000000</v>
      </c>
      <c r="CD139" s="172" cm="1">
        <f t="array" aca="1" ref="CD139" ca="1">IF(OR($D139&lt;&gt;"Serviço",AND(AUTOEVENTO="Manual",$M139=$A$15),$M139&gt;(ROW(PLE.lastrow)-ROW(PLE.firstrow))),0,
           IF(OFFSET(PLE!$G$15,$M139-$A$15,CD$13)="",10^12,OFFSET(PLE!$G$15,$M139-$A$15,CD$13)))</f>
        <v>1000000000000</v>
      </c>
      <c r="CE139" s="172" cm="1">
        <f t="array" aca="1" ref="CE139" ca="1">IF(OR($D139&lt;&gt;"Serviço",AND(AUTOEVENTO="Manual",$M139=$A$15),$M139&gt;(ROW(PLE.lastrow)-ROW(PLE.firstrow))),0,
           IF(OFFSET(PLE!$G$15,$M139-$A$15,CE$13)="",10^12,OFFSET(PLE!$G$15,$M139-$A$15,CE$13)))</f>
        <v>1000000000000</v>
      </c>
      <c r="CF139" s="172" cm="1">
        <f t="array" aca="1" ref="CF139" ca="1">IF(OR($D139&lt;&gt;"Serviço",AND(AUTOEVENTO="Manual",$M139=$A$15),$M139&gt;(ROW(PLE.lastrow)-ROW(PLE.firstrow))),0,
           IF(OFFSET(PLE!$G$15,$M139-$A$15,CF$13)="",10^12,OFFSET(PLE!$G$15,$M139-$A$15,CF$13)))</f>
        <v>1000000000000</v>
      </c>
      <c r="CG139" s="172" cm="1">
        <f t="array" aca="1" ref="CG139" ca="1">IF(OR($D139&lt;&gt;"Serviço",AND(AUTOEVENTO="Manual",$M139=$A$15),$M139&gt;(ROW(PLE.lastrow)-ROW(PLE.firstrow))),0,
           IF(OFFSET(PLE!$G$15,$M139-$A$15,CG$13)="",10^12,OFFSET(PLE!$G$15,$M139-$A$15,CG$13)))</f>
        <v>1000000000000</v>
      </c>
      <c r="CH139" s="172" cm="1">
        <f t="array" aca="1" ref="CH139" ca="1">IF(OR($D139&lt;&gt;"Serviço",AND(AUTOEVENTO="Manual",$M139=$A$15),$M139&gt;(ROW(PLE.lastrow)-ROW(PLE.firstrow))),0,
           IF(OFFSET(PLE!$G$15,$M139-$A$15,CH$13)="",10^12,OFFSET(PLE!$G$15,$M139-$A$15,CH$13)))</f>
        <v>1000000000000</v>
      </c>
      <c r="CI139" s="172" cm="1">
        <f t="array" aca="1" ref="CI139" ca="1">IF(OR($D139&lt;&gt;"Serviço",AND(AUTOEVENTO="Manual",$M139=$A$15),$M139&gt;(ROW(PLE.lastrow)-ROW(PLE.firstrow))),0,
           IF(OFFSET(PLE!$G$15,$M139-$A$15,CI$13)="",10^12,OFFSET(PLE!$G$15,$M139-$A$15,CI$13)))</f>
        <v>1000000000000</v>
      </c>
      <c r="CJ139" s="172" cm="1">
        <f t="array" aca="1" ref="CJ139" ca="1">IF(OR($D139&lt;&gt;"Serviço",AND(AUTOEVENTO="Manual",$M139=$A$15),$M139&gt;(ROW(PLE.lastrow)-ROW(PLE.firstrow))),0,
           IF(OFFSET(PLE!$G$15,$M139-$A$15,CJ$13)="",10^12,OFFSET(PLE!$G$15,$M139-$A$15,CJ$13)))</f>
        <v>1000000000000</v>
      </c>
      <c r="CK139" s="172" cm="1">
        <f t="array" aca="1" ref="CK139" ca="1">IF(OR($D139&lt;&gt;"Serviço",AND(AUTOEVENTO="Manual",$M139=$A$15),$M139&gt;(ROW(PLE.lastrow)-ROW(PLE.firstrow))),0,
           IF(OFFSET(PLE!$G$15,$M139-$A$15,CK$13)="",10^12,OFFSET(PLE!$G$15,$M139-$A$15,CK$13)))</f>
        <v>1000000000000</v>
      </c>
      <c r="CL139" s="172" cm="1">
        <f t="array" aca="1" ref="CL139" ca="1">IF(OR($D139&lt;&gt;"Serviço",AND(AUTOEVENTO="Manual",$M139=$A$15),$M139&gt;(ROW(PLE.lastrow)-ROW(PLE.firstrow))),0,
           IF(OFFSET(PLE!$G$15,$M139-$A$15,CL$13)="",10^12,OFFSET(PLE!$G$15,$M139-$A$15,CL$13)))</f>
        <v>1000000000000</v>
      </c>
      <c r="CM139" s="172" cm="1">
        <f t="array" aca="1" ref="CM139" ca="1">IF(OR($D139&lt;&gt;"Serviço",AND(AUTOEVENTO="Manual",$M139=$A$15),$M139&gt;(ROW(PLE.lastrow)-ROW(PLE.firstrow))),0,
           IF(OFFSET(PLE!$G$15,$M139-$A$15,CM$13)="",10^12,OFFSET(PLE!$G$15,$M139-$A$15,CM$13)))</f>
        <v>1000000000000</v>
      </c>
    </row>
    <row r="140" spans="1:91" s="670" customFormat="1" ht="25.5" x14ac:dyDescent="0.2">
      <c r="A140" s="668">
        <f t="shared" ca="1" si="12"/>
        <v>25</v>
      </c>
      <c r="B140" s="668" t="str">
        <f ca="1">OFFSET(ORÇAMENTO!C$15,$L140,0)</f>
        <v>S</v>
      </c>
      <c r="C140" s="668" t="str">
        <f ca="1">OFFSET(ORÇAMENTO!L$15,$L140,0)</f>
        <v>F</v>
      </c>
      <c r="D140" s="116" t="str">
        <f ca="1">OFFSET(ORÇAMENTO!N$15,$L140,0)</f>
        <v>Serviço</v>
      </c>
      <c r="E140" s="117" t="str">
        <f ca="1">OFFSET(ORÇAMENTO!O$15,$L140,0)</f>
        <v>1.17.26.</v>
      </c>
      <c r="F140" s="163" t="str">
        <f ca="1">OFFSET(ORÇAMENTO!R$15,$L140,0)</f>
        <v>Disjuntor tripolar 50 A, padrão DIN (  linha branca ), curva de disparo C, corrente de interrupção 10KA, ref.: Siemens 5SX1 ou similar.</v>
      </c>
      <c r="G140" s="164" t="str">
        <f ca="1">IF($D140&lt;&gt;"Serviço","",OFFSET(ORÇAMENTO!S$15,$L140,0))</f>
        <v>UNIDADE</v>
      </c>
      <c r="H140" s="122" cm="1">
        <f t="array" aca="1" ref="H140" ca="1">IF($D140&lt;&gt;"Serviço",0,IF(ACOMPANHAMENTO="BM",ROUND(OFFSET(ORÇAMENTO!AJ$15,$L140,0),15-13*ORÇAMENTO!$AF$7),IF(IFERROR(CÁLCULO.FrentesPreenchidas,0)=0,0,SUM(ROUND(OFFSET($P140,0,1,1,CÁLCULO.FrentesPreenchidas),15-13*ORÇAMENTO!$AF$7)))))</f>
        <v>1</v>
      </c>
      <c r="I140" s="679" t="s">
        <v>1189</v>
      </c>
      <c r="J140" s="651" t="str" cm="1">
        <f t="array" aca="1" ref="J140" ca="1">IF(OR(B140&lt;&gt;"S",CÁLCULO.FrentesPreenchidas=0),"",IF(AND(ACOMPANHAMENTO="PLE",AUTOEVENTO="Manual",OR(H140&gt;0,ORÇAMENTO!AC140="QUANT."),OR(K140="",M140=0,N140="")),"►E",IF(AND(ACOMPANHAMENTO="PLE",ORÇAMENTO!AC140="QUANT."),"►Q",IF(AND(ACOMPANHAMENTO="PLE",H140&lt;&gt;SUMPRODUCT(($Q$1:$AI$1=1)*ROUND(Q140:AI140,15))),"►S",IF(AND(COUNTIF($P$11:$AI$11,"▼")=0,H140&gt;0,I140=""),"◄M","")))))</f>
        <v/>
      </c>
      <c r="K140" s="652" t="s">
        <v>1359</v>
      </c>
      <c r="L140" s="165">
        <f t="shared" ca="1" si="13"/>
        <v>125</v>
      </c>
      <c r="M140" s="166">
        <f ca="1">IF($D140&lt;&gt;"Serviço","",
          IF(AUTOEVENTO="manual",$A140,
                IF(ISERROR(MATCH($A140,$A$15:OFFSET($A140,-1,0),0)),MAX($M$15:OFFSET(M140,-1,0))+1,
                      INDEX($M$15:OFFSET(M140,-1,0),MATCH($A140,$A$15:OFFSET($A140,-1,0),0)))))</f>
        <v>25</v>
      </c>
      <c r="N140" s="167" t="str">
        <f ca="1">IF($D140&lt;&gt;"Serviço","",
         IF(AUTOEVENTO="Manual",
                IF($A140=0,"&lt;-- defina o número do agrupador",
                       OFFSET(EVENTOS!$D$15,$A140-$A$15,0)),
                OFFSET($F$15,$A140,0)))</f>
        <v>Instalações elétricas</v>
      </c>
      <c r="O140" s="168"/>
      <c r="Q140" s="168"/>
      <c r="R140" s="169"/>
      <c r="S140" s="169"/>
      <c r="T140" s="169"/>
      <c r="U140" s="169"/>
      <c r="V140" s="169">
        <v>1</v>
      </c>
      <c r="W140" s="169"/>
      <c r="X140" s="169"/>
      <c r="Y140" s="169"/>
      <c r="Z140" s="170"/>
      <c r="AA140" s="705"/>
      <c r="AB140" s="705"/>
      <c r="AC140" s="705"/>
      <c r="AD140" s="705"/>
      <c r="AE140" s="705"/>
      <c r="AF140" s="705"/>
      <c r="AG140" s="705"/>
      <c r="AH140" s="706"/>
      <c r="AJ140" s="453">
        <f ca="1">IF(AND($D140="Serviço",AJ$12&lt;&gt;0,$H140&gt;0,OR(AUTOEVENTO&lt;&gt;"manual",$M140&lt;&gt;$A$15)),
        IF(Import.TipoArredondamento&lt;&gt;"TransfereGOV",
              ROUND(OFFSET($P140,0,AJ$13),15-13*ORÇAMENTO!$AF$7)/$H140*OFFSET(ORÇAMENTO!$X$15,ROW(AJ140)-ROW(AJ$15),0),
              ROUND(ROUND(OFFSET($P140,0,AJ$13),15-13*ORÇAMENTO!$AF$7)*OFFSET(ORÇAMENTO!$W$15,ROW(AJ140)-ROW(AJ$15),0),15-13*ORÇAMENTO!$AF$11)),
         0)</f>
        <v>0</v>
      </c>
      <c r="AK140" s="453">
        <f ca="1">IF(AND($D140="Serviço",AK$12&lt;&gt;0,$H140&gt;0,OR(AUTOEVENTO&lt;&gt;"manual",$M140&lt;&gt;$A$15)),
        IF(Import.TipoArredondamento&lt;&gt;"TransfereGOV",
              ROUND(OFFSET($P140,0,AK$13),15-13*ORÇAMENTO!$AF$7)/$H140*OFFSET(ORÇAMENTO!$X$15,ROW(AK140)-ROW(AK$15),0),
              ROUND(ROUND(OFFSET($P140,0,AK$13),15-13*ORÇAMENTO!$AF$7)*OFFSET(ORÇAMENTO!$W$15,ROW(AK140)-ROW(AK$15),0),15-13*ORÇAMENTO!$AF$11)),
         0)</f>
        <v>0</v>
      </c>
      <c r="AL140" s="453">
        <f ca="1">IF(AND($D140="Serviço",AL$12&lt;&gt;0,$H140&gt;0,OR(AUTOEVENTO&lt;&gt;"manual",$M140&lt;&gt;$A$15)),
        IF(Import.TipoArredondamento&lt;&gt;"TransfereGOV",
              ROUND(OFFSET($P140,0,AL$13),15-13*ORÇAMENTO!$AF$7)/$H140*OFFSET(ORÇAMENTO!$X$15,ROW(AL140)-ROW(AL$15),0),
              ROUND(ROUND(OFFSET($P140,0,AL$13),15-13*ORÇAMENTO!$AF$7)*OFFSET(ORÇAMENTO!$W$15,ROW(AL140)-ROW(AL$15),0),15-13*ORÇAMENTO!$AF$11)),
         0)</f>
        <v>0</v>
      </c>
      <c r="AM140" s="453">
        <f ca="1">IF(AND($D140="Serviço",AM$12&lt;&gt;0,$H140&gt;0,OR(AUTOEVENTO&lt;&gt;"manual",$M140&lt;&gt;$A$15)),
        IF(Import.TipoArredondamento&lt;&gt;"TransfereGOV",
              ROUND(OFFSET($P140,0,AM$13),15-13*ORÇAMENTO!$AF$7)/$H140*OFFSET(ORÇAMENTO!$X$15,ROW(AM140)-ROW(AM$15),0),
              ROUND(ROUND(OFFSET($P140,0,AM$13),15-13*ORÇAMENTO!$AF$7)*OFFSET(ORÇAMENTO!$W$15,ROW(AM140)-ROW(AM$15),0),15-13*ORÇAMENTO!$AF$11)),
         0)</f>
        <v>0</v>
      </c>
      <c r="AN140" s="453">
        <f ca="1">IF(AND($D140="Serviço",AN$12&lt;&gt;0,$H140&gt;0,OR(AUTOEVENTO&lt;&gt;"manual",$M140&lt;&gt;$A$15)),
        IF(Import.TipoArredondamento&lt;&gt;"TransfereGOV",
              ROUND(OFFSET($P140,0,AN$13),15-13*ORÇAMENTO!$AF$7)/$H140*OFFSET(ORÇAMENTO!$X$15,ROW(AN140)-ROW(AN$15),0),
              ROUND(ROUND(OFFSET($P140,0,AN$13),15-13*ORÇAMENTO!$AF$7)*OFFSET(ORÇAMENTO!$W$15,ROW(AN140)-ROW(AN$15),0),15-13*ORÇAMENTO!$AF$11)),
         0)</f>
        <v>0</v>
      </c>
      <c r="AO140" s="453">
        <f ca="1">IF(AND($D140="Serviço",AO$12&lt;&gt;0,$H140&gt;0,OR(AUTOEVENTO&lt;&gt;"manual",$M140&lt;&gt;$A$15)),
        IF(Import.TipoArredondamento&lt;&gt;"TransfereGOV",
              ROUND(OFFSET($P140,0,AO$13),15-13*ORÇAMENTO!$AF$7)/$H140*OFFSET(ORÇAMENTO!$X$15,ROW(AO140)-ROW(AO$15),0),
              ROUND(ROUND(OFFSET($P140,0,AO$13),15-13*ORÇAMENTO!$AF$7)*OFFSET(ORÇAMENTO!$W$15,ROW(AO140)-ROW(AO$15),0),15-13*ORÇAMENTO!$AF$11)),
         0)</f>
        <v>292.06</v>
      </c>
      <c r="AP140" s="453">
        <f ca="1">IF(AND($D140="Serviço",AP$12&lt;&gt;0,$H140&gt;0,OR(AUTOEVENTO&lt;&gt;"manual",$M140&lt;&gt;$A$15)),
        IF(Import.TipoArredondamento&lt;&gt;"TransfereGOV",
              ROUND(OFFSET($P140,0,AP$13),15-13*ORÇAMENTO!$AF$7)/$H140*OFFSET(ORÇAMENTO!$X$15,ROW(AP140)-ROW(AP$15),0),
              ROUND(ROUND(OFFSET($P140,0,AP$13),15-13*ORÇAMENTO!$AF$7)*OFFSET(ORÇAMENTO!$W$15,ROW(AP140)-ROW(AP$15),0),15-13*ORÇAMENTO!$AF$11)),
         0)</f>
        <v>0</v>
      </c>
      <c r="AQ140" s="453">
        <f ca="1">IF(AND($D140="Serviço",AQ$12&lt;&gt;0,$H140&gt;0,OR(AUTOEVENTO&lt;&gt;"manual",$M140&lt;&gt;$A$15)),
        IF(Import.TipoArredondamento&lt;&gt;"TransfereGOV",
              ROUND(OFFSET($P140,0,AQ$13),15-13*ORÇAMENTO!$AF$7)/$H140*OFFSET(ORÇAMENTO!$X$15,ROW(AQ140)-ROW(AQ$15),0),
              ROUND(ROUND(OFFSET($P140,0,AQ$13),15-13*ORÇAMENTO!$AF$7)*OFFSET(ORÇAMENTO!$W$15,ROW(AQ140)-ROW(AQ$15),0),15-13*ORÇAMENTO!$AF$11)),
         0)</f>
        <v>0</v>
      </c>
      <c r="AR140" s="453">
        <f ca="1">IF(AND($D140="Serviço",AR$12&lt;&gt;0,$H140&gt;0,OR(AUTOEVENTO&lt;&gt;"manual",$M140&lt;&gt;$A$15)),
        IF(Import.TipoArredondamento&lt;&gt;"TransfereGOV",
              ROUND(OFFSET($P140,0,AR$13),15-13*ORÇAMENTO!$AF$7)/$H140*OFFSET(ORÇAMENTO!$X$15,ROW(AR140)-ROW(AR$15),0),
              ROUND(ROUND(OFFSET($P140,0,AR$13),15-13*ORÇAMENTO!$AF$7)*OFFSET(ORÇAMENTO!$W$15,ROW(AR140)-ROW(AR$15),0),15-13*ORÇAMENTO!$AF$11)),
         0)</f>
        <v>0</v>
      </c>
      <c r="AS140" s="453">
        <f ca="1">IF(AND($D140="Serviço",AS$12&lt;&gt;0,$H140&gt;0,OR(AUTOEVENTO&lt;&gt;"manual",$M140&lt;&gt;$A$15)),
        IF(Import.TipoArredondamento&lt;&gt;"TransfereGOV",
              ROUND(OFFSET($P140,0,AS$13),15-13*ORÇAMENTO!$AF$7)/$H140*OFFSET(ORÇAMENTO!$X$15,ROW(AS140)-ROW(AS$15),0),
              ROUND(ROUND(OFFSET($P140,0,AS$13),15-13*ORÇAMENTO!$AF$7)*OFFSET(ORÇAMENTO!$W$15,ROW(AS140)-ROW(AS$15),0),15-13*ORÇAMENTO!$AF$11)),
         0)</f>
        <v>0</v>
      </c>
      <c r="AT140" s="453">
        <f ca="1">IF(AND($D140="Serviço",AT$12&lt;&gt;0,$H140&gt;0,OR(AUTOEVENTO&lt;&gt;"manual",$M140&lt;&gt;$A$15)),
        IF(Import.TipoArredondamento&lt;&gt;"TransfereGOV",
              ROUND(OFFSET($P140,0,AT$13),15-13*ORÇAMENTO!$AF$7)/$H140*OFFSET(ORÇAMENTO!$X$15,ROW(AT140)-ROW(AT$15),0),
              ROUND(ROUND(OFFSET($P140,0,AT$13),15-13*ORÇAMENTO!$AF$7)*OFFSET(ORÇAMENTO!$W$15,ROW(AT140)-ROW(AT$15),0),15-13*ORÇAMENTO!$AF$11)),
         0)</f>
        <v>0</v>
      </c>
      <c r="AU140" s="453">
        <f ca="1">IF(AND($D140="Serviço",AU$12&lt;&gt;0,$H140&gt;0,OR(AUTOEVENTO&lt;&gt;"manual",$M140&lt;&gt;$A$15)),
        IF(Import.TipoArredondamento&lt;&gt;"TransfereGOV",
              ROUND(OFFSET($P140,0,AU$13),15-13*ORÇAMENTO!$AF$7)/$H140*OFFSET(ORÇAMENTO!$X$15,ROW(AU140)-ROW(AU$15),0),
              ROUND(ROUND(OFFSET($P140,0,AU$13),15-13*ORÇAMENTO!$AF$7)*OFFSET(ORÇAMENTO!$W$15,ROW(AU140)-ROW(AU$15),0),15-13*ORÇAMENTO!$AF$11)),
         0)</f>
        <v>0</v>
      </c>
      <c r="AV140" s="453">
        <f ca="1">IF(AND($D140="Serviço",AV$12&lt;&gt;0,$H140&gt;0,OR(AUTOEVENTO&lt;&gt;"manual",$M140&lt;&gt;$A$15)),
        IF(Import.TipoArredondamento&lt;&gt;"TransfereGOV",
              ROUND(OFFSET($P140,0,AV$13),15-13*ORÇAMENTO!$AF$7)/$H140*OFFSET(ORÇAMENTO!$X$15,ROW(AV140)-ROW(AV$15),0),
              ROUND(ROUND(OFFSET($P140,0,AV$13),15-13*ORÇAMENTO!$AF$7)*OFFSET(ORÇAMENTO!$W$15,ROW(AV140)-ROW(AV$15),0),15-13*ORÇAMENTO!$AF$11)),
         0)</f>
        <v>0</v>
      </c>
      <c r="AW140" s="453">
        <f ca="1">IF(AND($D140="Serviço",AW$12&lt;&gt;0,$H140&gt;0,OR(AUTOEVENTO&lt;&gt;"manual",$M140&lt;&gt;$A$15)),
        IF(Import.TipoArredondamento&lt;&gt;"TransfereGOV",
              ROUND(OFFSET($P140,0,AW$13),15-13*ORÇAMENTO!$AF$7)/$H140*OFFSET(ORÇAMENTO!$X$15,ROW(AW140)-ROW(AW$15),0),
              ROUND(ROUND(OFFSET($P140,0,AW$13),15-13*ORÇAMENTO!$AF$7)*OFFSET(ORÇAMENTO!$W$15,ROW(AW140)-ROW(AW$15),0),15-13*ORÇAMENTO!$AF$11)),
         0)</f>
        <v>0</v>
      </c>
      <c r="AX140" s="453">
        <f ca="1">IF(AND($D140="Serviço",AX$12&lt;&gt;0,$H140&gt;0,OR(AUTOEVENTO&lt;&gt;"manual",$M140&lt;&gt;$A$15)),
        IF(Import.TipoArredondamento&lt;&gt;"TransfereGOV",
              ROUND(OFFSET($P140,0,AX$13),15-13*ORÇAMENTO!$AF$7)/$H140*OFFSET(ORÇAMENTO!$X$15,ROW(AX140)-ROW(AX$15),0),
              ROUND(ROUND(OFFSET($P140,0,AX$13),15-13*ORÇAMENTO!$AF$7)*OFFSET(ORÇAMENTO!$W$15,ROW(AX140)-ROW(AX$15),0),15-13*ORÇAMENTO!$AF$11)),
         0)</f>
        <v>0</v>
      </c>
      <c r="AY140" s="453">
        <f ca="1">IF(AND($D140="Serviço",AY$12&lt;&gt;0,$H140&gt;0,OR(AUTOEVENTO&lt;&gt;"manual",$M140&lt;&gt;$A$15)),
        IF(Import.TipoArredondamento&lt;&gt;"TransfereGOV",
              ROUND(OFFSET($P140,0,AY$13),15-13*ORÇAMENTO!$AF$7)/$H140*OFFSET(ORÇAMENTO!$X$15,ROW(AY140)-ROW(AY$15),0),
              ROUND(ROUND(OFFSET($P140,0,AY$13),15-13*ORÇAMENTO!$AF$7)*OFFSET(ORÇAMENTO!$W$15,ROW(AY140)-ROW(AY$15),0),15-13*ORÇAMENTO!$AF$11)),
         0)</f>
        <v>0</v>
      </c>
      <c r="AZ140" s="453">
        <f ca="1">IF(AND($D140="Serviço",AZ$12&lt;&gt;0,$H140&gt;0,OR(AUTOEVENTO&lt;&gt;"manual",$M140&lt;&gt;$A$15)),
        IF(Import.TipoArredondamento&lt;&gt;"TransfereGOV",
              ROUND(OFFSET($P140,0,AZ$13),15-13*ORÇAMENTO!$AF$7)/$H140*OFFSET(ORÇAMENTO!$X$15,ROW(AZ140)-ROW(AZ$15),0),
              ROUND(ROUND(OFFSET($P140,0,AZ$13),15-13*ORÇAMENTO!$AF$7)*OFFSET(ORÇAMENTO!$W$15,ROW(AZ140)-ROW(AZ$15),0),15-13*ORÇAMENTO!$AF$11)),
         0)</f>
        <v>0</v>
      </c>
      <c r="BA140" s="453">
        <f ca="1">IF(AND($D140="Serviço",BA$12&lt;&gt;0,$H140&gt;0,OR(AUTOEVENTO&lt;&gt;"manual",$M140&lt;&gt;$A$15)),
        IF(Import.TipoArredondamento&lt;&gt;"TransfereGOV",
              ROUND(OFFSET($P140,0,BA$13),15-13*ORÇAMENTO!$AF$7)/$H140*OFFSET(ORÇAMENTO!$X$15,ROW(BA140)-ROW(BA$15),0),
              ROUND(ROUND(OFFSET($P140,0,BA$13),15-13*ORÇAMENTO!$AF$7)*OFFSET(ORÇAMENTO!$W$15,ROW(BA140)-ROW(BA$15),0),15-13*ORÇAMENTO!$AF$11)),
         0)</f>
        <v>0</v>
      </c>
      <c r="BC140" s="171">
        <f ca="1">IF(OR($D140&lt;&gt;"Serviço",AND(AUTOEVENTO="Manual",$M140=$A$15)),0,
         IF(OFFSET(CRONOPLE!$F$15,$M140-$A$15,BC$13)=0,10^12,OFFSET(CRONOPLE!$F$15,$M140-$A$15,BC$13)))</f>
        <v>1000000000000</v>
      </c>
      <c r="BD140" s="171">
        <f ca="1">IF(OR($D140&lt;&gt;"Serviço",AND(AUTOEVENTO="Manual",$M140=$A$15)),0,
         IF(OFFSET(CRONOPLE!$F$15,$M140-$A$15,BD$13)=0,10^12,OFFSET(CRONOPLE!$F$15,$M140-$A$15,BD$13)))</f>
        <v>1000000000000</v>
      </c>
      <c r="BE140" s="171">
        <f ca="1">IF(OR($D140&lt;&gt;"Serviço",AND(AUTOEVENTO="Manual",$M140=$A$15)),0,
         IF(OFFSET(CRONOPLE!$F$15,$M140-$A$15,BE$13)=0,10^12,OFFSET(CRONOPLE!$F$15,$M140-$A$15,BE$13)))</f>
        <v>1000000000000</v>
      </c>
      <c r="BF140" s="171">
        <f ca="1">IF(OR($D140&lt;&gt;"Serviço",AND(AUTOEVENTO="Manual",$M140=$A$15)),0,
         IF(OFFSET(CRONOPLE!$F$15,$M140-$A$15,BF$13)=0,10^12,OFFSET(CRONOPLE!$F$15,$M140-$A$15,BF$13)))</f>
        <v>1000000000000</v>
      </c>
      <c r="BG140" s="171">
        <f ca="1">IF(OR($D140&lt;&gt;"Serviço",AND(AUTOEVENTO="Manual",$M140=$A$15)),0,
         IF(OFFSET(CRONOPLE!$F$15,$M140-$A$15,BG$13)=0,10^12,OFFSET(CRONOPLE!$F$15,$M140-$A$15,BG$13)))</f>
        <v>1000000000000</v>
      </c>
      <c r="BH140" s="171">
        <f ca="1">IF(OR($D140&lt;&gt;"Serviço",AND(AUTOEVENTO="Manual",$M140=$A$15)),0,
         IF(OFFSET(CRONOPLE!$F$15,$M140-$A$15,BH$13)=0,10^12,OFFSET(CRONOPLE!$F$15,$M140-$A$15,BH$13)))</f>
        <v>9</v>
      </c>
      <c r="BI140" s="171">
        <f ca="1">IF(OR($D140&lt;&gt;"Serviço",AND(AUTOEVENTO="Manual",$M140=$A$15)),0,
         IF(OFFSET(CRONOPLE!$F$15,$M140-$A$15,BI$13)=0,10^12,OFFSET(CRONOPLE!$F$15,$M140-$A$15,BI$13)))</f>
        <v>1000000000000</v>
      </c>
      <c r="BJ140" s="171">
        <f ca="1">IF(OR($D140&lt;&gt;"Serviço",AND(AUTOEVENTO="Manual",$M140=$A$15)),0,
         IF(OFFSET(CRONOPLE!$F$15,$M140-$A$15,BJ$13)=0,10^12,OFFSET(CRONOPLE!$F$15,$M140-$A$15,BJ$13)))</f>
        <v>1000000000000</v>
      </c>
      <c r="BK140" s="171">
        <f ca="1">IF(OR($D140&lt;&gt;"Serviço",AND(AUTOEVENTO="Manual",$M140=$A$15)),0,
         IF(OFFSET(CRONOPLE!$F$15,$M140-$A$15,BK$13)=0,10^12,OFFSET(CRONOPLE!$F$15,$M140-$A$15,BK$13)))</f>
        <v>1000000000000</v>
      </c>
      <c r="BL140" s="171">
        <f ca="1">IF(OR($D140&lt;&gt;"Serviço",AND(AUTOEVENTO="Manual",$M140=$A$15)),0,
         IF(OFFSET(CRONOPLE!$F$15,$M140-$A$15,BL$13)=0,10^12,OFFSET(CRONOPLE!$F$15,$M140-$A$15,BL$13)))</f>
        <v>1000000000000</v>
      </c>
      <c r="BM140" s="171">
        <f ca="1">IF(OR($D140&lt;&gt;"Serviço",AND(AUTOEVENTO="Manual",$M140=$A$15)),0,
         IF(OFFSET(CRONOPLE!$F$15,$M140-$A$15,BM$13)=0,10^12,OFFSET(CRONOPLE!$F$15,$M140-$A$15,BM$13)))</f>
        <v>1000000000000</v>
      </c>
      <c r="BN140" s="171">
        <f ca="1">IF(OR($D140&lt;&gt;"Serviço",AND(AUTOEVENTO="Manual",$M140=$A$15)),0,
         IF(OFFSET(CRONOPLE!$F$15,$M140-$A$15,BN$13)=0,10^12,OFFSET(CRONOPLE!$F$15,$M140-$A$15,BN$13)))</f>
        <v>1000000000000</v>
      </c>
      <c r="BO140" s="171">
        <f ca="1">IF(OR($D140&lt;&gt;"Serviço",AND(AUTOEVENTO="Manual",$M140=$A$15)),0,
         IF(OFFSET(CRONOPLE!$F$15,$M140-$A$15,BO$13)=0,10^12,OFFSET(CRONOPLE!$F$15,$M140-$A$15,BO$13)))</f>
        <v>1000000000000</v>
      </c>
      <c r="BP140" s="171">
        <f ca="1">IF(OR($D140&lt;&gt;"Serviço",AND(AUTOEVENTO="Manual",$M140=$A$15)),0,
         IF(OFFSET(CRONOPLE!$F$15,$M140-$A$15,BP$13)=0,10^12,OFFSET(CRONOPLE!$F$15,$M140-$A$15,BP$13)))</f>
        <v>1000000000000</v>
      </c>
      <c r="BQ140" s="171">
        <f ca="1">IF(OR($D140&lt;&gt;"Serviço",AND(AUTOEVENTO="Manual",$M140=$A$15)),0,
         IF(OFFSET(CRONOPLE!$F$15,$M140-$A$15,BQ$13)=0,10^12,OFFSET(CRONOPLE!$F$15,$M140-$A$15,BQ$13)))</f>
        <v>1000000000000</v>
      </c>
      <c r="BR140" s="171">
        <f ca="1">IF(OR($D140&lt;&gt;"Serviço",AND(AUTOEVENTO="Manual",$M140=$A$15)),0,
         IF(OFFSET(CRONOPLE!$F$15,$M140-$A$15,BR$13)=0,10^12,OFFSET(CRONOPLE!$F$15,$M140-$A$15,BR$13)))</f>
        <v>1000000000000</v>
      </c>
      <c r="BS140" s="171">
        <f ca="1">IF(OR($D140&lt;&gt;"Serviço",AND(AUTOEVENTO="Manual",$M140=$A$15)),0,
         IF(OFFSET(CRONOPLE!$F$15,$M140-$A$15,BS$13)=0,10^12,OFFSET(CRONOPLE!$F$15,$M140-$A$15,BS$13)))</f>
        <v>1000000000000</v>
      </c>
      <c r="BT140" s="171">
        <f ca="1">IF(OR($D140&lt;&gt;"Serviço",AND(AUTOEVENTO="Manual",$M140=$A$15)),0,
         IF(OFFSET(CRONOPLE!$F$15,$M140-$A$15,BT$13)=0,10^12,OFFSET(CRONOPLE!$F$15,$M140-$A$15,BT$13)))</f>
        <v>1000000000000</v>
      </c>
      <c r="BV140" s="172" cm="1">
        <f t="array" aca="1" ref="BV140" ca="1">IF(OR($D140&lt;&gt;"Serviço",AND(AUTOEVENTO="Manual",$M140=$A$15),$M140&gt;(ROW(PLE.lastrow)-ROW(PLE.firstrow))),0,
           IF(OFFSET(PLE!$G$15,$M140-$A$15,BV$13)="",10^12,OFFSET(PLE!$G$15,$M140-$A$15,BV$13)))</f>
        <v>1000000000000</v>
      </c>
      <c r="BW140" s="172" cm="1">
        <f t="array" aca="1" ref="BW140" ca="1">IF(OR($D140&lt;&gt;"Serviço",AND(AUTOEVENTO="Manual",$M140=$A$15),$M140&gt;(ROW(PLE.lastrow)-ROW(PLE.firstrow))),0,
           IF(OFFSET(PLE!$G$15,$M140-$A$15,BW$13)="",10^12,OFFSET(PLE!$G$15,$M140-$A$15,BW$13)))</f>
        <v>1000000000000</v>
      </c>
      <c r="BX140" s="172" cm="1">
        <f t="array" aca="1" ref="BX140" ca="1">IF(OR($D140&lt;&gt;"Serviço",AND(AUTOEVENTO="Manual",$M140=$A$15),$M140&gt;(ROW(PLE.lastrow)-ROW(PLE.firstrow))),0,
           IF(OFFSET(PLE!$G$15,$M140-$A$15,BX$13)="",10^12,OFFSET(PLE!$G$15,$M140-$A$15,BX$13)))</f>
        <v>1000000000000</v>
      </c>
      <c r="BY140" s="172" cm="1">
        <f t="array" aca="1" ref="BY140" ca="1">IF(OR($D140&lt;&gt;"Serviço",AND(AUTOEVENTO="Manual",$M140=$A$15),$M140&gt;(ROW(PLE.lastrow)-ROW(PLE.firstrow))),0,
           IF(OFFSET(PLE!$G$15,$M140-$A$15,BY$13)="",10^12,OFFSET(PLE!$G$15,$M140-$A$15,BY$13)))</f>
        <v>1000000000000</v>
      </c>
      <c r="BZ140" s="172" cm="1">
        <f t="array" aca="1" ref="BZ140" ca="1">IF(OR($D140&lt;&gt;"Serviço",AND(AUTOEVENTO="Manual",$M140=$A$15),$M140&gt;(ROW(PLE.lastrow)-ROW(PLE.firstrow))),0,
           IF(OFFSET(PLE!$G$15,$M140-$A$15,BZ$13)="",10^12,OFFSET(PLE!$G$15,$M140-$A$15,BZ$13)))</f>
        <v>1000000000000</v>
      </c>
      <c r="CA140" s="172" cm="1">
        <f t="array" aca="1" ref="CA140" ca="1">IF(OR($D140&lt;&gt;"Serviço",AND(AUTOEVENTO="Manual",$M140=$A$15),$M140&gt;(ROW(PLE.lastrow)-ROW(PLE.firstrow))),0,
           IF(OFFSET(PLE!$G$15,$M140-$A$15,CA$13)="",10^12,OFFSET(PLE!$G$15,$M140-$A$15,CA$13)))</f>
        <v>1000000000000</v>
      </c>
      <c r="CB140" s="172" cm="1">
        <f t="array" aca="1" ref="CB140" ca="1">IF(OR($D140&lt;&gt;"Serviço",AND(AUTOEVENTO="Manual",$M140=$A$15),$M140&gt;(ROW(PLE.lastrow)-ROW(PLE.firstrow))),0,
           IF(OFFSET(PLE!$G$15,$M140-$A$15,CB$13)="",10^12,OFFSET(PLE!$G$15,$M140-$A$15,CB$13)))</f>
        <v>1000000000000</v>
      </c>
      <c r="CC140" s="172" cm="1">
        <f t="array" aca="1" ref="CC140" ca="1">IF(OR($D140&lt;&gt;"Serviço",AND(AUTOEVENTO="Manual",$M140=$A$15),$M140&gt;(ROW(PLE.lastrow)-ROW(PLE.firstrow))),0,
           IF(OFFSET(PLE!$G$15,$M140-$A$15,CC$13)="",10^12,OFFSET(PLE!$G$15,$M140-$A$15,CC$13)))</f>
        <v>1000000000000</v>
      </c>
      <c r="CD140" s="172" cm="1">
        <f t="array" aca="1" ref="CD140" ca="1">IF(OR($D140&lt;&gt;"Serviço",AND(AUTOEVENTO="Manual",$M140=$A$15),$M140&gt;(ROW(PLE.lastrow)-ROW(PLE.firstrow))),0,
           IF(OFFSET(PLE!$G$15,$M140-$A$15,CD$13)="",10^12,OFFSET(PLE!$G$15,$M140-$A$15,CD$13)))</f>
        <v>1000000000000</v>
      </c>
      <c r="CE140" s="172" cm="1">
        <f t="array" aca="1" ref="CE140" ca="1">IF(OR($D140&lt;&gt;"Serviço",AND(AUTOEVENTO="Manual",$M140=$A$15),$M140&gt;(ROW(PLE.lastrow)-ROW(PLE.firstrow))),0,
           IF(OFFSET(PLE!$G$15,$M140-$A$15,CE$13)="",10^12,OFFSET(PLE!$G$15,$M140-$A$15,CE$13)))</f>
        <v>1000000000000</v>
      </c>
      <c r="CF140" s="172" cm="1">
        <f t="array" aca="1" ref="CF140" ca="1">IF(OR($D140&lt;&gt;"Serviço",AND(AUTOEVENTO="Manual",$M140=$A$15),$M140&gt;(ROW(PLE.lastrow)-ROW(PLE.firstrow))),0,
           IF(OFFSET(PLE!$G$15,$M140-$A$15,CF$13)="",10^12,OFFSET(PLE!$G$15,$M140-$A$15,CF$13)))</f>
        <v>1000000000000</v>
      </c>
      <c r="CG140" s="172" cm="1">
        <f t="array" aca="1" ref="CG140" ca="1">IF(OR($D140&lt;&gt;"Serviço",AND(AUTOEVENTO="Manual",$M140=$A$15),$M140&gt;(ROW(PLE.lastrow)-ROW(PLE.firstrow))),0,
           IF(OFFSET(PLE!$G$15,$M140-$A$15,CG$13)="",10^12,OFFSET(PLE!$G$15,$M140-$A$15,CG$13)))</f>
        <v>1000000000000</v>
      </c>
      <c r="CH140" s="172" cm="1">
        <f t="array" aca="1" ref="CH140" ca="1">IF(OR($D140&lt;&gt;"Serviço",AND(AUTOEVENTO="Manual",$M140=$A$15),$M140&gt;(ROW(PLE.lastrow)-ROW(PLE.firstrow))),0,
           IF(OFFSET(PLE!$G$15,$M140-$A$15,CH$13)="",10^12,OFFSET(PLE!$G$15,$M140-$A$15,CH$13)))</f>
        <v>1000000000000</v>
      </c>
      <c r="CI140" s="172" cm="1">
        <f t="array" aca="1" ref="CI140" ca="1">IF(OR($D140&lt;&gt;"Serviço",AND(AUTOEVENTO="Manual",$M140=$A$15),$M140&gt;(ROW(PLE.lastrow)-ROW(PLE.firstrow))),0,
           IF(OFFSET(PLE!$G$15,$M140-$A$15,CI$13)="",10^12,OFFSET(PLE!$G$15,$M140-$A$15,CI$13)))</f>
        <v>1000000000000</v>
      </c>
      <c r="CJ140" s="172" cm="1">
        <f t="array" aca="1" ref="CJ140" ca="1">IF(OR($D140&lt;&gt;"Serviço",AND(AUTOEVENTO="Manual",$M140=$A$15),$M140&gt;(ROW(PLE.lastrow)-ROW(PLE.firstrow))),0,
           IF(OFFSET(PLE!$G$15,$M140-$A$15,CJ$13)="",10^12,OFFSET(PLE!$G$15,$M140-$A$15,CJ$13)))</f>
        <v>1000000000000</v>
      </c>
      <c r="CK140" s="172" cm="1">
        <f t="array" aca="1" ref="CK140" ca="1">IF(OR($D140&lt;&gt;"Serviço",AND(AUTOEVENTO="Manual",$M140=$A$15),$M140&gt;(ROW(PLE.lastrow)-ROW(PLE.firstrow))),0,
           IF(OFFSET(PLE!$G$15,$M140-$A$15,CK$13)="",10^12,OFFSET(PLE!$G$15,$M140-$A$15,CK$13)))</f>
        <v>1000000000000</v>
      </c>
      <c r="CL140" s="172" cm="1">
        <f t="array" aca="1" ref="CL140" ca="1">IF(OR($D140&lt;&gt;"Serviço",AND(AUTOEVENTO="Manual",$M140=$A$15),$M140&gt;(ROW(PLE.lastrow)-ROW(PLE.firstrow))),0,
           IF(OFFSET(PLE!$G$15,$M140-$A$15,CL$13)="",10^12,OFFSET(PLE!$G$15,$M140-$A$15,CL$13)))</f>
        <v>1000000000000</v>
      </c>
      <c r="CM140" s="172" cm="1">
        <f t="array" aca="1" ref="CM140" ca="1">IF(OR($D140&lt;&gt;"Serviço",AND(AUTOEVENTO="Manual",$M140=$A$15),$M140&gt;(ROW(PLE.lastrow)-ROW(PLE.firstrow))),0,
           IF(OFFSET(PLE!$G$15,$M140-$A$15,CM$13)="",10^12,OFFSET(PLE!$G$15,$M140-$A$15,CM$13)))</f>
        <v>1000000000000</v>
      </c>
    </row>
    <row r="141" spans="1:91" s="670" customFormat="1" ht="12.75" x14ac:dyDescent="0.2">
      <c r="A141" s="668">
        <f t="shared" ref="A141:A189" ca="1" si="14">IFERROR(IF(AUTOEVENTO="Manual",IF(K141&lt;&gt;"",MIN(VALUE(LEFT(K141,FIND(".",K141)-1)),COUNTA(EVENTOS.Lista)),0),IF(OR($B141&gt;AUTOEVENTO,$B141="S",$B141=0),SUBSTITUTE(OFFSET($A141,-1,0),IF($D141="Serviço",".",""),""),$L141&amp;".")),0)</f>
        <v>0</v>
      </c>
      <c r="B141" s="668">
        <f ca="1">OFFSET(ORÇAMENTO!C$15,$L141,0)</f>
        <v>2</v>
      </c>
      <c r="C141" s="668" t="str">
        <f ca="1">OFFSET(ORÇAMENTO!L$15,$L141,0)</f>
        <v>F</v>
      </c>
      <c r="D141" s="116" t="str">
        <f ca="1">OFFSET(ORÇAMENTO!N$15,$L141,0)</f>
        <v>Nível 2</v>
      </c>
      <c r="E141" s="117" t="str">
        <f ca="1">OFFSET(ORÇAMENTO!O$15,$L141,0)</f>
        <v>1.18.</v>
      </c>
      <c r="F141" s="163" t="str">
        <f ca="1">OFFSET(ORÇAMENTO!R$15,$L141,0)</f>
        <v>ESQUADRIAS - Estação Elevatória de Água Tratada</v>
      </c>
      <c r="G141" s="164" t="str">
        <f ca="1">IF($D141&lt;&gt;"Serviço","",OFFSET(ORÇAMENTO!S$15,$L141,0))</f>
        <v/>
      </c>
      <c r="H141" s="122" cm="1">
        <f t="array" aca="1" ref="H141" ca="1">IF($D141&lt;&gt;"Serviço",0,IF(ACOMPANHAMENTO="BM",ROUND(OFFSET(ORÇAMENTO!AJ$15,$L141,0),15-13*ORÇAMENTO!$AF$7),IF(IFERROR(CÁLCULO.FrentesPreenchidas,0)=0,0,SUM(ROUND(OFFSET($P141,0,1,1,CÁLCULO.FrentesPreenchidas),15-13*ORÇAMENTO!$AF$7)))))</f>
        <v>0</v>
      </c>
      <c r="I141" s="468"/>
      <c r="J141" s="651" t="str" cm="1">
        <f t="array" aca="1" ref="J141" ca="1">IF(OR(B141&lt;&gt;"S",CÁLCULO.FrentesPreenchidas=0),"",IF(AND(ACOMPANHAMENTO="PLE",AUTOEVENTO="Manual",OR(H141&gt;0,ORÇAMENTO!AC141="QUANT."),OR(K141="",M141=0,N141="")),"►E",IF(AND(ACOMPANHAMENTO="PLE",ORÇAMENTO!AC141="QUANT."),"►Q",IF(AND(ACOMPANHAMENTO="PLE",H141&lt;&gt;SUMPRODUCT(($Q$1:$AI$1=1)*ROUND(Q141:AI141,15))),"►S",IF(AND(COUNTIF($P$11:$AI$11,"▼")=0,H141&gt;0,I141=""),"◄M","")))))</f>
        <v/>
      </c>
      <c r="K141" s="652"/>
      <c r="L141" s="165">
        <f t="shared" ref="L141:L189" ca="1" si="15">OFFSET(L141,-1,0)+1</f>
        <v>126</v>
      </c>
      <c r="M141" s="166" t="str">
        <f ca="1">IF($D141&lt;&gt;"Serviço","",
          IF(AUTOEVENTO="manual",$A141,
                IF(ISERROR(MATCH($A141,$A$15:OFFSET($A141,-1,0),0)),MAX($M$15:OFFSET(M141,-1,0))+1,
                      INDEX($M$15:OFFSET(M141,-1,0),MATCH($A141,$A$15:OFFSET($A141,-1,0),0)))))</f>
        <v/>
      </c>
      <c r="N141" s="167" t="str">
        <f ca="1">IF($D141&lt;&gt;"Serviço","",
         IF(AUTOEVENTO="Manual",
                IF($A141=0,"&lt;-- defina o número do agrupador",
                       OFFSET(EVENTOS!$D$15,$A141-$A$15,0)),
                OFFSET($F$15,$A141,0)))</f>
        <v/>
      </c>
      <c r="O141" s="168"/>
      <c r="Q141" s="168"/>
      <c r="R141" s="169"/>
      <c r="S141" s="169"/>
      <c r="T141" s="169"/>
      <c r="U141" s="169"/>
      <c r="V141" s="169" t="s">
        <v>250</v>
      </c>
      <c r="W141" s="169"/>
      <c r="X141" s="169"/>
      <c r="Y141" s="169"/>
      <c r="Z141" s="170"/>
      <c r="AA141" s="705"/>
      <c r="AB141" s="705"/>
      <c r="AC141" s="705"/>
      <c r="AD141" s="705"/>
      <c r="AE141" s="705"/>
      <c r="AF141" s="705"/>
      <c r="AG141" s="705"/>
      <c r="AH141" s="706"/>
      <c r="AJ141" s="453">
        <f ca="1">IF(AND($D141="Serviço",AJ$12&lt;&gt;0,$H141&gt;0,OR(AUTOEVENTO&lt;&gt;"manual",$M141&lt;&gt;$A$15)),
        IF(Import.TipoArredondamento&lt;&gt;"TransfereGOV",
              ROUND(OFFSET($P141,0,AJ$13),15-13*ORÇAMENTO!$AF$7)/$H141*OFFSET(ORÇAMENTO!$X$15,ROW(AJ141)-ROW(AJ$15),0),
              ROUND(ROUND(OFFSET($P141,0,AJ$13),15-13*ORÇAMENTO!$AF$7)*OFFSET(ORÇAMENTO!$W$15,ROW(AJ141)-ROW(AJ$15),0),15-13*ORÇAMENTO!$AF$11)),
         0)</f>
        <v>0</v>
      </c>
      <c r="AK141" s="453">
        <f ca="1">IF(AND($D141="Serviço",AK$12&lt;&gt;0,$H141&gt;0,OR(AUTOEVENTO&lt;&gt;"manual",$M141&lt;&gt;$A$15)),
        IF(Import.TipoArredondamento&lt;&gt;"TransfereGOV",
              ROUND(OFFSET($P141,0,AK$13),15-13*ORÇAMENTO!$AF$7)/$H141*OFFSET(ORÇAMENTO!$X$15,ROW(AK141)-ROW(AK$15),0),
              ROUND(ROUND(OFFSET($P141,0,AK$13),15-13*ORÇAMENTO!$AF$7)*OFFSET(ORÇAMENTO!$W$15,ROW(AK141)-ROW(AK$15),0),15-13*ORÇAMENTO!$AF$11)),
         0)</f>
        <v>0</v>
      </c>
      <c r="AL141" s="453">
        <f ca="1">IF(AND($D141="Serviço",AL$12&lt;&gt;0,$H141&gt;0,OR(AUTOEVENTO&lt;&gt;"manual",$M141&lt;&gt;$A$15)),
        IF(Import.TipoArredondamento&lt;&gt;"TransfereGOV",
              ROUND(OFFSET($P141,0,AL$13),15-13*ORÇAMENTO!$AF$7)/$H141*OFFSET(ORÇAMENTO!$X$15,ROW(AL141)-ROW(AL$15),0),
              ROUND(ROUND(OFFSET($P141,0,AL$13),15-13*ORÇAMENTO!$AF$7)*OFFSET(ORÇAMENTO!$W$15,ROW(AL141)-ROW(AL$15),0),15-13*ORÇAMENTO!$AF$11)),
         0)</f>
        <v>0</v>
      </c>
      <c r="AM141" s="453">
        <f ca="1">IF(AND($D141="Serviço",AM$12&lt;&gt;0,$H141&gt;0,OR(AUTOEVENTO&lt;&gt;"manual",$M141&lt;&gt;$A$15)),
        IF(Import.TipoArredondamento&lt;&gt;"TransfereGOV",
              ROUND(OFFSET($P141,0,AM$13),15-13*ORÇAMENTO!$AF$7)/$H141*OFFSET(ORÇAMENTO!$X$15,ROW(AM141)-ROW(AM$15),0),
              ROUND(ROUND(OFFSET($P141,0,AM$13),15-13*ORÇAMENTO!$AF$7)*OFFSET(ORÇAMENTO!$W$15,ROW(AM141)-ROW(AM$15),0),15-13*ORÇAMENTO!$AF$11)),
         0)</f>
        <v>0</v>
      </c>
      <c r="AN141" s="453">
        <f ca="1">IF(AND($D141="Serviço",AN$12&lt;&gt;0,$H141&gt;0,OR(AUTOEVENTO&lt;&gt;"manual",$M141&lt;&gt;$A$15)),
        IF(Import.TipoArredondamento&lt;&gt;"TransfereGOV",
              ROUND(OFFSET($P141,0,AN$13),15-13*ORÇAMENTO!$AF$7)/$H141*OFFSET(ORÇAMENTO!$X$15,ROW(AN141)-ROW(AN$15),0),
              ROUND(ROUND(OFFSET($P141,0,AN$13),15-13*ORÇAMENTO!$AF$7)*OFFSET(ORÇAMENTO!$W$15,ROW(AN141)-ROW(AN$15),0),15-13*ORÇAMENTO!$AF$11)),
         0)</f>
        <v>0</v>
      </c>
      <c r="AO141" s="453">
        <f ca="1">IF(AND($D141="Serviço",AO$12&lt;&gt;0,$H141&gt;0,OR(AUTOEVENTO&lt;&gt;"manual",$M141&lt;&gt;$A$15)),
        IF(Import.TipoArredondamento&lt;&gt;"TransfereGOV",
              ROUND(OFFSET($P141,0,AO$13),15-13*ORÇAMENTO!$AF$7)/$H141*OFFSET(ORÇAMENTO!$X$15,ROW(AO141)-ROW(AO$15),0),
              ROUND(ROUND(OFFSET($P141,0,AO$13),15-13*ORÇAMENTO!$AF$7)*OFFSET(ORÇAMENTO!$W$15,ROW(AO141)-ROW(AO$15),0),15-13*ORÇAMENTO!$AF$11)),
         0)</f>
        <v>0</v>
      </c>
      <c r="AP141" s="453">
        <f ca="1">IF(AND($D141="Serviço",AP$12&lt;&gt;0,$H141&gt;0,OR(AUTOEVENTO&lt;&gt;"manual",$M141&lt;&gt;$A$15)),
        IF(Import.TipoArredondamento&lt;&gt;"TransfereGOV",
              ROUND(OFFSET($P141,0,AP$13),15-13*ORÇAMENTO!$AF$7)/$H141*OFFSET(ORÇAMENTO!$X$15,ROW(AP141)-ROW(AP$15),0),
              ROUND(ROUND(OFFSET($P141,0,AP$13),15-13*ORÇAMENTO!$AF$7)*OFFSET(ORÇAMENTO!$W$15,ROW(AP141)-ROW(AP$15),0),15-13*ORÇAMENTO!$AF$11)),
         0)</f>
        <v>0</v>
      </c>
      <c r="AQ141" s="453">
        <f ca="1">IF(AND($D141="Serviço",AQ$12&lt;&gt;0,$H141&gt;0,OR(AUTOEVENTO&lt;&gt;"manual",$M141&lt;&gt;$A$15)),
        IF(Import.TipoArredondamento&lt;&gt;"TransfereGOV",
              ROUND(OFFSET($P141,0,AQ$13),15-13*ORÇAMENTO!$AF$7)/$H141*OFFSET(ORÇAMENTO!$X$15,ROW(AQ141)-ROW(AQ$15),0),
              ROUND(ROUND(OFFSET($P141,0,AQ$13),15-13*ORÇAMENTO!$AF$7)*OFFSET(ORÇAMENTO!$W$15,ROW(AQ141)-ROW(AQ$15),0),15-13*ORÇAMENTO!$AF$11)),
         0)</f>
        <v>0</v>
      </c>
      <c r="AR141" s="453">
        <f ca="1">IF(AND($D141="Serviço",AR$12&lt;&gt;0,$H141&gt;0,OR(AUTOEVENTO&lt;&gt;"manual",$M141&lt;&gt;$A$15)),
        IF(Import.TipoArredondamento&lt;&gt;"TransfereGOV",
              ROUND(OFFSET($P141,0,AR$13),15-13*ORÇAMENTO!$AF$7)/$H141*OFFSET(ORÇAMENTO!$X$15,ROW(AR141)-ROW(AR$15),0),
              ROUND(ROUND(OFFSET($P141,0,AR$13),15-13*ORÇAMENTO!$AF$7)*OFFSET(ORÇAMENTO!$W$15,ROW(AR141)-ROW(AR$15),0),15-13*ORÇAMENTO!$AF$11)),
         0)</f>
        <v>0</v>
      </c>
      <c r="AS141" s="453">
        <f ca="1">IF(AND($D141="Serviço",AS$12&lt;&gt;0,$H141&gt;0,OR(AUTOEVENTO&lt;&gt;"manual",$M141&lt;&gt;$A$15)),
        IF(Import.TipoArredondamento&lt;&gt;"TransfereGOV",
              ROUND(OFFSET($P141,0,AS$13),15-13*ORÇAMENTO!$AF$7)/$H141*OFFSET(ORÇAMENTO!$X$15,ROW(AS141)-ROW(AS$15),0),
              ROUND(ROUND(OFFSET($P141,0,AS$13),15-13*ORÇAMENTO!$AF$7)*OFFSET(ORÇAMENTO!$W$15,ROW(AS141)-ROW(AS$15),0),15-13*ORÇAMENTO!$AF$11)),
         0)</f>
        <v>0</v>
      </c>
      <c r="AT141" s="453">
        <f ca="1">IF(AND($D141="Serviço",AT$12&lt;&gt;0,$H141&gt;0,OR(AUTOEVENTO&lt;&gt;"manual",$M141&lt;&gt;$A$15)),
        IF(Import.TipoArredondamento&lt;&gt;"TransfereGOV",
              ROUND(OFFSET($P141,0,AT$13),15-13*ORÇAMENTO!$AF$7)/$H141*OFFSET(ORÇAMENTO!$X$15,ROW(AT141)-ROW(AT$15),0),
              ROUND(ROUND(OFFSET($P141,0,AT$13),15-13*ORÇAMENTO!$AF$7)*OFFSET(ORÇAMENTO!$W$15,ROW(AT141)-ROW(AT$15),0),15-13*ORÇAMENTO!$AF$11)),
         0)</f>
        <v>0</v>
      </c>
      <c r="AU141" s="453">
        <f ca="1">IF(AND($D141="Serviço",AU$12&lt;&gt;0,$H141&gt;0,OR(AUTOEVENTO&lt;&gt;"manual",$M141&lt;&gt;$A$15)),
        IF(Import.TipoArredondamento&lt;&gt;"TransfereGOV",
              ROUND(OFFSET($P141,0,AU$13),15-13*ORÇAMENTO!$AF$7)/$H141*OFFSET(ORÇAMENTO!$X$15,ROW(AU141)-ROW(AU$15),0),
              ROUND(ROUND(OFFSET($P141,0,AU$13),15-13*ORÇAMENTO!$AF$7)*OFFSET(ORÇAMENTO!$W$15,ROW(AU141)-ROW(AU$15),0),15-13*ORÇAMENTO!$AF$11)),
         0)</f>
        <v>0</v>
      </c>
      <c r="AV141" s="453">
        <f ca="1">IF(AND($D141="Serviço",AV$12&lt;&gt;0,$H141&gt;0,OR(AUTOEVENTO&lt;&gt;"manual",$M141&lt;&gt;$A$15)),
        IF(Import.TipoArredondamento&lt;&gt;"TransfereGOV",
              ROUND(OFFSET($P141,0,AV$13),15-13*ORÇAMENTO!$AF$7)/$H141*OFFSET(ORÇAMENTO!$X$15,ROW(AV141)-ROW(AV$15),0),
              ROUND(ROUND(OFFSET($P141,0,AV$13),15-13*ORÇAMENTO!$AF$7)*OFFSET(ORÇAMENTO!$W$15,ROW(AV141)-ROW(AV$15),0),15-13*ORÇAMENTO!$AF$11)),
         0)</f>
        <v>0</v>
      </c>
      <c r="AW141" s="453">
        <f ca="1">IF(AND($D141="Serviço",AW$12&lt;&gt;0,$H141&gt;0,OR(AUTOEVENTO&lt;&gt;"manual",$M141&lt;&gt;$A$15)),
        IF(Import.TipoArredondamento&lt;&gt;"TransfereGOV",
              ROUND(OFFSET($P141,0,AW$13),15-13*ORÇAMENTO!$AF$7)/$H141*OFFSET(ORÇAMENTO!$X$15,ROW(AW141)-ROW(AW$15),0),
              ROUND(ROUND(OFFSET($P141,0,AW$13),15-13*ORÇAMENTO!$AF$7)*OFFSET(ORÇAMENTO!$W$15,ROW(AW141)-ROW(AW$15),0),15-13*ORÇAMENTO!$AF$11)),
         0)</f>
        <v>0</v>
      </c>
      <c r="AX141" s="453">
        <f ca="1">IF(AND($D141="Serviço",AX$12&lt;&gt;0,$H141&gt;0,OR(AUTOEVENTO&lt;&gt;"manual",$M141&lt;&gt;$A$15)),
        IF(Import.TipoArredondamento&lt;&gt;"TransfereGOV",
              ROUND(OFFSET($P141,0,AX$13),15-13*ORÇAMENTO!$AF$7)/$H141*OFFSET(ORÇAMENTO!$X$15,ROW(AX141)-ROW(AX$15),0),
              ROUND(ROUND(OFFSET($P141,0,AX$13),15-13*ORÇAMENTO!$AF$7)*OFFSET(ORÇAMENTO!$W$15,ROW(AX141)-ROW(AX$15),0),15-13*ORÇAMENTO!$AF$11)),
         0)</f>
        <v>0</v>
      </c>
      <c r="AY141" s="453">
        <f ca="1">IF(AND($D141="Serviço",AY$12&lt;&gt;0,$H141&gt;0,OR(AUTOEVENTO&lt;&gt;"manual",$M141&lt;&gt;$A$15)),
        IF(Import.TipoArredondamento&lt;&gt;"TransfereGOV",
              ROUND(OFFSET($P141,0,AY$13),15-13*ORÇAMENTO!$AF$7)/$H141*OFFSET(ORÇAMENTO!$X$15,ROW(AY141)-ROW(AY$15),0),
              ROUND(ROUND(OFFSET($P141,0,AY$13),15-13*ORÇAMENTO!$AF$7)*OFFSET(ORÇAMENTO!$W$15,ROW(AY141)-ROW(AY$15),0),15-13*ORÇAMENTO!$AF$11)),
         0)</f>
        <v>0</v>
      </c>
      <c r="AZ141" s="453">
        <f ca="1">IF(AND($D141="Serviço",AZ$12&lt;&gt;0,$H141&gt;0,OR(AUTOEVENTO&lt;&gt;"manual",$M141&lt;&gt;$A$15)),
        IF(Import.TipoArredondamento&lt;&gt;"TransfereGOV",
              ROUND(OFFSET($P141,0,AZ$13),15-13*ORÇAMENTO!$AF$7)/$H141*OFFSET(ORÇAMENTO!$X$15,ROW(AZ141)-ROW(AZ$15),0),
              ROUND(ROUND(OFFSET($P141,0,AZ$13),15-13*ORÇAMENTO!$AF$7)*OFFSET(ORÇAMENTO!$W$15,ROW(AZ141)-ROW(AZ$15),0),15-13*ORÇAMENTO!$AF$11)),
         0)</f>
        <v>0</v>
      </c>
      <c r="BA141" s="453">
        <f ca="1">IF(AND($D141="Serviço",BA$12&lt;&gt;0,$H141&gt;0,OR(AUTOEVENTO&lt;&gt;"manual",$M141&lt;&gt;$A$15)),
        IF(Import.TipoArredondamento&lt;&gt;"TransfereGOV",
              ROUND(OFFSET($P141,0,BA$13),15-13*ORÇAMENTO!$AF$7)/$H141*OFFSET(ORÇAMENTO!$X$15,ROW(BA141)-ROW(BA$15),0),
              ROUND(ROUND(OFFSET($P141,0,BA$13),15-13*ORÇAMENTO!$AF$7)*OFFSET(ORÇAMENTO!$W$15,ROW(BA141)-ROW(BA$15),0),15-13*ORÇAMENTO!$AF$11)),
         0)</f>
        <v>0</v>
      </c>
      <c r="BC141" s="171">
        <f ca="1">IF(OR($D141&lt;&gt;"Serviço",AND(AUTOEVENTO="Manual",$M141=$A$15)),0,
         IF(OFFSET(CRONOPLE!$F$15,$M141-$A$15,BC$13)=0,10^12,OFFSET(CRONOPLE!$F$15,$M141-$A$15,BC$13)))</f>
        <v>0</v>
      </c>
      <c r="BD141" s="171">
        <f ca="1">IF(OR($D141&lt;&gt;"Serviço",AND(AUTOEVENTO="Manual",$M141=$A$15)),0,
         IF(OFFSET(CRONOPLE!$F$15,$M141-$A$15,BD$13)=0,10^12,OFFSET(CRONOPLE!$F$15,$M141-$A$15,BD$13)))</f>
        <v>0</v>
      </c>
      <c r="BE141" s="171">
        <f ca="1">IF(OR($D141&lt;&gt;"Serviço",AND(AUTOEVENTO="Manual",$M141=$A$15)),0,
         IF(OFFSET(CRONOPLE!$F$15,$M141-$A$15,BE$13)=0,10^12,OFFSET(CRONOPLE!$F$15,$M141-$A$15,BE$13)))</f>
        <v>0</v>
      </c>
      <c r="BF141" s="171">
        <f ca="1">IF(OR($D141&lt;&gt;"Serviço",AND(AUTOEVENTO="Manual",$M141=$A$15)),0,
         IF(OFFSET(CRONOPLE!$F$15,$M141-$A$15,BF$13)=0,10^12,OFFSET(CRONOPLE!$F$15,$M141-$A$15,BF$13)))</f>
        <v>0</v>
      </c>
      <c r="BG141" s="171">
        <f ca="1">IF(OR($D141&lt;&gt;"Serviço",AND(AUTOEVENTO="Manual",$M141=$A$15)),0,
         IF(OFFSET(CRONOPLE!$F$15,$M141-$A$15,BG$13)=0,10^12,OFFSET(CRONOPLE!$F$15,$M141-$A$15,BG$13)))</f>
        <v>0</v>
      </c>
      <c r="BH141" s="171">
        <f ca="1">IF(OR($D141&lt;&gt;"Serviço",AND(AUTOEVENTO="Manual",$M141=$A$15)),0,
         IF(OFFSET(CRONOPLE!$F$15,$M141-$A$15,BH$13)=0,10^12,OFFSET(CRONOPLE!$F$15,$M141-$A$15,BH$13)))</f>
        <v>0</v>
      </c>
      <c r="BI141" s="171">
        <f ca="1">IF(OR($D141&lt;&gt;"Serviço",AND(AUTOEVENTO="Manual",$M141=$A$15)),0,
         IF(OFFSET(CRONOPLE!$F$15,$M141-$A$15,BI$13)=0,10^12,OFFSET(CRONOPLE!$F$15,$M141-$A$15,BI$13)))</f>
        <v>0</v>
      </c>
      <c r="BJ141" s="171">
        <f ca="1">IF(OR($D141&lt;&gt;"Serviço",AND(AUTOEVENTO="Manual",$M141=$A$15)),0,
         IF(OFFSET(CRONOPLE!$F$15,$M141-$A$15,BJ$13)=0,10^12,OFFSET(CRONOPLE!$F$15,$M141-$A$15,BJ$13)))</f>
        <v>0</v>
      </c>
      <c r="BK141" s="171">
        <f ca="1">IF(OR($D141&lt;&gt;"Serviço",AND(AUTOEVENTO="Manual",$M141=$A$15)),0,
         IF(OFFSET(CRONOPLE!$F$15,$M141-$A$15,BK$13)=0,10^12,OFFSET(CRONOPLE!$F$15,$M141-$A$15,BK$13)))</f>
        <v>0</v>
      </c>
      <c r="BL141" s="171">
        <f ca="1">IF(OR($D141&lt;&gt;"Serviço",AND(AUTOEVENTO="Manual",$M141=$A$15)),0,
         IF(OFFSET(CRONOPLE!$F$15,$M141-$A$15,BL$13)=0,10^12,OFFSET(CRONOPLE!$F$15,$M141-$A$15,BL$13)))</f>
        <v>0</v>
      </c>
      <c r="BM141" s="171">
        <f ca="1">IF(OR($D141&lt;&gt;"Serviço",AND(AUTOEVENTO="Manual",$M141=$A$15)),0,
         IF(OFFSET(CRONOPLE!$F$15,$M141-$A$15,BM$13)=0,10^12,OFFSET(CRONOPLE!$F$15,$M141-$A$15,BM$13)))</f>
        <v>0</v>
      </c>
      <c r="BN141" s="171">
        <f ca="1">IF(OR($D141&lt;&gt;"Serviço",AND(AUTOEVENTO="Manual",$M141=$A$15)),0,
         IF(OFFSET(CRONOPLE!$F$15,$M141-$A$15,BN$13)=0,10^12,OFFSET(CRONOPLE!$F$15,$M141-$A$15,BN$13)))</f>
        <v>0</v>
      </c>
      <c r="BO141" s="171">
        <f ca="1">IF(OR($D141&lt;&gt;"Serviço",AND(AUTOEVENTO="Manual",$M141=$A$15)),0,
         IF(OFFSET(CRONOPLE!$F$15,$M141-$A$15,BO$13)=0,10^12,OFFSET(CRONOPLE!$F$15,$M141-$A$15,BO$13)))</f>
        <v>0</v>
      </c>
      <c r="BP141" s="171">
        <f ca="1">IF(OR($D141&lt;&gt;"Serviço",AND(AUTOEVENTO="Manual",$M141=$A$15)),0,
         IF(OFFSET(CRONOPLE!$F$15,$M141-$A$15,BP$13)=0,10^12,OFFSET(CRONOPLE!$F$15,$M141-$A$15,BP$13)))</f>
        <v>0</v>
      </c>
      <c r="BQ141" s="171">
        <f ca="1">IF(OR($D141&lt;&gt;"Serviço",AND(AUTOEVENTO="Manual",$M141=$A$15)),0,
         IF(OFFSET(CRONOPLE!$F$15,$M141-$A$15,BQ$13)=0,10^12,OFFSET(CRONOPLE!$F$15,$M141-$A$15,BQ$13)))</f>
        <v>0</v>
      </c>
      <c r="BR141" s="171">
        <f ca="1">IF(OR($D141&lt;&gt;"Serviço",AND(AUTOEVENTO="Manual",$M141=$A$15)),0,
         IF(OFFSET(CRONOPLE!$F$15,$M141-$A$15,BR$13)=0,10^12,OFFSET(CRONOPLE!$F$15,$M141-$A$15,BR$13)))</f>
        <v>0</v>
      </c>
      <c r="BS141" s="171">
        <f ca="1">IF(OR($D141&lt;&gt;"Serviço",AND(AUTOEVENTO="Manual",$M141=$A$15)),0,
         IF(OFFSET(CRONOPLE!$F$15,$M141-$A$15,BS$13)=0,10^12,OFFSET(CRONOPLE!$F$15,$M141-$A$15,BS$13)))</f>
        <v>0</v>
      </c>
      <c r="BT141" s="171">
        <f ca="1">IF(OR($D141&lt;&gt;"Serviço",AND(AUTOEVENTO="Manual",$M141=$A$15)),0,
         IF(OFFSET(CRONOPLE!$F$15,$M141-$A$15,BT$13)=0,10^12,OFFSET(CRONOPLE!$F$15,$M141-$A$15,BT$13)))</f>
        <v>0</v>
      </c>
      <c r="BV141" s="172" cm="1">
        <f t="array" aca="1" ref="BV141" ca="1">IF(OR($D141&lt;&gt;"Serviço",AND(AUTOEVENTO="Manual",$M141=$A$15),$M141&gt;(ROW(PLE.lastrow)-ROW(PLE.firstrow))),0,
           IF(OFFSET(PLE!$G$15,$M141-$A$15,BV$13)="",10^12,OFFSET(PLE!$G$15,$M141-$A$15,BV$13)))</f>
        <v>0</v>
      </c>
      <c r="BW141" s="172" cm="1">
        <f t="array" aca="1" ref="BW141" ca="1">IF(OR($D141&lt;&gt;"Serviço",AND(AUTOEVENTO="Manual",$M141=$A$15),$M141&gt;(ROW(PLE.lastrow)-ROW(PLE.firstrow))),0,
           IF(OFFSET(PLE!$G$15,$M141-$A$15,BW$13)="",10^12,OFFSET(PLE!$G$15,$M141-$A$15,BW$13)))</f>
        <v>0</v>
      </c>
      <c r="BX141" s="172" cm="1">
        <f t="array" aca="1" ref="BX141" ca="1">IF(OR($D141&lt;&gt;"Serviço",AND(AUTOEVENTO="Manual",$M141=$A$15),$M141&gt;(ROW(PLE.lastrow)-ROW(PLE.firstrow))),0,
           IF(OFFSET(PLE!$G$15,$M141-$A$15,BX$13)="",10^12,OFFSET(PLE!$G$15,$M141-$A$15,BX$13)))</f>
        <v>0</v>
      </c>
      <c r="BY141" s="172" cm="1">
        <f t="array" aca="1" ref="BY141" ca="1">IF(OR($D141&lt;&gt;"Serviço",AND(AUTOEVENTO="Manual",$M141=$A$15),$M141&gt;(ROW(PLE.lastrow)-ROW(PLE.firstrow))),0,
           IF(OFFSET(PLE!$G$15,$M141-$A$15,BY$13)="",10^12,OFFSET(PLE!$G$15,$M141-$A$15,BY$13)))</f>
        <v>0</v>
      </c>
      <c r="BZ141" s="172" cm="1">
        <f t="array" aca="1" ref="BZ141" ca="1">IF(OR($D141&lt;&gt;"Serviço",AND(AUTOEVENTO="Manual",$M141=$A$15),$M141&gt;(ROW(PLE.lastrow)-ROW(PLE.firstrow))),0,
           IF(OFFSET(PLE!$G$15,$M141-$A$15,BZ$13)="",10^12,OFFSET(PLE!$G$15,$M141-$A$15,BZ$13)))</f>
        <v>0</v>
      </c>
      <c r="CA141" s="172" cm="1">
        <f t="array" aca="1" ref="CA141" ca="1">IF(OR($D141&lt;&gt;"Serviço",AND(AUTOEVENTO="Manual",$M141=$A$15),$M141&gt;(ROW(PLE.lastrow)-ROW(PLE.firstrow))),0,
           IF(OFFSET(PLE!$G$15,$M141-$A$15,CA$13)="",10^12,OFFSET(PLE!$G$15,$M141-$A$15,CA$13)))</f>
        <v>0</v>
      </c>
      <c r="CB141" s="172" cm="1">
        <f t="array" aca="1" ref="CB141" ca="1">IF(OR($D141&lt;&gt;"Serviço",AND(AUTOEVENTO="Manual",$M141=$A$15),$M141&gt;(ROW(PLE.lastrow)-ROW(PLE.firstrow))),0,
           IF(OFFSET(PLE!$G$15,$M141-$A$15,CB$13)="",10^12,OFFSET(PLE!$G$15,$M141-$A$15,CB$13)))</f>
        <v>0</v>
      </c>
      <c r="CC141" s="172" cm="1">
        <f t="array" aca="1" ref="CC141" ca="1">IF(OR($D141&lt;&gt;"Serviço",AND(AUTOEVENTO="Manual",$M141=$A$15),$M141&gt;(ROW(PLE.lastrow)-ROW(PLE.firstrow))),0,
           IF(OFFSET(PLE!$G$15,$M141-$A$15,CC$13)="",10^12,OFFSET(PLE!$G$15,$M141-$A$15,CC$13)))</f>
        <v>0</v>
      </c>
      <c r="CD141" s="172" cm="1">
        <f t="array" aca="1" ref="CD141" ca="1">IF(OR($D141&lt;&gt;"Serviço",AND(AUTOEVENTO="Manual",$M141=$A$15),$M141&gt;(ROW(PLE.lastrow)-ROW(PLE.firstrow))),0,
           IF(OFFSET(PLE!$G$15,$M141-$A$15,CD$13)="",10^12,OFFSET(PLE!$G$15,$M141-$A$15,CD$13)))</f>
        <v>0</v>
      </c>
      <c r="CE141" s="172" cm="1">
        <f t="array" aca="1" ref="CE141" ca="1">IF(OR($D141&lt;&gt;"Serviço",AND(AUTOEVENTO="Manual",$M141=$A$15),$M141&gt;(ROW(PLE.lastrow)-ROW(PLE.firstrow))),0,
           IF(OFFSET(PLE!$G$15,$M141-$A$15,CE$13)="",10^12,OFFSET(PLE!$G$15,$M141-$A$15,CE$13)))</f>
        <v>0</v>
      </c>
      <c r="CF141" s="172" cm="1">
        <f t="array" aca="1" ref="CF141" ca="1">IF(OR($D141&lt;&gt;"Serviço",AND(AUTOEVENTO="Manual",$M141=$A$15),$M141&gt;(ROW(PLE.lastrow)-ROW(PLE.firstrow))),0,
           IF(OFFSET(PLE!$G$15,$M141-$A$15,CF$13)="",10^12,OFFSET(PLE!$G$15,$M141-$A$15,CF$13)))</f>
        <v>0</v>
      </c>
      <c r="CG141" s="172" cm="1">
        <f t="array" aca="1" ref="CG141" ca="1">IF(OR($D141&lt;&gt;"Serviço",AND(AUTOEVENTO="Manual",$M141=$A$15),$M141&gt;(ROW(PLE.lastrow)-ROW(PLE.firstrow))),0,
           IF(OFFSET(PLE!$G$15,$M141-$A$15,CG$13)="",10^12,OFFSET(PLE!$G$15,$M141-$A$15,CG$13)))</f>
        <v>0</v>
      </c>
      <c r="CH141" s="172" cm="1">
        <f t="array" aca="1" ref="CH141" ca="1">IF(OR($D141&lt;&gt;"Serviço",AND(AUTOEVENTO="Manual",$M141=$A$15),$M141&gt;(ROW(PLE.lastrow)-ROW(PLE.firstrow))),0,
           IF(OFFSET(PLE!$G$15,$M141-$A$15,CH$13)="",10^12,OFFSET(PLE!$G$15,$M141-$A$15,CH$13)))</f>
        <v>0</v>
      </c>
      <c r="CI141" s="172" cm="1">
        <f t="array" aca="1" ref="CI141" ca="1">IF(OR($D141&lt;&gt;"Serviço",AND(AUTOEVENTO="Manual",$M141=$A$15),$M141&gt;(ROW(PLE.lastrow)-ROW(PLE.firstrow))),0,
           IF(OFFSET(PLE!$G$15,$M141-$A$15,CI$13)="",10^12,OFFSET(PLE!$G$15,$M141-$A$15,CI$13)))</f>
        <v>0</v>
      </c>
      <c r="CJ141" s="172" cm="1">
        <f t="array" aca="1" ref="CJ141" ca="1">IF(OR($D141&lt;&gt;"Serviço",AND(AUTOEVENTO="Manual",$M141=$A$15),$M141&gt;(ROW(PLE.lastrow)-ROW(PLE.firstrow))),0,
           IF(OFFSET(PLE!$G$15,$M141-$A$15,CJ$13)="",10^12,OFFSET(PLE!$G$15,$M141-$A$15,CJ$13)))</f>
        <v>0</v>
      </c>
      <c r="CK141" s="172" cm="1">
        <f t="array" aca="1" ref="CK141" ca="1">IF(OR($D141&lt;&gt;"Serviço",AND(AUTOEVENTO="Manual",$M141=$A$15),$M141&gt;(ROW(PLE.lastrow)-ROW(PLE.firstrow))),0,
           IF(OFFSET(PLE!$G$15,$M141-$A$15,CK$13)="",10^12,OFFSET(PLE!$G$15,$M141-$A$15,CK$13)))</f>
        <v>0</v>
      </c>
      <c r="CL141" s="172" cm="1">
        <f t="array" aca="1" ref="CL141" ca="1">IF(OR($D141&lt;&gt;"Serviço",AND(AUTOEVENTO="Manual",$M141=$A$15),$M141&gt;(ROW(PLE.lastrow)-ROW(PLE.firstrow))),0,
           IF(OFFSET(PLE!$G$15,$M141-$A$15,CL$13)="",10^12,OFFSET(PLE!$G$15,$M141-$A$15,CL$13)))</f>
        <v>0</v>
      </c>
      <c r="CM141" s="172" cm="1">
        <f t="array" aca="1" ref="CM141" ca="1">IF(OR($D141&lt;&gt;"Serviço",AND(AUTOEVENTO="Manual",$M141=$A$15),$M141&gt;(ROW(PLE.lastrow)-ROW(PLE.firstrow))),0,
           IF(OFFSET(PLE!$G$15,$M141-$A$15,CM$13)="",10^12,OFFSET(PLE!$G$15,$M141-$A$15,CM$13)))</f>
        <v>0</v>
      </c>
    </row>
    <row r="142" spans="1:91" s="670" customFormat="1" ht="76.5" x14ac:dyDescent="0.2">
      <c r="A142" s="668">
        <f t="shared" ca="1" si="14"/>
        <v>27</v>
      </c>
      <c r="B142" s="668" t="str">
        <f ca="1">OFFSET(ORÇAMENTO!C$15,$L142,0)</f>
        <v>S</v>
      </c>
      <c r="C142" s="668" t="str">
        <f ca="1">OFFSET(ORÇAMENTO!L$15,$L142,0)</f>
        <v>F</v>
      </c>
      <c r="D142" s="116" t="str">
        <f ca="1">OFFSET(ORÇAMENTO!N$15,$L142,0)</f>
        <v>Serviço</v>
      </c>
      <c r="E142" s="117" t="str">
        <f ca="1">OFFSET(ORÇAMENTO!O$15,$L142,0)</f>
        <v>1.18.1.</v>
      </c>
      <c r="F142" s="163" t="str">
        <f ca="1">OFFSET(ORÇAMENTO!R$15,$L142,0)</f>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G142" s="164" t="str">
        <f ca="1">IF($D142&lt;&gt;"Serviço","",OFFSET(ORÇAMENTO!S$15,$L142,0))</f>
        <v>M2</v>
      </c>
      <c r="H142" s="122" cm="1">
        <f t="array" aca="1" ref="H142" ca="1">IF($D142&lt;&gt;"Serviço",0,IF(ACOMPANHAMENTO="BM",ROUND(OFFSET(ORÇAMENTO!AJ$15,$L142,0),15-13*ORÇAMENTO!$AF$7),IF(IFERROR(CÁLCULO.FrentesPreenchidas,0)=0,0,SUM(ROUND(OFFSET($P142,0,1,1,CÁLCULO.FrentesPreenchidas),15-13*ORÇAMENTO!$AF$7)))))</f>
        <v>2</v>
      </c>
      <c r="I142" s="468" t="s">
        <v>1192</v>
      </c>
      <c r="J142" s="651" t="str" cm="1">
        <f t="array" aca="1" ref="J142" ca="1">IF(OR(B142&lt;&gt;"S",CÁLCULO.FrentesPreenchidas=0),"",IF(AND(ACOMPANHAMENTO="PLE",AUTOEVENTO="Manual",OR(H142&gt;0,ORÇAMENTO!AC142="QUANT."),OR(K142="",M142=0,N142="")),"►E",IF(AND(ACOMPANHAMENTO="PLE",ORÇAMENTO!AC142="QUANT."),"►Q",IF(AND(ACOMPANHAMENTO="PLE",H142&lt;&gt;SUMPRODUCT(($Q$1:$AI$1=1)*ROUND(Q142:AI142,15))),"►S",IF(AND(COUNTIF($P$11:$AI$11,"▼")=0,H142&gt;0,I142=""),"◄M","")))))</f>
        <v/>
      </c>
      <c r="K142" s="652" t="s">
        <v>1349</v>
      </c>
      <c r="L142" s="165">
        <f t="shared" ca="1" si="15"/>
        <v>127</v>
      </c>
      <c r="M142" s="166">
        <f ca="1">IF($D142&lt;&gt;"Serviço","",
          IF(AUTOEVENTO="manual",$A142,
                IF(ISERROR(MATCH($A142,$A$15:OFFSET($A142,-1,0),0)),MAX($M$15:OFFSET(M142,-1,0))+1,
                      INDEX($M$15:OFFSET(M142,-1,0),MATCH($A142,$A$15:OFFSET($A142,-1,0),0)))))</f>
        <v>27</v>
      </c>
      <c r="N142" s="167" t="str">
        <f ca="1">IF($D142&lt;&gt;"Serviço","",
         IF(AUTOEVENTO="Manual",
                IF($A142=0,"&lt;-- defina o número do agrupador",
                       OFFSET(EVENTOS!$D$15,$A142-$A$15,0)),
                OFFSET($F$15,$A142,0)))</f>
        <v>Esquadrias</v>
      </c>
      <c r="O142" s="168"/>
      <c r="Q142" s="168"/>
      <c r="R142" s="169"/>
      <c r="S142" s="169"/>
      <c r="T142" s="169"/>
      <c r="U142" s="169"/>
      <c r="V142" s="169">
        <v>2</v>
      </c>
      <c r="W142" s="169"/>
      <c r="X142" s="169"/>
      <c r="Y142" s="169"/>
      <c r="Z142" s="170"/>
      <c r="AA142" s="705"/>
      <c r="AB142" s="705"/>
      <c r="AC142" s="705"/>
      <c r="AD142" s="705"/>
      <c r="AE142" s="705"/>
      <c r="AF142" s="705"/>
      <c r="AG142" s="705"/>
      <c r="AH142" s="706"/>
      <c r="AJ142" s="453">
        <f ca="1">IF(AND($D142="Serviço",AJ$12&lt;&gt;0,$H142&gt;0,OR(AUTOEVENTO&lt;&gt;"manual",$M142&lt;&gt;$A$15)),
        IF(Import.TipoArredondamento&lt;&gt;"TransfereGOV",
              ROUND(OFFSET($P142,0,AJ$13),15-13*ORÇAMENTO!$AF$7)/$H142*OFFSET(ORÇAMENTO!$X$15,ROW(AJ142)-ROW(AJ$15),0),
              ROUND(ROUND(OFFSET($P142,0,AJ$13),15-13*ORÇAMENTO!$AF$7)*OFFSET(ORÇAMENTO!$W$15,ROW(AJ142)-ROW(AJ$15),0),15-13*ORÇAMENTO!$AF$11)),
         0)</f>
        <v>0</v>
      </c>
      <c r="AK142" s="453">
        <f ca="1">IF(AND($D142="Serviço",AK$12&lt;&gt;0,$H142&gt;0,OR(AUTOEVENTO&lt;&gt;"manual",$M142&lt;&gt;$A$15)),
        IF(Import.TipoArredondamento&lt;&gt;"TransfereGOV",
              ROUND(OFFSET($P142,0,AK$13),15-13*ORÇAMENTO!$AF$7)/$H142*OFFSET(ORÇAMENTO!$X$15,ROW(AK142)-ROW(AK$15),0),
              ROUND(ROUND(OFFSET($P142,0,AK$13),15-13*ORÇAMENTO!$AF$7)*OFFSET(ORÇAMENTO!$W$15,ROW(AK142)-ROW(AK$15),0),15-13*ORÇAMENTO!$AF$11)),
         0)</f>
        <v>0</v>
      </c>
      <c r="AL142" s="453">
        <f ca="1">IF(AND($D142="Serviço",AL$12&lt;&gt;0,$H142&gt;0,OR(AUTOEVENTO&lt;&gt;"manual",$M142&lt;&gt;$A$15)),
        IF(Import.TipoArredondamento&lt;&gt;"TransfereGOV",
              ROUND(OFFSET($P142,0,AL$13),15-13*ORÇAMENTO!$AF$7)/$H142*OFFSET(ORÇAMENTO!$X$15,ROW(AL142)-ROW(AL$15),0),
              ROUND(ROUND(OFFSET($P142,0,AL$13),15-13*ORÇAMENTO!$AF$7)*OFFSET(ORÇAMENTO!$W$15,ROW(AL142)-ROW(AL$15),0),15-13*ORÇAMENTO!$AF$11)),
         0)</f>
        <v>0</v>
      </c>
      <c r="AM142" s="453">
        <f ca="1">IF(AND($D142="Serviço",AM$12&lt;&gt;0,$H142&gt;0,OR(AUTOEVENTO&lt;&gt;"manual",$M142&lt;&gt;$A$15)),
        IF(Import.TipoArredondamento&lt;&gt;"TransfereGOV",
              ROUND(OFFSET($P142,0,AM$13),15-13*ORÇAMENTO!$AF$7)/$H142*OFFSET(ORÇAMENTO!$X$15,ROW(AM142)-ROW(AM$15),0),
              ROUND(ROUND(OFFSET($P142,0,AM$13),15-13*ORÇAMENTO!$AF$7)*OFFSET(ORÇAMENTO!$W$15,ROW(AM142)-ROW(AM$15),0),15-13*ORÇAMENTO!$AF$11)),
         0)</f>
        <v>0</v>
      </c>
      <c r="AN142" s="453">
        <f ca="1">IF(AND($D142="Serviço",AN$12&lt;&gt;0,$H142&gt;0,OR(AUTOEVENTO&lt;&gt;"manual",$M142&lt;&gt;$A$15)),
        IF(Import.TipoArredondamento&lt;&gt;"TransfereGOV",
              ROUND(OFFSET($P142,0,AN$13),15-13*ORÇAMENTO!$AF$7)/$H142*OFFSET(ORÇAMENTO!$X$15,ROW(AN142)-ROW(AN$15),0),
              ROUND(ROUND(OFFSET($P142,0,AN$13),15-13*ORÇAMENTO!$AF$7)*OFFSET(ORÇAMENTO!$W$15,ROW(AN142)-ROW(AN$15),0),15-13*ORÇAMENTO!$AF$11)),
         0)</f>
        <v>0</v>
      </c>
      <c r="AO142" s="453">
        <f ca="1">IF(AND($D142="Serviço",AO$12&lt;&gt;0,$H142&gt;0,OR(AUTOEVENTO&lt;&gt;"manual",$M142&lt;&gt;$A$15)),
        IF(Import.TipoArredondamento&lt;&gt;"TransfereGOV",
              ROUND(OFFSET($P142,0,AO$13),15-13*ORÇAMENTO!$AF$7)/$H142*OFFSET(ORÇAMENTO!$X$15,ROW(AO142)-ROW(AO$15),0),
              ROUND(ROUND(OFFSET($P142,0,AO$13),15-13*ORÇAMENTO!$AF$7)*OFFSET(ORÇAMENTO!$W$15,ROW(AO142)-ROW(AO$15),0),15-13*ORÇAMENTO!$AF$11)),
         0)</f>
        <v>791.64</v>
      </c>
      <c r="AP142" s="453">
        <f ca="1">IF(AND($D142="Serviço",AP$12&lt;&gt;0,$H142&gt;0,OR(AUTOEVENTO&lt;&gt;"manual",$M142&lt;&gt;$A$15)),
        IF(Import.TipoArredondamento&lt;&gt;"TransfereGOV",
              ROUND(OFFSET($P142,0,AP$13),15-13*ORÇAMENTO!$AF$7)/$H142*OFFSET(ORÇAMENTO!$X$15,ROW(AP142)-ROW(AP$15),0),
              ROUND(ROUND(OFFSET($P142,0,AP$13),15-13*ORÇAMENTO!$AF$7)*OFFSET(ORÇAMENTO!$W$15,ROW(AP142)-ROW(AP$15),0),15-13*ORÇAMENTO!$AF$11)),
         0)</f>
        <v>0</v>
      </c>
      <c r="AQ142" s="453">
        <f ca="1">IF(AND($D142="Serviço",AQ$12&lt;&gt;0,$H142&gt;0,OR(AUTOEVENTO&lt;&gt;"manual",$M142&lt;&gt;$A$15)),
        IF(Import.TipoArredondamento&lt;&gt;"TransfereGOV",
              ROUND(OFFSET($P142,0,AQ$13),15-13*ORÇAMENTO!$AF$7)/$H142*OFFSET(ORÇAMENTO!$X$15,ROW(AQ142)-ROW(AQ$15),0),
              ROUND(ROUND(OFFSET($P142,0,AQ$13),15-13*ORÇAMENTO!$AF$7)*OFFSET(ORÇAMENTO!$W$15,ROW(AQ142)-ROW(AQ$15),0),15-13*ORÇAMENTO!$AF$11)),
         0)</f>
        <v>0</v>
      </c>
      <c r="AR142" s="453">
        <f ca="1">IF(AND($D142="Serviço",AR$12&lt;&gt;0,$H142&gt;0,OR(AUTOEVENTO&lt;&gt;"manual",$M142&lt;&gt;$A$15)),
        IF(Import.TipoArredondamento&lt;&gt;"TransfereGOV",
              ROUND(OFFSET($P142,0,AR$13),15-13*ORÇAMENTO!$AF$7)/$H142*OFFSET(ORÇAMENTO!$X$15,ROW(AR142)-ROW(AR$15),0),
              ROUND(ROUND(OFFSET($P142,0,AR$13),15-13*ORÇAMENTO!$AF$7)*OFFSET(ORÇAMENTO!$W$15,ROW(AR142)-ROW(AR$15),0),15-13*ORÇAMENTO!$AF$11)),
         0)</f>
        <v>0</v>
      </c>
      <c r="AS142" s="453">
        <f ca="1">IF(AND($D142="Serviço",AS$12&lt;&gt;0,$H142&gt;0,OR(AUTOEVENTO&lt;&gt;"manual",$M142&lt;&gt;$A$15)),
        IF(Import.TipoArredondamento&lt;&gt;"TransfereGOV",
              ROUND(OFFSET($P142,0,AS$13),15-13*ORÇAMENTO!$AF$7)/$H142*OFFSET(ORÇAMENTO!$X$15,ROW(AS142)-ROW(AS$15),0),
              ROUND(ROUND(OFFSET($P142,0,AS$13),15-13*ORÇAMENTO!$AF$7)*OFFSET(ORÇAMENTO!$W$15,ROW(AS142)-ROW(AS$15),0),15-13*ORÇAMENTO!$AF$11)),
         0)</f>
        <v>0</v>
      </c>
      <c r="AT142" s="453">
        <f ca="1">IF(AND($D142="Serviço",AT$12&lt;&gt;0,$H142&gt;0,OR(AUTOEVENTO&lt;&gt;"manual",$M142&lt;&gt;$A$15)),
        IF(Import.TipoArredondamento&lt;&gt;"TransfereGOV",
              ROUND(OFFSET($P142,0,AT$13),15-13*ORÇAMENTO!$AF$7)/$H142*OFFSET(ORÇAMENTO!$X$15,ROW(AT142)-ROW(AT$15),0),
              ROUND(ROUND(OFFSET($P142,0,AT$13),15-13*ORÇAMENTO!$AF$7)*OFFSET(ORÇAMENTO!$W$15,ROW(AT142)-ROW(AT$15),0),15-13*ORÇAMENTO!$AF$11)),
         0)</f>
        <v>0</v>
      </c>
      <c r="AU142" s="453">
        <f ca="1">IF(AND($D142="Serviço",AU$12&lt;&gt;0,$H142&gt;0,OR(AUTOEVENTO&lt;&gt;"manual",$M142&lt;&gt;$A$15)),
        IF(Import.TipoArredondamento&lt;&gt;"TransfereGOV",
              ROUND(OFFSET($P142,0,AU$13),15-13*ORÇAMENTO!$AF$7)/$H142*OFFSET(ORÇAMENTO!$X$15,ROW(AU142)-ROW(AU$15),0),
              ROUND(ROUND(OFFSET($P142,0,AU$13),15-13*ORÇAMENTO!$AF$7)*OFFSET(ORÇAMENTO!$W$15,ROW(AU142)-ROW(AU$15),0),15-13*ORÇAMENTO!$AF$11)),
         0)</f>
        <v>0</v>
      </c>
      <c r="AV142" s="453">
        <f ca="1">IF(AND($D142="Serviço",AV$12&lt;&gt;0,$H142&gt;0,OR(AUTOEVENTO&lt;&gt;"manual",$M142&lt;&gt;$A$15)),
        IF(Import.TipoArredondamento&lt;&gt;"TransfereGOV",
              ROUND(OFFSET($P142,0,AV$13),15-13*ORÇAMENTO!$AF$7)/$H142*OFFSET(ORÇAMENTO!$X$15,ROW(AV142)-ROW(AV$15),0),
              ROUND(ROUND(OFFSET($P142,0,AV$13),15-13*ORÇAMENTO!$AF$7)*OFFSET(ORÇAMENTO!$W$15,ROW(AV142)-ROW(AV$15),0),15-13*ORÇAMENTO!$AF$11)),
         0)</f>
        <v>0</v>
      </c>
      <c r="AW142" s="453">
        <f ca="1">IF(AND($D142="Serviço",AW$12&lt;&gt;0,$H142&gt;0,OR(AUTOEVENTO&lt;&gt;"manual",$M142&lt;&gt;$A$15)),
        IF(Import.TipoArredondamento&lt;&gt;"TransfereGOV",
              ROUND(OFFSET($P142,0,AW$13),15-13*ORÇAMENTO!$AF$7)/$H142*OFFSET(ORÇAMENTO!$X$15,ROW(AW142)-ROW(AW$15),0),
              ROUND(ROUND(OFFSET($P142,0,AW$13),15-13*ORÇAMENTO!$AF$7)*OFFSET(ORÇAMENTO!$W$15,ROW(AW142)-ROW(AW$15),0),15-13*ORÇAMENTO!$AF$11)),
         0)</f>
        <v>0</v>
      </c>
      <c r="AX142" s="453">
        <f ca="1">IF(AND($D142="Serviço",AX$12&lt;&gt;0,$H142&gt;0,OR(AUTOEVENTO&lt;&gt;"manual",$M142&lt;&gt;$A$15)),
        IF(Import.TipoArredondamento&lt;&gt;"TransfereGOV",
              ROUND(OFFSET($P142,0,AX$13),15-13*ORÇAMENTO!$AF$7)/$H142*OFFSET(ORÇAMENTO!$X$15,ROW(AX142)-ROW(AX$15),0),
              ROUND(ROUND(OFFSET($P142,0,AX$13),15-13*ORÇAMENTO!$AF$7)*OFFSET(ORÇAMENTO!$W$15,ROW(AX142)-ROW(AX$15),0),15-13*ORÇAMENTO!$AF$11)),
         0)</f>
        <v>0</v>
      </c>
      <c r="AY142" s="453">
        <f ca="1">IF(AND($D142="Serviço",AY$12&lt;&gt;0,$H142&gt;0,OR(AUTOEVENTO&lt;&gt;"manual",$M142&lt;&gt;$A$15)),
        IF(Import.TipoArredondamento&lt;&gt;"TransfereGOV",
              ROUND(OFFSET($P142,0,AY$13),15-13*ORÇAMENTO!$AF$7)/$H142*OFFSET(ORÇAMENTO!$X$15,ROW(AY142)-ROW(AY$15),0),
              ROUND(ROUND(OFFSET($P142,0,AY$13),15-13*ORÇAMENTO!$AF$7)*OFFSET(ORÇAMENTO!$W$15,ROW(AY142)-ROW(AY$15),0),15-13*ORÇAMENTO!$AF$11)),
         0)</f>
        <v>0</v>
      </c>
      <c r="AZ142" s="453">
        <f ca="1">IF(AND($D142="Serviço",AZ$12&lt;&gt;0,$H142&gt;0,OR(AUTOEVENTO&lt;&gt;"manual",$M142&lt;&gt;$A$15)),
        IF(Import.TipoArredondamento&lt;&gt;"TransfereGOV",
              ROUND(OFFSET($P142,0,AZ$13),15-13*ORÇAMENTO!$AF$7)/$H142*OFFSET(ORÇAMENTO!$X$15,ROW(AZ142)-ROW(AZ$15),0),
              ROUND(ROUND(OFFSET($P142,0,AZ$13),15-13*ORÇAMENTO!$AF$7)*OFFSET(ORÇAMENTO!$W$15,ROW(AZ142)-ROW(AZ$15),0),15-13*ORÇAMENTO!$AF$11)),
         0)</f>
        <v>0</v>
      </c>
      <c r="BA142" s="453">
        <f ca="1">IF(AND($D142="Serviço",BA$12&lt;&gt;0,$H142&gt;0,OR(AUTOEVENTO&lt;&gt;"manual",$M142&lt;&gt;$A$15)),
        IF(Import.TipoArredondamento&lt;&gt;"TransfereGOV",
              ROUND(OFFSET($P142,0,BA$13),15-13*ORÇAMENTO!$AF$7)/$H142*OFFSET(ORÇAMENTO!$X$15,ROW(BA142)-ROW(BA$15),0),
              ROUND(ROUND(OFFSET($P142,0,BA$13),15-13*ORÇAMENTO!$AF$7)*OFFSET(ORÇAMENTO!$W$15,ROW(BA142)-ROW(BA$15),0),15-13*ORÇAMENTO!$AF$11)),
         0)</f>
        <v>0</v>
      </c>
      <c r="BC142" s="171">
        <f ca="1">IF(OR($D142&lt;&gt;"Serviço",AND(AUTOEVENTO="Manual",$M142=$A$15)),0,
         IF(OFFSET(CRONOPLE!$F$15,$M142-$A$15,BC$13)=0,10^12,OFFSET(CRONOPLE!$F$15,$M142-$A$15,BC$13)))</f>
        <v>1000000000000</v>
      </c>
      <c r="BD142" s="171">
        <f ca="1">IF(OR($D142&lt;&gt;"Serviço",AND(AUTOEVENTO="Manual",$M142=$A$15)),0,
         IF(OFFSET(CRONOPLE!$F$15,$M142-$A$15,BD$13)=0,10^12,OFFSET(CRONOPLE!$F$15,$M142-$A$15,BD$13)))</f>
        <v>1000000000000</v>
      </c>
      <c r="BE142" s="171">
        <f ca="1">IF(OR($D142&lt;&gt;"Serviço",AND(AUTOEVENTO="Manual",$M142=$A$15)),0,
         IF(OFFSET(CRONOPLE!$F$15,$M142-$A$15,BE$13)=0,10^12,OFFSET(CRONOPLE!$F$15,$M142-$A$15,BE$13)))</f>
        <v>1000000000000</v>
      </c>
      <c r="BF142" s="171">
        <f ca="1">IF(OR($D142&lt;&gt;"Serviço",AND(AUTOEVENTO="Manual",$M142=$A$15)),0,
         IF(OFFSET(CRONOPLE!$F$15,$M142-$A$15,BF$13)=0,10^12,OFFSET(CRONOPLE!$F$15,$M142-$A$15,BF$13)))</f>
        <v>4</v>
      </c>
      <c r="BG142" s="171">
        <f ca="1">IF(OR($D142&lt;&gt;"Serviço",AND(AUTOEVENTO="Manual",$M142=$A$15)),0,
         IF(OFFSET(CRONOPLE!$F$15,$M142-$A$15,BG$13)=0,10^12,OFFSET(CRONOPLE!$F$15,$M142-$A$15,BG$13)))</f>
        <v>1000000000000</v>
      </c>
      <c r="BH142" s="171">
        <f ca="1">IF(OR($D142&lt;&gt;"Serviço",AND(AUTOEVENTO="Manual",$M142=$A$15)),0,
         IF(OFFSET(CRONOPLE!$F$15,$M142-$A$15,BH$13)=0,10^12,OFFSET(CRONOPLE!$F$15,$M142-$A$15,BH$13)))</f>
        <v>10</v>
      </c>
      <c r="BI142" s="171">
        <f ca="1">IF(OR($D142&lt;&gt;"Serviço",AND(AUTOEVENTO="Manual",$M142=$A$15)),0,
         IF(OFFSET(CRONOPLE!$F$15,$M142-$A$15,BI$13)=0,10^12,OFFSET(CRONOPLE!$F$15,$M142-$A$15,BI$13)))</f>
        <v>1000000000000</v>
      </c>
      <c r="BJ142" s="171">
        <f ca="1">IF(OR($D142&lt;&gt;"Serviço",AND(AUTOEVENTO="Manual",$M142=$A$15)),0,
         IF(OFFSET(CRONOPLE!$F$15,$M142-$A$15,BJ$13)=0,10^12,OFFSET(CRONOPLE!$F$15,$M142-$A$15,BJ$13)))</f>
        <v>1000000000000</v>
      </c>
      <c r="BK142" s="171">
        <f ca="1">IF(OR($D142&lt;&gt;"Serviço",AND(AUTOEVENTO="Manual",$M142=$A$15)),0,
         IF(OFFSET(CRONOPLE!$F$15,$M142-$A$15,BK$13)=0,10^12,OFFSET(CRONOPLE!$F$15,$M142-$A$15,BK$13)))</f>
        <v>1000000000000</v>
      </c>
      <c r="BL142" s="171">
        <f ca="1">IF(OR($D142&lt;&gt;"Serviço",AND(AUTOEVENTO="Manual",$M142=$A$15)),0,
         IF(OFFSET(CRONOPLE!$F$15,$M142-$A$15,BL$13)=0,10^12,OFFSET(CRONOPLE!$F$15,$M142-$A$15,BL$13)))</f>
        <v>1000000000000</v>
      </c>
      <c r="BM142" s="171">
        <f ca="1">IF(OR($D142&lt;&gt;"Serviço",AND(AUTOEVENTO="Manual",$M142=$A$15)),0,
         IF(OFFSET(CRONOPLE!$F$15,$M142-$A$15,BM$13)=0,10^12,OFFSET(CRONOPLE!$F$15,$M142-$A$15,BM$13)))</f>
        <v>1000000000000</v>
      </c>
      <c r="BN142" s="171">
        <f ca="1">IF(OR($D142&lt;&gt;"Serviço",AND(AUTOEVENTO="Manual",$M142=$A$15)),0,
         IF(OFFSET(CRONOPLE!$F$15,$M142-$A$15,BN$13)=0,10^12,OFFSET(CRONOPLE!$F$15,$M142-$A$15,BN$13)))</f>
        <v>1000000000000</v>
      </c>
      <c r="BO142" s="171">
        <f ca="1">IF(OR($D142&lt;&gt;"Serviço",AND(AUTOEVENTO="Manual",$M142=$A$15)),0,
         IF(OFFSET(CRONOPLE!$F$15,$M142-$A$15,BO$13)=0,10^12,OFFSET(CRONOPLE!$F$15,$M142-$A$15,BO$13)))</f>
        <v>1000000000000</v>
      </c>
      <c r="BP142" s="171">
        <f ca="1">IF(OR($D142&lt;&gt;"Serviço",AND(AUTOEVENTO="Manual",$M142=$A$15)),0,
         IF(OFFSET(CRONOPLE!$F$15,$M142-$A$15,BP$13)=0,10^12,OFFSET(CRONOPLE!$F$15,$M142-$A$15,BP$13)))</f>
        <v>1000000000000</v>
      </c>
      <c r="BQ142" s="171">
        <f ca="1">IF(OR($D142&lt;&gt;"Serviço",AND(AUTOEVENTO="Manual",$M142=$A$15)),0,
         IF(OFFSET(CRONOPLE!$F$15,$M142-$A$15,BQ$13)=0,10^12,OFFSET(CRONOPLE!$F$15,$M142-$A$15,BQ$13)))</f>
        <v>1000000000000</v>
      </c>
      <c r="BR142" s="171">
        <f ca="1">IF(OR($D142&lt;&gt;"Serviço",AND(AUTOEVENTO="Manual",$M142=$A$15)),0,
         IF(OFFSET(CRONOPLE!$F$15,$M142-$A$15,BR$13)=0,10^12,OFFSET(CRONOPLE!$F$15,$M142-$A$15,BR$13)))</f>
        <v>1000000000000</v>
      </c>
      <c r="BS142" s="171">
        <f ca="1">IF(OR($D142&lt;&gt;"Serviço",AND(AUTOEVENTO="Manual",$M142=$A$15)),0,
         IF(OFFSET(CRONOPLE!$F$15,$M142-$A$15,BS$13)=0,10^12,OFFSET(CRONOPLE!$F$15,$M142-$A$15,BS$13)))</f>
        <v>1000000000000</v>
      </c>
      <c r="BT142" s="171">
        <f ca="1">IF(OR($D142&lt;&gt;"Serviço",AND(AUTOEVENTO="Manual",$M142=$A$15)),0,
         IF(OFFSET(CRONOPLE!$F$15,$M142-$A$15,BT$13)=0,10^12,OFFSET(CRONOPLE!$F$15,$M142-$A$15,BT$13)))</f>
        <v>1000000000000</v>
      </c>
      <c r="BV142" s="172" cm="1">
        <f t="array" aca="1" ref="BV142" ca="1">IF(OR($D142&lt;&gt;"Serviço",AND(AUTOEVENTO="Manual",$M142=$A$15),$M142&gt;(ROW(PLE.lastrow)-ROW(PLE.firstrow))),0,
           IF(OFFSET(PLE!$G$15,$M142-$A$15,BV$13)="",10^12,OFFSET(PLE!$G$15,$M142-$A$15,BV$13)))</f>
        <v>1000000000000</v>
      </c>
      <c r="BW142" s="172" cm="1">
        <f t="array" aca="1" ref="BW142" ca="1">IF(OR($D142&lt;&gt;"Serviço",AND(AUTOEVENTO="Manual",$M142=$A$15),$M142&gt;(ROW(PLE.lastrow)-ROW(PLE.firstrow))),0,
           IF(OFFSET(PLE!$G$15,$M142-$A$15,BW$13)="",10^12,OFFSET(PLE!$G$15,$M142-$A$15,BW$13)))</f>
        <v>1000000000000</v>
      </c>
      <c r="BX142" s="172" cm="1">
        <f t="array" aca="1" ref="BX142" ca="1">IF(OR($D142&lt;&gt;"Serviço",AND(AUTOEVENTO="Manual",$M142=$A$15),$M142&gt;(ROW(PLE.lastrow)-ROW(PLE.firstrow))),0,
           IF(OFFSET(PLE!$G$15,$M142-$A$15,BX$13)="",10^12,OFFSET(PLE!$G$15,$M142-$A$15,BX$13)))</f>
        <v>1000000000000</v>
      </c>
      <c r="BY142" s="172" cm="1">
        <f t="array" aca="1" ref="BY142" ca="1">IF(OR($D142&lt;&gt;"Serviço",AND(AUTOEVENTO="Manual",$M142=$A$15),$M142&gt;(ROW(PLE.lastrow)-ROW(PLE.firstrow))),0,
           IF(OFFSET(PLE!$G$15,$M142-$A$15,BY$13)="",10^12,OFFSET(PLE!$G$15,$M142-$A$15,BY$13)))</f>
        <v>1000000000000</v>
      </c>
      <c r="BZ142" s="172" cm="1">
        <f t="array" aca="1" ref="BZ142" ca="1">IF(OR($D142&lt;&gt;"Serviço",AND(AUTOEVENTO="Manual",$M142=$A$15),$M142&gt;(ROW(PLE.lastrow)-ROW(PLE.firstrow))),0,
           IF(OFFSET(PLE!$G$15,$M142-$A$15,BZ$13)="",10^12,OFFSET(PLE!$G$15,$M142-$A$15,BZ$13)))</f>
        <v>1000000000000</v>
      </c>
      <c r="CA142" s="172" cm="1">
        <f t="array" aca="1" ref="CA142" ca="1">IF(OR($D142&lt;&gt;"Serviço",AND(AUTOEVENTO="Manual",$M142=$A$15),$M142&gt;(ROW(PLE.lastrow)-ROW(PLE.firstrow))),0,
           IF(OFFSET(PLE!$G$15,$M142-$A$15,CA$13)="",10^12,OFFSET(PLE!$G$15,$M142-$A$15,CA$13)))</f>
        <v>1000000000000</v>
      </c>
      <c r="CB142" s="172" cm="1">
        <f t="array" aca="1" ref="CB142" ca="1">IF(OR($D142&lt;&gt;"Serviço",AND(AUTOEVENTO="Manual",$M142=$A$15),$M142&gt;(ROW(PLE.lastrow)-ROW(PLE.firstrow))),0,
           IF(OFFSET(PLE!$G$15,$M142-$A$15,CB$13)="",10^12,OFFSET(PLE!$G$15,$M142-$A$15,CB$13)))</f>
        <v>1000000000000</v>
      </c>
      <c r="CC142" s="172" cm="1">
        <f t="array" aca="1" ref="CC142" ca="1">IF(OR($D142&lt;&gt;"Serviço",AND(AUTOEVENTO="Manual",$M142=$A$15),$M142&gt;(ROW(PLE.lastrow)-ROW(PLE.firstrow))),0,
           IF(OFFSET(PLE!$G$15,$M142-$A$15,CC$13)="",10^12,OFFSET(PLE!$G$15,$M142-$A$15,CC$13)))</f>
        <v>1000000000000</v>
      </c>
      <c r="CD142" s="172" cm="1">
        <f t="array" aca="1" ref="CD142" ca="1">IF(OR($D142&lt;&gt;"Serviço",AND(AUTOEVENTO="Manual",$M142=$A$15),$M142&gt;(ROW(PLE.lastrow)-ROW(PLE.firstrow))),0,
           IF(OFFSET(PLE!$G$15,$M142-$A$15,CD$13)="",10^12,OFFSET(PLE!$G$15,$M142-$A$15,CD$13)))</f>
        <v>1000000000000</v>
      </c>
      <c r="CE142" s="172" cm="1">
        <f t="array" aca="1" ref="CE142" ca="1">IF(OR($D142&lt;&gt;"Serviço",AND(AUTOEVENTO="Manual",$M142=$A$15),$M142&gt;(ROW(PLE.lastrow)-ROW(PLE.firstrow))),0,
           IF(OFFSET(PLE!$G$15,$M142-$A$15,CE$13)="",10^12,OFFSET(PLE!$G$15,$M142-$A$15,CE$13)))</f>
        <v>1000000000000</v>
      </c>
      <c r="CF142" s="172" cm="1">
        <f t="array" aca="1" ref="CF142" ca="1">IF(OR($D142&lt;&gt;"Serviço",AND(AUTOEVENTO="Manual",$M142=$A$15),$M142&gt;(ROW(PLE.lastrow)-ROW(PLE.firstrow))),0,
           IF(OFFSET(PLE!$G$15,$M142-$A$15,CF$13)="",10^12,OFFSET(PLE!$G$15,$M142-$A$15,CF$13)))</f>
        <v>1000000000000</v>
      </c>
      <c r="CG142" s="172" cm="1">
        <f t="array" aca="1" ref="CG142" ca="1">IF(OR($D142&lt;&gt;"Serviço",AND(AUTOEVENTO="Manual",$M142=$A$15),$M142&gt;(ROW(PLE.lastrow)-ROW(PLE.firstrow))),0,
           IF(OFFSET(PLE!$G$15,$M142-$A$15,CG$13)="",10^12,OFFSET(PLE!$G$15,$M142-$A$15,CG$13)))</f>
        <v>1000000000000</v>
      </c>
      <c r="CH142" s="172" cm="1">
        <f t="array" aca="1" ref="CH142" ca="1">IF(OR($D142&lt;&gt;"Serviço",AND(AUTOEVENTO="Manual",$M142=$A$15),$M142&gt;(ROW(PLE.lastrow)-ROW(PLE.firstrow))),0,
           IF(OFFSET(PLE!$G$15,$M142-$A$15,CH$13)="",10^12,OFFSET(PLE!$G$15,$M142-$A$15,CH$13)))</f>
        <v>1000000000000</v>
      </c>
      <c r="CI142" s="172" cm="1">
        <f t="array" aca="1" ref="CI142" ca="1">IF(OR($D142&lt;&gt;"Serviço",AND(AUTOEVENTO="Manual",$M142=$A$15),$M142&gt;(ROW(PLE.lastrow)-ROW(PLE.firstrow))),0,
           IF(OFFSET(PLE!$G$15,$M142-$A$15,CI$13)="",10^12,OFFSET(PLE!$G$15,$M142-$A$15,CI$13)))</f>
        <v>1000000000000</v>
      </c>
      <c r="CJ142" s="172" cm="1">
        <f t="array" aca="1" ref="CJ142" ca="1">IF(OR($D142&lt;&gt;"Serviço",AND(AUTOEVENTO="Manual",$M142=$A$15),$M142&gt;(ROW(PLE.lastrow)-ROW(PLE.firstrow))),0,
           IF(OFFSET(PLE!$G$15,$M142-$A$15,CJ$13)="",10^12,OFFSET(PLE!$G$15,$M142-$A$15,CJ$13)))</f>
        <v>1000000000000</v>
      </c>
      <c r="CK142" s="172" cm="1">
        <f t="array" aca="1" ref="CK142" ca="1">IF(OR($D142&lt;&gt;"Serviço",AND(AUTOEVENTO="Manual",$M142=$A$15),$M142&gt;(ROW(PLE.lastrow)-ROW(PLE.firstrow))),0,
           IF(OFFSET(PLE!$G$15,$M142-$A$15,CK$13)="",10^12,OFFSET(PLE!$G$15,$M142-$A$15,CK$13)))</f>
        <v>1000000000000</v>
      </c>
      <c r="CL142" s="172" cm="1">
        <f t="array" aca="1" ref="CL142" ca="1">IF(OR($D142&lt;&gt;"Serviço",AND(AUTOEVENTO="Manual",$M142=$A$15),$M142&gt;(ROW(PLE.lastrow)-ROW(PLE.firstrow))),0,
           IF(OFFSET(PLE!$G$15,$M142-$A$15,CL$13)="",10^12,OFFSET(PLE!$G$15,$M142-$A$15,CL$13)))</f>
        <v>1000000000000</v>
      </c>
      <c r="CM142" s="172" cm="1">
        <f t="array" aca="1" ref="CM142" ca="1">IF(OR($D142&lt;&gt;"Serviço",AND(AUTOEVENTO="Manual",$M142=$A$15),$M142&gt;(ROW(PLE.lastrow)-ROW(PLE.firstrow))),0,
           IF(OFFSET(PLE!$G$15,$M142-$A$15,CM$13)="",10^12,OFFSET(PLE!$G$15,$M142-$A$15,CM$13)))</f>
        <v>1000000000000</v>
      </c>
    </row>
    <row r="143" spans="1:91" s="670" customFormat="1" ht="25.5" x14ac:dyDescent="0.2">
      <c r="A143" s="668">
        <f t="shared" ca="1" si="14"/>
        <v>27</v>
      </c>
      <c r="B143" s="668" t="str">
        <f ca="1">OFFSET(ORÇAMENTO!C$15,$L143,0)</f>
        <v>S</v>
      </c>
      <c r="C143" s="668" t="str">
        <f ca="1">OFFSET(ORÇAMENTO!L$15,$L143,0)</f>
        <v>F</v>
      </c>
      <c r="D143" s="116" t="str">
        <f ca="1">OFFSET(ORÇAMENTO!N$15,$L143,0)</f>
        <v>Serviço</v>
      </c>
      <c r="E143" s="117" t="str">
        <f ca="1">OFFSET(ORÇAMENTO!O$15,$L143,0)</f>
        <v>1.18.2.</v>
      </c>
      <c r="F143" s="163" t="str">
        <f ca="1">OFFSET(ORÇAMENTO!R$15,$L143,0)</f>
        <v>PORTA DE ALUMÍNIO DE ABRIR, P/ VIDRO, C/ GUARNIÇÃO, 87X210CM, FIXAÇÃO COM ARGAMASSA. AF_10/2025</v>
      </c>
      <c r="G143" s="164" t="str">
        <f ca="1">IF($D143&lt;&gt;"Serviço","",OFFSET(ORÇAMENTO!S$15,$L143,0))</f>
        <v>UN</v>
      </c>
      <c r="H143" s="122" cm="1">
        <f t="array" aca="1" ref="H143" ca="1">IF($D143&lt;&gt;"Serviço",0,IF(ACOMPANHAMENTO="BM",ROUND(OFFSET(ORÇAMENTO!AJ$15,$L143,0),15-13*ORÇAMENTO!$AF$7),IF(IFERROR(CÁLCULO.FrentesPreenchidas,0)=0,0,SUM(ROUND(OFFSET($P143,0,1,1,CÁLCULO.FrentesPreenchidas),15-13*ORÇAMENTO!$AF$7)))))</f>
        <v>1</v>
      </c>
      <c r="I143" s="468" t="s">
        <v>1190</v>
      </c>
      <c r="J143" s="651" t="str" cm="1">
        <f t="array" aca="1" ref="J143" ca="1">IF(OR(B143&lt;&gt;"S",CÁLCULO.FrentesPreenchidas=0),"",IF(AND(ACOMPANHAMENTO="PLE",AUTOEVENTO="Manual",OR(H143&gt;0,ORÇAMENTO!AC143="QUANT."),OR(K143="",M143=0,N143="")),"►E",IF(AND(ACOMPANHAMENTO="PLE",ORÇAMENTO!AC143="QUANT."),"►Q",IF(AND(ACOMPANHAMENTO="PLE",H143&lt;&gt;SUMPRODUCT(($Q$1:$AI$1=1)*ROUND(Q143:AI143,15))),"►S",IF(AND(COUNTIF($P$11:$AI$11,"▼")=0,H143&gt;0,I143=""),"◄M","")))))</f>
        <v/>
      </c>
      <c r="K143" s="652" t="s">
        <v>1349</v>
      </c>
      <c r="L143" s="165">
        <f t="shared" ca="1" si="15"/>
        <v>128</v>
      </c>
      <c r="M143" s="166">
        <f ca="1">IF($D143&lt;&gt;"Serviço","",
          IF(AUTOEVENTO="manual",$A143,
                IF(ISERROR(MATCH($A143,$A$15:OFFSET($A143,-1,0),0)),MAX($M$15:OFFSET(M143,-1,0))+1,
                      INDEX($M$15:OFFSET(M143,-1,0),MATCH($A143,$A$15:OFFSET($A143,-1,0),0)))))</f>
        <v>27</v>
      </c>
      <c r="N143" s="167" t="str">
        <f ca="1">IF($D143&lt;&gt;"Serviço","",
         IF(AUTOEVENTO="Manual",
                IF($A143=0,"&lt;-- defina o número do agrupador",
                       OFFSET(EVENTOS!$D$15,$A143-$A$15,0)),
                OFFSET($F$15,$A143,0)))</f>
        <v>Esquadrias</v>
      </c>
      <c r="O143" s="168"/>
      <c r="Q143" s="168"/>
      <c r="R143" s="169"/>
      <c r="S143" s="169"/>
      <c r="T143" s="169"/>
      <c r="U143" s="169"/>
      <c r="V143" s="169">
        <v>1</v>
      </c>
      <c r="W143" s="169"/>
      <c r="X143" s="169"/>
      <c r="Y143" s="169"/>
      <c r="Z143" s="170"/>
      <c r="AA143" s="705"/>
      <c r="AB143" s="705"/>
      <c r="AC143" s="705"/>
      <c r="AD143" s="705"/>
      <c r="AE143" s="705"/>
      <c r="AF143" s="705"/>
      <c r="AG143" s="705"/>
      <c r="AH143" s="706"/>
      <c r="AJ143" s="453">
        <f ca="1">IF(AND($D143="Serviço",AJ$12&lt;&gt;0,$H143&gt;0,OR(AUTOEVENTO&lt;&gt;"manual",$M143&lt;&gt;$A$15)),
        IF(Import.TipoArredondamento&lt;&gt;"TransfereGOV",
              ROUND(OFFSET($P143,0,AJ$13),15-13*ORÇAMENTO!$AF$7)/$H143*OFFSET(ORÇAMENTO!$X$15,ROW(AJ143)-ROW(AJ$15),0),
              ROUND(ROUND(OFFSET($P143,0,AJ$13),15-13*ORÇAMENTO!$AF$7)*OFFSET(ORÇAMENTO!$W$15,ROW(AJ143)-ROW(AJ$15),0),15-13*ORÇAMENTO!$AF$11)),
         0)</f>
        <v>0</v>
      </c>
      <c r="AK143" s="453">
        <f ca="1">IF(AND($D143="Serviço",AK$12&lt;&gt;0,$H143&gt;0,OR(AUTOEVENTO&lt;&gt;"manual",$M143&lt;&gt;$A$15)),
        IF(Import.TipoArredondamento&lt;&gt;"TransfereGOV",
              ROUND(OFFSET($P143,0,AK$13),15-13*ORÇAMENTO!$AF$7)/$H143*OFFSET(ORÇAMENTO!$X$15,ROW(AK143)-ROW(AK$15),0),
              ROUND(ROUND(OFFSET($P143,0,AK$13),15-13*ORÇAMENTO!$AF$7)*OFFSET(ORÇAMENTO!$W$15,ROW(AK143)-ROW(AK$15),0),15-13*ORÇAMENTO!$AF$11)),
         0)</f>
        <v>0</v>
      </c>
      <c r="AL143" s="453">
        <f ca="1">IF(AND($D143="Serviço",AL$12&lt;&gt;0,$H143&gt;0,OR(AUTOEVENTO&lt;&gt;"manual",$M143&lt;&gt;$A$15)),
        IF(Import.TipoArredondamento&lt;&gt;"TransfereGOV",
              ROUND(OFFSET($P143,0,AL$13),15-13*ORÇAMENTO!$AF$7)/$H143*OFFSET(ORÇAMENTO!$X$15,ROW(AL143)-ROW(AL$15),0),
              ROUND(ROUND(OFFSET($P143,0,AL$13),15-13*ORÇAMENTO!$AF$7)*OFFSET(ORÇAMENTO!$W$15,ROW(AL143)-ROW(AL$15),0),15-13*ORÇAMENTO!$AF$11)),
         0)</f>
        <v>0</v>
      </c>
      <c r="AM143" s="453">
        <f ca="1">IF(AND($D143="Serviço",AM$12&lt;&gt;0,$H143&gt;0,OR(AUTOEVENTO&lt;&gt;"manual",$M143&lt;&gt;$A$15)),
        IF(Import.TipoArredondamento&lt;&gt;"TransfereGOV",
              ROUND(OFFSET($P143,0,AM$13),15-13*ORÇAMENTO!$AF$7)/$H143*OFFSET(ORÇAMENTO!$X$15,ROW(AM143)-ROW(AM$15),0),
              ROUND(ROUND(OFFSET($P143,0,AM$13),15-13*ORÇAMENTO!$AF$7)*OFFSET(ORÇAMENTO!$W$15,ROW(AM143)-ROW(AM$15),0),15-13*ORÇAMENTO!$AF$11)),
         0)</f>
        <v>0</v>
      </c>
      <c r="AN143" s="453">
        <f ca="1">IF(AND($D143="Serviço",AN$12&lt;&gt;0,$H143&gt;0,OR(AUTOEVENTO&lt;&gt;"manual",$M143&lt;&gt;$A$15)),
        IF(Import.TipoArredondamento&lt;&gt;"TransfereGOV",
              ROUND(OFFSET($P143,0,AN$13),15-13*ORÇAMENTO!$AF$7)/$H143*OFFSET(ORÇAMENTO!$X$15,ROW(AN143)-ROW(AN$15),0),
              ROUND(ROUND(OFFSET($P143,0,AN$13),15-13*ORÇAMENTO!$AF$7)*OFFSET(ORÇAMENTO!$W$15,ROW(AN143)-ROW(AN$15),0),15-13*ORÇAMENTO!$AF$11)),
         0)</f>
        <v>0</v>
      </c>
      <c r="AO143" s="453">
        <f ca="1">IF(AND($D143="Serviço",AO$12&lt;&gt;0,$H143&gt;0,OR(AUTOEVENTO&lt;&gt;"manual",$M143&lt;&gt;$A$15)),
        IF(Import.TipoArredondamento&lt;&gt;"TransfereGOV",
              ROUND(OFFSET($P143,0,AO$13),15-13*ORÇAMENTO!$AF$7)/$H143*OFFSET(ORÇAMENTO!$X$15,ROW(AO143)-ROW(AO$15),0),
              ROUND(ROUND(OFFSET($P143,0,AO$13),15-13*ORÇAMENTO!$AF$7)*OFFSET(ORÇAMENTO!$W$15,ROW(AO143)-ROW(AO$15),0),15-13*ORÇAMENTO!$AF$11)),
         0)</f>
        <v>1131.75</v>
      </c>
      <c r="AP143" s="453">
        <f ca="1">IF(AND($D143="Serviço",AP$12&lt;&gt;0,$H143&gt;0,OR(AUTOEVENTO&lt;&gt;"manual",$M143&lt;&gt;$A$15)),
        IF(Import.TipoArredondamento&lt;&gt;"TransfereGOV",
              ROUND(OFFSET($P143,0,AP$13),15-13*ORÇAMENTO!$AF$7)/$H143*OFFSET(ORÇAMENTO!$X$15,ROW(AP143)-ROW(AP$15),0),
              ROUND(ROUND(OFFSET($P143,0,AP$13),15-13*ORÇAMENTO!$AF$7)*OFFSET(ORÇAMENTO!$W$15,ROW(AP143)-ROW(AP$15),0),15-13*ORÇAMENTO!$AF$11)),
         0)</f>
        <v>0</v>
      </c>
      <c r="AQ143" s="453">
        <f ca="1">IF(AND($D143="Serviço",AQ$12&lt;&gt;0,$H143&gt;0,OR(AUTOEVENTO&lt;&gt;"manual",$M143&lt;&gt;$A$15)),
        IF(Import.TipoArredondamento&lt;&gt;"TransfereGOV",
              ROUND(OFFSET($P143,0,AQ$13),15-13*ORÇAMENTO!$AF$7)/$H143*OFFSET(ORÇAMENTO!$X$15,ROW(AQ143)-ROW(AQ$15),0),
              ROUND(ROUND(OFFSET($P143,0,AQ$13),15-13*ORÇAMENTO!$AF$7)*OFFSET(ORÇAMENTO!$W$15,ROW(AQ143)-ROW(AQ$15),0),15-13*ORÇAMENTO!$AF$11)),
         0)</f>
        <v>0</v>
      </c>
      <c r="AR143" s="453">
        <f ca="1">IF(AND($D143="Serviço",AR$12&lt;&gt;0,$H143&gt;0,OR(AUTOEVENTO&lt;&gt;"manual",$M143&lt;&gt;$A$15)),
        IF(Import.TipoArredondamento&lt;&gt;"TransfereGOV",
              ROUND(OFFSET($P143,0,AR$13),15-13*ORÇAMENTO!$AF$7)/$H143*OFFSET(ORÇAMENTO!$X$15,ROW(AR143)-ROW(AR$15),0),
              ROUND(ROUND(OFFSET($P143,0,AR$13),15-13*ORÇAMENTO!$AF$7)*OFFSET(ORÇAMENTO!$W$15,ROW(AR143)-ROW(AR$15),0),15-13*ORÇAMENTO!$AF$11)),
         0)</f>
        <v>0</v>
      </c>
      <c r="AS143" s="453">
        <f ca="1">IF(AND($D143="Serviço",AS$12&lt;&gt;0,$H143&gt;0,OR(AUTOEVENTO&lt;&gt;"manual",$M143&lt;&gt;$A$15)),
        IF(Import.TipoArredondamento&lt;&gt;"TransfereGOV",
              ROUND(OFFSET($P143,0,AS$13),15-13*ORÇAMENTO!$AF$7)/$H143*OFFSET(ORÇAMENTO!$X$15,ROW(AS143)-ROW(AS$15),0),
              ROUND(ROUND(OFFSET($P143,0,AS$13),15-13*ORÇAMENTO!$AF$7)*OFFSET(ORÇAMENTO!$W$15,ROW(AS143)-ROW(AS$15),0),15-13*ORÇAMENTO!$AF$11)),
         0)</f>
        <v>0</v>
      </c>
      <c r="AT143" s="453">
        <f ca="1">IF(AND($D143="Serviço",AT$12&lt;&gt;0,$H143&gt;0,OR(AUTOEVENTO&lt;&gt;"manual",$M143&lt;&gt;$A$15)),
        IF(Import.TipoArredondamento&lt;&gt;"TransfereGOV",
              ROUND(OFFSET($P143,0,AT$13),15-13*ORÇAMENTO!$AF$7)/$H143*OFFSET(ORÇAMENTO!$X$15,ROW(AT143)-ROW(AT$15),0),
              ROUND(ROUND(OFFSET($P143,0,AT$13),15-13*ORÇAMENTO!$AF$7)*OFFSET(ORÇAMENTO!$W$15,ROW(AT143)-ROW(AT$15),0),15-13*ORÇAMENTO!$AF$11)),
         0)</f>
        <v>0</v>
      </c>
      <c r="AU143" s="453">
        <f ca="1">IF(AND($D143="Serviço",AU$12&lt;&gt;0,$H143&gt;0,OR(AUTOEVENTO&lt;&gt;"manual",$M143&lt;&gt;$A$15)),
        IF(Import.TipoArredondamento&lt;&gt;"TransfereGOV",
              ROUND(OFFSET($P143,0,AU$13),15-13*ORÇAMENTO!$AF$7)/$H143*OFFSET(ORÇAMENTO!$X$15,ROW(AU143)-ROW(AU$15),0),
              ROUND(ROUND(OFFSET($P143,0,AU$13),15-13*ORÇAMENTO!$AF$7)*OFFSET(ORÇAMENTO!$W$15,ROW(AU143)-ROW(AU$15),0),15-13*ORÇAMENTO!$AF$11)),
         0)</f>
        <v>0</v>
      </c>
      <c r="AV143" s="453">
        <f ca="1">IF(AND($D143="Serviço",AV$12&lt;&gt;0,$H143&gt;0,OR(AUTOEVENTO&lt;&gt;"manual",$M143&lt;&gt;$A$15)),
        IF(Import.TipoArredondamento&lt;&gt;"TransfereGOV",
              ROUND(OFFSET($P143,0,AV$13),15-13*ORÇAMENTO!$AF$7)/$H143*OFFSET(ORÇAMENTO!$X$15,ROW(AV143)-ROW(AV$15),0),
              ROUND(ROUND(OFFSET($P143,0,AV$13),15-13*ORÇAMENTO!$AF$7)*OFFSET(ORÇAMENTO!$W$15,ROW(AV143)-ROW(AV$15),0),15-13*ORÇAMENTO!$AF$11)),
         0)</f>
        <v>0</v>
      </c>
      <c r="AW143" s="453">
        <f ca="1">IF(AND($D143="Serviço",AW$12&lt;&gt;0,$H143&gt;0,OR(AUTOEVENTO&lt;&gt;"manual",$M143&lt;&gt;$A$15)),
        IF(Import.TipoArredondamento&lt;&gt;"TransfereGOV",
              ROUND(OFFSET($P143,0,AW$13),15-13*ORÇAMENTO!$AF$7)/$H143*OFFSET(ORÇAMENTO!$X$15,ROW(AW143)-ROW(AW$15),0),
              ROUND(ROUND(OFFSET($P143,0,AW$13),15-13*ORÇAMENTO!$AF$7)*OFFSET(ORÇAMENTO!$W$15,ROW(AW143)-ROW(AW$15),0),15-13*ORÇAMENTO!$AF$11)),
         0)</f>
        <v>0</v>
      </c>
      <c r="AX143" s="453">
        <f ca="1">IF(AND($D143="Serviço",AX$12&lt;&gt;0,$H143&gt;0,OR(AUTOEVENTO&lt;&gt;"manual",$M143&lt;&gt;$A$15)),
        IF(Import.TipoArredondamento&lt;&gt;"TransfereGOV",
              ROUND(OFFSET($P143,0,AX$13),15-13*ORÇAMENTO!$AF$7)/$H143*OFFSET(ORÇAMENTO!$X$15,ROW(AX143)-ROW(AX$15),0),
              ROUND(ROUND(OFFSET($P143,0,AX$13),15-13*ORÇAMENTO!$AF$7)*OFFSET(ORÇAMENTO!$W$15,ROW(AX143)-ROW(AX$15),0),15-13*ORÇAMENTO!$AF$11)),
         0)</f>
        <v>0</v>
      </c>
      <c r="AY143" s="453">
        <f ca="1">IF(AND($D143="Serviço",AY$12&lt;&gt;0,$H143&gt;0,OR(AUTOEVENTO&lt;&gt;"manual",$M143&lt;&gt;$A$15)),
        IF(Import.TipoArredondamento&lt;&gt;"TransfereGOV",
              ROUND(OFFSET($P143,0,AY$13),15-13*ORÇAMENTO!$AF$7)/$H143*OFFSET(ORÇAMENTO!$X$15,ROW(AY143)-ROW(AY$15),0),
              ROUND(ROUND(OFFSET($P143,0,AY$13),15-13*ORÇAMENTO!$AF$7)*OFFSET(ORÇAMENTO!$W$15,ROW(AY143)-ROW(AY$15),0),15-13*ORÇAMENTO!$AF$11)),
         0)</f>
        <v>0</v>
      </c>
      <c r="AZ143" s="453">
        <f ca="1">IF(AND($D143="Serviço",AZ$12&lt;&gt;0,$H143&gt;0,OR(AUTOEVENTO&lt;&gt;"manual",$M143&lt;&gt;$A$15)),
        IF(Import.TipoArredondamento&lt;&gt;"TransfereGOV",
              ROUND(OFFSET($P143,0,AZ$13),15-13*ORÇAMENTO!$AF$7)/$H143*OFFSET(ORÇAMENTO!$X$15,ROW(AZ143)-ROW(AZ$15),0),
              ROUND(ROUND(OFFSET($P143,0,AZ$13),15-13*ORÇAMENTO!$AF$7)*OFFSET(ORÇAMENTO!$W$15,ROW(AZ143)-ROW(AZ$15),0),15-13*ORÇAMENTO!$AF$11)),
         0)</f>
        <v>0</v>
      </c>
      <c r="BA143" s="453">
        <f ca="1">IF(AND($D143="Serviço",BA$12&lt;&gt;0,$H143&gt;0,OR(AUTOEVENTO&lt;&gt;"manual",$M143&lt;&gt;$A$15)),
        IF(Import.TipoArredondamento&lt;&gt;"TransfereGOV",
              ROUND(OFFSET($P143,0,BA$13),15-13*ORÇAMENTO!$AF$7)/$H143*OFFSET(ORÇAMENTO!$X$15,ROW(BA143)-ROW(BA$15),0),
              ROUND(ROUND(OFFSET($P143,0,BA$13),15-13*ORÇAMENTO!$AF$7)*OFFSET(ORÇAMENTO!$W$15,ROW(BA143)-ROW(BA$15),0),15-13*ORÇAMENTO!$AF$11)),
         0)</f>
        <v>0</v>
      </c>
      <c r="BC143" s="171">
        <f ca="1">IF(OR($D143&lt;&gt;"Serviço",AND(AUTOEVENTO="Manual",$M143=$A$15)),0,
         IF(OFFSET(CRONOPLE!$F$15,$M143-$A$15,BC$13)=0,10^12,OFFSET(CRONOPLE!$F$15,$M143-$A$15,BC$13)))</f>
        <v>1000000000000</v>
      </c>
      <c r="BD143" s="171">
        <f ca="1">IF(OR($D143&lt;&gt;"Serviço",AND(AUTOEVENTO="Manual",$M143=$A$15)),0,
         IF(OFFSET(CRONOPLE!$F$15,$M143-$A$15,BD$13)=0,10^12,OFFSET(CRONOPLE!$F$15,$M143-$A$15,BD$13)))</f>
        <v>1000000000000</v>
      </c>
      <c r="BE143" s="171">
        <f ca="1">IF(OR($D143&lt;&gt;"Serviço",AND(AUTOEVENTO="Manual",$M143=$A$15)),0,
         IF(OFFSET(CRONOPLE!$F$15,$M143-$A$15,BE$13)=0,10^12,OFFSET(CRONOPLE!$F$15,$M143-$A$15,BE$13)))</f>
        <v>1000000000000</v>
      </c>
      <c r="BF143" s="171">
        <f ca="1">IF(OR($D143&lt;&gt;"Serviço",AND(AUTOEVENTO="Manual",$M143=$A$15)),0,
         IF(OFFSET(CRONOPLE!$F$15,$M143-$A$15,BF$13)=0,10^12,OFFSET(CRONOPLE!$F$15,$M143-$A$15,BF$13)))</f>
        <v>4</v>
      </c>
      <c r="BG143" s="171">
        <f ca="1">IF(OR($D143&lt;&gt;"Serviço",AND(AUTOEVENTO="Manual",$M143=$A$15)),0,
         IF(OFFSET(CRONOPLE!$F$15,$M143-$A$15,BG$13)=0,10^12,OFFSET(CRONOPLE!$F$15,$M143-$A$15,BG$13)))</f>
        <v>1000000000000</v>
      </c>
      <c r="BH143" s="171">
        <f ca="1">IF(OR($D143&lt;&gt;"Serviço",AND(AUTOEVENTO="Manual",$M143=$A$15)),0,
         IF(OFFSET(CRONOPLE!$F$15,$M143-$A$15,BH$13)=0,10^12,OFFSET(CRONOPLE!$F$15,$M143-$A$15,BH$13)))</f>
        <v>10</v>
      </c>
      <c r="BI143" s="171">
        <f ca="1">IF(OR($D143&lt;&gt;"Serviço",AND(AUTOEVENTO="Manual",$M143=$A$15)),0,
         IF(OFFSET(CRONOPLE!$F$15,$M143-$A$15,BI$13)=0,10^12,OFFSET(CRONOPLE!$F$15,$M143-$A$15,BI$13)))</f>
        <v>1000000000000</v>
      </c>
      <c r="BJ143" s="171">
        <f ca="1">IF(OR($D143&lt;&gt;"Serviço",AND(AUTOEVENTO="Manual",$M143=$A$15)),0,
         IF(OFFSET(CRONOPLE!$F$15,$M143-$A$15,BJ$13)=0,10^12,OFFSET(CRONOPLE!$F$15,$M143-$A$15,BJ$13)))</f>
        <v>1000000000000</v>
      </c>
      <c r="BK143" s="171">
        <f ca="1">IF(OR($D143&lt;&gt;"Serviço",AND(AUTOEVENTO="Manual",$M143=$A$15)),0,
         IF(OFFSET(CRONOPLE!$F$15,$M143-$A$15,BK$13)=0,10^12,OFFSET(CRONOPLE!$F$15,$M143-$A$15,BK$13)))</f>
        <v>1000000000000</v>
      </c>
      <c r="BL143" s="171">
        <f ca="1">IF(OR($D143&lt;&gt;"Serviço",AND(AUTOEVENTO="Manual",$M143=$A$15)),0,
         IF(OFFSET(CRONOPLE!$F$15,$M143-$A$15,BL$13)=0,10^12,OFFSET(CRONOPLE!$F$15,$M143-$A$15,BL$13)))</f>
        <v>1000000000000</v>
      </c>
      <c r="BM143" s="171">
        <f ca="1">IF(OR($D143&lt;&gt;"Serviço",AND(AUTOEVENTO="Manual",$M143=$A$15)),0,
         IF(OFFSET(CRONOPLE!$F$15,$M143-$A$15,BM$13)=0,10^12,OFFSET(CRONOPLE!$F$15,$M143-$A$15,BM$13)))</f>
        <v>1000000000000</v>
      </c>
      <c r="BN143" s="171">
        <f ca="1">IF(OR($D143&lt;&gt;"Serviço",AND(AUTOEVENTO="Manual",$M143=$A$15)),0,
         IF(OFFSET(CRONOPLE!$F$15,$M143-$A$15,BN$13)=0,10^12,OFFSET(CRONOPLE!$F$15,$M143-$A$15,BN$13)))</f>
        <v>1000000000000</v>
      </c>
      <c r="BO143" s="171">
        <f ca="1">IF(OR($D143&lt;&gt;"Serviço",AND(AUTOEVENTO="Manual",$M143=$A$15)),0,
         IF(OFFSET(CRONOPLE!$F$15,$M143-$A$15,BO$13)=0,10^12,OFFSET(CRONOPLE!$F$15,$M143-$A$15,BO$13)))</f>
        <v>1000000000000</v>
      </c>
      <c r="BP143" s="171">
        <f ca="1">IF(OR($D143&lt;&gt;"Serviço",AND(AUTOEVENTO="Manual",$M143=$A$15)),0,
         IF(OFFSET(CRONOPLE!$F$15,$M143-$A$15,BP$13)=0,10^12,OFFSET(CRONOPLE!$F$15,$M143-$A$15,BP$13)))</f>
        <v>1000000000000</v>
      </c>
      <c r="BQ143" s="171">
        <f ca="1">IF(OR($D143&lt;&gt;"Serviço",AND(AUTOEVENTO="Manual",$M143=$A$15)),0,
         IF(OFFSET(CRONOPLE!$F$15,$M143-$A$15,BQ$13)=0,10^12,OFFSET(CRONOPLE!$F$15,$M143-$A$15,BQ$13)))</f>
        <v>1000000000000</v>
      </c>
      <c r="BR143" s="171">
        <f ca="1">IF(OR($D143&lt;&gt;"Serviço",AND(AUTOEVENTO="Manual",$M143=$A$15)),0,
         IF(OFFSET(CRONOPLE!$F$15,$M143-$A$15,BR$13)=0,10^12,OFFSET(CRONOPLE!$F$15,$M143-$A$15,BR$13)))</f>
        <v>1000000000000</v>
      </c>
      <c r="BS143" s="171">
        <f ca="1">IF(OR($D143&lt;&gt;"Serviço",AND(AUTOEVENTO="Manual",$M143=$A$15)),0,
         IF(OFFSET(CRONOPLE!$F$15,$M143-$A$15,BS$13)=0,10^12,OFFSET(CRONOPLE!$F$15,$M143-$A$15,BS$13)))</f>
        <v>1000000000000</v>
      </c>
      <c r="BT143" s="171">
        <f ca="1">IF(OR($D143&lt;&gt;"Serviço",AND(AUTOEVENTO="Manual",$M143=$A$15)),0,
         IF(OFFSET(CRONOPLE!$F$15,$M143-$A$15,BT$13)=0,10^12,OFFSET(CRONOPLE!$F$15,$M143-$A$15,BT$13)))</f>
        <v>1000000000000</v>
      </c>
      <c r="BV143" s="172" cm="1">
        <f t="array" aca="1" ref="BV143" ca="1">IF(OR($D143&lt;&gt;"Serviço",AND(AUTOEVENTO="Manual",$M143=$A$15),$M143&gt;(ROW(PLE.lastrow)-ROW(PLE.firstrow))),0,
           IF(OFFSET(PLE!$G$15,$M143-$A$15,BV$13)="",10^12,OFFSET(PLE!$G$15,$M143-$A$15,BV$13)))</f>
        <v>1000000000000</v>
      </c>
      <c r="BW143" s="172" cm="1">
        <f t="array" aca="1" ref="BW143" ca="1">IF(OR($D143&lt;&gt;"Serviço",AND(AUTOEVENTO="Manual",$M143=$A$15),$M143&gt;(ROW(PLE.lastrow)-ROW(PLE.firstrow))),0,
           IF(OFFSET(PLE!$G$15,$M143-$A$15,BW$13)="",10^12,OFFSET(PLE!$G$15,$M143-$A$15,BW$13)))</f>
        <v>1000000000000</v>
      </c>
      <c r="BX143" s="172" cm="1">
        <f t="array" aca="1" ref="BX143" ca="1">IF(OR($D143&lt;&gt;"Serviço",AND(AUTOEVENTO="Manual",$M143=$A$15),$M143&gt;(ROW(PLE.lastrow)-ROW(PLE.firstrow))),0,
           IF(OFFSET(PLE!$G$15,$M143-$A$15,BX$13)="",10^12,OFFSET(PLE!$G$15,$M143-$A$15,BX$13)))</f>
        <v>1000000000000</v>
      </c>
      <c r="BY143" s="172" cm="1">
        <f t="array" aca="1" ref="BY143" ca="1">IF(OR($D143&lt;&gt;"Serviço",AND(AUTOEVENTO="Manual",$M143=$A$15),$M143&gt;(ROW(PLE.lastrow)-ROW(PLE.firstrow))),0,
           IF(OFFSET(PLE!$G$15,$M143-$A$15,BY$13)="",10^12,OFFSET(PLE!$G$15,$M143-$A$15,BY$13)))</f>
        <v>1000000000000</v>
      </c>
      <c r="BZ143" s="172" cm="1">
        <f t="array" aca="1" ref="BZ143" ca="1">IF(OR($D143&lt;&gt;"Serviço",AND(AUTOEVENTO="Manual",$M143=$A$15),$M143&gt;(ROW(PLE.lastrow)-ROW(PLE.firstrow))),0,
           IF(OFFSET(PLE!$G$15,$M143-$A$15,BZ$13)="",10^12,OFFSET(PLE!$G$15,$M143-$A$15,BZ$13)))</f>
        <v>1000000000000</v>
      </c>
      <c r="CA143" s="172" cm="1">
        <f t="array" aca="1" ref="CA143" ca="1">IF(OR($D143&lt;&gt;"Serviço",AND(AUTOEVENTO="Manual",$M143=$A$15),$M143&gt;(ROW(PLE.lastrow)-ROW(PLE.firstrow))),0,
           IF(OFFSET(PLE!$G$15,$M143-$A$15,CA$13)="",10^12,OFFSET(PLE!$G$15,$M143-$A$15,CA$13)))</f>
        <v>1000000000000</v>
      </c>
      <c r="CB143" s="172" cm="1">
        <f t="array" aca="1" ref="CB143" ca="1">IF(OR($D143&lt;&gt;"Serviço",AND(AUTOEVENTO="Manual",$M143=$A$15),$M143&gt;(ROW(PLE.lastrow)-ROW(PLE.firstrow))),0,
           IF(OFFSET(PLE!$G$15,$M143-$A$15,CB$13)="",10^12,OFFSET(PLE!$G$15,$M143-$A$15,CB$13)))</f>
        <v>1000000000000</v>
      </c>
      <c r="CC143" s="172" cm="1">
        <f t="array" aca="1" ref="CC143" ca="1">IF(OR($D143&lt;&gt;"Serviço",AND(AUTOEVENTO="Manual",$M143=$A$15),$M143&gt;(ROW(PLE.lastrow)-ROW(PLE.firstrow))),0,
           IF(OFFSET(PLE!$G$15,$M143-$A$15,CC$13)="",10^12,OFFSET(PLE!$G$15,$M143-$A$15,CC$13)))</f>
        <v>1000000000000</v>
      </c>
      <c r="CD143" s="172" cm="1">
        <f t="array" aca="1" ref="CD143" ca="1">IF(OR($D143&lt;&gt;"Serviço",AND(AUTOEVENTO="Manual",$M143=$A$15),$M143&gt;(ROW(PLE.lastrow)-ROW(PLE.firstrow))),0,
           IF(OFFSET(PLE!$G$15,$M143-$A$15,CD$13)="",10^12,OFFSET(PLE!$G$15,$M143-$A$15,CD$13)))</f>
        <v>1000000000000</v>
      </c>
      <c r="CE143" s="172" cm="1">
        <f t="array" aca="1" ref="CE143" ca="1">IF(OR($D143&lt;&gt;"Serviço",AND(AUTOEVENTO="Manual",$M143=$A$15),$M143&gt;(ROW(PLE.lastrow)-ROW(PLE.firstrow))),0,
           IF(OFFSET(PLE!$G$15,$M143-$A$15,CE$13)="",10^12,OFFSET(PLE!$G$15,$M143-$A$15,CE$13)))</f>
        <v>1000000000000</v>
      </c>
      <c r="CF143" s="172" cm="1">
        <f t="array" aca="1" ref="CF143" ca="1">IF(OR($D143&lt;&gt;"Serviço",AND(AUTOEVENTO="Manual",$M143=$A$15),$M143&gt;(ROW(PLE.lastrow)-ROW(PLE.firstrow))),0,
           IF(OFFSET(PLE!$G$15,$M143-$A$15,CF$13)="",10^12,OFFSET(PLE!$G$15,$M143-$A$15,CF$13)))</f>
        <v>1000000000000</v>
      </c>
      <c r="CG143" s="172" cm="1">
        <f t="array" aca="1" ref="CG143" ca="1">IF(OR($D143&lt;&gt;"Serviço",AND(AUTOEVENTO="Manual",$M143=$A$15),$M143&gt;(ROW(PLE.lastrow)-ROW(PLE.firstrow))),0,
           IF(OFFSET(PLE!$G$15,$M143-$A$15,CG$13)="",10^12,OFFSET(PLE!$G$15,$M143-$A$15,CG$13)))</f>
        <v>1000000000000</v>
      </c>
      <c r="CH143" s="172" cm="1">
        <f t="array" aca="1" ref="CH143" ca="1">IF(OR($D143&lt;&gt;"Serviço",AND(AUTOEVENTO="Manual",$M143=$A$15),$M143&gt;(ROW(PLE.lastrow)-ROW(PLE.firstrow))),0,
           IF(OFFSET(PLE!$G$15,$M143-$A$15,CH$13)="",10^12,OFFSET(PLE!$G$15,$M143-$A$15,CH$13)))</f>
        <v>1000000000000</v>
      </c>
      <c r="CI143" s="172" cm="1">
        <f t="array" aca="1" ref="CI143" ca="1">IF(OR($D143&lt;&gt;"Serviço",AND(AUTOEVENTO="Manual",$M143=$A$15),$M143&gt;(ROW(PLE.lastrow)-ROW(PLE.firstrow))),0,
           IF(OFFSET(PLE!$G$15,$M143-$A$15,CI$13)="",10^12,OFFSET(PLE!$G$15,$M143-$A$15,CI$13)))</f>
        <v>1000000000000</v>
      </c>
      <c r="CJ143" s="172" cm="1">
        <f t="array" aca="1" ref="CJ143" ca="1">IF(OR($D143&lt;&gt;"Serviço",AND(AUTOEVENTO="Manual",$M143=$A$15),$M143&gt;(ROW(PLE.lastrow)-ROW(PLE.firstrow))),0,
           IF(OFFSET(PLE!$G$15,$M143-$A$15,CJ$13)="",10^12,OFFSET(PLE!$G$15,$M143-$A$15,CJ$13)))</f>
        <v>1000000000000</v>
      </c>
      <c r="CK143" s="172" cm="1">
        <f t="array" aca="1" ref="CK143" ca="1">IF(OR($D143&lt;&gt;"Serviço",AND(AUTOEVENTO="Manual",$M143=$A$15),$M143&gt;(ROW(PLE.lastrow)-ROW(PLE.firstrow))),0,
           IF(OFFSET(PLE!$G$15,$M143-$A$15,CK$13)="",10^12,OFFSET(PLE!$G$15,$M143-$A$15,CK$13)))</f>
        <v>1000000000000</v>
      </c>
      <c r="CL143" s="172" cm="1">
        <f t="array" aca="1" ref="CL143" ca="1">IF(OR($D143&lt;&gt;"Serviço",AND(AUTOEVENTO="Manual",$M143=$A$15),$M143&gt;(ROW(PLE.lastrow)-ROW(PLE.firstrow))),0,
           IF(OFFSET(PLE!$G$15,$M143-$A$15,CL$13)="",10^12,OFFSET(PLE!$G$15,$M143-$A$15,CL$13)))</f>
        <v>1000000000000</v>
      </c>
      <c r="CM143" s="172" cm="1">
        <f t="array" aca="1" ref="CM143" ca="1">IF(OR($D143&lt;&gt;"Serviço",AND(AUTOEVENTO="Manual",$M143=$A$15),$M143&gt;(ROW(PLE.lastrow)-ROW(PLE.firstrow))),0,
           IF(OFFSET(PLE!$G$15,$M143-$A$15,CM$13)="",10^12,OFFSET(PLE!$G$15,$M143-$A$15,CM$13)))</f>
        <v>1000000000000</v>
      </c>
    </row>
    <row r="144" spans="1:91" s="670" customFormat="1" ht="38.25" x14ac:dyDescent="0.2">
      <c r="A144" s="668">
        <f t="shared" ca="1" si="14"/>
        <v>27</v>
      </c>
      <c r="B144" s="668" t="str">
        <f ca="1">OFFSET(ORÇAMENTO!C$15,$L144,0)</f>
        <v>S</v>
      </c>
      <c r="C144" s="668" t="str">
        <f ca="1">OFFSET(ORÇAMENTO!L$15,$L144,0)</f>
        <v>F</v>
      </c>
      <c r="D144" s="116" t="str">
        <f ca="1">OFFSET(ORÇAMENTO!N$15,$L144,0)</f>
        <v>Serviço</v>
      </c>
      <c r="E144" s="117" t="str">
        <f ca="1">OFFSET(ORÇAMENTO!O$15,$L144,0)</f>
        <v>1.18.3.</v>
      </c>
      <c r="F144" s="163" t="str">
        <f ca="1">OFFSET(ORÇAMENTO!R$15,$L144,0)</f>
        <v>PORTA DE CORRER DE ALUMÍNIO, COM DUAS FOLHAS PARA VIDRO, INCLUSO VIDRO LISO INCOLOR, FECHADURA E PUXADOR, SEM ALIZAR. AF_10/2025</v>
      </c>
      <c r="G144" s="164" t="str">
        <f ca="1">IF($D144&lt;&gt;"Serviço","",OFFSET(ORÇAMENTO!S$15,$L144,0))</f>
        <v>M2</v>
      </c>
      <c r="H144" s="122" cm="1">
        <f t="array" aca="1" ref="H144" ca="1">IF($D144&lt;&gt;"Serviço",0,IF(ACOMPANHAMENTO="BM",ROUND(OFFSET(ORÇAMENTO!AJ$15,$L144,0),15-13*ORÇAMENTO!$AF$7),IF(IFERROR(CÁLCULO.FrentesPreenchidas,0)=0,0,SUM(ROUND(OFFSET($P144,0,1,1,CÁLCULO.FrentesPreenchidas),15-13*ORÇAMENTO!$AF$7)))))</f>
        <v>1</v>
      </c>
      <c r="I144" s="468" t="s">
        <v>1191</v>
      </c>
      <c r="J144" s="651" t="str" cm="1">
        <f t="array" aca="1" ref="J144" ca="1">IF(OR(B144&lt;&gt;"S",CÁLCULO.FrentesPreenchidas=0),"",IF(AND(ACOMPANHAMENTO="PLE",AUTOEVENTO="Manual",OR(H144&gt;0,ORÇAMENTO!AC144="QUANT."),OR(K144="",M144=0,N144="")),"►E",IF(AND(ACOMPANHAMENTO="PLE",ORÇAMENTO!AC144="QUANT."),"►Q",IF(AND(ACOMPANHAMENTO="PLE",H144&lt;&gt;SUMPRODUCT(($Q$1:$AI$1=1)*ROUND(Q144:AI144,15))),"►S",IF(AND(COUNTIF($P$11:$AI$11,"▼")=0,H144&gt;0,I144=""),"◄M","")))))</f>
        <v/>
      </c>
      <c r="K144" s="652" t="s">
        <v>1349</v>
      </c>
      <c r="L144" s="165">
        <f t="shared" ca="1" si="15"/>
        <v>129</v>
      </c>
      <c r="M144" s="166">
        <f ca="1">IF($D144&lt;&gt;"Serviço","",
          IF(AUTOEVENTO="manual",$A144,
                IF(ISERROR(MATCH($A144,$A$15:OFFSET($A144,-1,0),0)),MAX($M$15:OFFSET(M144,-1,0))+1,
                      INDEX($M$15:OFFSET(M144,-1,0),MATCH($A144,$A$15:OFFSET($A144,-1,0),0)))))</f>
        <v>27</v>
      </c>
      <c r="N144" s="167" t="str">
        <f ca="1">IF($D144&lt;&gt;"Serviço","",
         IF(AUTOEVENTO="Manual",
                IF($A144=0,"&lt;-- defina o número do agrupador",
                       OFFSET(EVENTOS!$D$15,$A144-$A$15,0)),
                OFFSET($F$15,$A144,0)))</f>
        <v>Esquadrias</v>
      </c>
      <c r="O144" s="168"/>
      <c r="Q144" s="168"/>
      <c r="R144" s="169"/>
      <c r="S144" s="169"/>
      <c r="T144" s="169"/>
      <c r="U144" s="169"/>
      <c r="V144" s="169">
        <v>1</v>
      </c>
      <c r="W144" s="169"/>
      <c r="X144" s="169"/>
      <c r="Y144" s="169"/>
      <c r="Z144" s="170"/>
      <c r="AA144" s="705"/>
      <c r="AB144" s="705"/>
      <c r="AC144" s="705"/>
      <c r="AD144" s="705"/>
      <c r="AE144" s="705"/>
      <c r="AF144" s="705"/>
      <c r="AG144" s="705"/>
      <c r="AH144" s="706"/>
      <c r="AJ144" s="453">
        <f ca="1">IF(AND($D144="Serviço",AJ$12&lt;&gt;0,$H144&gt;0,OR(AUTOEVENTO&lt;&gt;"manual",$M144&lt;&gt;$A$15)),
        IF(Import.TipoArredondamento&lt;&gt;"TransfereGOV",
              ROUND(OFFSET($P144,0,AJ$13),15-13*ORÇAMENTO!$AF$7)/$H144*OFFSET(ORÇAMENTO!$X$15,ROW(AJ144)-ROW(AJ$15),0),
              ROUND(ROUND(OFFSET($P144,0,AJ$13),15-13*ORÇAMENTO!$AF$7)*OFFSET(ORÇAMENTO!$W$15,ROW(AJ144)-ROW(AJ$15),0),15-13*ORÇAMENTO!$AF$11)),
         0)</f>
        <v>0</v>
      </c>
      <c r="AK144" s="453">
        <f ca="1">IF(AND($D144="Serviço",AK$12&lt;&gt;0,$H144&gt;0,OR(AUTOEVENTO&lt;&gt;"manual",$M144&lt;&gt;$A$15)),
        IF(Import.TipoArredondamento&lt;&gt;"TransfereGOV",
              ROUND(OFFSET($P144,0,AK$13),15-13*ORÇAMENTO!$AF$7)/$H144*OFFSET(ORÇAMENTO!$X$15,ROW(AK144)-ROW(AK$15),0),
              ROUND(ROUND(OFFSET($P144,0,AK$13),15-13*ORÇAMENTO!$AF$7)*OFFSET(ORÇAMENTO!$W$15,ROW(AK144)-ROW(AK$15),0),15-13*ORÇAMENTO!$AF$11)),
         0)</f>
        <v>0</v>
      </c>
      <c r="AL144" s="453">
        <f ca="1">IF(AND($D144="Serviço",AL$12&lt;&gt;0,$H144&gt;0,OR(AUTOEVENTO&lt;&gt;"manual",$M144&lt;&gt;$A$15)),
        IF(Import.TipoArredondamento&lt;&gt;"TransfereGOV",
              ROUND(OFFSET($P144,0,AL$13),15-13*ORÇAMENTO!$AF$7)/$H144*OFFSET(ORÇAMENTO!$X$15,ROW(AL144)-ROW(AL$15),0),
              ROUND(ROUND(OFFSET($P144,0,AL$13),15-13*ORÇAMENTO!$AF$7)*OFFSET(ORÇAMENTO!$W$15,ROW(AL144)-ROW(AL$15),0),15-13*ORÇAMENTO!$AF$11)),
         0)</f>
        <v>0</v>
      </c>
      <c r="AM144" s="453">
        <f ca="1">IF(AND($D144="Serviço",AM$12&lt;&gt;0,$H144&gt;0,OR(AUTOEVENTO&lt;&gt;"manual",$M144&lt;&gt;$A$15)),
        IF(Import.TipoArredondamento&lt;&gt;"TransfereGOV",
              ROUND(OFFSET($P144,0,AM$13),15-13*ORÇAMENTO!$AF$7)/$H144*OFFSET(ORÇAMENTO!$X$15,ROW(AM144)-ROW(AM$15),0),
              ROUND(ROUND(OFFSET($P144,0,AM$13),15-13*ORÇAMENTO!$AF$7)*OFFSET(ORÇAMENTO!$W$15,ROW(AM144)-ROW(AM$15),0),15-13*ORÇAMENTO!$AF$11)),
         0)</f>
        <v>0</v>
      </c>
      <c r="AN144" s="453">
        <f ca="1">IF(AND($D144="Serviço",AN$12&lt;&gt;0,$H144&gt;0,OR(AUTOEVENTO&lt;&gt;"manual",$M144&lt;&gt;$A$15)),
        IF(Import.TipoArredondamento&lt;&gt;"TransfereGOV",
              ROUND(OFFSET($P144,0,AN$13),15-13*ORÇAMENTO!$AF$7)/$H144*OFFSET(ORÇAMENTO!$X$15,ROW(AN144)-ROW(AN$15),0),
              ROUND(ROUND(OFFSET($P144,0,AN$13),15-13*ORÇAMENTO!$AF$7)*OFFSET(ORÇAMENTO!$W$15,ROW(AN144)-ROW(AN$15),0),15-13*ORÇAMENTO!$AF$11)),
         0)</f>
        <v>0</v>
      </c>
      <c r="AO144" s="453">
        <f ca="1">IF(AND($D144="Serviço",AO$12&lt;&gt;0,$H144&gt;0,OR(AUTOEVENTO&lt;&gt;"manual",$M144&lt;&gt;$A$15)),
        IF(Import.TipoArredondamento&lt;&gt;"TransfereGOV",
              ROUND(OFFSET($P144,0,AO$13),15-13*ORÇAMENTO!$AF$7)/$H144*OFFSET(ORÇAMENTO!$X$15,ROW(AO144)-ROW(AO$15),0),
              ROUND(ROUND(OFFSET($P144,0,AO$13),15-13*ORÇAMENTO!$AF$7)*OFFSET(ORÇAMENTO!$W$15,ROW(AO144)-ROW(AO$15),0),15-13*ORÇAMENTO!$AF$11)),
         0)</f>
        <v>618.75</v>
      </c>
      <c r="AP144" s="453">
        <f ca="1">IF(AND($D144="Serviço",AP$12&lt;&gt;0,$H144&gt;0,OR(AUTOEVENTO&lt;&gt;"manual",$M144&lt;&gt;$A$15)),
        IF(Import.TipoArredondamento&lt;&gt;"TransfereGOV",
              ROUND(OFFSET($P144,0,AP$13),15-13*ORÇAMENTO!$AF$7)/$H144*OFFSET(ORÇAMENTO!$X$15,ROW(AP144)-ROW(AP$15),0),
              ROUND(ROUND(OFFSET($P144,0,AP$13),15-13*ORÇAMENTO!$AF$7)*OFFSET(ORÇAMENTO!$W$15,ROW(AP144)-ROW(AP$15),0),15-13*ORÇAMENTO!$AF$11)),
         0)</f>
        <v>0</v>
      </c>
      <c r="AQ144" s="453">
        <f ca="1">IF(AND($D144="Serviço",AQ$12&lt;&gt;0,$H144&gt;0,OR(AUTOEVENTO&lt;&gt;"manual",$M144&lt;&gt;$A$15)),
        IF(Import.TipoArredondamento&lt;&gt;"TransfereGOV",
              ROUND(OFFSET($P144,0,AQ$13),15-13*ORÇAMENTO!$AF$7)/$H144*OFFSET(ORÇAMENTO!$X$15,ROW(AQ144)-ROW(AQ$15),0),
              ROUND(ROUND(OFFSET($P144,0,AQ$13),15-13*ORÇAMENTO!$AF$7)*OFFSET(ORÇAMENTO!$W$15,ROW(AQ144)-ROW(AQ$15),0),15-13*ORÇAMENTO!$AF$11)),
         0)</f>
        <v>0</v>
      </c>
      <c r="AR144" s="453">
        <f ca="1">IF(AND($D144="Serviço",AR$12&lt;&gt;0,$H144&gt;0,OR(AUTOEVENTO&lt;&gt;"manual",$M144&lt;&gt;$A$15)),
        IF(Import.TipoArredondamento&lt;&gt;"TransfereGOV",
              ROUND(OFFSET($P144,0,AR$13),15-13*ORÇAMENTO!$AF$7)/$H144*OFFSET(ORÇAMENTO!$X$15,ROW(AR144)-ROW(AR$15),0),
              ROUND(ROUND(OFFSET($P144,0,AR$13),15-13*ORÇAMENTO!$AF$7)*OFFSET(ORÇAMENTO!$W$15,ROW(AR144)-ROW(AR$15),0),15-13*ORÇAMENTO!$AF$11)),
         0)</f>
        <v>0</v>
      </c>
      <c r="AS144" s="453">
        <f ca="1">IF(AND($D144="Serviço",AS$12&lt;&gt;0,$H144&gt;0,OR(AUTOEVENTO&lt;&gt;"manual",$M144&lt;&gt;$A$15)),
        IF(Import.TipoArredondamento&lt;&gt;"TransfereGOV",
              ROUND(OFFSET($P144,0,AS$13),15-13*ORÇAMENTO!$AF$7)/$H144*OFFSET(ORÇAMENTO!$X$15,ROW(AS144)-ROW(AS$15),0),
              ROUND(ROUND(OFFSET($P144,0,AS$13),15-13*ORÇAMENTO!$AF$7)*OFFSET(ORÇAMENTO!$W$15,ROW(AS144)-ROW(AS$15),0),15-13*ORÇAMENTO!$AF$11)),
         0)</f>
        <v>0</v>
      </c>
      <c r="AT144" s="453">
        <f ca="1">IF(AND($D144="Serviço",AT$12&lt;&gt;0,$H144&gt;0,OR(AUTOEVENTO&lt;&gt;"manual",$M144&lt;&gt;$A$15)),
        IF(Import.TipoArredondamento&lt;&gt;"TransfereGOV",
              ROUND(OFFSET($P144,0,AT$13),15-13*ORÇAMENTO!$AF$7)/$H144*OFFSET(ORÇAMENTO!$X$15,ROW(AT144)-ROW(AT$15),0),
              ROUND(ROUND(OFFSET($P144,0,AT$13),15-13*ORÇAMENTO!$AF$7)*OFFSET(ORÇAMENTO!$W$15,ROW(AT144)-ROW(AT$15),0),15-13*ORÇAMENTO!$AF$11)),
         0)</f>
        <v>0</v>
      </c>
      <c r="AU144" s="453">
        <f ca="1">IF(AND($D144="Serviço",AU$12&lt;&gt;0,$H144&gt;0,OR(AUTOEVENTO&lt;&gt;"manual",$M144&lt;&gt;$A$15)),
        IF(Import.TipoArredondamento&lt;&gt;"TransfereGOV",
              ROUND(OFFSET($P144,0,AU$13),15-13*ORÇAMENTO!$AF$7)/$H144*OFFSET(ORÇAMENTO!$X$15,ROW(AU144)-ROW(AU$15),0),
              ROUND(ROUND(OFFSET($P144,0,AU$13),15-13*ORÇAMENTO!$AF$7)*OFFSET(ORÇAMENTO!$W$15,ROW(AU144)-ROW(AU$15),0),15-13*ORÇAMENTO!$AF$11)),
         0)</f>
        <v>0</v>
      </c>
      <c r="AV144" s="453">
        <f ca="1">IF(AND($D144="Serviço",AV$12&lt;&gt;0,$H144&gt;0,OR(AUTOEVENTO&lt;&gt;"manual",$M144&lt;&gt;$A$15)),
        IF(Import.TipoArredondamento&lt;&gt;"TransfereGOV",
              ROUND(OFFSET($P144,0,AV$13),15-13*ORÇAMENTO!$AF$7)/$H144*OFFSET(ORÇAMENTO!$X$15,ROW(AV144)-ROW(AV$15),0),
              ROUND(ROUND(OFFSET($P144,0,AV$13),15-13*ORÇAMENTO!$AF$7)*OFFSET(ORÇAMENTO!$W$15,ROW(AV144)-ROW(AV$15),0),15-13*ORÇAMENTO!$AF$11)),
         0)</f>
        <v>0</v>
      </c>
      <c r="AW144" s="453">
        <f ca="1">IF(AND($D144="Serviço",AW$12&lt;&gt;0,$H144&gt;0,OR(AUTOEVENTO&lt;&gt;"manual",$M144&lt;&gt;$A$15)),
        IF(Import.TipoArredondamento&lt;&gt;"TransfereGOV",
              ROUND(OFFSET($P144,0,AW$13),15-13*ORÇAMENTO!$AF$7)/$H144*OFFSET(ORÇAMENTO!$X$15,ROW(AW144)-ROW(AW$15),0),
              ROUND(ROUND(OFFSET($P144,0,AW$13),15-13*ORÇAMENTO!$AF$7)*OFFSET(ORÇAMENTO!$W$15,ROW(AW144)-ROW(AW$15),0),15-13*ORÇAMENTO!$AF$11)),
         0)</f>
        <v>0</v>
      </c>
      <c r="AX144" s="453">
        <f ca="1">IF(AND($D144="Serviço",AX$12&lt;&gt;0,$H144&gt;0,OR(AUTOEVENTO&lt;&gt;"manual",$M144&lt;&gt;$A$15)),
        IF(Import.TipoArredondamento&lt;&gt;"TransfereGOV",
              ROUND(OFFSET($P144,0,AX$13),15-13*ORÇAMENTO!$AF$7)/$H144*OFFSET(ORÇAMENTO!$X$15,ROW(AX144)-ROW(AX$15),0),
              ROUND(ROUND(OFFSET($P144,0,AX$13),15-13*ORÇAMENTO!$AF$7)*OFFSET(ORÇAMENTO!$W$15,ROW(AX144)-ROW(AX$15),0),15-13*ORÇAMENTO!$AF$11)),
         0)</f>
        <v>0</v>
      </c>
      <c r="AY144" s="453">
        <f ca="1">IF(AND($D144="Serviço",AY$12&lt;&gt;0,$H144&gt;0,OR(AUTOEVENTO&lt;&gt;"manual",$M144&lt;&gt;$A$15)),
        IF(Import.TipoArredondamento&lt;&gt;"TransfereGOV",
              ROUND(OFFSET($P144,0,AY$13),15-13*ORÇAMENTO!$AF$7)/$H144*OFFSET(ORÇAMENTO!$X$15,ROW(AY144)-ROW(AY$15),0),
              ROUND(ROUND(OFFSET($P144,0,AY$13),15-13*ORÇAMENTO!$AF$7)*OFFSET(ORÇAMENTO!$W$15,ROW(AY144)-ROW(AY$15),0),15-13*ORÇAMENTO!$AF$11)),
         0)</f>
        <v>0</v>
      </c>
      <c r="AZ144" s="453">
        <f ca="1">IF(AND($D144="Serviço",AZ$12&lt;&gt;0,$H144&gt;0,OR(AUTOEVENTO&lt;&gt;"manual",$M144&lt;&gt;$A$15)),
        IF(Import.TipoArredondamento&lt;&gt;"TransfereGOV",
              ROUND(OFFSET($P144,0,AZ$13),15-13*ORÇAMENTO!$AF$7)/$H144*OFFSET(ORÇAMENTO!$X$15,ROW(AZ144)-ROW(AZ$15),0),
              ROUND(ROUND(OFFSET($P144,0,AZ$13),15-13*ORÇAMENTO!$AF$7)*OFFSET(ORÇAMENTO!$W$15,ROW(AZ144)-ROW(AZ$15),0),15-13*ORÇAMENTO!$AF$11)),
         0)</f>
        <v>0</v>
      </c>
      <c r="BA144" s="453">
        <f ca="1">IF(AND($D144="Serviço",BA$12&lt;&gt;0,$H144&gt;0,OR(AUTOEVENTO&lt;&gt;"manual",$M144&lt;&gt;$A$15)),
        IF(Import.TipoArredondamento&lt;&gt;"TransfereGOV",
              ROUND(OFFSET($P144,0,BA$13),15-13*ORÇAMENTO!$AF$7)/$H144*OFFSET(ORÇAMENTO!$X$15,ROW(BA144)-ROW(BA$15),0),
              ROUND(ROUND(OFFSET($P144,0,BA$13),15-13*ORÇAMENTO!$AF$7)*OFFSET(ORÇAMENTO!$W$15,ROW(BA144)-ROW(BA$15),0),15-13*ORÇAMENTO!$AF$11)),
         0)</f>
        <v>0</v>
      </c>
      <c r="BC144" s="171">
        <f ca="1">IF(OR($D144&lt;&gt;"Serviço",AND(AUTOEVENTO="Manual",$M144=$A$15)),0,
         IF(OFFSET(CRONOPLE!$F$15,$M144-$A$15,BC$13)=0,10^12,OFFSET(CRONOPLE!$F$15,$M144-$A$15,BC$13)))</f>
        <v>1000000000000</v>
      </c>
      <c r="BD144" s="171">
        <f ca="1">IF(OR($D144&lt;&gt;"Serviço",AND(AUTOEVENTO="Manual",$M144=$A$15)),0,
         IF(OFFSET(CRONOPLE!$F$15,$M144-$A$15,BD$13)=0,10^12,OFFSET(CRONOPLE!$F$15,$M144-$A$15,BD$13)))</f>
        <v>1000000000000</v>
      </c>
      <c r="BE144" s="171">
        <f ca="1">IF(OR($D144&lt;&gt;"Serviço",AND(AUTOEVENTO="Manual",$M144=$A$15)),0,
         IF(OFFSET(CRONOPLE!$F$15,$M144-$A$15,BE$13)=0,10^12,OFFSET(CRONOPLE!$F$15,$M144-$A$15,BE$13)))</f>
        <v>1000000000000</v>
      </c>
      <c r="BF144" s="171">
        <f ca="1">IF(OR($D144&lt;&gt;"Serviço",AND(AUTOEVENTO="Manual",$M144=$A$15)),0,
         IF(OFFSET(CRONOPLE!$F$15,$M144-$A$15,BF$13)=0,10^12,OFFSET(CRONOPLE!$F$15,$M144-$A$15,BF$13)))</f>
        <v>4</v>
      </c>
      <c r="BG144" s="171">
        <f ca="1">IF(OR($D144&lt;&gt;"Serviço",AND(AUTOEVENTO="Manual",$M144=$A$15)),0,
         IF(OFFSET(CRONOPLE!$F$15,$M144-$A$15,BG$13)=0,10^12,OFFSET(CRONOPLE!$F$15,$M144-$A$15,BG$13)))</f>
        <v>1000000000000</v>
      </c>
      <c r="BH144" s="171">
        <f ca="1">IF(OR($D144&lt;&gt;"Serviço",AND(AUTOEVENTO="Manual",$M144=$A$15)),0,
         IF(OFFSET(CRONOPLE!$F$15,$M144-$A$15,BH$13)=0,10^12,OFFSET(CRONOPLE!$F$15,$M144-$A$15,BH$13)))</f>
        <v>10</v>
      </c>
      <c r="BI144" s="171">
        <f ca="1">IF(OR($D144&lt;&gt;"Serviço",AND(AUTOEVENTO="Manual",$M144=$A$15)),0,
         IF(OFFSET(CRONOPLE!$F$15,$M144-$A$15,BI$13)=0,10^12,OFFSET(CRONOPLE!$F$15,$M144-$A$15,BI$13)))</f>
        <v>1000000000000</v>
      </c>
      <c r="BJ144" s="171">
        <f ca="1">IF(OR($D144&lt;&gt;"Serviço",AND(AUTOEVENTO="Manual",$M144=$A$15)),0,
         IF(OFFSET(CRONOPLE!$F$15,$M144-$A$15,BJ$13)=0,10^12,OFFSET(CRONOPLE!$F$15,$M144-$A$15,BJ$13)))</f>
        <v>1000000000000</v>
      </c>
      <c r="BK144" s="171">
        <f ca="1">IF(OR($D144&lt;&gt;"Serviço",AND(AUTOEVENTO="Manual",$M144=$A$15)),0,
         IF(OFFSET(CRONOPLE!$F$15,$M144-$A$15,BK$13)=0,10^12,OFFSET(CRONOPLE!$F$15,$M144-$A$15,BK$13)))</f>
        <v>1000000000000</v>
      </c>
      <c r="BL144" s="171">
        <f ca="1">IF(OR($D144&lt;&gt;"Serviço",AND(AUTOEVENTO="Manual",$M144=$A$15)),0,
         IF(OFFSET(CRONOPLE!$F$15,$M144-$A$15,BL$13)=0,10^12,OFFSET(CRONOPLE!$F$15,$M144-$A$15,BL$13)))</f>
        <v>1000000000000</v>
      </c>
      <c r="BM144" s="171">
        <f ca="1">IF(OR($D144&lt;&gt;"Serviço",AND(AUTOEVENTO="Manual",$M144=$A$15)),0,
         IF(OFFSET(CRONOPLE!$F$15,$M144-$A$15,BM$13)=0,10^12,OFFSET(CRONOPLE!$F$15,$M144-$A$15,BM$13)))</f>
        <v>1000000000000</v>
      </c>
      <c r="BN144" s="171">
        <f ca="1">IF(OR($D144&lt;&gt;"Serviço",AND(AUTOEVENTO="Manual",$M144=$A$15)),0,
         IF(OFFSET(CRONOPLE!$F$15,$M144-$A$15,BN$13)=0,10^12,OFFSET(CRONOPLE!$F$15,$M144-$A$15,BN$13)))</f>
        <v>1000000000000</v>
      </c>
      <c r="BO144" s="171">
        <f ca="1">IF(OR($D144&lt;&gt;"Serviço",AND(AUTOEVENTO="Manual",$M144=$A$15)),0,
         IF(OFFSET(CRONOPLE!$F$15,$M144-$A$15,BO$13)=0,10^12,OFFSET(CRONOPLE!$F$15,$M144-$A$15,BO$13)))</f>
        <v>1000000000000</v>
      </c>
      <c r="BP144" s="171">
        <f ca="1">IF(OR($D144&lt;&gt;"Serviço",AND(AUTOEVENTO="Manual",$M144=$A$15)),0,
         IF(OFFSET(CRONOPLE!$F$15,$M144-$A$15,BP$13)=0,10^12,OFFSET(CRONOPLE!$F$15,$M144-$A$15,BP$13)))</f>
        <v>1000000000000</v>
      </c>
      <c r="BQ144" s="171">
        <f ca="1">IF(OR($D144&lt;&gt;"Serviço",AND(AUTOEVENTO="Manual",$M144=$A$15)),0,
         IF(OFFSET(CRONOPLE!$F$15,$M144-$A$15,BQ$13)=0,10^12,OFFSET(CRONOPLE!$F$15,$M144-$A$15,BQ$13)))</f>
        <v>1000000000000</v>
      </c>
      <c r="BR144" s="171">
        <f ca="1">IF(OR($D144&lt;&gt;"Serviço",AND(AUTOEVENTO="Manual",$M144=$A$15)),0,
         IF(OFFSET(CRONOPLE!$F$15,$M144-$A$15,BR$13)=0,10^12,OFFSET(CRONOPLE!$F$15,$M144-$A$15,BR$13)))</f>
        <v>1000000000000</v>
      </c>
      <c r="BS144" s="171">
        <f ca="1">IF(OR($D144&lt;&gt;"Serviço",AND(AUTOEVENTO="Manual",$M144=$A$15)),0,
         IF(OFFSET(CRONOPLE!$F$15,$M144-$A$15,BS$13)=0,10^12,OFFSET(CRONOPLE!$F$15,$M144-$A$15,BS$13)))</f>
        <v>1000000000000</v>
      </c>
      <c r="BT144" s="171">
        <f ca="1">IF(OR($D144&lt;&gt;"Serviço",AND(AUTOEVENTO="Manual",$M144=$A$15)),0,
         IF(OFFSET(CRONOPLE!$F$15,$M144-$A$15,BT$13)=0,10^12,OFFSET(CRONOPLE!$F$15,$M144-$A$15,BT$13)))</f>
        <v>1000000000000</v>
      </c>
      <c r="BV144" s="172" cm="1">
        <f t="array" aca="1" ref="BV144" ca="1">IF(OR($D144&lt;&gt;"Serviço",AND(AUTOEVENTO="Manual",$M144=$A$15),$M144&gt;(ROW(PLE.lastrow)-ROW(PLE.firstrow))),0,
           IF(OFFSET(PLE!$G$15,$M144-$A$15,BV$13)="",10^12,OFFSET(PLE!$G$15,$M144-$A$15,BV$13)))</f>
        <v>1000000000000</v>
      </c>
      <c r="BW144" s="172" cm="1">
        <f t="array" aca="1" ref="BW144" ca="1">IF(OR($D144&lt;&gt;"Serviço",AND(AUTOEVENTO="Manual",$M144=$A$15),$M144&gt;(ROW(PLE.lastrow)-ROW(PLE.firstrow))),0,
           IF(OFFSET(PLE!$G$15,$M144-$A$15,BW$13)="",10^12,OFFSET(PLE!$G$15,$M144-$A$15,BW$13)))</f>
        <v>1000000000000</v>
      </c>
      <c r="BX144" s="172" cm="1">
        <f t="array" aca="1" ref="BX144" ca="1">IF(OR($D144&lt;&gt;"Serviço",AND(AUTOEVENTO="Manual",$M144=$A$15),$M144&gt;(ROW(PLE.lastrow)-ROW(PLE.firstrow))),0,
           IF(OFFSET(PLE!$G$15,$M144-$A$15,BX$13)="",10^12,OFFSET(PLE!$G$15,$M144-$A$15,BX$13)))</f>
        <v>1000000000000</v>
      </c>
      <c r="BY144" s="172" cm="1">
        <f t="array" aca="1" ref="BY144" ca="1">IF(OR($D144&lt;&gt;"Serviço",AND(AUTOEVENTO="Manual",$M144=$A$15),$M144&gt;(ROW(PLE.lastrow)-ROW(PLE.firstrow))),0,
           IF(OFFSET(PLE!$G$15,$M144-$A$15,BY$13)="",10^12,OFFSET(PLE!$G$15,$M144-$A$15,BY$13)))</f>
        <v>1000000000000</v>
      </c>
      <c r="BZ144" s="172" cm="1">
        <f t="array" aca="1" ref="BZ144" ca="1">IF(OR($D144&lt;&gt;"Serviço",AND(AUTOEVENTO="Manual",$M144=$A$15),$M144&gt;(ROW(PLE.lastrow)-ROW(PLE.firstrow))),0,
           IF(OFFSET(PLE!$G$15,$M144-$A$15,BZ$13)="",10^12,OFFSET(PLE!$G$15,$M144-$A$15,BZ$13)))</f>
        <v>1000000000000</v>
      </c>
      <c r="CA144" s="172" cm="1">
        <f t="array" aca="1" ref="CA144" ca="1">IF(OR($D144&lt;&gt;"Serviço",AND(AUTOEVENTO="Manual",$M144=$A$15),$M144&gt;(ROW(PLE.lastrow)-ROW(PLE.firstrow))),0,
           IF(OFFSET(PLE!$G$15,$M144-$A$15,CA$13)="",10^12,OFFSET(PLE!$G$15,$M144-$A$15,CA$13)))</f>
        <v>1000000000000</v>
      </c>
      <c r="CB144" s="172" cm="1">
        <f t="array" aca="1" ref="CB144" ca="1">IF(OR($D144&lt;&gt;"Serviço",AND(AUTOEVENTO="Manual",$M144=$A$15),$M144&gt;(ROW(PLE.lastrow)-ROW(PLE.firstrow))),0,
           IF(OFFSET(PLE!$G$15,$M144-$A$15,CB$13)="",10^12,OFFSET(PLE!$G$15,$M144-$A$15,CB$13)))</f>
        <v>1000000000000</v>
      </c>
      <c r="CC144" s="172" cm="1">
        <f t="array" aca="1" ref="CC144" ca="1">IF(OR($D144&lt;&gt;"Serviço",AND(AUTOEVENTO="Manual",$M144=$A$15),$M144&gt;(ROW(PLE.lastrow)-ROW(PLE.firstrow))),0,
           IF(OFFSET(PLE!$G$15,$M144-$A$15,CC$13)="",10^12,OFFSET(PLE!$G$15,$M144-$A$15,CC$13)))</f>
        <v>1000000000000</v>
      </c>
      <c r="CD144" s="172" cm="1">
        <f t="array" aca="1" ref="CD144" ca="1">IF(OR($D144&lt;&gt;"Serviço",AND(AUTOEVENTO="Manual",$M144=$A$15),$M144&gt;(ROW(PLE.lastrow)-ROW(PLE.firstrow))),0,
           IF(OFFSET(PLE!$G$15,$M144-$A$15,CD$13)="",10^12,OFFSET(PLE!$G$15,$M144-$A$15,CD$13)))</f>
        <v>1000000000000</v>
      </c>
      <c r="CE144" s="172" cm="1">
        <f t="array" aca="1" ref="CE144" ca="1">IF(OR($D144&lt;&gt;"Serviço",AND(AUTOEVENTO="Manual",$M144=$A$15),$M144&gt;(ROW(PLE.lastrow)-ROW(PLE.firstrow))),0,
           IF(OFFSET(PLE!$G$15,$M144-$A$15,CE$13)="",10^12,OFFSET(PLE!$G$15,$M144-$A$15,CE$13)))</f>
        <v>1000000000000</v>
      </c>
      <c r="CF144" s="172" cm="1">
        <f t="array" aca="1" ref="CF144" ca="1">IF(OR($D144&lt;&gt;"Serviço",AND(AUTOEVENTO="Manual",$M144=$A$15),$M144&gt;(ROW(PLE.lastrow)-ROW(PLE.firstrow))),0,
           IF(OFFSET(PLE!$G$15,$M144-$A$15,CF$13)="",10^12,OFFSET(PLE!$G$15,$M144-$A$15,CF$13)))</f>
        <v>1000000000000</v>
      </c>
      <c r="CG144" s="172" cm="1">
        <f t="array" aca="1" ref="CG144" ca="1">IF(OR($D144&lt;&gt;"Serviço",AND(AUTOEVENTO="Manual",$M144=$A$15),$M144&gt;(ROW(PLE.lastrow)-ROW(PLE.firstrow))),0,
           IF(OFFSET(PLE!$G$15,$M144-$A$15,CG$13)="",10^12,OFFSET(PLE!$G$15,$M144-$A$15,CG$13)))</f>
        <v>1000000000000</v>
      </c>
      <c r="CH144" s="172" cm="1">
        <f t="array" aca="1" ref="CH144" ca="1">IF(OR($D144&lt;&gt;"Serviço",AND(AUTOEVENTO="Manual",$M144=$A$15),$M144&gt;(ROW(PLE.lastrow)-ROW(PLE.firstrow))),0,
           IF(OFFSET(PLE!$G$15,$M144-$A$15,CH$13)="",10^12,OFFSET(PLE!$G$15,$M144-$A$15,CH$13)))</f>
        <v>1000000000000</v>
      </c>
      <c r="CI144" s="172" cm="1">
        <f t="array" aca="1" ref="CI144" ca="1">IF(OR($D144&lt;&gt;"Serviço",AND(AUTOEVENTO="Manual",$M144=$A$15),$M144&gt;(ROW(PLE.lastrow)-ROW(PLE.firstrow))),0,
           IF(OFFSET(PLE!$G$15,$M144-$A$15,CI$13)="",10^12,OFFSET(PLE!$G$15,$M144-$A$15,CI$13)))</f>
        <v>1000000000000</v>
      </c>
      <c r="CJ144" s="172" cm="1">
        <f t="array" aca="1" ref="CJ144" ca="1">IF(OR($D144&lt;&gt;"Serviço",AND(AUTOEVENTO="Manual",$M144=$A$15),$M144&gt;(ROW(PLE.lastrow)-ROW(PLE.firstrow))),0,
           IF(OFFSET(PLE!$G$15,$M144-$A$15,CJ$13)="",10^12,OFFSET(PLE!$G$15,$M144-$A$15,CJ$13)))</f>
        <v>1000000000000</v>
      </c>
      <c r="CK144" s="172" cm="1">
        <f t="array" aca="1" ref="CK144" ca="1">IF(OR($D144&lt;&gt;"Serviço",AND(AUTOEVENTO="Manual",$M144=$A$15),$M144&gt;(ROW(PLE.lastrow)-ROW(PLE.firstrow))),0,
           IF(OFFSET(PLE!$G$15,$M144-$A$15,CK$13)="",10^12,OFFSET(PLE!$G$15,$M144-$A$15,CK$13)))</f>
        <v>1000000000000</v>
      </c>
      <c r="CL144" s="172" cm="1">
        <f t="array" aca="1" ref="CL144" ca="1">IF(OR($D144&lt;&gt;"Serviço",AND(AUTOEVENTO="Manual",$M144=$A$15),$M144&gt;(ROW(PLE.lastrow)-ROW(PLE.firstrow))),0,
           IF(OFFSET(PLE!$G$15,$M144-$A$15,CL$13)="",10^12,OFFSET(PLE!$G$15,$M144-$A$15,CL$13)))</f>
        <v>1000000000000</v>
      </c>
      <c r="CM144" s="172" cm="1">
        <f t="array" aca="1" ref="CM144" ca="1">IF(OR($D144&lt;&gt;"Serviço",AND(AUTOEVENTO="Manual",$M144=$A$15),$M144&gt;(ROW(PLE.lastrow)-ROW(PLE.firstrow))),0,
           IF(OFFSET(PLE!$G$15,$M144-$A$15,CM$13)="",10^12,OFFSET(PLE!$G$15,$M144-$A$15,CM$13)))</f>
        <v>1000000000000</v>
      </c>
    </row>
    <row r="145" spans="1:91" s="670" customFormat="1" ht="25.5" x14ac:dyDescent="0.2">
      <c r="A145" s="668">
        <f t="shared" ca="1" si="14"/>
        <v>0</v>
      </c>
      <c r="B145" s="668">
        <f ca="1">OFFSET(ORÇAMENTO!C$15,$L145,0)</f>
        <v>2</v>
      </c>
      <c r="C145" s="668" t="str">
        <f ca="1">OFFSET(ORÇAMENTO!L$15,$L145,0)</f>
        <v>F</v>
      </c>
      <c r="D145" s="116" t="str">
        <f ca="1">OFFSET(ORÇAMENTO!N$15,$L145,0)</f>
        <v>Nível 2</v>
      </c>
      <c r="E145" s="117" t="str">
        <f ca="1">OFFSET(ORÇAMENTO!O$15,$L145,0)</f>
        <v>1.19.</v>
      </c>
      <c r="F145" s="163" t="str">
        <f ca="1">OFFSET(ORÇAMENTO!R$15,$L145,0)</f>
        <v>REVESTIMENTO INTERNO E EXTERNO - Estação Elevatória de Água Tratada</v>
      </c>
      <c r="G145" s="164" t="str">
        <f ca="1">IF($D145&lt;&gt;"Serviço","",OFFSET(ORÇAMENTO!S$15,$L145,0))</f>
        <v/>
      </c>
      <c r="H145" s="122" cm="1">
        <f t="array" aca="1" ref="H145" ca="1">IF($D145&lt;&gt;"Serviço",0,IF(ACOMPANHAMENTO="BM",ROUND(OFFSET(ORÇAMENTO!AJ$15,$L145,0),15-13*ORÇAMENTO!$AF$7),IF(IFERROR(CÁLCULO.FrentesPreenchidas,0)=0,0,SUM(ROUND(OFFSET($P145,0,1,1,CÁLCULO.FrentesPreenchidas),15-13*ORÇAMENTO!$AF$7)))))</f>
        <v>0</v>
      </c>
      <c r="I145" s="468"/>
      <c r="J145" s="651" t="str" cm="1">
        <f t="array" aca="1" ref="J145" ca="1">IF(OR(B145&lt;&gt;"S",CÁLCULO.FrentesPreenchidas=0),"",IF(AND(ACOMPANHAMENTO="PLE",AUTOEVENTO="Manual",OR(H145&gt;0,ORÇAMENTO!AC145="QUANT."),OR(K145="",M145=0,N145="")),"►E",IF(AND(ACOMPANHAMENTO="PLE",ORÇAMENTO!AC145="QUANT."),"►Q",IF(AND(ACOMPANHAMENTO="PLE",H145&lt;&gt;SUMPRODUCT(($Q$1:$AI$1=1)*ROUND(Q145:AI145,15))),"►S",IF(AND(COUNTIF($P$11:$AI$11,"▼")=0,H145&gt;0,I145=""),"◄M","")))))</f>
        <v/>
      </c>
      <c r="K145" s="652"/>
      <c r="L145" s="165">
        <f t="shared" ca="1" si="15"/>
        <v>130</v>
      </c>
      <c r="M145" s="166" t="str">
        <f ca="1">IF($D145&lt;&gt;"Serviço","",
          IF(AUTOEVENTO="manual",$A145,
                IF(ISERROR(MATCH($A145,$A$15:OFFSET($A145,-1,0),0)),MAX($M$15:OFFSET(M145,-1,0))+1,
                      INDEX($M$15:OFFSET(M145,-1,0),MATCH($A145,$A$15:OFFSET($A145,-1,0),0)))))</f>
        <v/>
      </c>
      <c r="N145" s="167" t="str">
        <f ca="1">IF($D145&lt;&gt;"Serviço","",
         IF(AUTOEVENTO="Manual",
                IF($A145=0,"&lt;-- defina o número do agrupador",
                       OFFSET(EVENTOS!$D$15,$A145-$A$15,0)),
                OFFSET($F$15,$A145,0)))</f>
        <v/>
      </c>
      <c r="O145" s="168"/>
      <c r="Q145" s="168"/>
      <c r="R145" s="169"/>
      <c r="S145" s="169"/>
      <c r="T145" s="169"/>
      <c r="U145" s="169"/>
      <c r="V145" s="169" t="s">
        <v>250</v>
      </c>
      <c r="W145" s="169"/>
      <c r="X145" s="169"/>
      <c r="Y145" s="169"/>
      <c r="Z145" s="170"/>
      <c r="AA145" s="705"/>
      <c r="AB145" s="705"/>
      <c r="AC145" s="705"/>
      <c r="AD145" s="705"/>
      <c r="AE145" s="705"/>
      <c r="AF145" s="705"/>
      <c r="AG145" s="705"/>
      <c r="AH145" s="706"/>
      <c r="AJ145" s="453">
        <f ca="1">IF(AND($D145="Serviço",AJ$12&lt;&gt;0,$H145&gt;0,OR(AUTOEVENTO&lt;&gt;"manual",$M145&lt;&gt;$A$15)),
        IF(Import.TipoArredondamento&lt;&gt;"TransfereGOV",
              ROUND(OFFSET($P145,0,AJ$13),15-13*ORÇAMENTO!$AF$7)/$H145*OFFSET(ORÇAMENTO!$X$15,ROW(AJ145)-ROW(AJ$15),0),
              ROUND(ROUND(OFFSET($P145,0,AJ$13),15-13*ORÇAMENTO!$AF$7)*OFFSET(ORÇAMENTO!$W$15,ROW(AJ145)-ROW(AJ$15),0),15-13*ORÇAMENTO!$AF$11)),
         0)</f>
        <v>0</v>
      </c>
      <c r="AK145" s="453">
        <f ca="1">IF(AND($D145="Serviço",AK$12&lt;&gt;0,$H145&gt;0,OR(AUTOEVENTO&lt;&gt;"manual",$M145&lt;&gt;$A$15)),
        IF(Import.TipoArredondamento&lt;&gt;"TransfereGOV",
              ROUND(OFFSET($P145,0,AK$13),15-13*ORÇAMENTO!$AF$7)/$H145*OFFSET(ORÇAMENTO!$X$15,ROW(AK145)-ROW(AK$15),0),
              ROUND(ROUND(OFFSET($P145,0,AK$13),15-13*ORÇAMENTO!$AF$7)*OFFSET(ORÇAMENTO!$W$15,ROW(AK145)-ROW(AK$15),0),15-13*ORÇAMENTO!$AF$11)),
         0)</f>
        <v>0</v>
      </c>
      <c r="AL145" s="453">
        <f ca="1">IF(AND($D145="Serviço",AL$12&lt;&gt;0,$H145&gt;0,OR(AUTOEVENTO&lt;&gt;"manual",$M145&lt;&gt;$A$15)),
        IF(Import.TipoArredondamento&lt;&gt;"TransfereGOV",
              ROUND(OFFSET($P145,0,AL$13),15-13*ORÇAMENTO!$AF$7)/$H145*OFFSET(ORÇAMENTO!$X$15,ROW(AL145)-ROW(AL$15),0),
              ROUND(ROUND(OFFSET($P145,0,AL$13),15-13*ORÇAMENTO!$AF$7)*OFFSET(ORÇAMENTO!$W$15,ROW(AL145)-ROW(AL$15),0),15-13*ORÇAMENTO!$AF$11)),
         0)</f>
        <v>0</v>
      </c>
      <c r="AM145" s="453">
        <f ca="1">IF(AND($D145="Serviço",AM$12&lt;&gt;0,$H145&gt;0,OR(AUTOEVENTO&lt;&gt;"manual",$M145&lt;&gt;$A$15)),
        IF(Import.TipoArredondamento&lt;&gt;"TransfereGOV",
              ROUND(OFFSET($P145,0,AM$13),15-13*ORÇAMENTO!$AF$7)/$H145*OFFSET(ORÇAMENTO!$X$15,ROW(AM145)-ROW(AM$15),0),
              ROUND(ROUND(OFFSET($P145,0,AM$13),15-13*ORÇAMENTO!$AF$7)*OFFSET(ORÇAMENTO!$W$15,ROW(AM145)-ROW(AM$15),0),15-13*ORÇAMENTO!$AF$11)),
         0)</f>
        <v>0</v>
      </c>
      <c r="AN145" s="453">
        <f ca="1">IF(AND($D145="Serviço",AN$12&lt;&gt;0,$H145&gt;0,OR(AUTOEVENTO&lt;&gt;"manual",$M145&lt;&gt;$A$15)),
        IF(Import.TipoArredondamento&lt;&gt;"TransfereGOV",
              ROUND(OFFSET($P145,0,AN$13),15-13*ORÇAMENTO!$AF$7)/$H145*OFFSET(ORÇAMENTO!$X$15,ROW(AN145)-ROW(AN$15),0),
              ROUND(ROUND(OFFSET($P145,0,AN$13),15-13*ORÇAMENTO!$AF$7)*OFFSET(ORÇAMENTO!$W$15,ROW(AN145)-ROW(AN$15),0),15-13*ORÇAMENTO!$AF$11)),
         0)</f>
        <v>0</v>
      </c>
      <c r="AO145" s="453">
        <f ca="1">IF(AND($D145="Serviço",AO$12&lt;&gt;0,$H145&gt;0,OR(AUTOEVENTO&lt;&gt;"manual",$M145&lt;&gt;$A$15)),
        IF(Import.TipoArredondamento&lt;&gt;"TransfereGOV",
              ROUND(OFFSET($P145,0,AO$13),15-13*ORÇAMENTO!$AF$7)/$H145*OFFSET(ORÇAMENTO!$X$15,ROW(AO145)-ROW(AO$15),0),
              ROUND(ROUND(OFFSET($P145,0,AO$13),15-13*ORÇAMENTO!$AF$7)*OFFSET(ORÇAMENTO!$W$15,ROW(AO145)-ROW(AO$15),0),15-13*ORÇAMENTO!$AF$11)),
         0)</f>
        <v>0</v>
      </c>
      <c r="AP145" s="453">
        <f ca="1">IF(AND($D145="Serviço",AP$12&lt;&gt;0,$H145&gt;0,OR(AUTOEVENTO&lt;&gt;"manual",$M145&lt;&gt;$A$15)),
        IF(Import.TipoArredondamento&lt;&gt;"TransfereGOV",
              ROUND(OFFSET($P145,0,AP$13),15-13*ORÇAMENTO!$AF$7)/$H145*OFFSET(ORÇAMENTO!$X$15,ROW(AP145)-ROW(AP$15),0),
              ROUND(ROUND(OFFSET($P145,0,AP$13),15-13*ORÇAMENTO!$AF$7)*OFFSET(ORÇAMENTO!$W$15,ROW(AP145)-ROW(AP$15),0),15-13*ORÇAMENTO!$AF$11)),
         0)</f>
        <v>0</v>
      </c>
      <c r="AQ145" s="453">
        <f ca="1">IF(AND($D145="Serviço",AQ$12&lt;&gt;0,$H145&gt;0,OR(AUTOEVENTO&lt;&gt;"manual",$M145&lt;&gt;$A$15)),
        IF(Import.TipoArredondamento&lt;&gt;"TransfereGOV",
              ROUND(OFFSET($P145,0,AQ$13),15-13*ORÇAMENTO!$AF$7)/$H145*OFFSET(ORÇAMENTO!$X$15,ROW(AQ145)-ROW(AQ$15),0),
              ROUND(ROUND(OFFSET($P145,0,AQ$13),15-13*ORÇAMENTO!$AF$7)*OFFSET(ORÇAMENTO!$W$15,ROW(AQ145)-ROW(AQ$15),0),15-13*ORÇAMENTO!$AF$11)),
         0)</f>
        <v>0</v>
      </c>
      <c r="AR145" s="453">
        <f ca="1">IF(AND($D145="Serviço",AR$12&lt;&gt;0,$H145&gt;0,OR(AUTOEVENTO&lt;&gt;"manual",$M145&lt;&gt;$A$15)),
        IF(Import.TipoArredondamento&lt;&gt;"TransfereGOV",
              ROUND(OFFSET($P145,0,AR$13),15-13*ORÇAMENTO!$AF$7)/$H145*OFFSET(ORÇAMENTO!$X$15,ROW(AR145)-ROW(AR$15),0),
              ROUND(ROUND(OFFSET($P145,0,AR$13),15-13*ORÇAMENTO!$AF$7)*OFFSET(ORÇAMENTO!$W$15,ROW(AR145)-ROW(AR$15),0),15-13*ORÇAMENTO!$AF$11)),
         0)</f>
        <v>0</v>
      </c>
      <c r="AS145" s="453">
        <f ca="1">IF(AND($D145="Serviço",AS$12&lt;&gt;0,$H145&gt;0,OR(AUTOEVENTO&lt;&gt;"manual",$M145&lt;&gt;$A$15)),
        IF(Import.TipoArredondamento&lt;&gt;"TransfereGOV",
              ROUND(OFFSET($P145,0,AS$13),15-13*ORÇAMENTO!$AF$7)/$H145*OFFSET(ORÇAMENTO!$X$15,ROW(AS145)-ROW(AS$15),0),
              ROUND(ROUND(OFFSET($P145,0,AS$13),15-13*ORÇAMENTO!$AF$7)*OFFSET(ORÇAMENTO!$W$15,ROW(AS145)-ROW(AS$15),0),15-13*ORÇAMENTO!$AF$11)),
         0)</f>
        <v>0</v>
      </c>
      <c r="AT145" s="453">
        <f ca="1">IF(AND($D145="Serviço",AT$12&lt;&gt;0,$H145&gt;0,OR(AUTOEVENTO&lt;&gt;"manual",$M145&lt;&gt;$A$15)),
        IF(Import.TipoArredondamento&lt;&gt;"TransfereGOV",
              ROUND(OFFSET($P145,0,AT$13),15-13*ORÇAMENTO!$AF$7)/$H145*OFFSET(ORÇAMENTO!$X$15,ROW(AT145)-ROW(AT$15),0),
              ROUND(ROUND(OFFSET($P145,0,AT$13),15-13*ORÇAMENTO!$AF$7)*OFFSET(ORÇAMENTO!$W$15,ROW(AT145)-ROW(AT$15),0),15-13*ORÇAMENTO!$AF$11)),
         0)</f>
        <v>0</v>
      </c>
      <c r="AU145" s="453">
        <f ca="1">IF(AND($D145="Serviço",AU$12&lt;&gt;0,$H145&gt;0,OR(AUTOEVENTO&lt;&gt;"manual",$M145&lt;&gt;$A$15)),
        IF(Import.TipoArredondamento&lt;&gt;"TransfereGOV",
              ROUND(OFFSET($P145,0,AU$13),15-13*ORÇAMENTO!$AF$7)/$H145*OFFSET(ORÇAMENTO!$X$15,ROW(AU145)-ROW(AU$15),0),
              ROUND(ROUND(OFFSET($P145,0,AU$13),15-13*ORÇAMENTO!$AF$7)*OFFSET(ORÇAMENTO!$W$15,ROW(AU145)-ROW(AU$15),0),15-13*ORÇAMENTO!$AF$11)),
         0)</f>
        <v>0</v>
      </c>
      <c r="AV145" s="453">
        <f ca="1">IF(AND($D145="Serviço",AV$12&lt;&gt;0,$H145&gt;0,OR(AUTOEVENTO&lt;&gt;"manual",$M145&lt;&gt;$A$15)),
        IF(Import.TipoArredondamento&lt;&gt;"TransfereGOV",
              ROUND(OFFSET($P145,0,AV$13),15-13*ORÇAMENTO!$AF$7)/$H145*OFFSET(ORÇAMENTO!$X$15,ROW(AV145)-ROW(AV$15),0),
              ROUND(ROUND(OFFSET($P145,0,AV$13),15-13*ORÇAMENTO!$AF$7)*OFFSET(ORÇAMENTO!$W$15,ROW(AV145)-ROW(AV$15),0),15-13*ORÇAMENTO!$AF$11)),
         0)</f>
        <v>0</v>
      </c>
      <c r="AW145" s="453">
        <f ca="1">IF(AND($D145="Serviço",AW$12&lt;&gt;0,$H145&gt;0,OR(AUTOEVENTO&lt;&gt;"manual",$M145&lt;&gt;$A$15)),
        IF(Import.TipoArredondamento&lt;&gt;"TransfereGOV",
              ROUND(OFFSET($P145,0,AW$13),15-13*ORÇAMENTO!$AF$7)/$H145*OFFSET(ORÇAMENTO!$X$15,ROW(AW145)-ROW(AW$15),0),
              ROUND(ROUND(OFFSET($P145,0,AW$13),15-13*ORÇAMENTO!$AF$7)*OFFSET(ORÇAMENTO!$W$15,ROW(AW145)-ROW(AW$15),0),15-13*ORÇAMENTO!$AF$11)),
         0)</f>
        <v>0</v>
      </c>
      <c r="AX145" s="453">
        <f ca="1">IF(AND($D145="Serviço",AX$12&lt;&gt;0,$H145&gt;0,OR(AUTOEVENTO&lt;&gt;"manual",$M145&lt;&gt;$A$15)),
        IF(Import.TipoArredondamento&lt;&gt;"TransfereGOV",
              ROUND(OFFSET($P145,0,AX$13),15-13*ORÇAMENTO!$AF$7)/$H145*OFFSET(ORÇAMENTO!$X$15,ROW(AX145)-ROW(AX$15),0),
              ROUND(ROUND(OFFSET($P145,0,AX$13),15-13*ORÇAMENTO!$AF$7)*OFFSET(ORÇAMENTO!$W$15,ROW(AX145)-ROW(AX$15),0),15-13*ORÇAMENTO!$AF$11)),
         0)</f>
        <v>0</v>
      </c>
      <c r="AY145" s="453">
        <f ca="1">IF(AND($D145="Serviço",AY$12&lt;&gt;0,$H145&gt;0,OR(AUTOEVENTO&lt;&gt;"manual",$M145&lt;&gt;$A$15)),
        IF(Import.TipoArredondamento&lt;&gt;"TransfereGOV",
              ROUND(OFFSET($P145,0,AY$13),15-13*ORÇAMENTO!$AF$7)/$H145*OFFSET(ORÇAMENTO!$X$15,ROW(AY145)-ROW(AY$15),0),
              ROUND(ROUND(OFFSET($P145,0,AY$13),15-13*ORÇAMENTO!$AF$7)*OFFSET(ORÇAMENTO!$W$15,ROW(AY145)-ROW(AY$15),0),15-13*ORÇAMENTO!$AF$11)),
         0)</f>
        <v>0</v>
      </c>
      <c r="AZ145" s="453">
        <f ca="1">IF(AND($D145="Serviço",AZ$12&lt;&gt;0,$H145&gt;0,OR(AUTOEVENTO&lt;&gt;"manual",$M145&lt;&gt;$A$15)),
        IF(Import.TipoArredondamento&lt;&gt;"TransfereGOV",
              ROUND(OFFSET($P145,0,AZ$13),15-13*ORÇAMENTO!$AF$7)/$H145*OFFSET(ORÇAMENTO!$X$15,ROW(AZ145)-ROW(AZ$15),0),
              ROUND(ROUND(OFFSET($P145,0,AZ$13),15-13*ORÇAMENTO!$AF$7)*OFFSET(ORÇAMENTO!$W$15,ROW(AZ145)-ROW(AZ$15),0),15-13*ORÇAMENTO!$AF$11)),
         0)</f>
        <v>0</v>
      </c>
      <c r="BA145" s="453">
        <f ca="1">IF(AND($D145="Serviço",BA$12&lt;&gt;0,$H145&gt;0,OR(AUTOEVENTO&lt;&gt;"manual",$M145&lt;&gt;$A$15)),
        IF(Import.TipoArredondamento&lt;&gt;"TransfereGOV",
              ROUND(OFFSET($P145,0,BA$13),15-13*ORÇAMENTO!$AF$7)/$H145*OFFSET(ORÇAMENTO!$X$15,ROW(BA145)-ROW(BA$15),0),
              ROUND(ROUND(OFFSET($P145,0,BA$13),15-13*ORÇAMENTO!$AF$7)*OFFSET(ORÇAMENTO!$W$15,ROW(BA145)-ROW(BA$15),0),15-13*ORÇAMENTO!$AF$11)),
         0)</f>
        <v>0</v>
      </c>
      <c r="BC145" s="171">
        <f ca="1">IF(OR($D145&lt;&gt;"Serviço",AND(AUTOEVENTO="Manual",$M145=$A$15)),0,
         IF(OFFSET(CRONOPLE!$F$15,$M145-$A$15,BC$13)=0,10^12,OFFSET(CRONOPLE!$F$15,$M145-$A$15,BC$13)))</f>
        <v>0</v>
      </c>
      <c r="BD145" s="171">
        <f ca="1">IF(OR($D145&lt;&gt;"Serviço",AND(AUTOEVENTO="Manual",$M145=$A$15)),0,
         IF(OFFSET(CRONOPLE!$F$15,$M145-$A$15,BD$13)=0,10^12,OFFSET(CRONOPLE!$F$15,$M145-$A$15,BD$13)))</f>
        <v>0</v>
      </c>
      <c r="BE145" s="171">
        <f ca="1">IF(OR($D145&lt;&gt;"Serviço",AND(AUTOEVENTO="Manual",$M145=$A$15)),0,
         IF(OFFSET(CRONOPLE!$F$15,$M145-$A$15,BE$13)=0,10^12,OFFSET(CRONOPLE!$F$15,$M145-$A$15,BE$13)))</f>
        <v>0</v>
      </c>
      <c r="BF145" s="171">
        <f ca="1">IF(OR($D145&lt;&gt;"Serviço",AND(AUTOEVENTO="Manual",$M145=$A$15)),0,
         IF(OFFSET(CRONOPLE!$F$15,$M145-$A$15,BF$13)=0,10^12,OFFSET(CRONOPLE!$F$15,$M145-$A$15,BF$13)))</f>
        <v>0</v>
      </c>
      <c r="BG145" s="171">
        <f ca="1">IF(OR($D145&lt;&gt;"Serviço",AND(AUTOEVENTO="Manual",$M145=$A$15)),0,
         IF(OFFSET(CRONOPLE!$F$15,$M145-$A$15,BG$13)=0,10^12,OFFSET(CRONOPLE!$F$15,$M145-$A$15,BG$13)))</f>
        <v>0</v>
      </c>
      <c r="BH145" s="171">
        <f ca="1">IF(OR($D145&lt;&gt;"Serviço",AND(AUTOEVENTO="Manual",$M145=$A$15)),0,
         IF(OFFSET(CRONOPLE!$F$15,$M145-$A$15,BH$13)=0,10^12,OFFSET(CRONOPLE!$F$15,$M145-$A$15,BH$13)))</f>
        <v>0</v>
      </c>
      <c r="BI145" s="171">
        <f ca="1">IF(OR($D145&lt;&gt;"Serviço",AND(AUTOEVENTO="Manual",$M145=$A$15)),0,
         IF(OFFSET(CRONOPLE!$F$15,$M145-$A$15,BI$13)=0,10^12,OFFSET(CRONOPLE!$F$15,$M145-$A$15,BI$13)))</f>
        <v>0</v>
      </c>
      <c r="BJ145" s="171">
        <f ca="1">IF(OR($D145&lt;&gt;"Serviço",AND(AUTOEVENTO="Manual",$M145=$A$15)),0,
         IF(OFFSET(CRONOPLE!$F$15,$M145-$A$15,BJ$13)=0,10^12,OFFSET(CRONOPLE!$F$15,$M145-$A$15,BJ$13)))</f>
        <v>0</v>
      </c>
      <c r="BK145" s="171">
        <f ca="1">IF(OR($D145&lt;&gt;"Serviço",AND(AUTOEVENTO="Manual",$M145=$A$15)),0,
         IF(OFFSET(CRONOPLE!$F$15,$M145-$A$15,BK$13)=0,10^12,OFFSET(CRONOPLE!$F$15,$M145-$A$15,BK$13)))</f>
        <v>0</v>
      </c>
      <c r="BL145" s="171">
        <f ca="1">IF(OR($D145&lt;&gt;"Serviço",AND(AUTOEVENTO="Manual",$M145=$A$15)),0,
         IF(OFFSET(CRONOPLE!$F$15,$M145-$A$15,BL$13)=0,10^12,OFFSET(CRONOPLE!$F$15,$M145-$A$15,BL$13)))</f>
        <v>0</v>
      </c>
      <c r="BM145" s="171">
        <f ca="1">IF(OR($D145&lt;&gt;"Serviço",AND(AUTOEVENTO="Manual",$M145=$A$15)),0,
         IF(OFFSET(CRONOPLE!$F$15,$M145-$A$15,BM$13)=0,10^12,OFFSET(CRONOPLE!$F$15,$M145-$A$15,BM$13)))</f>
        <v>0</v>
      </c>
      <c r="BN145" s="171">
        <f ca="1">IF(OR($D145&lt;&gt;"Serviço",AND(AUTOEVENTO="Manual",$M145=$A$15)),0,
         IF(OFFSET(CRONOPLE!$F$15,$M145-$A$15,BN$13)=0,10^12,OFFSET(CRONOPLE!$F$15,$M145-$A$15,BN$13)))</f>
        <v>0</v>
      </c>
      <c r="BO145" s="171">
        <f ca="1">IF(OR($D145&lt;&gt;"Serviço",AND(AUTOEVENTO="Manual",$M145=$A$15)),0,
         IF(OFFSET(CRONOPLE!$F$15,$M145-$A$15,BO$13)=0,10^12,OFFSET(CRONOPLE!$F$15,$M145-$A$15,BO$13)))</f>
        <v>0</v>
      </c>
      <c r="BP145" s="171">
        <f ca="1">IF(OR($D145&lt;&gt;"Serviço",AND(AUTOEVENTO="Manual",$M145=$A$15)),0,
         IF(OFFSET(CRONOPLE!$F$15,$M145-$A$15,BP$13)=0,10^12,OFFSET(CRONOPLE!$F$15,$M145-$A$15,BP$13)))</f>
        <v>0</v>
      </c>
      <c r="BQ145" s="171">
        <f ca="1">IF(OR($D145&lt;&gt;"Serviço",AND(AUTOEVENTO="Manual",$M145=$A$15)),0,
         IF(OFFSET(CRONOPLE!$F$15,$M145-$A$15,BQ$13)=0,10^12,OFFSET(CRONOPLE!$F$15,$M145-$A$15,BQ$13)))</f>
        <v>0</v>
      </c>
      <c r="BR145" s="171">
        <f ca="1">IF(OR($D145&lt;&gt;"Serviço",AND(AUTOEVENTO="Manual",$M145=$A$15)),0,
         IF(OFFSET(CRONOPLE!$F$15,$M145-$A$15,BR$13)=0,10^12,OFFSET(CRONOPLE!$F$15,$M145-$A$15,BR$13)))</f>
        <v>0</v>
      </c>
      <c r="BS145" s="171">
        <f ca="1">IF(OR($D145&lt;&gt;"Serviço",AND(AUTOEVENTO="Manual",$M145=$A$15)),0,
         IF(OFFSET(CRONOPLE!$F$15,$M145-$A$15,BS$13)=0,10^12,OFFSET(CRONOPLE!$F$15,$M145-$A$15,BS$13)))</f>
        <v>0</v>
      </c>
      <c r="BT145" s="171">
        <f ca="1">IF(OR($D145&lt;&gt;"Serviço",AND(AUTOEVENTO="Manual",$M145=$A$15)),0,
         IF(OFFSET(CRONOPLE!$F$15,$M145-$A$15,BT$13)=0,10^12,OFFSET(CRONOPLE!$F$15,$M145-$A$15,BT$13)))</f>
        <v>0</v>
      </c>
      <c r="BV145" s="172" cm="1">
        <f t="array" aca="1" ref="BV145" ca="1">IF(OR($D145&lt;&gt;"Serviço",AND(AUTOEVENTO="Manual",$M145=$A$15),$M145&gt;(ROW(PLE.lastrow)-ROW(PLE.firstrow))),0,
           IF(OFFSET(PLE!$G$15,$M145-$A$15,BV$13)="",10^12,OFFSET(PLE!$G$15,$M145-$A$15,BV$13)))</f>
        <v>0</v>
      </c>
      <c r="BW145" s="172" cm="1">
        <f t="array" aca="1" ref="BW145" ca="1">IF(OR($D145&lt;&gt;"Serviço",AND(AUTOEVENTO="Manual",$M145=$A$15),$M145&gt;(ROW(PLE.lastrow)-ROW(PLE.firstrow))),0,
           IF(OFFSET(PLE!$G$15,$M145-$A$15,BW$13)="",10^12,OFFSET(PLE!$G$15,$M145-$A$15,BW$13)))</f>
        <v>0</v>
      </c>
      <c r="BX145" s="172" cm="1">
        <f t="array" aca="1" ref="BX145" ca="1">IF(OR($D145&lt;&gt;"Serviço",AND(AUTOEVENTO="Manual",$M145=$A$15),$M145&gt;(ROW(PLE.lastrow)-ROW(PLE.firstrow))),0,
           IF(OFFSET(PLE!$G$15,$M145-$A$15,BX$13)="",10^12,OFFSET(PLE!$G$15,$M145-$A$15,BX$13)))</f>
        <v>0</v>
      </c>
      <c r="BY145" s="172" cm="1">
        <f t="array" aca="1" ref="BY145" ca="1">IF(OR($D145&lt;&gt;"Serviço",AND(AUTOEVENTO="Manual",$M145=$A$15),$M145&gt;(ROW(PLE.lastrow)-ROW(PLE.firstrow))),0,
           IF(OFFSET(PLE!$G$15,$M145-$A$15,BY$13)="",10^12,OFFSET(PLE!$G$15,$M145-$A$15,BY$13)))</f>
        <v>0</v>
      </c>
      <c r="BZ145" s="172" cm="1">
        <f t="array" aca="1" ref="BZ145" ca="1">IF(OR($D145&lt;&gt;"Serviço",AND(AUTOEVENTO="Manual",$M145=$A$15),$M145&gt;(ROW(PLE.lastrow)-ROW(PLE.firstrow))),0,
           IF(OFFSET(PLE!$G$15,$M145-$A$15,BZ$13)="",10^12,OFFSET(PLE!$G$15,$M145-$A$15,BZ$13)))</f>
        <v>0</v>
      </c>
      <c r="CA145" s="172" cm="1">
        <f t="array" aca="1" ref="CA145" ca="1">IF(OR($D145&lt;&gt;"Serviço",AND(AUTOEVENTO="Manual",$M145=$A$15),$M145&gt;(ROW(PLE.lastrow)-ROW(PLE.firstrow))),0,
           IF(OFFSET(PLE!$G$15,$M145-$A$15,CA$13)="",10^12,OFFSET(PLE!$G$15,$M145-$A$15,CA$13)))</f>
        <v>0</v>
      </c>
      <c r="CB145" s="172" cm="1">
        <f t="array" aca="1" ref="CB145" ca="1">IF(OR($D145&lt;&gt;"Serviço",AND(AUTOEVENTO="Manual",$M145=$A$15),$M145&gt;(ROW(PLE.lastrow)-ROW(PLE.firstrow))),0,
           IF(OFFSET(PLE!$G$15,$M145-$A$15,CB$13)="",10^12,OFFSET(PLE!$G$15,$M145-$A$15,CB$13)))</f>
        <v>0</v>
      </c>
      <c r="CC145" s="172" cm="1">
        <f t="array" aca="1" ref="CC145" ca="1">IF(OR($D145&lt;&gt;"Serviço",AND(AUTOEVENTO="Manual",$M145=$A$15),$M145&gt;(ROW(PLE.lastrow)-ROW(PLE.firstrow))),0,
           IF(OFFSET(PLE!$G$15,$M145-$A$15,CC$13)="",10^12,OFFSET(PLE!$G$15,$M145-$A$15,CC$13)))</f>
        <v>0</v>
      </c>
      <c r="CD145" s="172" cm="1">
        <f t="array" aca="1" ref="CD145" ca="1">IF(OR($D145&lt;&gt;"Serviço",AND(AUTOEVENTO="Manual",$M145=$A$15),$M145&gt;(ROW(PLE.lastrow)-ROW(PLE.firstrow))),0,
           IF(OFFSET(PLE!$G$15,$M145-$A$15,CD$13)="",10^12,OFFSET(PLE!$G$15,$M145-$A$15,CD$13)))</f>
        <v>0</v>
      </c>
      <c r="CE145" s="172" cm="1">
        <f t="array" aca="1" ref="CE145" ca="1">IF(OR($D145&lt;&gt;"Serviço",AND(AUTOEVENTO="Manual",$M145=$A$15),$M145&gt;(ROW(PLE.lastrow)-ROW(PLE.firstrow))),0,
           IF(OFFSET(PLE!$G$15,$M145-$A$15,CE$13)="",10^12,OFFSET(PLE!$G$15,$M145-$A$15,CE$13)))</f>
        <v>0</v>
      </c>
      <c r="CF145" s="172" cm="1">
        <f t="array" aca="1" ref="CF145" ca="1">IF(OR($D145&lt;&gt;"Serviço",AND(AUTOEVENTO="Manual",$M145=$A$15),$M145&gt;(ROW(PLE.lastrow)-ROW(PLE.firstrow))),0,
           IF(OFFSET(PLE!$G$15,$M145-$A$15,CF$13)="",10^12,OFFSET(PLE!$G$15,$M145-$A$15,CF$13)))</f>
        <v>0</v>
      </c>
      <c r="CG145" s="172" cm="1">
        <f t="array" aca="1" ref="CG145" ca="1">IF(OR($D145&lt;&gt;"Serviço",AND(AUTOEVENTO="Manual",$M145=$A$15),$M145&gt;(ROW(PLE.lastrow)-ROW(PLE.firstrow))),0,
           IF(OFFSET(PLE!$G$15,$M145-$A$15,CG$13)="",10^12,OFFSET(PLE!$G$15,$M145-$A$15,CG$13)))</f>
        <v>0</v>
      </c>
      <c r="CH145" s="172" cm="1">
        <f t="array" aca="1" ref="CH145" ca="1">IF(OR($D145&lt;&gt;"Serviço",AND(AUTOEVENTO="Manual",$M145=$A$15),$M145&gt;(ROW(PLE.lastrow)-ROW(PLE.firstrow))),0,
           IF(OFFSET(PLE!$G$15,$M145-$A$15,CH$13)="",10^12,OFFSET(PLE!$G$15,$M145-$A$15,CH$13)))</f>
        <v>0</v>
      </c>
      <c r="CI145" s="172" cm="1">
        <f t="array" aca="1" ref="CI145" ca="1">IF(OR($D145&lt;&gt;"Serviço",AND(AUTOEVENTO="Manual",$M145=$A$15),$M145&gt;(ROW(PLE.lastrow)-ROW(PLE.firstrow))),0,
           IF(OFFSET(PLE!$G$15,$M145-$A$15,CI$13)="",10^12,OFFSET(PLE!$G$15,$M145-$A$15,CI$13)))</f>
        <v>0</v>
      </c>
      <c r="CJ145" s="172" cm="1">
        <f t="array" aca="1" ref="CJ145" ca="1">IF(OR($D145&lt;&gt;"Serviço",AND(AUTOEVENTO="Manual",$M145=$A$15),$M145&gt;(ROW(PLE.lastrow)-ROW(PLE.firstrow))),0,
           IF(OFFSET(PLE!$G$15,$M145-$A$15,CJ$13)="",10^12,OFFSET(PLE!$G$15,$M145-$A$15,CJ$13)))</f>
        <v>0</v>
      </c>
      <c r="CK145" s="172" cm="1">
        <f t="array" aca="1" ref="CK145" ca="1">IF(OR($D145&lt;&gt;"Serviço",AND(AUTOEVENTO="Manual",$M145=$A$15),$M145&gt;(ROW(PLE.lastrow)-ROW(PLE.firstrow))),0,
           IF(OFFSET(PLE!$G$15,$M145-$A$15,CK$13)="",10^12,OFFSET(PLE!$G$15,$M145-$A$15,CK$13)))</f>
        <v>0</v>
      </c>
      <c r="CL145" s="172" cm="1">
        <f t="array" aca="1" ref="CL145" ca="1">IF(OR($D145&lt;&gt;"Serviço",AND(AUTOEVENTO="Manual",$M145=$A$15),$M145&gt;(ROW(PLE.lastrow)-ROW(PLE.firstrow))),0,
           IF(OFFSET(PLE!$G$15,$M145-$A$15,CL$13)="",10^12,OFFSET(PLE!$G$15,$M145-$A$15,CL$13)))</f>
        <v>0</v>
      </c>
      <c r="CM145" s="172" cm="1">
        <f t="array" aca="1" ref="CM145" ca="1">IF(OR($D145&lt;&gt;"Serviço",AND(AUTOEVENTO="Manual",$M145=$A$15),$M145&gt;(ROW(PLE.lastrow)-ROW(PLE.firstrow))),0,
           IF(OFFSET(PLE!$G$15,$M145-$A$15,CM$13)="",10^12,OFFSET(PLE!$G$15,$M145-$A$15,CM$13)))</f>
        <v>0</v>
      </c>
    </row>
    <row r="146" spans="1:91" s="670" customFormat="1" ht="38.25" x14ac:dyDescent="0.2">
      <c r="A146" s="668">
        <f t="shared" ca="1" si="14"/>
        <v>22</v>
      </c>
      <c r="B146" s="668" t="str">
        <f ca="1">OFFSET(ORÇAMENTO!C$15,$L146,0)</f>
        <v>S</v>
      </c>
      <c r="C146" s="668" t="str">
        <f ca="1">OFFSET(ORÇAMENTO!L$15,$L146,0)</f>
        <v>F</v>
      </c>
      <c r="D146" s="116" t="str">
        <f ca="1">OFFSET(ORÇAMENTO!N$15,$L146,0)</f>
        <v>Serviço</v>
      </c>
      <c r="E146" s="117" t="str">
        <f ca="1">OFFSET(ORÇAMENTO!O$15,$L146,0)</f>
        <v>1.19.1.</v>
      </c>
      <c r="F146" s="163" t="str">
        <f ca="1">OFFSET(ORÇAMENTO!R$15,$L146,0)</f>
        <v>CHAPISCO APLICADO EM ALVENARIAS E ESTRUTURAS DE CONCRETO INTERNAS, COM COLHER DE PEDREIRO. ARGAMASSA TRAÇO 1:3 COM PREPARO EM BETONEIRA 400L. AF_10/2022</v>
      </c>
      <c r="G146" s="164" t="str">
        <f ca="1">IF($D146&lt;&gt;"Serviço","",OFFSET(ORÇAMENTO!S$15,$L146,0))</f>
        <v>M2</v>
      </c>
      <c r="H146" s="122" cm="1">
        <f t="array" aca="1" ref="H146" ca="1">IF($D146&lt;&gt;"Serviço",0,IF(ACOMPANHAMENTO="BM",ROUND(OFFSET(ORÇAMENTO!AJ$15,$L146,0),15-13*ORÇAMENTO!$AF$7),IF(IFERROR(CÁLCULO.FrentesPreenchidas,0)=0,0,SUM(ROUND(OFFSET($P146,0,1,1,CÁLCULO.FrentesPreenchidas),15-13*ORÇAMENTO!$AF$7)))))</f>
        <v>188.44</v>
      </c>
      <c r="I146" s="468" t="s">
        <v>1193</v>
      </c>
      <c r="J146" s="651" t="str" cm="1">
        <f t="array" aca="1" ref="J146" ca="1">IF(OR(B146&lt;&gt;"S",CÁLCULO.FrentesPreenchidas=0),"",IF(AND(ACOMPANHAMENTO="PLE",AUTOEVENTO="Manual",OR(H146&gt;0,ORÇAMENTO!AC146="QUANT."),OR(K146="",M146=0,N146="")),"►E",IF(AND(ACOMPANHAMENTO="PLE",ORÇAMENTO!AC146="QUANT."),"►Q",IF(AND(ACOMPANHAMENTO="PLE",H146&lt;&gt;SUMPRODUCT(($Q$1:$AI$1=1)*ROUND(Q146:AI146,15))),"►S",IF(AND(COUNTIF($P$11:$AI$11,"▼")=0,H146&gt;0,I146=""),"◄M","")))))</f>
        <v/>
      </c>
      <c r="K146" s="652" t="s">
        <v>1360</v>
      </c>
      <c r="L146" s="165">
        <f t="shared" ca="1" si="15"/>
        <v>131</v>
      </c>
      <c r="M146" s="166">
        <f ca="1">IF($D146&lt;&gt;"Serviço","",
          IF(AUTOEVENTO="manual",$A146,
                IF(ISERROR(MATCH($A146,$A$15:OFFSET($A146,-1,0),0)),MAX($M$15:OFFSET(M146,-1,0))+1,
                      INDEX($M$15:OFFSET(M146,-1,0),MATCH($A146,$A$15:OFFSET($A146,-1,0),0)))))</f>
        <v>22</v>
      </c>
      <c r="N146" s="167" t="str">
        <f ca="1">IF($D146&lt;&gt;"Serviço","",
         IF(AUTOEVENTO="Manual",
                IF($A146=0,"&lt;-- defina o número do agrupador",
                       OFFSET(EVENTOS!$D$15,$A146-$A$15,0)),
                OFFSET($F$15,$A146,0)))</f>
        <v>Revestimento de parede</v>
      </c>
      <c r="O146" s="168"/>
      <c r="Q146" s="168"/>
      <c r="R146" s="169"/>
      <c r="S146" s="169"/>
      <c r="T146" s="169"/>
      <c r="U146" s="169"/>
      <c r="V146" s="169">
        <v>188.44</v>
      </c>
      <c r="W146" s="169"/>
      <c r="X146" s="169"/>
      <c r="Y146" s="169"/>
      <c r="Z146" s="170"/>
      <c r="AA146" s="705"/>
      <c r="AB146" s="705"/>
      <c r="AC146" s="705"/>
      <c r="AD146" s="705"/>
      <c r="AE146" s="705"/>
      <c r="AF146" s="705"/>
      <c r="AG146" s="705"/>
      <c r="AH146" s="706"/>
      <c r="AJ146" s="453">
        <f ca="1">IF(AND($D146="Serviço",AJ$12&lt;&gt;0,$H146&gt;0,OR(AUTOEVENTO&lt;&gt;"manual",$M146&lt;&gt;$A$15)),
        IF(Import.TipoArredondamento&lt;&gt;"TransfereGOV",
              ROUND(OFFSET($P146,0,AJ$13),15-13*ORÇAMENTO!$AF$7)/$H146*OFFSET(ORÇAMENTO!$X$15,ROW(AJ146)-ROW(AJ$15),0),
              ROUND(ROUND(OFFSET($P146,0,AJ$13),15-13*ORÇAMENTO!$AF$7)*OFFSET(ORÇAMENTO!$W$15,ROW(AJ146)-ROW(AJ$15),0),15-13*ORÇAMENTO!$AF$11)),
         0)</f>
        <v>0</v>
      </c>
      <c r="AK146" s="453">
        <f ca="1">IF(AND($D146="Serviço",AK$12&lt;&gt;0,$H146&gt;0,OR(AUTOEVENTO&lt;&gt;"manual",$M146&lt;&gt;$A$15)),
        IF(Import.TipoArredondamento&lt;&gt;"TransfereGOV",
              ROUND(OFFSET($P146,0,AK$13),15-13*ORÇAMENTO!$AF$7)/$H146*OFFSET(ORÇAMENTO!$X$15,ROW(AK146)-ROW(AK$15),0),
              ROUND(ROUND(OFFSET($P146,0,AK$13),15-13*ORÇAMENTO!$AF$7)*OFFSET(ORÇAMENTO!$W$15,ROW(AK146)-ROW(AK$15),0),15-13*ORÇAMENTO!$AF$11)),
         0)</f>
        <v>0</v>
      </c>
      <c r="AL146" s="453">
        <f ca="1">IF(AND($D146="Serviço",AL$12&lt;&gt;0,$H146&gt;0,OR(AUTOEVENTO&lt;&gt;"manual",$M146&lt;&gt;$A$15)),
        IF(Import.TipoArredondamento&lt;&gt;"TransfereGOV",
              ROUND(OFFSET($P146,0,AL$13),15-13*ORÇAMENTO!$AF$7)/$H146*OFFSET(ORÇAMENTO!$X$15,ROW(AL146)-ROW(AL$15),0),
              ROUND(ROUND(OFFSET($P146,0,AL$13),15-13*ORÇAMENTO!$AF$7)*OFFSET(ORÇAMENTO!$W$15,ROW(AL146)-ROW(AL$15),0),15-13*ORÇAMENTO!$AF$11)),
         0)</f>
        <v>0</v>
      </c>
      <c r="AM146" s="453">
        <f ca="1">IF(AND($D146="Serviço",AM$12&lt;&gt;0,$H146&gt;0,OR(AUTOEVENTO&lt;&gt;"manual",$M146&lt;&gt;$A$15)),
        IF(Import.TipoArredondamento&lt;&gt;"TransfereGOV",
              ROUND(OFFSET($P146,0,AM$13),15-13*ORÇAMENTO!$AF$7)/$H146*OFFSET(ORÇAMENTO!$X$15,ROW(AM146)-ROW(AM$15),0),
              ROUND(ROUND(OFFSET($P146,0,AM$13),15-13*ORÇAMENTO!$AF$7)*OFFSET(ORÇAMENTO!$W$15,ROW(AM146)-ROW(AM$15),0),15-13*ORÇAMENTO!$AF$11)),
         0)</f>
        <v>0</v>
      </c>
      <c r="AN146" s="453">
        <f ca="1">IF(AND($D146="Serviço",AN$12&lt;&gt;0,$H146&gt;0,OR(AUTOEVENTO&lt;&gt;"manual",$M146&lt;&gt;$A$15)),
        IF(Import.TipoArredondamento&lt;&gt;"TransfereGOV",
              ROUND(OFFSET($P146,0,AN$13),15-13*ORÇAMENTO!$AF$7)/$H146*OFFSET(ORÇAMENTO!$X$15,ROW(AN146)-ROW(AN$15),0),
              ROUND(ROUND(OFFSET($P146,0,AN$13),15-13*ORÇAMENTO!$AF$7)*OFFSET(ORÇAMENTO!$W$15,ROW(AN146)-ROW(AN$15),0),15-13*ORÇAMENTO!$AF$11)),
         0)</f>
        <v>0</v>
      </c>
      <c r="AO146" s="453">
        <f ca="1">IF(AND($D146="Serviço",AO$12&lt;&gt;0,$H146&gt;0,OR(AUTOEVENTO&lt;&gt;"manual",$M146&lt;&gt;$A$15)),
        IF(Import.TipoArredondamento&lt;&gt;"TransfereGOV",
              ROUND(OFFSET($P146,0,AO$13),15-13*ORÇAMENTO!$AF$7)/$H146*OFFSET(ORÇAMENTO!$X$15,ROW(AO146)-ROW(AO$15),0),
              ROUND(ROUND(OFFSET($P146,0,AO$13),15-13*ORÇAMENTO!$AF$7)*OFFSET(ORÇAMENTO!$W$15,ROW(AO146)-ROW(AO$15),0),15-13*ORÇAMENTO!$AF$11)),
         0)</f>
        <v>1222.98</v>
      </c>
      <c r="AP146" s="453">
        <f ca="1">IF(AND($D146="Serviço",AP$12&lt;&gt;0,$H146&gt;0,OR(AUTOEVENTO&lt;&gt;"manual",$M146&lt;&gt;$A$15)),
        IF(Import.TipoArredondamento&lt;&gt;"TransfereGOV",
              ROUND(OFFSET($P146,0,AP$13),15-13*ORÇAMENTO!$AF$7)/$H146*OFFSET(ORÇAMENTO!$X$15,ROW(AP146)-ROW(AP$15),0),
              ROUND(ROUND(OFFSET($P146,0,AP$13),15-13*ORÇAMENTO!$AF$7)*OFFSET(ORÇAMENTO!$W$15,ROW(AP146)-ROW(AP$15),0),15-13*ORÇAMENTO!$AF$11)),
         0)</f>
        <v>0</v>
      </c>
      <c r="AQ146" s="453">
        <f ca="1">IF(AND($D146="Serviço",AQ$12&lt;&gt;0,$H146&gt;0,OR(AUTOEVENTO&lt;&gt;"manual",$M146&lt;&gt;$A$15)),
        IF(Import.TipoArredondamento&lt;&gt;"TransfereGOV",
              ROUND(OFFSET($P146,0,AQ$13),15-13*ORÇAMENTO!$AF$7)/$H146*OFFSET(ORÇAMENTO!$X$15,ROW(AQ146)-ROW(AQ$15),0),
              ROUND(ROUND(OFFSET($P146,0,AQ$13),15-13*ORÇAMENTO!$AF$7)*OFFSET(ORÇAMENTO!$W$15,ROW(AQ146)-ROW(AQ$15),0),15-13*ORÇAMENTO!$AF$11)),
         0)</f>
        <v>0</v>
      </c>
      <c r="AR146" s="453">
        <f ca="1">IF(AND($D146="Serviço",AR$12&lt;&gt;0,$H146&gt;0,OR(AUTOEVENTO&lt;&gt;"manual",$M146&lt;&gt;$A$15)),
        IF(Import.TipoArredondamento&lt;&gt;"TransfereGOV",
              ROUND(OFFSET($P146,0,AR$13),15-13*ORÇAMENTO!$AF$7)/$H146*OFFSET(ORÇAMENTO!$X$15,ROW(AR146)-ROW(AR$15),0),
              ROUND(ROUND(OFFSET($P146,0,AR$13),15-13*ORÇAMENTO!$AF$7)*OFFSET(ORÇAMENTO!$W$15,ROW(AR146)-ROW(AR$15),0),15-13*ORÇAMENTO!$AF$11)),
         0)</f>
        <v>0</v>
      </c>
      <c r="AS146" s="453">
        <f ca="1">IF(AND($D146="Serviço",AS$12&lt;&gt;0,$H146&gt;0,OR(AUTOEVENTO&lt;&gt;"manual",$M146&lt;&gt;$A$15)),
        IF(Import.TipoArredondamento&lt;&gt;"TransfereGOV",
              ROUND(OFFSET($P146,0,AS$13),15-13*ORÇAMENTO!$AF$7)/$H146*OFFSET(ORÇAMENTO!$X$15,ROW(AS146)-ROW(AS$15),0),
              ROUND(ROUND(OFFSET($P146,0,AS$13),15-13*ORÇAMENTO!$AF$7)*OFFSET(ORÇAMENTO!$W$15,ROW(AS146)-ROW(AS$15),0),15-13*ORÇAMENTO!$AF$11)),
         0)</f>
        <v>0</v>
      </c>
      <c r="AT146" s="453">
        <f ca="1">IF(AND($D146="Serviço",AT$12&lt;&gt;0,$H146&gt;0,OR(AUTOEVENTO&lt;&gt;"manual",$M146&lt;&gt;$A$15)),
        IF(Import.TipoArredondamento&lt;&gt;"TransfereGOV",
              ROUND(OFFSET($P146,0,AT$13),15-13*ORÇAMENTO!$AF$7)/$H146*OFFSET(ORÇAMENTO!$X$15,ROW(AT146)-ROW(AT$15),0),
              ROUND(ROUND(OFFSET($P146,0,AT$13),15-13*ORÇAMENTO!$AF$7)*OFFSET(ORÇAMENTO!$W$15,ROW(AT146)-ROW(AT$15),0),15-13*ORÇAMENTO!$AF$11)),
         0)</f>
        <v>0</v>
      </c>
      <c r="AU146" s="453">
        <f ca="1">IF(AND($D146="Serviço",AU$12&lt;&gt;0,$H146&gt;0,OR(AUTOEVENTO&lt;&gt;"manual",$M146&lt;&gt;$A$15)),
        IF(Import.TipoArredondamento&lt;&gt;"TransfereGOV",
              ROUND(OFFSET($P146,0,AU$13),15-13*ORÇAMENTO!$AF$7)/$H146*OFFSET(ORÇAMENTO!$X$15,ROW(AU146)-ROW(AU$15),0),
              ROUND(ROUND(OFFSET($P146,0,AU$13),15-13*ORÇAMENTO!$AF$7)*OFFSET(ORÇAMENTO!$W$15,ROW(AU146)-ROW(AU$15),0),15-13*ORÇAMENTO!$AF$11)),
         0)</f>
        <v>0</v>
      </c>
      <c r="AV146" s="453">
        <f ca="1">IF(AND($D146="Serviço",AV$12&lt;&gt;0,$H146&gt;0,OR(AUTOEVENTO&lt;&gt;"manual",$M146&lt;&gt;$A$15)),
        IF(Import.TipoArredondamento&lt;&gt;"TransfereGOV",
              ROUND(OFFSET($P146,0,AV$13),15-13*ORÇAMENTO!$AF$7)/$H146*OFFSET(ORÇAMENTO!$X$15,ROW(AV146)-ROW(AV$15),0),
              ROUND(ROUND(OFFSET($P146,0,AV$13),15-13*ORÇAMENTO!$AF$7)*OFFSET(ORÇAMENTO!$W$15,ROW(AV146)-ROW(AV$15),0),15-13*ORÇAMENTO!$AF$11)),
         0)</f>
        <v>0</v>
      </c>
      <c r="AW146" s="453">
        <f ca="1">IF(AND($D146="Serviço",AW$12&lt;&gt;0,$H146&gt;0,OR(AUTOEVENTO&lt;&gt;"manual",$M146&lt;&gt;$A$15)),
        IF(Import.TipoArredondamento&lt;&gt;"TransfereGOV",
              ROUND(OFFSET($P146,0,AW$13),15-13*ORÇAMENTO!$AF$7)/$H146*OFFSET(ORÇAMENTO!$X$15,ROW(AW146)-ROW(AW$15),0),
              ROUND(ROUND(OFFSET($P146,0,AW$13),15-13*ORÇAMENTO!$AF$7)*OFFSET(ORÇAMENTO!$W$15,ROW(AW146)-ROW(AW$15),0),15-13*ORÇAMENTO!$AF$11)),
         0)</f>
        <v>0</v>
      </c>
      <c r="AX146" s="453">
        <f ca="1">IF(AND($D146="Serviço",AX$12&lt;&gt;0,$H146&gt;0,OR(AUTOEVENTO&lt;&gt;"manual",$M146&lt;&gt;$A$15)),
        IF(Import.TipoArredondamento&lt;&gt;"TransfereGOV",
              ROUND(OFFSET($P146,0,AX$13),15-13*ORÇAMENTO!$AF$7)/$H146*OFFSET(ORÇAMENTO!$X$15,ROW(AX146)-ROW(AX$15),0),
              ROUND(ROUND(OFFSET($P146,0,AX$13),15-13*ORÇAMENTO!$AF$7)*OFFSET(ORÇAMENTO!$W$15,ROW(AX146)-ROW(AX$15),0),15-13*ORÇAMENTO!$AF$11)),
         0)</f>
        <v>0</v>
      </c>
      <c r="AY146" s="453">
        <f ca="1">IF(AND($D146="Serviço",AY$12&lt;&gt;0,$H146&gt;0,OR(AUTOEVENTO&lt;&gt;"manual",$M146&lt;&gt;$A$15)),
        IF(Import.TipoArredondamento&lt;&gt;"TransfereGOV",
              ROUND(OFFSET($P146,0,AY$13),15-13*ORÇAMENTO!$AF$7)/$H146*OFFSET(ORÇAMENTO!$X$15,ROW(AY146)-ROW(AY$15),0),
              ROUND(ROUND(OFFSET($P146,0,AY$13),15-13*ORÇAMENTO!$AF$7)*OFFSET(ORÇAMENTO!$W$15,ROW(AY146)-ROW(AY$15),0),15-13*ORÇAMENTO!$AF$11)),
         0)</f>
        <v>0</v>
      </c>
      <c r="AZ146" s="453">
        <f ca="1">IF(AND($D146="Serviço",AZ$12&lt;&gt;0,$H146&gt;0,OR(AUTOEVENTO&lt;&gt;"manual",$M146&lt;&gt;$A$15)),
        IF(Import.TipoArredondamento&lt;&gt;"TransfereGOV",
              ROUND(OFFSET($P146,0,AZ$13),15-13*ORÇAMENTO!$AF$7)/$H146*OFFSET(ORÇAMENTO!$X$15,ROW(AZ146)-ROW(AZ$15),0),
              ROUND(ROUND(OFFSET($P146,0,AZ$13),15-13*ORÇAMENTO!$AF$7)*OFFSET(ORÇAMENTO!$W$15,ROW(AZ146)-ROW(AZ$15),0),15-13*ORÇAMENTO!$AF$11)),
         0)</f>
        <v>0</v>
      </c>
      <c r="BA146" s="453">
        <f ca="1">IF(AND($D146="Serviço",BA$12&lt;&gt;0,$H146&gt;0,OR(AUTOEVENTO&lt;&gt;"manual",$M146&lt;&gt;$A$15)),
        IF(Import.TipoArredondamento&lt;&gt;"TransfereGOV",
              ROUND(OFFSET($P146,0,BA$13),15-13*ORÇAMENTO!$AF$7)/$H146*OFFSET(ORÇAMENTO!$X$15,ROW(BA146)-ROW(BA$15),0),
              ROUND(ROUND(OFFSET($P146,0,BA$13),15-13*ORÇAMENTO!$AF$7)*OFFSET(ORÇAMENTO!$W$15,ROW(BA146)-ROW(BA$15),0),15-13*ORÇAMENTO!$AF$11)),
         0)</f>
        <v>0</v>
      </c>
      <c r="BC146" s="171">
        <f ca="1">IF(OR($D146&lt;&gt;"Serviço",AND(AUTOEVENTO="Manual",$M146=$A$15)),0,
         IF(OFFSET(CRONOPLE!$F$15,$M146-$A$15,BC$13)=0,10^12,OFFSET(CRONOPLE!$F$15,$M146-$A$15,BC$13)))</f>
        <v>1000000000000</v>
      </c>
      <c r="BD146" s="171">
        <f ca="1">IF(OR($D146&lt;&gt;"Serviço",AND(AUTOEVENTO="Manual",$M146=$A$15)),0,
         IF(OFFSET(CRONOPLE!$F$15,$M146-$A$15,BD$13)=0,10^12,OFFSET(CRONOPLE!$F$15,$M146-$A$15,BD$13)))</f>
        <v>1000000000000</v>
      </c>
      <c r="BE146" s="171">
        <f ca="1">IF(OR($D146&lt;&gt;"Serviço",AND(AUTOEVENTO="Manual",$M146=$A$15)),0,
         IF(OFFSET(CRONOPLE!$F$15,$M146-$A$15,BE$13)=0,10^12,OFFSET(CRONOPLE!$F$15,$M146-$A$15,BE$13)))</f>
        <v>1000000000000</v>
      </c>
      <c r="BF146" s="171">
        <f ca="1">IF(OR($D146&lt;&gt;"Serviço",AND(AUTOEVENTO="Manual",$M146=$A$15)),0,
         IF(OFFSET(CRONOPLE!$F$15,$M146-$A$15,BF$13)=0,10^12,OFFSET(CRONOPLE!$F$15,$M146-$A$15,BF$13)))</f>
        <v>1000000000000</v>
      </c>
      <c r="BG146" s="171">
        <f ca="1">IF(OR($D146&lt;&gt;"Serviço",AND(AUTOEVENTO="Manual",$M146=$A$15)),0,
         IF(OFFSET(CRONOPLE!$F$15,$M146-$A$15,BG$13)=0,10^12,OFFSET(CRONOPLE!$F$15,$M146-$A$15,BG$13)))</f>
        <v>1000000000000</v>
      </c>
      <c r="BH146" s="171">
        <f ca="1">IF(OR($D146&lt;&gt;"Serviço",AND(AUTOEVENTO="Manual",$M146=$A$15)),0,
         IF(OFFSET(CRONOPLE!$F$15,$M146-$A$15,BH$13)=0,10^12,OFFSET(CRONOPLE!$F$15,$M146-$A$15,BH$13)))</f>
        <v>10</v>
      </c>
      <c r="BI146" s="171">
        <f ca="1">IF(OR($D146&lt;&gt;"Serviço",AND(AUTOEVENTO="Manual",$M146=$A$15)),0,
         IF(OFFSET(CRONOPLE!$F$15,$M146-$A$15,BI$13)=0,10^12,OFFSET(CRONOPLE!$F$15,$M146-$A$15,BI$13)))</f>
        <v>1000000000000</v>
      </c>
      <c r="BJ146" s="171">
        <f ca="1">IF(OR($D146&lt;&gt;"Serviço",AND(AUTOEVENTO="Manual",$M146=$A$15)),0,
         IF(OFFSET(CRONOPLE!$F$15,$M146-$A$15,BJ$13)=0,10^12,OFFSET(CRONOPLE!$F$15,$M146-$A$15,BJ$13)))</f>
        <v>1000000000000</v>
      </c>
      <c r="BK146" s="171">
        <f ca="1">IF(OR($D146&lt;&gt;"Serviço",AND(AUTOEVENTO="Manual",$M146=$A$15)),0,
         IF(OFFSET(CRONOPLE!$F$15,$M146-$A$15,BK$13)=0,10^12,OFFSET(CRONOPLE!$F$15,$M146-$A$15,BK$13)))</f>
        <v>1000000000000</v>
      </c>
      <c r="BL146" s="171">
        <f ca="1">IF(OR($D146&lt;&gt;"Serviço",AND(AUTOEVENTO="Manual",$M146=$A$15)),0,
         IF(OFFSET(CRONOPLE!$F$15,$M146-$A$15,BL$13)=0,10^12,OFFSET(CRONOPLE!$F$15,$M146-$A$15,BL$13)))</f>
        <v>1000000000000</v>
      </c>
      <c r="BM146" s="171">
        <f ca="1">IF(OR($D146&lt;&gt;"Serviço",AND(AUTOEVENTO="Manual",$M146=$A$15)),0,
         IF(OFFSET(CRONOPLE!$F$15,$M146-$A$15,BM$13)=0,10^12,OFFSET(CRONOPLE!$F$15,$M146-$A$15,BM$13)))</f>
        <v>1000000000000</v>
      </c>
      <c r="BN146" s="171">
        <f ca="1">IF(OR($D146&lt;&gt;"Serviço",AND(AUTOEVENTO="Manual",$M146=$A$15)),0,
         IF(OFFSET(CRONOPLE!$F$15,$M146-$A$15,BN$13)=0,10^12,OFFSET(CRONOPLE!$F$15,$M146-$A$15,BN$13)))</f>
        <v>1000000000000</v>
      </c>
      <c r="BO146" s="171">
        <f ca="1">IF(OR($D146&lt;&gt;"Serviço",AND(AUTOEVENTO="Manual",$M146=$A$15)),0,
         IF(OFFSET(CRONOPLE!$F$15,$M146-$A$15,BO$13)=0,10^12,OFFSET(CRONOPLE!$F$15,$M146-$A$15,BO$13)))</f>
        <v>1000000000000</v>
      </c>
      <c r="BP146" s="171">
        <f ca="1">IF(OR($D146&lt;&gt;"Serviço",AND(AUTOEVENTO="Manual",$M146=$A$15)),0,
         IF(OFFSET(CRONOPLE!$F$15,$M146-$A$15,BP$13)=0,10^12,OFFSET(CRONOPLE!$F$15,$M146-$A$15,BP$13)))</f>
        <v>1000000000000</v>
      </c>
      <c r="BQ146" s="171">
        <f ca="1">IF(OR($D146&lt;&gt;"Serviço",AND(AUTOEVENTO="Manual",$M146=$A$15)),0,
         IF(OFFSET(CRONOPLE!$F$15,$M146-$A$15,BQ$13)=0,10^12,OFFSET(CRONOPLE!$F$15,$M146-$A$15,BQ$13)))</f>
        <v>1000000000000</v>
      </c>
      <c r="BR146" s="171">
        <f ca="1">IF(OR($D146&lt;&gt;"Serviço",AND(AUTOEVENTO="Manual",$M146=$A$15)),0,
         IF(OFFSET(CRONOPLE!$F$15,$M146-$A$15,BR$13)=0,10^12,OFFSET(CRONOPLE!$F$15,$M146-$A$15,BR$13)))</f>
        <v>1000000000000</v>
      </c>
      <c r="BS146" s="171">
        <f ca="1">IF(OR($D146&lt;&gt;"Serviço",AND(AUTOEVENTO="Manual",$M146=$A$15)),0,
         IF(OFFSET(CRONOPLE!$F$15,$M146-$A$15,BS$13)=0,10^12,OFFSET(CRONOPLE!$F$15,$M146-$A$15,BS$13)))</f>
        <v>1000000000000</v>
      </c>
      <c r="BT146" s="171">
        <f ca="1">IF(OR($D146&lt;&gt;"Serviço",AND(AUTOEVENTO="Manual",$M146=$A$15)),0,
         IF(OFFSET(CRONOPLE!$F$15,$M146-$A$15,BT$13)=0,10^12,OFFSET(CRONOPLE!$F$15,$M146-$A$15,BT$13)))</f>
        <v>1000000000000</v>
      </c>
      <c r="BV146" s="172" cm="1">
        <f t="array" aca="1" ref="BV146" ca="1">IF(OR($D146&lt;&gt;"Serviço",AND(AUTOEVENTO="Manual",$M146=$A$15),$M146&gt;(ROW(PLE.lastrow)-ROW(PLE.firstrow))),0,
           IF(OFFSET(PLE!$G$15,$M146-$A$15,BV$13)="",10^12,OFFSET(PLE!$G$15,$M146-$A$15,BV$13)))</f>
        <v>1000000000000</v>
      </c>
      <c r="BW146" s="172" cm="1">
        <f t="array" aca="1" ref="BW146" ca="1">IF(OR($D146&lt;&gt;"Serviço",AND(AUTOEVENTO="Manual",$M146=$A$15),$M146&gt;(ROW(PLE.lastrow)-ROW(PLE.firstrow))),0,
           IF(OFFSET(PLE!$G$15,$M146-$A$15,BW$13)="",10^12,OFFSET(PLE!$G$15,$M146-$A$15,BW$13)))</f>
        <v>1000000000000</v>
      </c>
      <c r="BX146" s="172" cm="1">
        <f t="array" aca="1" ref="BX146" ca="1">IF(OR($D146&lt;&gt;"Serviço",AND(AUTOEVENTO="Manual",$M146=$A$15),$M146&gt;(ROW(PLE.lastrow)-ROW(PLE.firstrow))),0,
           IF(OFFSET(PLE!$G$15,$M146-$A$15,BX$13)="",10^12,OFFSET(PLE!$G$15,$M146-$A$15,BX$13)))</f>
        <v>1000000000000</v>
      </c>
      <c r="BY146" s="172" cm="1">
        <f t="array" aca="1" ref="BY146" ca="1">IF(OR($D146&lt;&gt;"Serviço",AND(AUTOEVENTO="Manual",$M146=$A$15),$M146&gt;(ROW(PLE.lastrow)-ROW(PLE.firstrow))),0,
           IF(OFFSET(PLE!$G$15,$M146-$A$15,BY$13)="",10^12,OFFSET(PLE!$G$15,$M146-$A$15,BY$13)))</f>
        <v>1000000000000</v>
      </c>
      <c r="BZ146" s="172" cm="1">
        <f t="array" aca="1" ref="BZ146" ca="1">IF(OR($D146&lt;&gt;"Serviço",AND(AUTOEVENTO="Manual",$M146=$A$15),$M146&gt;(ROW(PLE.lastrow)-ROW(PLE.firstrow))),0,
           IF(OFFSET(PLE!$G$15,$M146-$A$15,BZ$13)="",10^12,OFFSET(PLE!$G$15,$M146-$A$15,BZ$13)))</f>
        <v>1000000000000</v>
      </c>
      <c r="CA146" s="172" cm="1">
        <f t="array" aca="1" ref="CA146" ca="1">IF(OR($D146&lt;&gt;"Serviço",AND(AUTOEVENTO="Manual",$M146=$A$15),$M146&gt;(ROW(PLE.lastrow)-ROW(PLE.firstrow))),0,
           IF(OFFSET(PLE!$G$15,$M146-$A$15,CA$13)="",10^12,OFFSET(PLE!$G$15,$M146-$A$15,CA$13)))</f>
        <v>1000000000000</v>
      </c>
      <c r="CB146" s="172" cm="1">
        <f t="array" aca="1" ref="CB146" ca="1">IF(OR($D146&lt;&gt;"Serviço",AND(AUTOEVENTO="Manual",$M146=$A$15),$M146&gt;(ROW(PLE.lastrow)-ROW(PLE.firstrow))),0,
           IF(OFFSET(PLE!$G$15,$M146-$A$15,CB$13)="",10^12,OFFSET(PLE!$G$15,$M146-$A$15,CB$13)))</f>
        <v>1000000000000</v>
      </c>
      <c r="CC146" s="172" cm="1">
        <f t="array" aca="1" ref="CC146" ca="1">IF(OR($D146&lt;&gt;"Serviço",AND(AUTOEVENTO="Manual",$M146=$A$15),$M146&gt;(ROW(PLE.lastrow)-ROW(PLE.firstrow))),0,
           IF(OFFSET(PLE!$G$15,$M146-$A$15,CC$13)="",10^12,OFFSET(PLE!$G$15,$M146-$A$15,CC$13)))</f>
        <v>1000000000000</v>
      </c>
      <c r="CD146" s="172" cm="1">
        <f t="array" aca="1" ref="CD146" ca="1">IF(OR($D146&lt;&gt;"Serviço",AND(AUTOEVENTO="Manual",$M146=$A$15),$M146&gt;(ROW(PLE.lastrow)-ROW(PLE.firstrow))),0,
           IF(OFFSET(PLE!$G$15,$M146-$A$15,CD$13)="",10^12,OFFSET(PLE!$G$15,$M146-$A$15,CD$13)))</f>
        <v>1000000000000</v>
      </c>
      <c r="CE146" s="172" cm="1">
        <f t="array" aca="1" ref="CE146" ca="1">IF(OR($D146&lt;&gt;"Serviço",AND(AUTOEVENTO="Manual",$M146=$A$15),$M146&gt;(ROW(PLE.lastrow)-ROW(PLE.firstrow))),0,
           IF(OFFSET(PLE!$G$15,$M146-$A$15,CE$13)="",10^12,OFFSET(PLE!$G$15,$M146-$A$15,CE$13)))</f>
        <v>1000000000000</v>
      </c>
      <c r="CF146" s="172" cm="1">
        <f t="array" aca="1" ref="CF146" ca="1">IF(OR($D146&lt;&gt;"Serviço",AND(AUTOEVENTO="Manual",$M146=$A$15),$M146&gt;(ROW(PLE.lastrow)-ROW(PLE.firstrow))),0,
           IF(OFFSET(PLE!$G$15,$M146-$A$15,CF$13)="",10^12,OFFSET(PLE!$G$15,$M146-$A$15,CF$13)))</f>
        <v>1000000000000</v>
      </c>
      <c r="CG146" s="172" cm="1">
        <f t="array" aca="1" ref="CG146" ca="1">IF(OR($D146&lt;&gt;"Serviço",AND(AUTOEVENTO="Manual",$M146=$A$15),$M146&gt;(ROW(PLE.lastrow)-ROW(PLE.firstrow))),0,
           IF(OFFSET(PLE!$G$15,$M146-$A$15,CG$13)="",10^12,OFFSET(PLE!$G$15,$M146-$A$15,CG$13)))</f>
        <v>1000000000000</v>
      </c>
      <c r="CH146" s="172" cm="1">
        <f t="array" aca="1" ref="CH146" ca="1">IF(OR($D146&lt;&gt;"Serviço",AND(AUTOEVENTO="Manual",$M146=$A$15),$M146&gt;(ROW(PLE.lastrow)-ROW(PLE.firstrow))),0,
           IF(OFFSET(PLE!$G$15,$M146-$A$15,CH$13)="",10^12,OFFSET(PLE!$G$15,$M146-$A$15,CH$13)))</f>
        <v>1000000000000</v>
      </c>
      <c r="CI146" s="172" cm="1">
        <f t="array" aca="1" ref="CI146" ca="1">IF(OR($D146&lt;&gt;"Serviço",AND(AUTOEVENTO="Manual",$M146=$A$15),$M146&gt;(ROW(PLE.lastrow)-ROW(PLE.firstrow))),0,
           IF(OFFSET(PLE!$G$15,$M146-$A$15,CI$13)="",10^12,OFFSET(PLE!$G$15,$M146-$A$15,CI$13)))</f>
        <v>1000000000000</v>
      </c>
      <c r="CJ146" s="172" cm="1">
        <f t="array" aca="1" ref="CJ146" ca="1">IF(OR($D146&lt;&gt;"Serviço",AND(AUTOEVENTO="Manual",$M146=$A$15),$M146&gt;(ROW(PLE.lastrow)-ROW(PLE.firstrow))),0,
           IF(OFFSET(PLE!$G$15,$M146-$A$15,CJ$13)="",10^12,OFFSET(PLE!$G$15,$M146-$A$15,CJ$13)))</f>
        <v>1000000000000</v>
      </c>
      <c r="CK146" s="172" cm="1">
        <f t="array" aca="1" ref="CK146" ca="1">IF(OR($D146&lt;&gt;"Serviço",AND(AUTOEVENTO="Manual",$M146=$A$15),$M146&gt;(ROW(PLE.lastrow)-ROW(PLE.firstrow))),0,
           IF(OFFSET(PLE!$G$15,$M146-$A$15,CK$13)="",10^12,OFFSET(PLE!$G$15,$M146-$A$15,CK$13)))</f>
        <v>1000000000000</v>
      </c>
      <c r="CL146" s="172" cm="1">
        <f t="array" aca="1" ref="CL146" ca="1">IF(OR($D146&lt;&gt;"Serviço",AND(AUTOEVENTO="Manual",$M146=$A$15),$M146&gt;(ROW(PLE.lastrow)-ROW(PLE.firstrow))),0,
           IF(OFFSET(PLE!$G$15,$M146-$A$15,CL$13)="",10^12,OFFSET(PLE!$G$15,$M146-$A$15,CL$13)))</f>
        <v>1000000000000</v>
      </c>
      <c r="CM146" s="172" cm="1">
        <f t="array" aca="1" ref="CM146" ca="1">IF(OR($D146&lt;&gt;"Serviço",AND(AUTOEVENTO="Manual",$M146=$A$15),$M146&gt;(ROW(PLE.lastrow)-ROW(PLE.firstrow))),0,
           IF(OFFSET(PLE!$G$15,$M146-$A$15,CM$13)="",10^12,OFFSET(PLE!$G$15,$M146-$A$15,CM$13)))</f>
        <v>1000000000000</v>
      </c>
    </row>
    <row r="147" spans="1:91" s="670" customFormat="1" ht="51" x14ac:dyDescent="0.2">
      <c r="A147" s="668">
        <f t="shared" ca="1" si="14"/>
        <v>22</v>
      </c>
      <c r="B147" s="668" t="str">
        <f ca="1">OFFSET(ORÇAMENTO!C$15,$L147,0)</f>
        <v>S</v>
      </c>
      <c r="C147" s="668" t="str">
        <f ca="1">OFFSET(ORÇAMENTO!L$15,$L147,0)</f>
        <v>F</v>
      </c>
      <c r="D147" s="116" t="str">
        <f ca="1">OFFSET(ORÇAMENTO!N$15,$L147,0)</f>
        <v>Serviço</v>
      </c>
      <c r="E147" s="117" t="str">
        <f ca="1">OFFSET(ORÇAMENTO!O$15,$L147,0)</f>
        <v>1.19.2.</v>
      </c>
      <c r="F147" s="163" t="str">
        <f ca="1">OFFSET(ORÇAMENTO!R$15,$L147,0)</f>
        <v>EMBOÇO, EM ARGAMASSA TRAÇO 1:2:8, PREPARO MANUAL, APLICADO MANUALMENTE EM PAREDES INTERNAS DE AMBIENTES COM ÁREA ENTRE 5M² E 10M², E = 10MM, COM TALISCAS. AF_03/2024</v>
      </c>
      <c r="G147" s="164" t="str">
        <f ca="1">IF($D147&lt;&gt;"Serviço","",OFFSET(ORÇAMENTO!S$15,$L147,0))</f>
        <v>M2</v>
      </c>
      <c r="H147" s="122" cm="1">
        <f t="array" aca="1" ref="H147" ca="1">IF($D147&lt;&gt;"Serviço",0,IF(ACOMPANHAMENTO="BM",ROUND(OFFSET(ORÇAMENTO!AJ$15,$L147,0),15-13*ORÇAMENTO!$AF$7),IF(IFERROR(CÁLCULO.FrentesPreenchidas,0)=0,0,SUM(ROUND(OFFSET($P147,0,1,1,CÁLCULO.FrentesPreenchidas),15-13*ORÇAMENTO!$AF$7)))))</f>
        <v>188.44</v>
      </c>
      <c r="I147" s="468" t="s">
        <v>1193</v>
      </c>
      <c r="J147" s="651" t="str" cm="1">
        <f t="array" aca="1" ref="J147" ca="1">IF(OR(B147&lt;&gt;"S",CÁLCULO.FrentesPreenchidas=0),"",IF(AND(ACOMPANHAMENTO="PLE",AUTOEVENTO="Manual",OR(H147&gt;0,ORÇAMENTO!AC147="QUANT."),OR(K147="",M147=0,N147="")),"►E",IF(AND(ACOMPANHAMENTO="PLE",ORÇAMENTO!AC147="QUANT."),"►Q",IF(AND(ACOMPANHAMENTO="PLE",H147&lt;&gt;SUMPRODUCT(($Q$1:$AI$1=1)*ROUND(Q147:AI147,15))),"►S",IF(AND(COUNTIF($P$11:$AI$11,"▼")=0,H147&gt;0,I147=""),"◄M","")))))</f>
        <v/>
      </c>
      <c r="K147" s="652" t="s">
        <v>1360</v>
      </c>
      <c r="L147" s="165">
        <f t="shared" ca="1" si="15"/>
        <v>132</v>
      </c>
      <c r="M147" s="166">
        <f ca="1">IF($D147&lt;&gt;"Serviço","",
          IF(AUTOEVENTO="manual",$A147,
                IF(ISERROR(MATCH($A147,$A$15:OFFSET($A147,-1,0),0)),MAX($M$15:OFFSET(M147,-1,0))+1,
                      INDEX($M$15:OFFSET(M147,-1,0),MATCH($A147,$A$15:OFFSET($A147,-1,0),0)))))</f>
        <v>22</v>
      </c>
      <c r="N147" s="167" t="str">
        <f ca="1">IF($D147&lt;&gt;"Serviço","",
         IF(AUTOEVENTO="Manual",
                IF($A147=0,"&lt;-- defina o número do agrupador",
                       OFFSET(EVENTOS!$D$15,$A147-$A$15,0)),
                OFFSET($F$15,$A147,0)))</f>
        <v>Revestimento de parede</v>
      </c>
      <c r="O147" s="168"/>
      <c r="Q147" s="168"/>
      <c r="R147" s="169"/>
      <c r="S147" s="169"/>
      <c r="T147" s="169"/>
      <c r="U147" s="169"/>
      <c r="V147" s="169">
        <v>188.44</v>
      </c>
      <c r="W147" s="169"/>
      <c r="X147" s="169"/>
      <c r="Y147" s="169"/>
      <c r="Z147" s="170"/>
      <c r="AA147" s="705"/>
      <c r="AB147" s="705"/>
      <c r="AC147" s="705"/>
      <c r="AD147" s="705"/>
      <c r="AE147" s="705"/>
      <c r="AF147" s="705"/>
      <c r="AG147" s="705"/>
      <c r="AH147" s="706"/>
      <c r="AJ147" s="453">
        <f ca="1">IF(AND($D147="Serviço",AJ$12&lt;&gt;0,$H147&gt;0,OR(AUTOEVENTO&lt;&gt;"manual",$M147&lt;&gt;$A$15)),
        IF(Import.TipoArredondamento&lt;&gt;"TransfereGOV",
              ROUND(OFFSET($P147,0,AJ$13),15-13*ORÇAMENTO!$AF$7)/$H147*OFFSET(ORÇAMENTO!$X$15,ROW(AJ147)-ROW(AJ$15),0),
              ROUND(ROUND(OFFSET($P147,0,AJ$13),15-13*ORÇAMENTO!$AF$7)*OFFSET(ORÇAMENTO!$W$15,ROW(AJ147)-ROW(AJ$15),0),15-13*ORÇAMENTO!$AF$11)),
         0)</f>
        <v>0</v>
      </c>
      <c r="AK147" s="453">
        <f ca="1">IF(AND($D147="Serviço",AK$12&lt;&gt;0,$H147&gt;0,OR(AUTOEVENTO&lt;&gt;"manual",$M147&lt;&gt;$A$15)),
        IF(Import.TipoArredondamento&lt;&gt;"TransfereGOV",
              ROUND(OFFSET($P147,0,AK$13),15-13*ORÇAMENTO!$AF$7)/$H147*OFFSET(ORÇAMENTO!$X$15,ROW(AK147)-ROW(AK$15),0),
              ROUND(ROUND(OFFSET($P147,0,AK$13),15-13*ORÇAMENTO!$AF$7)*OFFSET(ORÇAMENTO!$W$15,ROW(AK147)-ROW(AK$15),0),15-13*ORÇAMENTO!$AF$11)),
         0)</f>
        <v>0</v>
      </c>
      <c r="AL147" s="453">
        <f ca="1">IF(AND($D147="Serviço",AL$12&lt;&gt;0,$H147&gt;0,OR(AUTOEVENTO&lt;&gt;"manual",$M147&lt;&gt;$A$15)),
        IF(Import.TipoArredondamento&lt;&gt;"TransfereGOV",
              ROUND(OFFSET($P147,0,AL$13),15-13*ORÇAMENTO!$AF$7)/$H147*OFFSET(ORÇAMENTO!$X$15,ROW(AL147)-ROW(AL$15),0),
              ROUND(ROUND(OFFSET($P147,0,AL$13),15-13*ORÇAMENTO!$AF$7)*OFFSET(ORÇAMENTO!$W$15,ROW(AL147)-ROW(AL$15),0),15-13*ORÇAMENTO!$AF$11)),
         0)</f>
        <v>0</v>
      </c>
      <c r="AM147" s="453">
        <f ca="1">IF(AND($D147="Serviço",AM$12&lt;&gt;0,$H147&gt;0,OR(AUTOEVENTO&lt;&gt;"manual",$M147&lt;&gt;$A$15)),
        IF(Import.TipoArredondamento&lt;&gt;"TransfereGOV",
              ROUND(OFFSET($P147,0,AM$13),15-13*ORÇAMENTO!$AF$7)/$H147*OFFSET(ORÇAMENTO!$X$15,ROW(AM147)-ROW(AM$15),0),
              ROUND(ROUND(OFFSET($P147,0,AM$13),15-13*ORÇAMENTO!$AF$7)*OFFSET(ORÇAMENTO!$W$15,ROW(AM147)-ROW(AM$15),0),15-13*ORÇAMENTO!$AF$11)),
         0)</f>
        <v>0</v>
      </c>
      <c r="AN147" s="453">
        <f ca="1">IF(AND($D147="Serviço",AN$12&lt;&gt;0,$H147&gt;0,OR(AUTOEVENTO&lt;&gt;"manual",$M147&lt;&gt;$A$15)),
        IF(Import.TipoArredondamento&lt;&gt;"TransfereGOV",
              ROUND(OFFSET($P147,0,AN$13),15-13*ORÇAMENTO!$AF$7)/$H147*OFFSET(ORÇAMENTO!$X$15,ROW(AN147)-ROW(AN$15),0),
              ROUND(ROUND(OFFSET($P147,0,AN$13),15-13*ORÇAMENTO!$AF$7)*OFFSET(ORÇAMENTO!$W$15,ROW(AN147)-ROW(AN$15),0),15-13*ORÇAMENTO!$AF$11)),
         0)</f>
        <v>0</v>
      </c>
      <c r="AO147" s="453">
        <f ca="1">IF(AND($D147="Serviço",AO$12&lt;&gt;0,$H147&gt;0,OR(AUTOEVENTO&lt;&gt;"manual",$M147&lt;&gt;$A$15)),
        IF(Import.TipoArredondamento&lt;&gt;"TransfereGOV",
              ROUND(OFFSET($P147,0,AO$13),15-13*ORÇAMENTO!$AF$7)/$H147*OFFSET(ORÇAMENTO!$X$15,ROW(AO147)-ROW(AO$15),0),
              ROUND(ROUND(OFFSET($P147,0,AO$13),15-13*ORÇAMENTO!$AF$7)*OFFSET(ORÇAMENTO!$W$15,ROW(AO147)-ROW(AO$15),0),15-13*ORÇAMENTO!$AF$11)),
         0)</f>
        <v>7507.45</v>
      </c>
      <c r="AP147" s="453">
        <f ca="1">IF(AND($D147="Serviço",AP$12&lt;&gt;0,$H147&gt;0,OR(AUTOEVENTO&lt;&gt;"manual",$M147&lt;&gt;$A$15)),
        IF(Import.TipoArredondamento&lt;&gt;"TransfereGOV",
              ROUND(OFFSET($P147,0,AP$13),15-13*ORÇAMENTO!$AF$7)/$H147*OFFSET(ORÇAMENTO!$X$15,ROW(AP147)-ROW(AP$15),0),
              ROUND(ROUND(OFFSET($P147,0,AP$13),15-13*ORÇAMENTO!$AF$7)*OFFSET(ORÇAMENTO!$W$15,ROW(AP147)-ROW(AP$15),0),15-13*ORÇAMENTO!$AF$11)),
         0)</f>
        <v>0</v>
      </c>
      <c r="AQ147" s="453">
        <f ca="1">IF(AND($D147="Serviço",AQ$12&lt;&gt;0,$H147&gt;0,OR(AUTOEVENTO&lt;&gt;"manual",$M147&lt;&gt;$A$15)),
        IF(Import.TipoArredondamento&lt;&gt;"TransfereGOV",
              ROUND(OFFSET($P147,0,AQ$13),15-13*ORÇAMENTO!$AF$7)/$H147*OFFSET(ORÇAMENTO!$X$15,ROW(AQ147)-ROW(AQ$15),0),
              ROUND(ROUND(OFFSET($P147,0,AQ$13),15-13*ORÇAMENTO!$AF$7)*OFFSET(ORÇAMENTO!$W$15,ROW(AQ147)-ROW(AQ$15),0),15-13*ORÇAMENTO!$AF$11)),
         0)</f>
        <v>0</v>
      </c>
      <c r="AR147" s="453">
        <f ca="1">IF(AND($D147="Serviço",AR$12&lt;&gt;0,$H147&gt;0,OR(AUTOEVENTO&lt;&gt;"manual",$M147&lt;&gt;$A$15)),
        IF(Import.TipoArredondamento&lt;&gt;"TransfereGOV",
              ROUND(OFFSET($P147,0,AR$13),15-13*ORÇAMENTO!$AF$7)/$H147*OFFSET(ORÇAMENTO!$X$15,ROW(AR147)-ROW(AR$15),0),
              ROUND(ROUND(OFFSET($P147,0,AR$13),15-13*ORÇAMENTO!$AF$7)*OFFSET(ORÇAMENTO!$W$15,ROW(AR147)-ROW(AR$15),0),15-13*ORÇAMENTO!$AF$11)),
         0)</f>
        <v>0</v>
      </c>
      <c r="AS147" s="453">
        <f ca="1">IF(AND($D147="Serviço",AS$12&lt;&gt;0,$H147&gt;0,OR(AUTOEVENTO&lt;&gt;"manual",$M147&lt;&gt;$A$15)),
        IF(Import.TipoArredondamento&lt;&gt;"TransfereGOV",
              ROUND(OFFSET($P147,0,AS$13),15-13*ORÇAMENTO!$AF$7)/$H147*OFFSET(ORÇAMENTO!$X$15,ROW(AS147)-ROW(AS$15),0),
              ROUND(ROUND(OFFSET($P147,0,AS$13),15-13*ORÇAMENTO!$AF$7)*OFFSET(ORÇAMENTO!$W$15,ROW(AS147)-ROW(AS$15),0),15-13*ORÇAMENTO!$AF$11)),
         0)</f>
        <v>0</v>
      </c>
      <c r="AT147" s="453">
        <f ca="1">IF(AND($D147="Serviço",AT$12&lt;&gt;0,$H147&gt;0,OR(AUTOEVENTO&lt;&gt;"manual",$M147&lt;&gt;$A$15)),
        IF(Import.TipoArredondamento&lt;&gt;"TransfereGOV",
              ROUND(OFFSET($P147,0,AT$13),15-13*ORÇAMENTO!$AF$7)/$H147*OFFSET(ORÇAMENTO!$X$15,ROW(AT147)-ROW(AT$15),0),
              ROUND(ROUND(OFFSET($P147,0,AT$13),15-13*ORÇAMENTO!$AF$7)*OFFSET(ORÇAMENTO!$W$15,ROW(AT147)-ROW(AT$15),0),15-13*ORÇAMENTO!$AF$11)),
         0)</f>
        <v>0</v>
      </c>
      <c r="AU147" s="453">
        <f ca="1">IF(AND($D147="Serviço",AU$12&lt;&gt;0,$H147&gt;0,OR(AUTOEVENTO&lt;&gt;"manual",$M147&lt;&gt;$A$15)),
        IF(Import.TipoArredondamento&lt;&gt;"TransfereGOV",
              ROUND(OFFSET($P147,0,AU$13),15-13*ORÇAMENTO!$AF$7)/$H147*OFFSET(ORÇAMENTO!$X$15,ROW(AU147)-ROW(AU$15),0),
              ROUND(ROUND(OFFSET($P147,0,AU$13),15-13*ORÇAMENTO!$AF$7)*OFFSET(ORÇAMENTO!$W$15,ROW(AU147)-ROW(AU$15),0),15-13*ORÇAMENTO!$AF$11)),
         0)</f>
        <v>0</v>
      </c>
      <c r="AV147" s="453">
        <f ca="1">IF(AND($D147="Serviço",AV$12&lt;&gt;0,$H147&gt;0,OR(AUTOEVENTO&lt;&gt;"manual",$M147&lt;&gt;$A$15)),
        IF(Import.TipoArredondamento&lt;&gt;"TransfereGOV",
              ROUND(OFFSET($P147,0,AV$13),15-13*ORÇAMENTO!$AF$7)/$H147*OFFSET(ORÇAMENTO!$X$15,ROW(AV147)-ROW(AV$15),0),
              ROUND(ROUND(OFFSET($P147,0,AV$13),15-13*ORÇAMENTO!$AF$7)*OFFSET(ORÇAMENTO!$W$15,ROW(AV147)-ROW(AV$15),0),15-13*ORÇAMENTO!$AF$11)),
         0)</f>
        <v>0</v>
      </c>
      <c r="AW147" s="453">
        <f ca="1">IF(AND($D147="Serviço",AW$12&lt;&gt;0,$H147&gt;0,OR(AUTOEVENTO&lt;&gt;"manual",$M147&lt;&gt;$A$15)),
        IF(Import.TipoArredondamento&lt;&gt;"TransfereGOV",
              ROUND(OFFSET($P147,0,AW$13),15-13*ORÇAMENTO!$AF$7)/$H147*OFFSET(ORÇAMENTO!$X$15,ROW(AW147)-ROW(AW$15),0),
              ROUND(ROUND(OFFSET($P147,0,AW$13),15-13*ORÇAMENTO!$AF$7)*OFFSET(ORÇAMENTO!$W$15,ROW(AW147)-ROW(AW$15),0),15-13*ORÇAMENTO!$AF$11)),
         0)</f>
        <v>0</v>
      </c>
      <c r="AX147" s="453">
        <f ca="1">IF(AND($D147="Serviço",AX$12&lt;&gt;0,$H147&gt;0,OR(AUTOEVENTO&lt;&gt;"manual",$M147&lt;&gt;$A$15)),
        IF(Import.TipoArredondamento&lt;&gt;"TransfereGOV",
              ROUND(OFFSET($P147,0,AX$13),15-13*ORÇAMENTO!$AF$7)/$H147*OFFSET(ORÇAMENTO!$X$15,ROW(AX147)-ROW(AX$15),0),
              ROUND(ROUND(OFFSET($P147,0,AX$13),15-13*ORÇAMENTO!$AF$7)*OFFSET(ORÇAMENTO!$W$15,ROW(AX147)-ROW(AX$15),0),15-13*ORÇAMENTO!$AF$11)),
         0)</f>
        <v>0</v>
      </c>
      <c r="AY147" s="453">
        <f ca="1">IF(AND($D147="Serviço",AY$12&lt;&gt;0,$H147&gt;0,OR(AUTOEVENTO&lt;&gt;"manual",$M147&lt;&gt;$A$15)),
        IF(Import.TipoArredondamento&lt;&gt;"TransfereGOV",
              ROUND(OFFSET($P147,0,AY$13),15-13*ORÇAMENTO!$AF$7)/$H147*OFFSET(ORÇAMENTO!$X$15,ROW(AY147)-ROW(AY$15),0),
              ROUND(ROUND(OFFSET($P147,0,AY$13),15-13*ORÇAMENTO!$AF$7)*OFFSET(ORÇAMENTO!$W$15,ROW(AY147)-ROW(AY$15),0),15-13*ORÇAMENTO!$AF$11)),
         0)</f>
        <v>0</v>
      </c>
      <c r="AZ147" s="453">
        <f ca="1">IF(AND($D147="Serviço",AZ$12&lt;&gt;0,$H147&gt;0,OR(AUTOEVENTO&lt;&gt;"manual",$M147&lt;&gt;$A$15)),
        IF(Import.TipoArredondamento&lt;&gt;"TransfereGOV",
              ROUND(OFFSET($P147,0,AZ$13),15-13*ORÇAMENTO!$AF$7)/$H147*OFFSET(ORÇAMENTO!$X$15,ROW(AZ147)-ROW(AZ$15),0),
              ROUND(ROUND(OFFSET($P147,0,AZ$13),15-13*ORÇAMENTO!$AF$7)*OFFSET(ORÇAMENTO!$W$15,ROW(AZ147)-ROW(AZ$15),0),15-13*ORÇAMENTO!$AF$11)),
         0)</f>
        <v>0</v>
      </c>
      <c r="BA147" s="453">
        <f ca="1">IF(AND($D147="Serviço",BA$12&lt;&gt;0,$H147&gt;0,OR(AUTOEVENTO&lt;&gt;"manual",$M147&lt;&gt;$A$15)),
        IF(Import.TipoArredondamento&lt;&gt;"TransfereGOV",
              ROUND(OFFSET($P147,0,BA$13),15-13*ORÇAMENTO!$AF$7)/$H147*OFFSET(ORÇAMENTO!$X$15,ROW(BA147)-ROW(BA$15),0),
              ROUND(ROUND(OFFSET($P147,0,BA$13),15-13*ORÇAMENTO!$AF$7)*OFFSET(ORÇAMENTO!$W$15,ROW(BA147)-ROW(BA$15),0),15-13*ORÇAMENTO!$AF$11)),
         0)</f>
        <v>0</v>
      </c>
      <c r="BC147" s="171">
        <f ca="1">IF(OR($D147&lt;&gt;"Serviço",AND(AUTOEVENTO="Manual",$M147=$A$15)),0,
         IF(OFFSET(CRONOPLE!$F$15,$M147-$A$15,BC$13)=0,10^12,OFFSET(CRONOPLE!$F$15,$M147-$A$15,BC$13)))</f>
        <v>1000000000000</v>
      </c>
      <c r="BD147" s="171">
        <f ca="1">IF(OR($D147&lt;&gt;"Serviço",AND(AUTOEVENTO="Manual",$M147=$A$15)),0,
         IF(OFFSET(CRONOPLE!$F$15,$M147-$A$15,BD$13)=0,10^12,OFFSET(CRONOPLE!$F$15,$M147-$A$15,BD$13)))</f>
        <v>1000000000000</v>
      </c>
      <c r="BE147" s="171">
        <f ca="1">IF(OR($D147&lt;&gt;"Serviço",AND(AUTOEVENTO="Manual",$M147=$A$15)),0,
         IF(OFFSET(CRONOPLE!$F$15,$M147-$A$15,BE$13)=0,10^12,OFFSET(CRONOPLE!$F$15,$M147-$A$15,BE$13)))</f>
        <v>1000000000000</v>
      </c>
      <c r="BF147" s="171">
        <f ca="1">IF(OR($D147&lt;&gt;"Serviço",AND(AUTOEVENTO="Manual",$M147=$A$15)),0,
         IF(OFFSET(CRONOPLE!$F$15,$M147-$A$15,BF$13)=0,10^12,OFFSET(CRONOPLE!$F$15,$M147-$A$15,BF$13)))</f>
        <v>1000000000000</v>
      </c>
      <c r="BG147" s="171">
        <f ca="1">IF(OR($D147&lt;&gt;"Serviço",AND(AUTOEVENTO="Manual",$M147=$A$15)),0,
         IF(OFFSET(CRONOPLE!$F$15,$M147-$A$15,BG$13)=0,10^12,OFFSET(CRONOPLE!$F$15,$M147-$A$15,BG$13)))</f>
        <v>1000000000000</v>
      </c>
      <c r="BH147" s="171">
        <f ca="1">IF(OR($D147&lt;&gt;"Serviço",AND(AUTOEVENTO="Manual",$M147=$A$15)),0,
         IF(OFFSET(CRONOPLE!$F$15,$M147-$A$15,BH$13)=0,10^12,OFFSET(CRONOPLE!$F$15,$M147-$A$15,BH$13)))</f>
        <v>10</v>
      </c>
      <c r="BI147" s="171">
        <f ca="1">IF(OR($D147&lt;&gt;"Serviço",AND(AUTOEVENTO="Manual",$M147=$A$15)),0,
         IF(OFFSET(CRONOPLE!$F$15,$M147-$A$15,BI$13)=0,10^12,OFFSET(CRONOPLE!$F$15,$M147-$A$15,BI$13)))</f>
        <v>1000000000000</v>
      </c>
      <c r="BJ147" s="171">
        <f ca="1">IF(OR($D147&lt;&gt;"Serviço",AND(AUTOEVENTO="Manual",$M147=$A$15)),0,
         IF(OFFSET(CRONOPLE!$F$15,$M147-$A$15,BJ$13)=0,10^12,OFFSET(CRONOPLE!$F$15,$M147-$A$15,BJ$13)))</f>
        <v>1000000000000</v>
      </c>
      <c r="BK147" s="171">
        <f ca="1">IF(OR($D147&lt;&gt;"Serviço",AND(AUTOEVENTO="Manual",$M147=$A$15)),0,
         IF(OFFSET(CRONOPLE!$F$15,$M147-$A$15,BK$13)=0,10^12,OFFSET(CRONOPLE!$F$15,$M147-$A$15,BK$13)))</f>
        <v>1000000000000</v>
      </c>
      <c r="BL147" s="171">
        <f ca="1">IF(OR($D147&lt;&gt;"Serviço",AND(AUTOEVENTO="Manual",$M147=$A$15)),0,
         IF(OFFSET(CRONOPLE!$F$15,$M147-$A$15,BL$13)=0,10^12,OFFSET(CRONOPLE!$F$15,$M147-$A$15,BL$13)))</f>
        <v>1000000000000</v>
      </c>
      <c r="BM147" s="171">
        <f ca="1">IF(OR($D147&lt;&gt;"Serviço",AND(AUTOEVENTO="Manual",$M147=$A$15)),0,
         IF(OFFSET(CRONOPLE!$F$15,$M147-$A$15,BM$13)=0,10^12,OFFSET(CRONOPLE!$F$15,$M147-$A$15,BM$13)))</f>
        <v>1000000000000</v>
      </c>
      <c r="BN147" s="171">
        <f ca="1">IF(OR($D147&lt;&gt;"Serviço",AND(AUTOEVENTO="Manual",$M147=$A$15)),0,
         IF(OFFSET(CRONOPLE!$F$15,$M147-$A$15,BN$13)=0,10^12,OFFSET(CRONOPLE!$F$15,$M147-$A$15,BN$13)))</f>
        <v>1000000000000</v>
      </c>
      <c r="BO147" s="171">
        <f ca="1">IF(OR($D147&lt;&gt;"Serviço",AND(AUTOEVENTO="Manual",$M147=$A$15)),0,
         IF(OFFSET(CRONOPLE!$F$15,$M147-$A$15,BO$13)=0,10^12,OFFSET(CRONOPLE!$F$15,$M147-$A$15,BO$13)))</f>
        <v>1000000000000</v>
      </c>
      <c r="BP147" s="171">
        <f ca="1">IF(OR($D147&lt;&gt;"Serviço",AND(AUTOEVENTO="Manual",$M147=$A$15)),0,
         IF(OFFSET(CRONOPLE!$F$15,$M147-$A$15,BP$13)=0,10^12,OFFSET(CRONOPLE!$F$15,$M147-$A$15,BP$13)))</f>
        <v>1000000000000</v>
      </c>
      <c r="BQ147" s="171">
        <f ca="1">IF(OR($D147&lt;&gt;"Serviço",AND(AUTOEVENTO="Manual",$M147=$A$15)),0,
         IF(OFFSET(CRONOPLE!$F$15,$M147-$A$15,BQ$13)=0,10^12,OFFSET(CRONOPLE!$F$15,$M147-$A$15,BQ$13)))</f>
        <v>1000000000000</v>
      </c>
      <c r="BR147" s="171">
        <f ca="1">IF(OR($D147&lt;&gt;"Serviço",AND(AUTOEVENTO="Manual",$M147=$A$15)),0,
         IF(OFFSET(CRONOPLE!$F$15,$M147-$A$15,BR$13)=0,10^12,OFFSET(CRONOPLE!$F$15,$M147-$A$15,BR$13)))</f>
        <v>1000000000000</v>
      </c>
      <c r="BS147" s="171">
        <f ca="1">IF(OR($D147&lt;&gt;"Serviço",AND(AUTOEVENTO="Manual",$M147=$A$15)),0,
         IF(OFFSET(CRONOPLE!$F$15,$M147-$A$15,BS$13)=0,10^12,OFFSET(CRONOPLE!$F$15,$M147-$A$15,BS$13)))</f>
        <v>1000000000000</v>
      </c>
      <c r="BT147" s="171">
        <f ca="1">IF(OR($D147&lt;&gt;"Serviço",AND(AUTOEVENTO="Manual",$M147=$A$15)),0,
         IF(OFFSET(CRONOPLE!$F$15,$M147-$A$15,BT$13)=0,10^12,OFFSET(CRONOPLE!$F$15,$M147-$A$15,BT$13)))</f>
        <v>1000000000000</v>
      </c>
      <c r="BV147" s="172" cm="1">
        <f t="array" aca="1" ref="BV147" ca="1">IF(OR($D147&lt;&gt;"Serviço",AND(AUTOEVENTO="Manual",$M147=$A$15),$M147&gt;(ROW(PLE.lastrow)-ROW(PLE.firstrow))),0,
           IF(OFFSET(PLE!$G$15,$M147-$A$15,BV$13)="",10^12,OFFSET(PLE!$G$15,$M147-$A$15,BV$13)))</f>
        <v>1000000000000</v>
      </c>
      <c r="BW147" s="172" cm="1">
        <f t="array" aca="1" ref="BW147" ca="1">IF(OR($D147&lt;&gt;"Serviço",AND(AUTOEVENTO="Manual",$M147=$A$15),$M147&gt;(ROW(PLE.lastrow)-ROW(PLE.firstrow))),0,
           IF(OFFSET(PLE!$G$15,$M147-$A$15,BW$13)="",10^12,OFFSET(PLE!$G$15,$M147-$A$15,BW$13)))</f>
        <v>1000000000000</v>
      </c>
      <c r="BX147" s="172" cm="1">
        <f t="array" aca="1" ref="BX147" ca="1">IF(OR($D147&lt;&gt;"Serviço",AND(AUTOEVENTO="Manual",$M147=$A$15),$M147&gt;(ROW(PLE.lastrow)-ROW(PLE.firstrow))),0,
           IF(OFFSET(PLE!$G$15,$M147-$A$15,BX$13)="",10^12,OFFSET(PLE!$G$15,$M147-$A$15,BX$13)))</f>
        <v>1000000000000</v>
      </c>
      <c r="BY147" s="172" cm="1">
        <f t="array" aca="1" ref="BY147" ca="1">IF(OR($D147&lt;&gt;"Serviço",AND(AUTOEVENTO="Manual",$M147=$A$15),$M147&gt;(ROW(PLE.lastrow)-ROW(PLE.firstrow))),0,
           IF(OFFSET(PLE!$G$15,$M147-$A$15,BY$13)="",10^12,OFFSET(PLE!$G$15,$M147-$A$15,BY$13)))</f>
        <v>1000000000000</v>
      </c>
      <c r="BZ147" s="172" cm="1">
        <f t="array" aca="1" ref="BZ147" ca="1">IF(OR($D147&lt;&gt;"Serviço",AND(AUTOEVENTO="Manual",$M147=$A$15),$M147&gt;(ROW(PLE.lastrow)-ROW(PLE.firstrow))),0,
           IF(OFFSET(PLE!$G$15,$M147-$A$15,BZ$13)="",10^12,OFFSET(PLE!$G$15,$M147-$A$15,BZ$13)))</f>
        <v>1000000000000</v>
      </c>
      <c r="CA147" s="172" cm="1">
        <f t="array" aca="1" ref="CA147" ca="1">IF(OR($D147&lt;&gt;"Serviço",AND(AUTOEVENTO="Manual",$M147=$A$15),$M147&gt;(ROW(PLE.lastrow)-ROW(PLE.firstrow))),0,
           IF(OFFSET(PLE!$G$15,$M147-$A$15,CA$13)="",10^12,OFFSET(PLE!$G$15,$M147-$A$15,CA$13)))</f>
        <v>1000000000000</v>
      </c>
      <c r="CB147" s="172" cm="1">
        <f t="array" aca="1" ref="CB147" ca="1">IF(OR($D147&lt;&gt;"Serviço",AND(AUTOEVENTO="Manual",$M147=$A$15),$M147&gt;(ROW(PLE.lastrow)-ROW(PLE.firstrow))),0,
           IF(OFFSET(PLE!$G$15,$M147-$A$15,CB$13)="",10^12,OFFSET(PLE!$G$15,$M147-$A$15,CB$13)))</f>
        <v>1000000000000</v>
      </c>
      <c r="CC147" s="172" cm="1">
        <f t="array" aca="1" ref="CC147" ca="1">IF(OR($D147&lt;&gt;"Serviço",AND(AUTOEVENTO="Manual",$M147=$A$15),$M147&gt;(ROW(PLE.lastrow)-ROW(PLE.firstrow))),0,
           IF(OFFSET(PLE!$G$15,$M147-$A$15,CC$13)="",10^12,OFFSET(PLE!$G$15,$M147-$A$15,CC$13)))</f>
        <v>1000000000000</v>
      </c>
      <c r="CD147" s="172" cm="1">
        <f t="array" aca="1" ref="CD147" ca="1">IF(OR($D147&lt;&gt;"Serviço",AND(AUTOEVENTO="Manual",$M147=$A$15),$M147&gt;(ROW(PLE.lastrow)-ROW(PLE.firstrow))),0,
           IF(OFFSET(PLE!$G$15,$M147-$A$15,CD$13)="",10^12,OFFSET(PLE!$G$15,$M147-$A$15,CD$13)))</f>
        <v>1000000000000</v>
      </c>
      <c r="CE147" s="172" cm="1">
        <f t="array" aca="1" ref="CE147" ca="1">IF(OR($D147&lt;&gt;"Serviço",AND(AUTOEVENTO="Manual",$M147=$A$15),$M147&gt;(ROW(PLE.lastrow)-ROW(PLE.firstrow))),0,
           IF(OFFSET(PLE!$G$15,$M147-$A$15,CE$13)="",10^12,OFFSET(PLE!$G$15,$M147-$A$15,CE$13)))</f>
        <v>1000000000000</v>
      </c>
      <c r="CF147" s="172" cm="1">
        <f t="array" aca="1" ref="CF147" ca="1">IF(OR($D147&lt;&gt;"Serviço",AND(AUTOEVENTO="Manual",$M147=$A$15),$M147&gt;(ROW(PLE.lastrow)-ROW(PLE.firstrow))),0,
           IF(OFFSET(PLE!$G$15,$M147-$A$15,CF$13)="",10^12,OFFSET(PLE!$G$15,$M147-$A$15,CF$13)))</f>
        <v>1000000000000</v>
      </c>
      <c r="CG147" s="172" cm="1">
        <f t="array" aca="1" ref="CG147" ca="1">IF(OR($D147&lt;&gt;"Serviço",AND(AUTOEVENTO="Manual",$M147=$A$15),$M147&gt;(ROW(PLE.lastrow)-ROW(PLE.firstrow))),0,
           IF(OFFSET(PLE!$G$15,$M147-$A$15,CG$13)="",10^12,OFFSET(PLE!$G$15,$M147-$A$15,CG$13)))</f>
        <v>1000000000000</v>
      </c>
      <c r="CH147" s="172" cm="1">
        <f t="array" aca="1" ref="CH147" ca="1">IF(OR($D147&lt;&gt;"Serviço",AND(AUTOEVENTO="Manual",$M147=$A$15),$M147&gt;(ROW(PLE.lastrow)-ROW(PLE.firstrow))),0,
           IF(OFFSET(PLE!$G$15,$M147-$A$15,CH$13)="",10^12,OFFSET(PLE!$G$15,$M147-$A$15,CH$13)))</f>
        <v>1000000000000</v>
      </c>
      <c r="CI147" s="172" cm="1">
        <f t="array" aca="1" ref="CI147" ca="1">IF(OR($D147&lt;&gt;"Serviço",AND(AUTOEVENTO="Manual",$M147=$A$15),$M147&gt;(ROW(PLE.lastrow)-ROW(PLE.firstrow))),0,
           IF(OFFSET(PLE!$G$15,$M147-$A$15,CI$13)="",10^12,OFFSET(PLE!$G$15,$M147-$A$15,CI$13)))</f>
        <v>1000000000000</v>
      </c>
      <c r="CJ147" s="172" cm="1">
        <f t="array" aca="1" ref="CJ147" ca="1">IF(OR($D147&lt;&gt;"Serviço",AND(AUTOEVENTO="Manual",$M147=$A$15),$M147&gt;(ROW(PLE.lastrow)-ROW(PLE.firstrow))),0,
           IF(OFFSET(PLE!$G$15,$M147-$A$15,CJ$13)="",10^12,OFFSET(PLE!$G$15,$M147-$A$15,CJ$13)))</f>
        <v>1000000000000</v>
      </c>
      <c r="CK147" s="172" cm="1">
        <f t="array" aca="1" ref="CK147" ca="1">IF(OR($D147&lt;&gt;"Serviço",AND(AUTOEVENTO="Manual",$M147=$A$15),$M147&gt;(ROW(PLE.lastrow)-ROW(PLE.firstrow))),0,
           IF(OFFSET(PLE!$G$15,$M147-$A$15,CK$13)="",10^12,OFFSET(PLE!$G$15,$M147-$A$15,CK$13)))</f>
        <v>1000000000000</v>
      </c>
      <c r="CL147" s="172" cm="1">
        <f t="array" aca="1" ref="CL147" ca="1">IF(OR($D147&lt;&gt;"Serviço",AND(AUTOEVENTO="Manual",$M147=$A$15),$M147&gt;(ROW(PLE.lastrow)-ROW(PLE.firstrow))),0,
           IF(OFFSET(PLE!$G$15,$M147-$A$15,CL$13)="",10^12,OFFSET(PLE!$G$15,$M147-$A$15,CL$13)))</f>
        <v>1000000000000</v>
      </c>
      <c r="CM147" s="172" cm="1">
        <f t="array" aca="1" ref="CM147" ca="1">IF(OR($D147&lt;&gt;"Serviço",AND(AUTOEVENTO="Manual",$M147=$A$15),$M147&gt;(ROW(PLE.lastrow)-ROW(PLE.firstrow))),0,
           IF(OFFSET(PLE!$G$15,$M147-$A$15,CM$13)="",10^12,OFFSET(PLE!$G$15,$M147-$A$15,CM$13)))</f>
        <v>1000000000000</v>
      </c>
    </row>
    <row r="148" spans="1:91" s="670" customFormat="1" ht="38.25" x14ac:dyDescent="0.2">
      <c r="A148" s="668">
        <f t="shared" ca="1" si="14"/>
        <v>23</v>
      </c>
      <c r="B148" s="668" t="str">
        <f ca="1">OFFSET(ORÇAMENTO!C$15,$L148,0)</f>
        <v>S</v>
      </c>
      <c r="C148" s="668" t="str">
        <f ca="1">OFFSET(ORÇAMENTO!L$15,$L148,0)</f>
        <v>F</v>
      </c>
      <c r="D148" s="116" t="str">
        <f ca="1">OFFSET(ORÇAMENTO!N$15,$L148,0)</f>
        <v>Serviço</v>
      </c>
      <c r="E148" s="117" t="str">
        <f ca="1">OFFSET(ORÇAMENTO!O$15,$L148,0)</f>
        <v>1.19.3.</v>
      </c>
      <c r="F148" s="163" t="str">
        <f ca="1">OFFSET(ORÇAMENTO!R$15,$L148,0)</f>
        <v>REVESTIMENTO CERÂMICO PARA PISO COM PLACAS TIPO ESMALTADA DE DIMENSÕES 45X45 CM APLICADA EM AMBIENTES DE ÁREA MAIOR QUE 10 M2. AF_02/2023_PE</v>
      </c>
      <c r="G148" s="164" t="str">
        <f ca="1">IF($D148&lt;&gt;"Serviço","",OFFSET(ORÇAMENTO!S$15,$L148,0))</f>
        <v>M2</v>
      </c>
      <c r="H148" s="122" cm="1">
        <f t="array" aca="1" ref="H148" ca="1">IF($D148&lt;&gt;"Serviço",0,IF(ACOMPANHAMENTO="BM",ROUND(OFFSET(ORÇAMENTO!AJ$15,$L148,0),15-13*ORÇAMENTO!$AF$7),IF(IFERROR(CÁLCULO.FrentesPreenchidas,0)=0,0,SUM(ROUND(OFFSET($P148,0,1,1,CÁLCULO.FrentesPreenchidas),15-13*ORÇAMENTO!$AF$7)))))</f>
        <v>46.45</v>
      </c>
      <c r="I148" s="468" t="s">
        <v>1194</v>
      </c>
      <c r="J148" s="651" t="str" cm="1">
        <f t="array" aca="1" ref="J148" ca="1">IF(OR(B148&lt;&gt;"S",CÁLCULO.FrentesPreenchidas=0),"",IF(AND(ACOMPANHAMENTO="PLE",AUTOEVENTO="Manual",OR(H148&gt;0,ORÇAMENTO!AC148="QUANT."),OR(K148="",M148=0,N148="")),"►E",IF(AND(ACOMPANHAMENTO="PLE",ORÇAMENTO!AC148="QUANT."),"►Q",IF(AND(ACOMPANHAMENTO="PLE",H148&lt;&gt;SUMPRODUCT(($Q$1:$AI$1=1)*ROUND(Q148:AI148,15))),"►S",IF(AND(COUNTIF($P$11:$AI$11,"▼")=0,H148&gt;0,I148=""),"◄M","")))))</f>
        <v/>
      </c>
      <c r="K148" s="652" t="s">
        <v>1361</v>
      </c>
      <c r="L148" s="165">
        <f t="shared" ca="1" si="15"/>
        <v>133</v>
      </c>
      <c r="M148" s="166">
        <f ca="1">IF($D148&lt;&gt;"Serviço","",
          IF(AUTOEVENTO="manual",$A148,
                IF(ISERROR(MATCH($A148,$A$15:OFFSET($A148,-1,0),0)),MAX($M$15:OFFSET(M148,-1,0))+1,
                      INDEX($M$15:OFFSET(M148,-1,0),MATCH($A148,$A$15:OFFSET($A148,-1,0),0)))))</f>
        <v>23</v>
      </c>
      <c r="N148" s="167" t="str">
        <f ca="1">IF($D148&lt;&gt;"Serviço","",
         IF(AUTOEVENTO="Manual",
                IF($A148=0,"&lt;-- defina o número do agrupador",
                       OFFSET(EVENTOS!$D$15,$A148-$A$15,0)),
                OFFSET($F$15,$A148,0)))</f>
        <v>Revestimento de piso</v>
      </c>
      <c r="O148" s="168"/>
      <c r="Q148" s="168"/>
      <c r="R148" s="169"/>
      <c r="S148" s="169"/>
      <c r="T148" s="169"/>
      <c r="U148" s="169"/>
      <c r="V148" s="169">
        <v>46.45</v>
      </c>
      <c r="W148" s="169"/>
      <c r="X148" s="169"/>
      <c r="Y148" s="169"/>
      <c r="Z148" s="170"/>
      <c r="AA148" s="705"/>
      <c r="AB148" s="705"/>
      <c r="AC148" s="705"/>
      <c r="AD148" s="705"/>
      <c r="AE148" s="705"/>
      <c r="AF148" s="705"/>
      <c r="AG148" s="705"/>
      <c r="AH148" s="706"/>
      <c r="AJ148" s="453">
        <f ca="1">IF(AND($D148="Serviço",AJ$12&lt;&gt;0,$H148&gt;0,OR(AUTOEVENTO&lt;&gt;"manual",$M148&lt;&gt;$A$15)),
        IF(Import.TipoArredondamento&lt;&gt;"TransfereGOV",
              ROUND(OFFSET($P148,0,AJ$13),15-13*ORÇAMENTO!$AF$7)/$H148*OFFSET(ORÇAMENTO!$X$15,ROW(AJ148)-ROW(AJ$15),0),
              ROUND(ROUND(OFFSET($P148,0,AJ$13),15-13*ORÇAMENTO!$AF$7)*OFFSET(ORÇAMENTO!$W$15,ROW(AJ148)-ROW(AJ$15),0),15-13*ORÇAMENTO!$AF$11)),
         0)</f>
        <v>0</v>
      </c>
      <c r="AK148" s="453">
        <f ca="1">IF(AND($D148="Serviço",AK$12&lt;&gt;0,$H148&gt;0,OR(AUTOEVENTO&lt;&gt;"manual",$M148&lt;&gt;$A$15)),
        IF(Import.TipoArredondamento&lt;&gt;"TransfereGOV",
              ROUND(OFFSET($P148,0,AK$13),15-13*ORÇAMENTO!$AF$7)/$H148*OFFSET(ORÇAMENTO!$X$15,ROW(AK148)-ROW(AK$15),0),
              ROUND(ROUND(OFFSET($P148,0,AK$13),15-13*ORÇAMENTO!$AF$7)*OFFSET(ORÇAMENTO!$W$15,ROW(AK148)-ROW(AK$15),0),15-13*ORÇAMENTO!$AF$11)),
         0)</f>
        <v>0</v>
      </c>
      <c r="AL148" s="453">
        <f ca="1">IF(AND($D148="Serviço",AL$12&lt;&gt;0,$H148&gt;0,OR(AUTOEVENTO&lt;&gt;"manual",$M148&lt;&gt;$A$15)),
        IF(Import.TipoArredondamento&lt;&gt;"TransfereGOV",
              ROUND(OFFSET($P148,0,AL$13),15-13*ORÇAMENTO!$AF$7)/$H148*OFFSET(ORÇAMENTO!$X$15,ROW(AL148)-ROW(AL$15),0),
              ROUND(ROUND(OFFSET($P148,0,AL$13),15-13*ORÇAMENTO!$AF$7)*OFFSET(ORÇAMENTO!$W$15,ROW(AL148)-ROW(AL$15),0),15-13*ORÇAMENTO!$AF$11)),
         0)</f>
        <v>0</v>
      </c>
      <c r="AM148" s="453">
        <f ca="1">IF(AND($D148="Serviço",AM$12&lt;&gt;0,$H148&gt;0,OR(AUTOEVENTO&lt;&gt;"manual",$M148&lt;&gt;$A$15)),
        IF(Import.TipoArredondamento&lt;&gt;"TransfereGOV",
              ROUND(OFFSET($P148,0,AM$13),15-13*ORÇAMENTO!$AF$7)/$H148*OFFSET(ORÇAMENTO!$X$15,ROW(AM148)-ROW(AM$15),0),
              ROUND(ROUND(OFFSET($P148,0,AM$13),15-13*ORÇAMENTO!$AF$7)*OFFSET(ORÇAMENTO!$W$15,ROW(AM148)-ROW(AM$15),0),15-13*ORÇAMENTO!$AF$11)),
         0)</f>
        <v>0</v>
      </c>
      <c r="AN148" s="453">
        <f ca="1">IF(AND($D148="Serviço",AN$12&lt;&gt;0,$H148&gt;0,OR(AUTOEVENTO&lt;&gt;"manual",$M148&lt;&gt;$A$15)),
        IF(Import.TipoArredondamento&lt;&gt;"TransfereGOV",
              ROUND(OFFSET($P148,0,AN$13),15-13*ORÇAMENTO!$AF$7)/$H148*OFFSET(ORÇAMENTO!$X$15,ROW(AN148)-ROW(AN$15),0),
              ROUND(ROUND(OFFSET($P148,0,AN$13),15-13*ORÇAMENTO!$AF$7)*OFFSET(ORÇAMENTO!$W$15,ROW(AN148)-ROW(AN$15),0),15-13*ORÇAMENTO!$AF$11)),
         0)</f>
        <v>0</v>
      </c>
      <c r="AO148" s="453">
        <f ca="1">IF(AND($D148="Serviço",AO$12&lt;&gt;0,$H148&gt;0,OR(AUTOEVENTO&lt;&gt;"manual",$M148&lt;&gt;$A$15)),
        IF(Import.TipoArredondamento&lt;&gt;"TransfereGOV",
              ROUND(OFFSET($P148,0,AO$13),15-13*ORÇAMENTO!$AF$7)/$H148*OFFSET(ORÇAMENTO!$X$15,ROW(AO148)-ROW(AO$15),0),
              ROUND(ROUND(OFFSET($P148,0,AO$13),15-13*ORÇAMENTO!$AF$7)*OFFSET(ORÇAMENTO!$W$15,ROW(AO148)-ROW(AO$15),0),15-13*ORÇAMENTO!$AF$11)),
         0)</f>
        <v>3098.68</v>
      </c>
      <c r="AP148" s="453">
        <f ca="1">IF(AND($D148="Serviço",AP$12&lt;&gt;0,$H148&gt;0,OR(AUTOEVENTO&lt;&gt;"manual",$M148&lt;&gt;$A$15)),
        IF(Import.TipoArredondamento&lt;&gt;"TransfereGOV",
              ROUND(OFFSET($P148,0,AP$13),15-13*ORÇAMENTO!$AF$7)/$H148*OFFSET(ORÇAMENTO!$X$15,ROW(AP148)-ROW(AP$15),0),
              ROUND(ROUND(OFFSET($P148,0,AP$13),15-13*ORÇAMENTO!$AF$7)*OFFSET(ORÇAMENTO!$W$15,ROW(AP148)-ROW(AP$15),0),15-13*ORÇAMENTO!$AF$11)),
         0)</f>
        <v>0</v>
      </c>
      <c r="AQ148" s="453">
        <f ca="1">IF(AND($D148="Serviço",AQ$12&lt;&gt;0,$H148&gt;0,OR(AUTOEVENTO&lt;&gt;"manual",$M148&lt;&gt;$A$15)),
        IF(Import.TipoArredondamento&lt;&gt;"TransfereGOV",
              ROUND(OFFSET($P148,0,AQ$13),15-13*ORÇAMENTO!$AF$7)/$H148*OFFSET(ORÇAMENTO!$X$15,ROW(AQ148)-ROW(AQ$15),0),
              ROUND(ROUND(OFFSET($P148,0,AQ$13),15-13*ORÇAMENTO!$AF$7)*OFFSET(ORÇAMENTO!$W$15,ROW(AQ148)-ROW(AQ$15),0),15-13*ORÇAMENTO!$AF$11)),
         0)</f>
        <v>0</v>
      </c>
      <c r="AR148" s="453">
        <f ca="1">IF(AND($D148="Serviço",AR$12&lt;&gt;0,$H148&gt;0,OR(AUTOEVENTO&lt;&gt;"manual",$M148&lt;&gt;$A$15)),
        IF(Import.TipoArredondamento&lt;&gt;"TransfereGOV",
              ROUND(OFFSET($P148,0,AR$13),15-13*ORÇAMENTO!$AF$7)/$H148*OFFSET(ORÇAMENTO!$X$15,ROW(AR148)-ROW(AR$15),0),
              ROUND(ROUND(OFFSET($P148,0,AR$13),15-13*ORÇAMENTO!$AF$7)*OFFSET(ORÇAMENTO!$W$15,ROW(AR148)-ROW(AR$15),0),15-13*ORÇAMENTO!$AF$11)),
         0)</f>
        <v>0</v>
      </c>
      <c r="AS148" s="453">
        <f ca="1">IF(AND($D148="Serviço",AS$12&lt;&gt;0,$H148&gt;0,OR(AUTOEVENTO&lt;&gt;"manual",$M148&lt;&gt;$A$15)),
        IF(Import.TipoArredondamento&lt;&gt;"TransfereGOV",
              ROUND(OFFSET($P148,0,AS$13),15-13*ORÇAMENTO!$AF$7)/$H148*OFFSET(ORÇAMENTO!$X$15,ROW(AS148)-ROW(AS$15),0),
              ROUND(ROUND(OFFSET($P148,0,AS$13),15-13*ORÇAMENTO!$AF$7)*OFFSET(ORÇAMENTO!$W$15,ROW(AS148)-ROW(AS$15),0),15-13*ORÇAMENTO!$AF$11)),
         0)</f>
        <v>0</v>
      </c>
      <c r="AT148" s="453">
        <f ca="1">IF(AND($D148="Serviço",AT$12&lt;&gt;0,$H148&gt;0,OR(AUTOEVENTO&lt;&gt;"manual",$M148&lt;&gt;$A$15)),
        IF(Import.TipoArredondamento&lt;&gt;"TransfereGOV",
              ROUND(OFFSET($P148,0,AT$13),15-13*ORÇAMENTO!$AF$7)/$H148*OFFSET(ORÇAMENTO!$X$15,ROW(AT148)-ROW(AT$15),0),
              ROUND(ROUND(OFFSET($P148,0,AT$13),15-13*ORÇAMENTO!$AF$7)*OFFSET(ORÇAMENTO!$W$15,ROW(AT148)-ROW(AT$15),0),15-13*ORÇAMENTO!$AF$11)),
         0)</f>
        <v>0</v>
      </c>
      <c r="AU148" s="453">
        <f ca="1">IF(AND($D148="Serviço",AU$12&lt;&gt;0,$H148&gt;0,OR(AUTOEVENTO&lt;&gt;"manual",$M148&lt;&gt;$A$15)),
        IF(Import.TipoArredondamento&lt;&gt;"TransfereGOV",
              ROUND(OFFSET($P148,0,AU$13),15-13*ORÇAMENTO!$AF$7)/$H148*OFFSET(ORÇAMENTO!$X$15,ROW(AU148)-ROW(AU$15),0),
              ROUND(ROUND(OFFSET($P148,0,AU$13),15-13*ORÇAMENTO!$AF$7)*OFFSET(ORÇAMENTO!$W$15,ROW(AU148)-ROW(AU$15),0),15-13*ORÇAMENTO!$AF$11)),
         0)</f>
        <v>0</v>
      </c>
      <c r="AV148" s="453">
        <f ca="1">IF(AND($D148="Serviço",AV$12&lt;&gt;0,$H148&gt;0,OR(AUTOEVENTO&lt;&gt;"manual",$M148&lt;&gt;$A$15)),
        IF(Import.TipoArredondamento&lt;&gt;"TransfereGOV",
              ROUND(OFFSET($P148,0,AV$13),15-13*ORÇAMENTO!$AF$7)/$H148*OFFSET(ORÇAMENTO!$X$15,ROW(AV148)-ROW(AV$15),0),
              ROUND(ROUND(OFFSET($P148,0,AV$13),15-13*ORÇAMENTO!$AF$7)*OFFSET(ORÇAMENTO!$W$15,ROW(AV148)-ROW(AV$15),0),15-13*ORÇAMENTO!$AF$11)),
         0)</f>
        <v>0</v>
      </c>
      <c r="AW148" s="453">
        <f ca="1">IF(AND($D148="Serviço",AW$12&lt;&gt;0,$H148&gt;0,OR(AUTOEVENTO&lt;&gt;"manual",$M148&lt;&gt;$A$15)),
        IF(Import.TipoArredondamento&lt;&gt;"TransfereGOV",
              ROUND(OFFSET($P148,0,AW$13),15-13*ORÇAMENTO!$AF$7)/$H148*OFFSET(ORÇAMENTO!$X$15,ROW(AW148)-ROW(AW$15),0),
              ROUND(ROUND(OFFSET($P148,0,AW$13),15-13*ORÇAMENTO!$AF$7)*OFFSET(ORÇAMENTO!$W$15,ROW(AW148)-ROW(AW$15),0),15-13*ORÇAMENTO!$AF$11)),
         0)</f>
        <v>0</v>
      </c>
      <c r="AX148" s="453">
        <f ca="1">IF(AND($D148="Serviço",AX$12&lt;&gt;0,$H148&gt;0,OR(AUTOEVENTO&lt;&gt;"manual",$M148&lt;&gt;$A$15)),
        IF(Import.TipoArredondamento&lt;&gt;"TransfereGOV",
              ROUND(OFFSET($P148,0,AX$13),15-13*ORÇAMENTO!$AF$7)/$H148*OFFSET(ORÇAMENTO!$X$15,ROW(AX148)-ROW(AX$15),0),
              ROUND(ROUND(OFFSET($P148,0,AX$13),15-13*ORÇAMENTO!$AF$7)*OFFSET(ORÇAMENTO!$W$15,ROW(AX148)-ROW(AX$15),0),15-13*ORÇAMENTO!$AF$11)),
         0)</f>
        <v>0</v>
      </c>
      <c r="AY148" s="453">
        <f ca="1">IF(AND($D148="Serviço",AY$12&lt;&gt;0,$H148&gt;0,OR(AUTOEVENTO&lt;&gt;"manual",$M148&lt;&gt;$A$15)),
        IF(Import.TipoArredondamento&lt;&gt;"TransfereGOV",
              ROUND(OFFSET($P148,0,AY$13),15-13*ORÇAMENTO!$AF$7)/$H148*OFFSET(ORÇAMENTO!$X$15,ROW(AY148)-ROW(AY$15),0),
              ROUND(ROUND(OFFSET($P148,0,AY$13),15-13*ORÇAMENTO!$AF$7)*OFFSET(ORÇAMENTO!$W$15,ROW(AY148)-ROW(AY$15),0),15-13*ORÇAMENTO!$AF$11)),
         0)</f>
        <v>0</v>
      </c>
      <c r="AZ148" s="453">
        <f ca="1">IF(AND($D148="Serviço",AZ$12&lt;&gt;0,$H148&gt;0,OR(AUTOEVENTO&lt;&gt;"manual",$M148&lt;&gt;$A$15)),
        IF(Import.TipoArredondamento&lt;&gt;"TransfereGOV",
              ROUND(OFFSET($P148,0,AZ$13),15-13*ORÇAMENTO!$AF$7)/$H148*OFFSET(ORÇAMENTO!$X$15,ROW(AZ148)-ROW(AZ$15),0),
              ROUND(ROUND(OFFSET($P148,0,AZ$13),15-13*ORÇAMENTO!$AF$7)*OFFSET(ORÇAMENTO!$W$15,ROW(AZ148)-ROW(AZ$15),0),15-13*ORÇAMENTO!$AF$11)),
         0)</f>
        <v>0</v>
      </c>
      <c r="BA148" s="453">
        <f ca="1">IF(AND($D148="Serviço",BA$12&lt;&gt;0,$H148&gt;0,OR(AUTOEVENTO&lt;&gt;"manual",$M148&lt;&gt;$A$15)),
        IF(Import.TipoArredondamento&lt;&gt;"TransfereGOV",
              ROUND(OFFSET($P148,0,BA$13),15-13*ORÇAMENTO!$AF$7)/$H148*OFFSET(ORÇAMENTO!$X$15,ROW(BA148)-ROW(BA$15),0),
              ROUND(ROUND(OFFSET($P148,0,BA$13),15-13*ORÇAMENTO!$AF$7)*OFFSET(ORÇAMENTO!$W$15,ROW(BA148)-ROW(BA$15),0),15-13*ORÇAMENTO!$AF$11)),
         0)</f>
        <v>0</v>
      </c>
      <c r="BC148" s="171">
        <f ca="1">IF(OR($D148&lt;&gt;"Serviço",AND(AUTOEVENTO="Manual",$M148=$A$15)),0,
         IF(OFFSET(CRONOPLE!$F$15,$M148-$A$15,BC$13)=0,10^12,OFFSET(CRONOPLE!$F$15,$M148-$A$15,BC$13)))</f>
        <v>1000000000000</v>
      </c>
      <c r="BD148" s="171">
        <f ca="1">IF(OR($D148&lt;&gt;"Serviço",AND(AUTOEVENTO="Manual",$M148=$A$15)),0,
         IF(OFFSET(CRONOPLE!$F$15,$M148-$A$15,BD$13)=0,10^12,OFFSET(CRONOPLE!$F$15,$M148-$A$15,BD$13)))</f>
        <v>1000000000000</v>
      </c>
      <c r="BE148" s="171">
        <f ca="1">IF(OR($D148&lt;&gt;"Serviço",AND(AUTOEVENTO="Manual",$M148=$A$15)),0,
         IF(OFFSET(CRONOPLE!$F$15,$M148-$A$15,BE$13)=0,10^12,OFFSET(CRONOPLE!$F$15,$M148-$A$15,BE$13)))</f>
        <v>1000000000000</v>
      </c>
      <c r="BF148" s="171">
        <f ca="1">IF(OR($D148&lt;&gt;"Serviço",AND(AUTOEVENTO="Manual",$M148=$A$15)),0,
         IF(OFFSET(CRONOPLE!$F$15,$M148-$A$15,BF$13)=0,10^12,OFFSET(CRONOPLE!$F$15,$M148-$A$15,BF$13)))</f>
        <v>1000000000000</v>
      </c>
      <c r="BG148" s="171">
        <f ca="1">IF(OR($D148&lt;&gt;"Serviço",AND(AUTOEVENTO="Manual",$M148=$A$15)),0,
         IF(OFFSET(CRONOPLE!$F$15,$M148-$A$15,BG$13)=0,10^12,OFFSET(CRONOPLE!$F$15,$M148-$A$15,BG$13)))</f>
        <v>1000000000000</v>
      </c>
      <c r="BH148" s="171">
        <f ca="1">IF(OR($D148&lt;&gt;"Serviço",AND(AUTOEVENTO="Manual",$M148=$A$15)),0,
         IF(OFFSET(CRONOPLE!$F$15,$M148-$A$15,BH$13)=0,10^12,OFFSET(CRONOPLE!$F$15,$M148-$A$15,BH$13)))</f>
        <v>10</v>
      </c>
      <c r="BI148" s="171">
        <f ca="1">IF(OR($D148&lt;&gt;"Serviço",AND(AUTOEVENTO="Manual",$M148=$A$15)),0,
         IF(OFFSET(CRONOPLE!$F$15,$M148-$A$15,BI$13)=0,10^12,OFFSET(CRONOPLE!$F$15,$M148-$A$15,BI$13)))</f>
        <v>1000000000000</v>
      </c>
      <c r="BJ148" s="171">
        <f ca="1">IF(OR($D148&lt;&gt;"Serviço",AND(AUTOEVENTO="Manual",$M148=$A$15)),0,
         IF(OFFSET(CRONOPLE!$F$15,$M148-$A$15,BJ$13)=0,10^12,OFFSET(CRONOPLE!$F$15,$M148-$A$15,BJ$13)))</f>
        <v>1000000000000</v>
      </c>
      <c r="BK148" s="171">
        <f ca="1">IF(OR($D148&lt;&gt;"Serviço",AND(AUTOEVENTO="Manual",$M148=$A$15)),0,
         IF(OFFSET(CRONOPLE!$F$15,$M148-$A$15,BK$13)=0,10^12,OFFSET(CRONOPLE!$F$15,$M148-$A$15,BK$13)))</f>
        <v>1000000000000</v>
      </c>
      <c r="BL148" s="171">
        <f ca="1">IF(OR($D148&lt;&gt;"Serviço",AND(AUTOEVENTO="Manual",$M148=$A$15)),0,
         IF(OFFSET(CRONOPLE!$F$15,$M148-$A$15,BL$13)=0,10^12,OFFSET(CRONOPLE!$F$15,$M148-$A$15,BL$13)))</f>
        <v>1000000000000</v>
      </c>
      <c r="BM148" s="171">
        <f ca="1">IF(OR($D148&lt;&gt;"Serviço",AND(AUTOEVENTO="Manual",$M148=$A$15)),0,
         IF(OFFSET(CRONOPLE!$F$15,$M148-$A$15,BM$13)=0,10^12,OFFSET(CRONOPLE!$F$15,$M148-$A$15,BM$13)))</f>
        <v>1000000000000</v>
      </c>
      <c r="BN148" s="171">
        <f ca="1">IF(OR($D148&lt;&gt;"Serviço",AND(AUTOEVENTO="Manual",$M148=$A$15)),0,
         IF(OFFSET(CRONOPLE!$F$15,$M148-$A$15,BN$13)=0,10^12,OFFSET(CRONOPLE!$F$15,$M148-$A$15,BN$13)))</f>
        <v>1000000000000</v>
      </c>
      <c r="BO148" s="171">
        <f ca="1">IF(OR($D148&lt;&gt;"Serviço",AND(AUTOEVENTO="Manual",$M148=$A$15)),0,
         IF(OFFSET(CRONOPLE!$F$15,$M148-$A$15,BO$13)=0,10^12,OFFSET(CRONOPLE!$F$15,$M148-$A$15,BO$13)))</f>
        <v>1000000000000</v>
      </c>
      <c r="BP148" s="171">
        <f ca="1">IF(OR($D148&lt;&gt;"Serviço",AND(AUTOEVENTO="Manual",$M148=$A$15)),0,
         IF(OFFSET(CRONOPLE!$F$15,$M148-$A$15,BP$13)=0,10^12,OFFSET(CRONOPLE!$F$15,$M148-$A$15,BP$13)))</f>
        <v>1000000000000</v>
      </c>
      <c r="BQ148" s="171">
        <f ca="1">IF(OR($D148&lt;&gt;"Serviço",AND(AUTOEVENTO="Manual",$M148=$A$15)),0,
         IF(OFFSET(CRONOPLE!$F$15,$M148-$A$15,BQ$13)=0,10^12,OFFSET(CRONOPLE!$F$15,$M148-$A$15,BQ$13)))</f>
        <v>1000000000000</v>
      </c>
      <c r="BR148" s="171">
        <f ca="1">IF(OR($D148&lt;&gt;"Serviço",AND(AUTOEVENTO="Manual",$M148=$A$15)),0,
         IF(OFFSET(CRONOPLE!$F$15,$M148-$A$15,BR$13)=0,10^12,OFFSET(CRONOPLE!$F$15,$M148-$A$15,BR$13)))</f>
        <v>1000000000000</v>
      </c>
      <c r="BS148" s="171">
        <f ca="1">IF(OR($D148&lt;&gt;"Serviço",AND(AUTOEVENTO="Manual",$M148=$A$15)),0,
         IF(OFFSET(CRONOPLE!$F$15,$M148-$A$15,BS$13)=0,10^12,OFFSET(CRONOPLE!$F$15,$M148-$A$15,BS$13)))</f>
        <v>1000000000000</v>
      </c>
      <c r="BT148" s="171">
        <f ca="1">IF(OR($D148&lt;&gt;"Serviço",AND(AUTOEVENTO="Manual",$M148=$A$15)),0,
         IF(OFFSET(CRONOPLE!$F$15,$M148-$A$15,BT$13)=0,10^12,OFFSET(CRONOPLE!$F$15,$M148-$A$15,BT$13)))</f>
        <v>1000000000000</v>
      </c>
      <c r="BV148" s="172" cm="1">
        <f t="array" aca="1" ref="BV148" ca="1">IF(OR($D148&lt;&gt;"Serviço",AND(AUTOEVENTO="Manual",$M148=$A$15),$M148&gt;(ROW(PLE.lastrow)-ROW(PLE.firstrow))),0,
           IF(OFFSET(PLE!$G$15,$M148-$A$15,BV$13)="",10^12,OFFSET(PLE!$G$15,$M148-$A$15,BV$13)))</f>
        <v>1000000000000</v>
      </c>
      <c r="BW148" s="172" cm="1">
        <f t="array" aca="1" ref="BW148" ca="1">IF(OR($D148&lt;&gt;"Serviço",AND(AUTOEVENTO="Manual",$M148=$A$15),$M148&gt;(ROW(PLE.lastrow)-ROW(PLE.firstrow))),0,
           IF(OFFSET(PLE!$G$15,$M148-$A$15,BW$13)="",10^12,OFFSET(PLE!$G$15,$M148-$A$15,BW$13)))</f>
        <v>1000000000000</v>
      </c>
      <c r="BX148" s="172" cm="1">
        <f t="array" aca="1" ref="BX148" ca="1">IF(OR($D148&lt;&gt;"Serviço",AND(AUTOEVENTO="Manual",$M148=$A$15),$M148&gt;(ROW(PLE.lastrow)-ROW(PLE.firstrow))),0,
           IF(OFFSET(PLE!$G$15,$M148-$A$15,BX$13)="",10^12,OFFSET(PLE!$G$15,$M148-$A$15,BX$13)))</f>
        <v>1000000000000</v>
      </c>
      <c r="BY148" s="172" cm="1">
        <f t="array" aca="1" ref="BY148" ca="1">IF(OR($D148&lt;&gt;"Serviço",AND(AUTOEVENTO="Manual",$M148=$A$15),$M148&gt;(ROW(PLE.lastrow)-ROW(PLE.firstrow))),0,
           IF(OFFSET(PLE!$G$15,$M148-$A$15,BY$13)="",10^12,OFFSET(PLE!$G$15,$M148-$A$15,BY$13)))</f>
        <v>1000000000000</v>
      </c>
      <c r="BZ148" s="172" cm="1">
        <f t="array" aca="1" ref="BZ148" ca="1">IF(OR($D148&lt;&gt;"Serviço",AND(AUTOEVENTO="Manual",$M148=$A$15),$M148&gt;(ROW(PLE.lastrow)-ROW(PLE.firstrow))),0,
           IF(OFFSET(PLE!$G$15,$M148-$A$15,BZ$13)="",10^12,OFFSET(PLE!$G$15,$M148-$A$15,BZ$13)))</f>
        <v>1000000000000</v>
      </c>
      <c r="CA148" s="172" cm="1">
        <f t="array" aca="1" ref="CA148" ca="1">IF(OR($D148&lt;&gt;"Serviço",AND(AUTOEVENTO="Manual",$M148=$A$15),$M148&gt;(ROW(PLE.lastrow)-ROW(PLE.firstrow))),0,
           IF(OFFSET(PLE!$G$15,$M148-$A$15,CA$13)="",10^12,OFFSET(PLE!$G$15,$M148-$A$15,CA$13)))</f>
        <v>1000000000000</v>
      </c>
      <c r="CB148" s="172" cm="1">
        <f t="array" aca="1" ref="CB148" ca="1">IF(OR($D148&lt;&gt;"Serviço",AND(AUTOEVENTO="Manual",$M148=$A$15),$M148&gt;(ROW(PLE.lastrow)-ROW(PLE.firstrow))),0,
           IF(OFFSET(PLE!$G$15,$M148-$A$15,CB$13)="",10^12,OFFSET(PLE!$G$15,$M148-$A$15,CB$13)))</f>
        <v>1000000000000</v>
      </c>
      <c r="CC148" s="172" cm="1">
        <f t="array" aca="1" ref="CC148" ca="1">IF(OR($D148&lt;&gt;"Serviço",AND(AUTOEVENTO="Manual",$M148=$A$15),$M148&gt;(ROW(PLE.lastrow)-ROW(PLE.firstrow))),0,
           IF(OFFSET(PLE!$G$15,$M148-$A$15,CC$13)="",10^12,OFFSET(PLE!$G$15,$M148-$A$15,CC$13)))</f>
        <v>1000000000000</v>
      </c>
      <c r="CD148" s="172" cm="1">
        <f t="array" aca="1" ref="CD148" ca="1">IF(OR($D148&lt;&gt;"Serviço",AND(AUTOEVENTO="Manual",$M148=$A$15),$M148&gt;(ROW(PLE.lastrow)-ROW(PLE.firstrow))),0,
           IF(OFFSET(PLE!$G$15,$M148-$A$15,CD$13)="",10^12,OFFSET(PLE!$G$15,$M148-$A$15,CD$13)))</f>
        <v>1000000000000</v>
      </c>
      <c r="CE148" s="172" cm="1">
        <f t="array" aca="1" ref="CE148" ca="1">IF(OR($D148&lt;&gt;"Serviço",AND(AUTOEVENTO="Manual",$M148=$A$15),$M148&gt;(ROW(PLE.lastrow)-ROW(PLE.firstrow))),0,
           IF(OFFSET(PLE!$G$15,$M148-$A$15,CE$13)="",10^12,OFFSET(PLE!$G$15,$M148-$A$15,CE$13)))</f>
        <v>1000000000000</v>
      </c>
      <c r="CF148" s="172" cm="1">
        <f t="array" aca="1" ref="CF148" ca="1">IF(OR($D148&lt;&gt;"Serviço",AND(AUTOEVENTO="Manual",$M148=$A$15),$M148&gt;(ROW(PLE.lastrow)-ROW(PLE.firstrow))),0,
           IF(OFFSET(PLE!$G$15,$M148-$A$15,CF$13)="",10^12,OFFSET(PLE!$G$15,$M148-$A$15,CF$13)))</f>
        <v>1000000000000</v>
      </c>
      <c r="CG148" s="172" cm="1">
        <f t="array" aca="1" ref="CG148" ca="1">IF(OR($D148&lt;&gt;"Serviço",AND(AUTOEVENTO="Manual",$M148=$A$15),$M148&gt;(ROW(PLE.lastrow)-ROW(PLE.firstrow))),0,
           IF(OFFSET(PLE!$G$15,$M148-$A$15,CG$13)="",10^12,OFFSET(PLE!$G$15,$M148-$A$15,CG$13)))</f>
        <v>1000000000000</v>
      </c>
      <c r="CH148" s="172" cm="1">
        <f t="array" aca="1" ref="CH148" ca="1">IF(OR($D148&lt;&gt;"Serviço",AND(AUTOEVENTO="Manual",$M148=$A$15),$M148&gt;(ROW(PLE.lastrow)-ROW(PLE.firstrow))),0,
           IF(OFFSET(PLE!$G$15,$M148-$A$15,CH$13)="",10^12,OFFSET(PLE!$G$15,$M148-$A$15,CH$13)))</f>
        <v>1000000000000</v>
      </c>
      <c r="CI148" s="172" cm="1">
        <f t="array" aca="1" ref="CI148" ca="1">IF(OR($D148&lt;&gt;"Serviço",AND(AUTOEVENTO="Manual",$M148=$A$15),$M148&gt;(ROW(PLE.lastrow)-ROW(PLE.firstrow))),0,
           IF(OFFSET(PLE!$G$15,$M148-$A$15,CI$13)="",10^12,OFFSET(PLE!$G$15,$M148-$A$15,CI$13)))</f>
        <v>1000000000000</v>
      </c>
      <c r="CJ148" s="172" cm="1">
        <f t="array" aca="1" ref="CJ148" ca="1">IF(OR($D148&lt;&gt;"Serviço",AND(AUTOEVENTO="Manual",$M148=$A$15),$M148&gt;(ROW(PLE.lastrow)-ROW(PLE.firstrow))),0,
           IF(OFFSET(PLE!$G$15,$M148-$A$15,CJ$13)="",10^12,OFFSET(PLE!$G$15,$M148-$A$15,CJ$13)))</f>
        <v>1000000000000</v>
      </c>
      <c r="CK148" s="172" cm="1">
        <f t="array" aca="1" ref="CK148" ca="1">IF(OR($D148&lt;&gt;"Serviço",AND(AUTOEVENTO="Manual",$M148=$A$15),$M148&gt;(ROW(PLE.lastrow)-ROW(PLE.firstrow))),0,
           IF(OFFSET(PLE!$G$15,$M148-$A$15,CK$13)="",10^12,OFFSET(PLE!$G$15,$M148-$A$15,CK$13)))</f>
        <v>1000000000000</v>
      </c>
      <c r="CL148" s="172" cm="1">
        <f t="array" aca="1" ref="CL148" ca="1">IF(OR($D148&lt;&gt;"Serviço",AND(AUTOEVENTO="Manual",$M148=$A$15),$M148&gt;(ROW(PLE.lastrow)-ROW(PLE.firstrow))),0,
           IF(OFFSET(PLE!$G$15,$M148-$A$15,CL$13)="",10^12,OFFSET(PLE!$G$15,$M148-$A$15,CL$13)))</f>
        <v>1000000000000</v>
      </c>
      <c r="CM148" s="172" cm="1">
        <f t="array" aca="1" ref="CM148" ca="1">IF(OR($D148&lt;&gt;"Serviço",AND(AUTOEVENTO="Manual",$M148=$A$15),$M148&gt;(ROW(PLE.lastrow)-ROW(PLE.firstrow))),0,
           IF(OFFSET(PLE!$G$15,$M148-$A$15,CM$13)="",10^12,OFFSET(PLE!$G$15,$M148-$A$15,CM$13)))</f>
        <v>1000000000000</v>
      </c>
    </row>
    <row r="149" spans="1:91" s="670" customFormat="1" ht="25.5" x14ac:dyDescent="0.2">
      <c r="A149" s="668">
        <f t="shared" ca="1" si="14"/>
        <v>23</v>
      </c>
      <c r="B149" s="668" t="str">
        <f ca="1">OFFSET(ORÇAMENTO!C$15,$L149,0)</f>
        <v>S</v>
      </c>
      <c r="C149" s="668" t="str">
        <f ca="1">OFFSET(ORÇAMENTO!L$15,$L149,0)</f>
        <v>F</v>
      </c>
      <c r="D149" s="116" t="str">
        <f ca="1">OFFSET(ORÇAMENTO!N$15,$L149,0)</f>
        <v>Serviço</v>
      </c>
      <c r="E149" s="117" t="str">
        <f ca="1">OFFSET(ORÇAMENTO!O$15,$L149,0)</f>
        <v>1.19.4.</v>
      </c>
      <c r="F149" s="163" t="str">
        <f ca="1">OFFSET(ORÇAMENTO!R$15,$L149,0)</f>
        <v>RODAPÉ CERÂMICO DE 7CM DE ALTURA COM PLACAS TIPO ESMALTADA DE DIMENSÕES 35X35CM. AF_02/2023</v>
      </c>
      <c r="G149" s="164" t="str">
        <f ca="1">IF($D149&lt;&gt;"Serviço","",OFFSET(ORÇAMENTO!S$15,$L149,0))</f>
        <v>M</v>
      </c>
      <c r="H149" s="122" cm="1">
        <f t="array" aca="1" ref="H149" ca="1">IF($D149&lt;&gt;"Serviço",0,IF(ACOMPANHAMENTO="BM",ROUND(OFFSET(ORÇAMENTO!AJ$15,$L149,0),15-13*ORÇAMENTO!$AF$7),IF(IFERROR(CÁLCULO.FrentesPreenchidas,0)=0,0,SUM(ROUND(OFFSET($P149,0,1,1,CÁLCULO.FrentesPreenchidas),15-13*ORÇAMENTO!$AF$7)))))</f>
        <v>27.7</v>
      </c>
      <c r="I149" s="468" t="s">
        <v>1195</v>
      </c>
      <c r="J149" s="651" t="str" cm="1">
        <f t="array" aca="1" ref="J149" ca="1">IF(OR(B149&lt;&gt;"S",CÁLCULO.FrentesPreenchidas=0),"",IF(AND(ACOMPANHAMENTO="PLE",AUTOEVENTO="Manual",OR(H149&gt;0,ORÇAMENTO!AC149="QUANT."),OR(K149="",M149=0,N149="")),"►E",IF(AND(ACOMPANHAMENTO="PLE",ORÇAMENTO!AC149="QUANT."),"►Q",IF(AND(ACOMPANHAMENTO="PLE",H149&lt;&gt;SUMPRODUCT(($Q$1:$AI$1=1)*ROUND(Q149:AI149,15))),"►S",IF(AND(COUNTIF($P$11:$AI$11,"▼")=0,H149&gt;0,I149=""),"◄M","")))))</f>
        <v/>
      </c>
      <c r="K149" s="652" t="s">
        <v>1361</v>
      </c>
      <c r="L149" s="165">
        <f t="shared" ca="1" si="15"/>
        <v>134</v>
      </c>
      <c r="M149" s="166">
        <f ca="1">IF($D149&lt;&gt;"Serviço","",
          IF(AUTOEVENTO="manual",$A149,
                IF(ISERROR(MATCH($A149,$A$15:OFFSET($A149,-1,0),0)),MAX($M$15:OFFSET(M149,-1,0))+1,
                      INDEX($M$15:OFFSET(M149,-1,0),MATCH($A149,$A$15:OFFSET($A149,-1,0),0)))))</f>
        <v>23</v>
      </c>
      <c r="N149" s="167" t="str">
        <f ca="1">IF($D149&lt;&gt;"Serviço","",
         IF(AUTOEVENTO="Manual",
                IF($A149=0,"&lt;-- defina o número do agrupador",
                       OFFSET(EVENTOS!$D$15,$A149-$A$15,0)),
                OFFSET($F$15,$A149,0)))</f>
        <v>Revestimento de piso</v>
      </c>
      <c r="O149" s="168"/>
      <c r="Q149" s="168"/>
      <c r="R149" s="169"/>
      <c r="S149" s="169"/>
      <c r="T149" s="169"/>
      <c r="U149" s="169"/>
      <c r="V149" s="169">
        <v>27.7</v>
      </c>
      <c r="W149" s="169"/>
      <c r="X149" s="169"/>
      <c r="Y149" s="169"/>
      <c r="Z149" s="170"/>
      <c r="AA149" s="705"/>
      <c r="AB149" s="705"/>
      <c r="AC149" s="705"/>
      <c r="AD149" s="705"/>
      <c r="AE149" s="705"/>
      <c r="AF149" s="705"/>
      <c r="AG149" s="705"/>
      <c r="AH149" s="706"/>
      <c r="AJ149" s="453">
        <f ca="1">IF(AND($D149="Serviço",AJ$12&lt;&gt;0,$H149&gt;0,OR(AUTOEVENTO&lt;&gt;"manual",$M149&lt;&gt;$A$15)),
        IF(Import.TipoArredondamento&lt;&gt;"TransfereGOV",
              ROUND(OFFSET($P149,0,AJ$13),15-13*ORÇAMENTO!$AF$7)/$H149*OFFSET(ORÇAMENTO!$X$15,ROW(AJ149)-ROW(AJ$15),0),
              ROUND(ROUND(OFFSET($P149,0,AJ$13),15-13*ORÇAMENTO!$AF$7)*OFFSET(ORÇAMENTO!$W$15,ROW(AJ149)-ROW(AJ$15),0),15-13*ORÇAMENTO!$AF$11)),
         0)</f>
        <v>0</v>
      </c>
      <c r="AK149" s="453">
        <f ca="1">IF(AND($D149="Serviço",AK$12&lt;&gt;0,$H149&gt;0,OR(AUTOEVENTO&lt;&gt;"manual",$M149&lt;&gt;$A$15)),
        IF(Import.TipoArredondamento&lt;&gt;"TransfereGOV",
              ROUND(OFFSET($P149,0,AK$13),15-13*ORÇAMENTO!$AF$7)/$H149*OFFSET(ORÇAMENTO!$X$15,ROW(AK149)-ROW(AK$15),0),
              ROUND(ROUND(OFFSET($P149,0,AK$13),15-13*ORÇAMENTO!$AF$7)*OFFSET(ORÇAMENTO!$W$15,ROW(AK149)-ROW(AK$15),0),15-13*ORÇAMENTO!$AF$11)),
         0)</f>
        <v>0</v>
      </c>
      <c r="AL149" s="453">
        <f ca="1">IF(AND($D149="Serviço",AL$12&lt;&gt;0,$H149&gt;0,OR(AUTOEVENTO&lt;&gt;"manual",$M149&lt;&gt;$A$15)),
        IF(Import.TipoArredondamento&lt;&gt;"TransfereGOV",
              ROUND(OFFSET($P149,0,AL$13),15-13*ORÇAMENTO!$AF$7)/$H149*OFFSET(ORÇAMENTO!$X$15,ROW(AL149)-ROW(AL$15),0),
              ROUND(ROUND(OFFSET($P149,0,AL$13),15-13*ORÇAMENTO!$AF$7)*OFFSET(ORÇAMENTO!$W$15,ROW(AL149)-ROW(AL$15),0),15-13*ORÇAMENTO!$AF$11)),
         0)</f>
        <v>0</v>
      </c>
      <c r="AM149" s="453">
        <f ca="1">IF(AND($D149="Serviço",AM$12&lt;&gt;0,$H149&gt;0,OR(AUTOEVENTO&lt;&gt;"manual",$M149&lt;&gt;$A$15)),
        IF(Import.TipoArredondamento&lt;&gt;"TransfereGOV",
              ROUND(OFFSET($P149,0,AM$13),15-13*ORÇAMENTO!$AF$7)/$H149*OFFSET(ORÇAMENTO!$X$15,ROW(AM149)-ROW(AM$15),0),
              ROUND(ROUND(OFFSET($P149,0,AM$13),15-13*ORÇAMENTO!$AF$7)*OFFSET(ORÇAMENTO!$W$15,ROW(AM149)-ROW(AM$15),0),15-13*ORÇAMENTO!$AF$11)),
         0)</f>
        <v>0</v>
      </c>
      <c r="AN149" s="453">
        <f ca="1">IF(AND($D149="Serviço",AN$12&lt;&gt;0,$H149&gt;0,OR(AUTOEVENTO&lt;&gt;"manual",$M149&lt;&gt;$A$15)),
        IF(Import.TipoArredondamento&lt;&gt;"TransfereGOV",
              ROUND(OFFSET($P149,0,AN$13),15-13*ORÇAMENTO!$AF$7)/$H149*OFFSET(ORÇAMENTO!$X$15,ROW(AN149)-ROW(AN$15),0),
              ROUND(ROUND(OFFSET($P149,0,AN$13),15-13*ORÇAMENTO!$AF$7)*OFFSET(ORÇAMENTO!$W$15,ROW(AN149)-ROW(AN$15),0),15-13*ORÇAMENTO!$AF$11)),
         0)</f>
        <v>0</v>
      </c>
      <c r="AO149" s="453">
        <f ca="1">IF(AND($D149="Serviço",AO$12&lt;&gt;0,$H149&gt;0,OR(AUTOEVENTO&lt;&gt;"manual",$M149&lt;&gt;$A$15)),
        IF(Import.TipoArredondamento&lt;&gt;"TransfereGOV",
              ROUND(OFFSET($P149,0,AO$13),15-13*ORÇAMENTO!$AF$7)/$H149*OFFSET(ORÇAMENTO!$X$15,ROW(AO149)-ROW(AO$15),0),
              ROUND(ROUND(OFFSET($P149,0,AO$13),15-13*ORÇAMENTO!$AF$7)*OFFSET(ORÇAMENTO!$W$15,ROW(AO149)-ROW(AO$15),0),15-13*ORÇAMENTO!$AF$11)),
         0)</f>
        <v>277.27999999999997</v>
      </c>
      <c r="AP149" s="453">
        <f ca="1">IF(AND($D149="Serviço",AP$12&lt;&gt;0,$H149&gt;0,OR(AUTOEVENTO&lt;&gt;"manual",$M149&lt;&gt;$A$15)),
        IF(Import.TipoArredondamento&lt;&gt;"TransfereGOV",
              ROUND(OFFSET($P149,0,AP$13),15-13*ORÇAMENTO!$AF$7)/$H149*OFFSET(ORÇAMENTO!$X$15,ROW(AP149)-ROW(AP$15),0),
              ROUND(ROUND(OFFSET($P149,0,AP$13),15-13*ORÇAMENTO!$AF$7)*OFFSET(ORÇAMENTO!$W$15,ROW(AP149)-ROW(AP$15),0),15-13*ORÇAMENTO!$AF$11)),
         0)</f>
        <v>0</v>
      </c>
      <c r="AQ149" s="453">
        <f ca="1">IF(AND($D149="Serviço",AQ$12&lt;&gt;0,$H149&gt;0,OR(AUTOEVENTO&lt;&gt;"manual",$M149&lt;&gt;$A$15)),
        IF(Import.TipoArredondamento&lt;&gt;"TransfereGOV",
              ROUND(OFFSET($P149,0,AQ$13),15-13*ORÇAMENTO!$AF$7)/$H149*OFFSET(ORÇAMENTO!$X$15,ROW(AQ149)-ROW(AQ$15),0),
              ROUND(ROUND(OFFSET($P149,0,AQ$13),15-13*ORÇAMENTO!$AF$7)*OFFSET(ORÇAMENTO!$W$15,ROW(AQ149)-ROW(AQ$15),0),15-13*ORÇAMENTO!$AF$11)),
         0)</f>
        <v>0</v>
      </c>
      <c r="AR149" s="453">
        <f ca="1">IF(AND($D149="Serviço",AR$12&lt;&gt;0,$H149&gt;0,OR(AUTOEVENTO&lt;&gt;"manual",$M149&lt;&gt;$A$15)),
        IF(Import.TipoArredondamento&lt;&gt;"TransfereGOV",
              ROUND(OFFSET($P149,0,AR$13),15-13*ORÇAMENTO!$AF$7)/$H149*OFFSET(ORÇAMENTO!$X$15,ROW(AR149)-ROW(AR$15),0),
              ROUND(ROUND(OFFSET($P149,0,AR$13),15-13*ORÇAMENTO!$AF$7)*OFFSET(ORÇAMENTO!$W$15,ROW(AR149)-ROW(AR$15),0),15-13*ORÇAMENTO!$AF$11)),
         0)</f>
        <v>0</v>
      </c>
      <c r="AS149" s="453">
        <f ca="1">IF(AND($D149="Serviço",AS$12&lt;&gt;0,$H149&gt;0,OR(AUTOEVENTO&lt;&gt;"manual",$M149&lt;&gt;$A$15)),
        IF(Import.TipoArredondamento&lt;&gt;"TransfereGOV",
              ROUND(OFFSET($P149,0,AS$13),15-13*ORÇAMENTO!$AF$7)/$H149*OFFSET(ORÇAMENTO!$X$15,ROW(AS149)-ROW(AS$15),0),
              ROUND(ROUND(OFFSET($P149,0,AS$13),15-13*ORÇAMENTO!$AF$7)*OFFSET(ORÇAMENTO!$W$15,ROW(AS149)-ROW(AS$15),0),15-13*ORÇAMENTO!$AF$11)),
         0)</f>
        <v>0</v>
      </c>
      <c r="AT149" s="453">
        <f ca="1">IF(AND($D149="Serviço",AT$12&lt;&gt;0,$H149&gt;0,OR(AUTOEVENTO&lt;&gt;"manual",$M149&lt;&gt;$A$15)),
        IF(Import.TipoArredondamento&lt;&gt;"TransfereGOV",
              ROUND(OFFSET($P149,0,AT$13),15-13*ORÇAMENTO!$AF$7)/$H149*OFFSET(ORÇAMENTO!$X$15,ROW(AT149)-ROW(AT$15),0),
              ROUND(ROUND(OFFSET($P149,0,AT$13),15-13*ORÇAMENTO!$AF$7)*OFFSET(ORÇAMENTO!$W$15,ROW(AT149)-ROW(AT$15),0),15-13*ORÇAMENTO!$AF$11)),
         0)</f>
        <v>0</v>
      </c>
      <c r="AU149" s="453">
        <f ca="1">IF(AND($D149="Serviço",AU$12&lt;&gt;0,$H149&gt;0,OR(AUTOEVENTO&lt;&gt;"manual",$M149&lt;&gt;$A$15)),
        IF(Import.TipoArredondamento&lt;&gt;"TransfereGOV",
              ROUND(OFFSET($P149,0,AU$13),15-13*ORÇAMENTO!$AF$7)/$H149*OFFSET(ORÇAMENTO!$X$15,ROW(AU149)-ROW(AU$15),0),
              ROUND(ROUND(OFFSET($P149,0,AU$13),15-13*ORÇAMENTO!$AF$7)*OFFSET(ORÇAMENTO!$W$15,ROW(AU149)-ROW(AU$15),0),15-13*ORÇAMENTO!$AF$11)),
         0)</f>
        <v>0</v>
      </c>
      <c r="AV149" s="453">
        <f ca="1">IF(AND($D149="Serviço",AV$12&lt;&gt;0,$H149&gt;0,OR(AUTOEVENTO&lt;&gt;"manual",$M149&lt;&gt;$A$15)),
        IF(Import.TipoArredondamento&lt;&gt;"TransfereGOV",
              ROUND(OFFSET($P149,0,AV$13),15-13*ORÇAMENTO!$AF$7)/$H149*OFFSET(ORÇAMENTO!$X$15,ROW(AV149)-ROW(AV$15),0),
              ROUND(ROUND(OFFSET($P149,0,AV$13),15-13*ORÇAMENTO!$AF$7)*OFFSET(ORÇAMENTO!$W$15,ROW(AV149)-ROW(AV$15),0),15-13*ORÇAMENTO!$AF$11)),
         0)</f>
        <v>0</v>
      </c>
      <c r="AW149" s="453">
        <f ca="1">IF(AND($D149="Serviço",AW$12&lt;&gt;0,$H149&gt;0,OR(AUTOEVENTO&lt;&gt;"manual",$M149&lt;&gt;$A$15)),
        IF(Import.TipoArredondamento&lt;&gt;"TransfereGOV",
              ROUND(OFFSET($P149,0,AW$13),15-13*ORÇAMENTO!$AF$7)/$H149*OFFSET(ORÇAMENTO!$X$15,ROW(AW149)-ROW(AW$15),0),
              ROUND(ROUND(OFFSET($P149,0,AW$13),15-13*ORÇAMENTO!$AF$7)*OFFSET(ORÇAMENTO!$W$15,ROW(AW149)-ROW(AW$15),0),15-13*ORÇAMENTO!$AF$11)),
         0)</f>
        <v>0</v>
      </c>
      <c r="AX149" s="453">
        <f ca="1">IF(AND($D149="Serviço",AX$12&lt;&gt;0,$H149&gt;0,OR(AUTOEVENTO&lt;&gt;"manual",$M149&lt;&gt;$A$15)),
        IF(Import.TipoArredondamento&lt;&gt;"TransfereGOV",
              ROUND(OFFSET($P149,0,AX$13),15-13*ORÇAMENTO!$AF$7)/$H149*OFFSET(ORÇAMENTO!$X$15,ROW(AX149)-ROW(AX$15),0),
              ROUND(ROUND(OFFSET($P149,0,AX$13),15-13*ORÇAMENTO!$AF$7)*OFFSET(ORÇAMENTO!$W$15,ROW(AX149)-ROW(AX$15),0),15-13*ORÇAMENTO!$AF$11)),
         0)</f>
        <v>0</v>
      </c>
      <c r="AY149" s="453">
        <f ca="1">IF(AND($D149="Serviço",AY$12&lt;&gt;0,$H149&gt;0,OR(AUTOEVENTO&lt;&gt;"manual",$M149&lt;&gt;$A$15)),
        IF(Import.TipoArredondamento&lt;&gt;"TransfereGOV",
              ROUND(OFFSET($P149,0,AY$13),15-13*ORÇAMENTO!$AF$7)/$H149*OFFSET(ORÇAMENTO!$X$15,ROW(AY149)-ROW(AY$15),0),
              ROUND(ROUND(OFFSET($P149,0,AY$13),15-13*ORÇAMENTO!$AF$7)*OFFSET(ORÇAMENTO!$W$15,ROW(AY149)-ROW(AY$15),0),15-13*ORÇAMENTO!$AF$11)),
         0)</f>
        <v>0</v>
      </c>
      <c r="AZ149" s="453">
        <f ca="1">IF(AND($D149="Serviço",AZ$12&lt;&gt;0,$H149&gt;0,OR(AUTOEVENTO&lt;&gt;"manual",$M149&lt;&gt;$A$15)),
        IF(Import.TipoArredondamento&lt;&gt;"TransfereGOV",
              ROUND(OFFSET($P149,0,AZ$13),15-13*ORÇAMENTO!$AF$7)/$H149*OFFSET(ORÇAMENTO!$X$15,ROW(AZ149)-ROW(AZ$15),0),
              ROUND(ROUND(OFFSET($P149,0,AZ$13),15-13*ORÇAMENTO!$AF$7)*OFFSET(ORÇAMENTO!$W$15,ROW(AZ149)-ROW(AZ$15),0),15-13*ORÇAMENTO!$AF$11)),
         0)</f>
        <v>0</v>
      </c>
      <c r="BA149" s="453">
        <f ca="1">IF(AND($D149="Serviço",BA$12&lt;&gt;0,$H149&gt;0,OR(AUTOEVENTO&lt;&gt;"manual",$M149&lt;&gt;$A$15)),
        IF(Import.TipoArredondamento&lt;&gt;"TransfereGOV",
              ROUND(OFFSET($P149,0,BA$13),15-13*ORÇAMENTO!$AF$7)/$H149*OFFSET(ORÇAMENTO!$X$15,ROW(BA149)-ROW(BA$15),0),
              ROUND(ROUND(OFFSET($P149,0,BA$13),15-13*ORÇAMENTO!$AF$7)*OFFSET(ORÇAMENTO!$W$15,ROW(BA149)-ROW(BA$15),0),15-13*ORÇAMENTO!$AF$11)),
         0)</f>
        <v>0</v>
      </c>
      <c r="BC149" s="171">
        <f ca="1">IF(OR($D149&lt;&gt;"Serviço",AND(AUTOEVENTO="Manual",$M149=$A$15)),0,
         IF(OFFSET(CRONOPLE!$F$15,$M149-$A$15,BC$13)=0,10^12,OFFSET(CRONOPLE!$F$15,$M149-$A$15,BC$13)))</f>
        <v>1000000000000</v>
      </c>
      <c r="BD149" s="171">
        <f ca="1">IF(OR($D149&lt;&gt;"Serviço",AND(AUTOEVENTO="Manual",$M149=$A$15)),0,
         IF(OFFSET(CRONOPLE!$F$15,$M149-$A$15,BD$13)=0,10^12,OFFSET(CRONOPLE!$F$15,$M149-$A$15,BD$13)))</f>
        <v>1000000000000</v>
      </c>
      <c r="BE149" s="171">
        <f ca="1">IF(OR($D149&lt;&gt;"Serviço",AND(AUTOEVENTO="Manual",$M149=$A$15)),0,
         IF(OFFSET(CRONOPLE!$F$15,$M149-$A$15,BE$13)=0,10^12,OFFSET(CRONOPLE!$F$15,$M149-$A$15,BE$13)))</f>
        <v>1000000000000</v>
      </c>
      <c r="BF149" s="171">
        <f ca="1">IF(OR($D149&lt;&gt;"Serviço",AND(AUTOEVENTO="Manual",$M149=$A$15)),0,
         IF(OFFSET(CRONOPLE!$F$15,$M149-$A$15,BF$13)=0,10^12,OFFSET(CRONOPLE!$F$15,$M149-$A$15,BF$13)))</f>
        <v>1000000000000</v>
      </c>
      <c r="BG149" s="171">
        <f ca="1">IF(OR($D149&lt;&gt;"Serviço",AND(AUTOEVENTO="Manual",$M149=$A$15)),0,
         IF(OFFSET(CRONOPLE!$F$15,$M149-$A$15,BG$13)=0,10^12,OFFSET(CRONOPLE!$F$15,$M149-$A$15,BG$13)))</f>
        <v>1000000000000</v>
      </c>
      <c r="BH149" s="171">
        <f ca="1">IF(OR($D149&lt;&gt;"Serviço",AND(AUTOEVENTO="Manual",$M149=$A$15)),0,
         IF(OFFSET(CRONOPLE!$F$15,$M149-$A$15,BH$13)=0,10^12,OFFSET(CRONOPLE!$F$15,$M149-$A$15,BH$13)))</f>
        <v>10</v>
      </c>
      <c r="BI149" s="171">
        <f ca="1">IF(OR($D149&lt;&gt;"Serviço",AND(AUTOEVENTO="Manual",$M149=$A$15)),0,
         IF(OFFSET(CRONOPLE!$F$15,$M149-$A$15,BI$13)=0,10^12,OFFSET(CRONOPLE!$F$15,$M149-$A$15,BI$13)))</f>
        <v>1000000000000</v>
      </c>
      <c r="BJ149" s="171">
        <f ca="1">IF(OR($D149&lt;&gt;"Serviço",AND(AUTOEVENTO="Manual",$M149=$A$15)),0,
         IF(OFFSET(CRONOPLE!$F$15,$M149-$A$15,BJ$13)=0,10^12,OFFSET(CRONOPLE!$F$15,$M149-$A$15,BJ$13)))</f>
        <v>1000000000000</v>
      </c>
      <c r="BK149" s="171">
        <f ca="1">IF(OR($D149&lt;&gt;"Serviço",AND(AUTOEVENTO="Manual",$M149=$A$15)),0,
         IF(OFFSET(CRONOPLE!$F$15,$M149-$A$15,BK$13)=0,10^12,OFFSET(CRONOPLE!$F$15,$M149-$A$15,BK$13)))</f>
        <v>1000000000000</v>
      </c>
      <c r="BL149" s="171">
        <f ca="1">IF(OR($D149&lt;&gt;"Serviço",AND(AUTOEVENTO="Manual",$M149=$A$15)),0,
         IF(OFFSET(CRONOPLE!$F$15,$M149-$A$15,BL$13)=0,10^12,OFFSET(CRONOPLE!$F$15,$M149-$A$15,BL$13)))</f>
        <v>1000000000000</v>
      </c>
      <c r="BM149" s="171">
        <f ca="1">IF(OR($D149&lt;&gt;"Serviço",AND(AUTOEVENTO="Manual",$M149=$A$15)),0,
         IF(OFFSET(CRONOPLE!$F$15,$M149-$A$15,BM$13)=0,10^12,OFFSET(CRONOPLE!$F$15,$M149-$A$15,BM$13)))</f>
        <v>1000000000000</v>
      </c>
      <c r="BN149" s="171">
        <f ca="1">IF(OR($D149&lt;&gt;"Serviço",AND(AUTOEVENTO="Manual",$M149=$A$15)),0,
         IF(OFFSET(CRONOPLE!$F$15,$M149-$A$15,BN$13)=0,10^12,OFFSET(CRONOPLE!$F$15,$M149-$A$15,BN$13)))</f>
        <v>1000000000000</v>
      </c>
      <c r="BO149" s="171">
        <f ca="1">IF(OR($D149&lt;&gt;"Serviço",AND(AUTOEVENTO="Manual",$M149=$A$15)),0,
         IF(OFFSET(CRONOPLE!$F$15,$M149-$A$15,BO$13)=0,10^12,OFFSET(CRONOPLE!$F$15,$M149-$A$15,BO$13)))</f>
        <v>1000000000000</v>
      </c>
      <c r="BP149" s="171">
        <f ca="1">IF(OR($D149&lt;&gt;"Serviço",AND(AUTOEVENTO="Manual",$M149=$A$15)),0,
         IF(OFFSET(CRONOPLE!$F$15,$M149-$A$15,BP$13)=0,10^12,OFFSET(CRONOPLE!$F$15,$M149-$A$15,BP$13)))</f>
        <v>1000000000000</v>
      </c>
      <c r="BQ149" s="171">
        <f ca="1">IF(OR($D149&lt;&gt;"Serviço",AND(AUTOEVENTO="Manual",$M149=$A$15)),0,
         IF(OFFSET(CRONOPLE!$F$15,$M149-$A$15,BQ$13)=0,10^12,OFFSET(CRONOPLE!$F$15,$M149-$A$15,BQ$13)))</f>
        <v>1000000000000</v>
      </c>
      <c r="BR149" s="171">
        <f ca="1">IF(OR($D149&lt;&gt;"Serviço",AND(AUTOEVENTO="Manual",$M149=$A$15)),0,
         IF(OFFSET(CRONOPLE!$F$15,$M149-$A$15,BR$13)=0,10^12,OFFSET(CRONOPLE!$F$15,$M149-$A$15,BR$13)))</f>
        <v>1000000000000</v>
      </c>
      <c r="BS149" s="171">
        <f ca="1">IF(OR($D149&lt;&gt;"Serviço",AND(AUTOEVENTO="Manual",$M149=$A$15)),0,
         IF(OFFSET(CRONOPLE!$F$15,$M149-$A$15,BS$13)=0,10^12,OFFSET(CRONOPLE!$F$15,$M149-$A$15,BS$13)))</f>
        <v>1000000000000</v>
      </c>
      <c r="BT149" s="171">
        <f ca="1">IF(OR($D149&lt;&gt;"Serviço",AND(AUTOEVENTO="Manual",$M149=$A$15)),0,
         IF(OFFSET(CRONOPLE!$F$15,$M149-$A$15,BT$13)=0,10^12,OFFSET(CRONOPLE!$F$15,$M149-$A$15,BT$13)))</f>
        <v>1000000000000</v>
      </c>
      <c r="BV149" s="172" cm="1">
        <f t="array" aca="1" ref="BV149" ca="1">IF(OR($D149&lt;&gt;"Serviço",AND(AUTOEVENTO="Manual",$M149=$A$15),$M149&gt;(ROW(PLE.lastrow)-ROW(PLE.firstrow))),0,
           IF(OFFSET(PLE!$G$15,$M149-$A$15,BV$13)="",10^12,OFFSET(PLE!$G$15,$M149-$A$15,BV$13)))</f>
        <v>1000000000000</v>
      </c>
      <c r="BW149" s="172" cm="1">
        <f t="array" aca="1" ref="BW149" ca="1">IF(OR($D149&lt;&gt;"Serviço",AND(AUTOEVENTO="Manual",$M149=$A$15),$M149&gt;(ROW(PLE.lastrow)-ROW(PLE.firstrow))),0,
           IF(OFFSET(PLE!$G$15,$M149-$A$15,BW$13)="",10^12,OFFSET(PLE!$G$15,$M149-$A$15,BW$13)))</f>
        <v>1000000000000</v>
      </c>
      <c r="BX149" s="172" cm="1">
        <f t="array" aca="1" ref="BX149" ca="1">IF(OR($D149&lt;&gt;"Serviço",AND(AUTOEVENTO="Manual",$M149=$A$15),$M149&gt;(ROW(PLE.lastrow)-ROW(PLE.firstrow))),0,
           IF(OFFSET(PLE!$G$15,$M149-$A$15,BX$13)="",10^12,OFFSET(PLE!$G$15,$M149-$A$15,BX$13)))</f>
        <v>1000000000000</v>
      </c>
      <c r="BY149" s="172" cm="1">
        <f t="array" aca="1" ref="BY149" ca="1">IF(OR($D149&lt;&gt;"Serviço",AND(AUTOEVENTO="Manual",$M149=$A$15),$M149&gt;(ROW(PLE.lastrow)-ROW(PLE.firstrow))),0,
           IF(OFFSET(PLE!$G$15,$M149-$A$15,BY$13)="",10^12,OFFSET(PLE!$G$15,$M149-$A$15,BY$13)))</f>
        <v>1000000000000</v>
      </c>
      <c r="BZ149" s="172" cm="1">
        <f t="array" aca="1" ref="BZ149" ca="1">IF(OR($D149&lt;&gt;"Serviço",AND(AUTOEVENTO="Manual",$M149=$A$15),$M149&gt;(ROW(PLE.lastrow)-ROW(PLE.firstrow))),0,
           IF(OFFSET(PLE!$G$15,$M149-$A$15,BZ$13)="",10^12,OFFSET(PLE!$G$15,$M149-$A$15,BZ$13)))</f>
        <v>1000000000000</v>
      </c>
      <c r="CA149" s="172" cm="1">
        <f t="array" aca="1" ref="CA149" ca="1">IF(OR($D149&lt;&gt;"Serviço",AND(AUTOEVENTO="Manual",$M149=$A$15),$M149&gt;(ROW(PLE.lastrow)-ROW(PLE.firstrow))),0,
           IF(OFFSET(PLE!$G$15,$M149-$A$15,CA$13)="",10^12,OFFSET(PLE!$G$15,$M149-$A$15,CA$13)))</f>
        <v>1000000000000</v>
      </c>
      <c r="CB149" s="172" cm="1">
        <f t="array" aca="1" ref="CB149" ca="1">IF(OR($D149&lt;&gt;"Serviço",AND(AUTOEVENTO="Manual",$M149=$A$15),$M149&gt;(ROW(PLE.lastrow)-ROW(PLE.firstrow))),0,
           IF(OFFSET(PLE!$G$15,$M149-$A$15,CB$13)="",10^12,OFFSET(PLE!$G$15,$M149-$A$15,CB$13)))</f>
        <v>1000000000000</v>
      </c>
      <c r="CC149" s="172" cm="1">
        <f t="array" aca="1" ref="CC149" ca="1">IF(OR($D149&lt;&gt;"Serviço",AND(AUTOEVENTO="Manual",$M149=$A$15),$M149&gt;(ROW(PLE.lastrow)-ROW(PLE.firstrow))),0,
           IF(OFFSET(PLE!$G$15,$M149-$A$15,CC$13)="",10^12,OFFSET(PLE!$G$15,$M149-$A$15,CC$13)))</f>
        <v>1000000000000</v>
      </c>
      <c r="CD149" s="172" cm="1">
        <f t="array" aca="1" ref="CD149" ca="1">IF(OR($D149&lt;&gt;"Serviço",AND(AUTOEVENTO="Manual",$M149=$A$15),$M149&gt;(ROW(PLE.lastrow)-ROW(PLE.firstrow))),0,
           IF(OFFSET(PLE!$G$15,$M149-$A$15,CD$13)="",10^12,OFFSET(PLE!$G$15,$M149-$A$15,CD$13)))</f>
        <v>1000000000000</v>
      </c>
      <c r="CE149" s="172" cm="1">
        <f t="array" aca="1" ref="CE149" ca="1">IF(OR($D149&lt;&gt;"Serviço",AND(AUTOEVENTO="Manual",$M149=$A$15),$M149&gt;(ROW(PLE.lastrow)-ROW(PLE.firstrow))),0,
           IF(OFFSET(PLE!$G$15,$M149-$A$15,CE$13)="",10^12,OFFSET(PLE!$G$15,$M149-$A$15,CE$13)))</f>
        <v>1000000000000</v>
      </c>
      <c r="CF149" s="172" cm="1">
        <f t="array" aca="1" ref="CF149" ca="1">IF(OR($D149&lt;&gt;"Serviço",AND(AUTOEVENTO="Manual",$M149=$A$15),$M149&gt;(ROW(PLE.lastrow)-ROW(PLE.firstrow))),0,
           IF(OFFSET(PLE!$G$15,$M149-$A$15,CF$13)="",10^12,OFFSET(PLE!$G$15,$M149-$A$15,CF$13)))</f>
        <v>1000000000000</v>
      </c>
      <c r="CG149" s="172" cm="1">
        <f t="array" aca="1" ref="CG149" ca="1">IF(OR($D149&lt;&gt;"Serviço",AND(AUTOEVENTO="Manual",$M149=$A$15),$M149&gt;(ROW(PLE.lastrow)-ROW(PLE.firstrow))),0,
           IF(OFFSET(PLE!$G$15,$M149-$A$15,CG$13)="",10^12,OFFSET(PLE!$G$15,$M149-$A$15,CG$13)))</f>
        <v>1000000000000</v>
      </c>
      <c r="CH149" s="172" cm="1">
        <f t="array" aca="1" ref="CH149" ca="1">IF(OR($D149&lt;&gt;"Serviço",AND(AUTOEVENTO="Manual",$M149=$A$15),$M149&gt;(ROW(PLE.lastrow)-ROW(PLE.firstrow))),0,
           IF(OFFSET(PLE!$G$15,$M149-$A$15,CH$13)="",10^12,OFFSET(PLE!$G$15,$M149-$A$15,CH$13)))</f>
        <v>1000000000000</v>
      </c>
      <c r="CI149" s="172" cm="1">
        <f t="array" aca="1" ref="CI149" ca="1">IF(OR($D149&lt;&gt;"Serviço",AND(AUTOEVENTO="Manual",$M149=$A$15),$M149&gt;(ROW(PLE.lastrow)-ROW(PLE.firstrow))),0,
           IF(OFFSET(PLE!$G$15,$M149-$A$15,CI$13)="",10^12,OFFSET(PLE!$G$15,$M149-$A$15,CI$13)))</f>
        <v>1000000000000</v>
      </c>
      <c r="CJ149" s="172" cm="1">
        <f t="array" aca="1" ref="CJ149" ca="1">IF(OR($D149&lt;&gt;"Serviço",AND(AUTOEVENTO="Manual",$M149=$A$15),$M149&gt;(ROW(PLE.lastrow)-ROW(PLE.firstrow))),0,
           IF(OFFSET(PLE!$G$15,$M149-$A$15,CJ$13)="",10^12,OFFSET(PLE!$G$15,$M149-$A$15,CJ$13)))</f>
        <v>1000000000000</v>
      </c>
      <c r="CK149" s="172" cm="1">
        <f t="array" aca="1" ref="CK149" ca="1">IF(OR($D149&lt;&gt;"Serviço",AND(AUTOEVENTO="Manual",$M149=$A$15),$M149&gt;(ROW(PLE.lastrow)-ROW(PLE.firstrow))),0,
           IF(OFFSET(PLE!$G$15,$M149-$A$15,CK$13)="",10^12,OFFSET(PLE!$G$15,$M149-$A$15,CK$13)))</f>
        <v>1000000000000</v>
      </c>
      <c r="CL149" s="172" cm="1">
        <f t="array" aca="1" ref="CL149" ca="1">IF(OR($D149&lt;&gt;"Serviço",AND(AUTOEVENTO="Manual",$M149=$A$15),$M149&gt;(ROW(PLE.lastrow)-ROW(PLE.firstrow))),0,
           IF(OFFSET(PLE!$G$15,$M149-$A$15,CL$13)="",10^12,OFFSET(PLE!$G$15,$M149-$A$15,CL$13)))</f>
        <v>1000000000000</v>
      </c>
      <c r="CM149" s="172" cm="1">
        <f t="array" aca="1" ref="CM149" ca="1">IF(OR($D149&lt;&gt;"Serviço",AND(AUTOEVENTO="Manual",$M149=$A$15),$M149&gt;(ROW(PLE.lastrow)-ROW(PLE.firstrow))),0,
           IF(OFFSET(PLE!$G$15,$M149-$A$15,CM$13)="",10^12,OFFSET(PLE!$G$15,$M149-$A$15,CM$13)))</f>
        <v>1000000000000</v>
      </c>
    </row>
    <row r="150" spans="1:91" s="670" customFormat="1" ht="25.5" x14ac:dyDescent="0.2">
      <c r="A150" s="668">
        <f t="shared" ca="1" si="14"/>
        <v>29</v>
      </c>
      <c r="B150" s="668" t="str">
        <f ca="1">OFFSET(ORÇAMENTO!C$15,$L150,0)</f>
        <v>S</v>
      </c>
      <c r="C150" s="668" t="str">
        <f ca="1">OFFSET(ORÇAMENTO!L$15,$L150,0)</f>
        <v>F</v>
      </c>
      <c r="D150" s="116" t="str">
        <f ca="1">OFFSET(ORÇAMENTO!N$15,$L150,0)</f>
        <v>Serviço</v>
      </c>
      <c r="E150" s="117" t="str">
        <f ca="1">OFFSET(ORÇAMENTO!O$15,$L150,0)</f>
        <v>1.19.5.</v>
      </c>
      <c r="F150" s="163" t="str">
        <f ca="1">OFFSET(ORÇAMENTO!R$15,$L150,0)</f>
        <v>FUNDO SELADOR ACRÍLICO, APLICAÇÃO MANUAL EM PAREDE, UMA DEMÃO. AF_04/2023</v>
      </c>
      <c r="G150" s="164" t="str">
        <f ca="1">IF($D150&lt;&gt;"Serviço","",OFFSET(ORÇAMENTO!S$15,$L150,0))</f>
        <v>M2</v>
      </c>
      <c r="H150" s="122" cm="1">
        <f t="array" aca="1" ref="H150" ca="1">IF($D150&lt;&gt;"Serviço",0,IF(ACOMPANHAMENTO="BM",ROUND(OFFSET(ORÇAMENTO!AJ$15,$L150,0),15-13*ORÇAMENTO!$AF$7),IF(IFERROR(CÁLCULO.FrentesPreenchidas,0)=0,0,SUM(ROUND(OFFSET($P150,0,1,1,CÁLCULO.FrentesPreenchidas),15-13*ORÇAMENTO!$AF$7)))))</f>
        <v>13</v>
      </c>
      <c r="I150" s="468" t="s">
        <v>1196</v>
      </c>
      <c r="J150" s="651" t="str" cm="1">
        <f t="array" aca="1" ref="J150" ca="1">IF(OR(B150&lt;&gt;"S",CÁLCULO.FrentesPreenchidas=0),"",IF(AND(ACOMPANHAMENTO="PLE",AUTOEVENTO="Manual",OR(H150&gt;0,ORÇAMENTO!AC150="QUANT."),OR(K150="",M150=0,N150="")),"►E",IF(AND(ACOMPANHAMENTO="PLE",ORÇAMENTO!AC150="QUANT."),"►Q",IF(AND(ACOMPANHAMENTO="PLE",H150&lt;&gt;SUMPRODUCT(($Q$1:$AI$1=1)*ROUND(Q150:AI150,15))),"►S",IF(AND(COUNTIF($P$11:$AI$11,"▼")=0,H150&gt;0,I150=""),"◄M","")))))</f>
        <v/>
      </c>
      <c r="K150" s="652" t="s">
        <v>1362</v>
      </c>
      <c r="L150" s="165">
        <f t="shared" ca="1" si="15"/>
        <v>135</v>
      </c>
      <c r="M150" s="166">
        <f ca="1">IF($D150&lt;&gt;"Serviço","",
          IF(AUTOEVENTO="manual",$A150,
                IF(ISERROR(MATCH($A150,$A$15:OFFSET($A150,-1,0),0)),MAX($M$15:OFFSET(M150,-1,0))+1,
                      INDEX($M$15:OFFSET(M150,-1,0),MATCH($A150,$A$15:OFFSET($A150,-1,0),0)))))</f>
        <v>29</v>
      </c>
      <c r="N150" s="167" t="str">
        <f ca="1">IF($D150&lt;&gt;"Serviço","",
         IF(AUTOEVENTO="Manual",
                IF($A150=0,"&lt;-- defina o número do agrupador",
                       OFFSET(EVENTOS!$D$15,$A150-$A$15,0)),
                OFFSET($F$15,$A150,0)))</f>
        <v>Pintura</v>
      </c>
      <c r="O150" s="168"/>
      <c r="Q150" s="168"/>
      <c r="R150" s="169"/>
      <c r="S150" s="169"/>
      <c r="T150" s="169"/>
      <c r="U150" s="169"/>
      <c r="V150" s="169">
        <v>13</v>
      </c>
      <c r="W150" s="169"/>
      <c r="X150" s="169"/>
      <c r="Y150" s="169"/>
      <c r="Z150" s="170"/>
      <c r="AA150" s="705"/>
      <c r="AB150" s="705"/>
      <c r="AC150" s="705"/>
      <c r="AD150" s="705"/>
      <c r="AE150" s="705"/>
      <c r="AF150" s="705"/>
      <c r="AG150" s="705"/>
      <c r="AH150" s="706"/>
      <c r="AJ150" s="453">
        <f ca="1">IF(AND($D150="Serviço",AJ$12&lt;&gt;0,$H150&gt;0,OR(AUTOEVENTO&lt;&gt;"manual",$M150&lt;&gt;$A$15)),
        IF(Import.TipoArredondamento&lt;&gt;"TransfereGOV",
              ROUND(OFFSET($P150,0,AJ$13),15-13*ORÇAMENTO!$AF$7)/$H150*OFFSET(ORÇAMENTO!$X$15,ROW(AJ150)-ROW(AJ$15),0),
              ROUND(ROUND(OFFSET($P150,0,AJ$13),15-13*ORÇAMENTO!$AF$7)*OFFSET(ORÇAMENTO!$W$15,ROW(AJ150)-ROW(AJ$15),0),15-13*ORÇAMENTO!$AF$11)),
         0)</f>
        <v>0</v>
      </c>
      <c r="AK150" s="453">
        <f ca="1">IF(AND($D150="Serviço",AK$12&lt;&gt;0,$H150&gt;0,OR(AUTOEVENTO&lt;&gt;"manual",$M150&lt;&gt;$A$15)),
        IF(Import.TipoArredondamento&lt;&gt;"TransfereGOV",
              ROUND(OFFSET($P150,0,AK$13),15-13*ORÇAMENTO!$AF$7)/$H150*OFFSET(ORÇAMENTO!$X$15,ROW(AK150)-ROW(AK$15),0),
              ROUND(ROUND(OFFSET($P150,0,AK$13),15-13*ORÇAMENTO!$AF$7)*OFFSET(ORÇAMENTO!$W$15,ROW(AK150)-ROW(AK$15),0),15-13*ORÇAMENTO!$AF$11)),
         0)</f>
        <v>0</v>
      </c>
      <c r="AL150" s="453">
        <f ca="1">IF(AND($D150="Serviço",AL$12&lt;&gt;0,$H150&gt;0,OR(AUTOEVENTO&lt;&gt;"manual",$M150&lt;&gt;$A$15)),
        IF(Import.TipoArredondamento&lt;&gt;"TransfereGOV",
              ROUND(OFFSET($P150,0,AL$13),15-13*ORÇAMENTO!$AF$7)/$H150*OFFSET(ORÇAMENTO!$X$15,ROW(AL150)-ROW(AL$15),0),
              ROUND(ROUND(OFFSET($P150,0,AL$13),15-13*ORÇAMENTO!$AF$7)*OFFSET(ORÇAMENTO!$W$15,ROW(AL150)-ROW(AL$15),0),15-13*ORÇAMENTO!$AF$11)),
         0)</f>
        <v>0</v>
      </c>
      <c r="AM150" s="453">
        <f ca="1">IF(AND($D150="Serviço",AM$12&lt;&gt;0,$H150&gt;0,OR(AUTOEVENTO&lt;&gt;"manual",$M150&lt;&gt;$A$15)),
        IF(Import.TipoArredondamento&lt;&gt;"TransfereGOV",
              ROUND(OFFSET($P150,0,AM$13),15-13*ORÇAMENTO!$AF$7)/$H150*OFFSET(ORÇAMENTO!$X$15,ROW(AM150)-ROW(AM$15),0),
              ROUND(ROUND(OFFSET($P150,0,AM$13),15-13*ORÇAMENTO!$AF$7)*OFFSET(ORÇAMENTO!$W$15,ROW(AM150)-ROW(AM$15),0),15-13*ORÇAMENTO!$AF$11)),
         0)</f>
        <v>0</v>
      </c>
      <c r="AN150" s="453">
        <f ca="1">IF(AND($D150="Serviço",AN$12&lt;&gt;0,$H150&gt;0,OR(AUTOEVENTO&lt;&gt;"manual",$M150&lt;&gt;$A$15)),
        IF(Import.TipoArredondamento&lt;&gt;"TransfereGOV",
              ROUND(OFFSET($P150,0,AN$13),15-13*ORÇAMENTO!$AF$7)/$H150*OFFSET(ORÇAMENTO!$X$15,ROW(AN150)-ROW(AN$15),0),
              ROUND(ROUND(OFFSET($P150,0,AN$13),15-13*ORÇAMENTO!$AF$7)*OFFSET(ORÇAMENTO!$W$15,ROW(AN150)-ROW(AN$15),0),15-13*ORÇAMENTO!$AF$11)),
         0)</f>
        <v>0</v>
      </c>
      <c r="AO150" s="453">
        <f ca="1">IF(AND($D150="Serviço",AO$12&lt;&gt;0,$H150&gt;0,OR(AUTOEVENTO&lt;&gt;"manual",$M150&lt;&gt;$A$15)),
        IF(Import.TipoArredondamento&lt;&gt;"TransfereGOV",
              ROUND(OFFSET($P150,0,AO$13),15-13*ORÇAMENTO!$AF$7)/$H150*OFFSET(ORÇAMENTO!$X$15,ROW(AO150)-ROW(AO$15),0),
              ROUND(ROUND(OFFSET($P150,0,AO$13),15-13*ORÇAMENTO!$AF$7)*OFFSET(ORÇAMENTO!$W$15,ROW(AO150)-ROW(AO$15),0),15-13*ORÇAMENTO!$AF$11)),
         0)</f>
        <v>81.12</v>
      </c>
      <c r="AP150" s="453">
        <f ca="1">IF(AND($D150="Serviço",AP$12&lt;&gt;0,$H150&gt;0,OR(AUTOEVENTO&lt;&gt;"manual",$M150&lt;&gt;$A$15)),
        IF(Import.TipoArredondamento&lt;&gt;"TransfereGOV",
              ROUND(OFFSET($P150,0,AP$13),15-13*ORÇAMENTO!$AF$7)/$H150*OFFSET(ORÇAMENTO!$X$15,ROW(AP150)-ROW(AP$15),0),
              ROUND(ROUND(OFFSET($P150,0,AP$13),15-13*ORÇAMENTO!$AF$7)*OFFSET(ORÇAMENTO!$W$15,ROW(AP150)-ROW(AP$15),0),15-13*ORÇAMENTO!$AF$11)),
         0)</f>
        <v>0</v>
      </c>
      <c r="AQ150" s="453">
        <f ca="1">IF(AND($D150="Serviço",AQ$12&lt;&gt;0,$H150&gt;0,OR(AUTOEVENTO&lt;&gt;"manual",$M150&lt;&gt;$A$15)),
        IF(Import.TipoArredondamento&lt;&gt;"TransfereGOV",
              ROUND(OFFSET($P150,0,AQ$13),15-13*ORÇAMENTO!$AF$7)/$H150*OFFSET(ORÇAMENTO!$X$15,ROW(AQ150)-ROW(AQ$15),0),
              ROUND(ROUND(OFFSET($P150,0,AQ$13),15-13*ORÇAMENTO!$AF$7)*OFFSET(ORÇAMENTO!$W$15,ROW(AQ150)-ROW(AQ$15),0),15-13*ORÇAMENTO!$AF$11)),
         0)</f>
        <v>0</v>
      </c>
      <c r="AR150" s="453">
        <f ca="1">IF(AND($D150="Serviço",AR$12&lt;&gt;0,$H150&gt;0,OR(AUTOEVENTO&lt;&gt;"manual",$M150&lt;&gt;$A$15)),
        IF(Import.TipoArredondamento&lt;&gt;"TransfereGOV",
              ROUND(OFFSET($P150,0,AR$13),15-13*ORÇAMENTO!$AF$7)/$H150*OFFSET(ORÇAMENTO!$X$15,ROW(AR150)-ROW(AR$15),0),
              ROUND(ROUND(OFFSET($P150,0,AR$13),15-13*ORÇAMENTO!$AF$7)*OFFSET(ORÇAMENTO!$W$15,ROW(AR150)-ROW(AR$15),0),15-13*ORÇAMENTO!$AF$11)),
         0)</f>
        <v>0</v>
      </c>
      <c r="AS150" s="453">
        <f ca="1">IF(AND($D150="Serviço",AS$12&lt;&gt;0,$H150&gt;0,OR(AUTOEVENTO&lt;&gt;"manual",$M150&lt;&gt;$A$15)),
        IF(Import.TipoArredondamento&lt;&gt;"TransfereGOV",
              ROUND(OFFSET($P150,0,AS$13),15-13*ORÇAMENTO!$AF$7)/$H150*OFFSET(ORÇAMENTO!$X$15,ROW(AS150)-ROW(AS$15),0),
              ROUND(ROUND(OFFSET($P150,0,AS$13),15-13*ORÇAMENTO!$AF$7)*OFFSET(ORÇAMENTO!$W$15,ROW(AS150)-ROW(AS$15),0),15-13*ORÇAMENTO!$AF$11)),
         0)</f>
        <v>0</v>
      </c>
      <c r="AT150" s="453">
        <f ca="1">IF(AND($D150="Serviço",AT$12&lt;&gt;0,$H150&gt;0,OR(AUTOEVENTO&lt;&gt;"manual",$M150&lt;&gt;$A$15)),
        IF(Import.TipoArredondamento&lt;&gt;"TransfereGOV",
              ROUND(OFFSET($P150,0,AT$13),15-13*ORÇAMENTO!$AF$7)/$H150*OFFSET(ORÇAMENTO!$X$15,ROW(AT150)-ROW(AT$15),0),
              ROUND(ROUND(OFFSET($P150,0,AT$13),15-13*ORÇAMENTO!$AF$7)*OFFSET(ORÇAMENTO!$W$15,ROW(AT150)-ROW(AT$15),0),15-13*ORÇAMENTO!$AF$11)),
         0)</f>
        <v>0</v>
      </c>
      <c r="AU150" s="453">
        <f ca="1">IF(AND($D150="Serviço",AU$12&lt;&gt;0,$H150&gt;0,OR(AUTOEVENTO&lt;&gt;"manual",$M150&lt;&gt;$A$15)),
        IF(Import.TipoArredondamento&lt;&gt;"TransfereGOV",
              ROUND(OFFSET($P150,0,AU$13),15-13*ORÇAMENTO!$AF$7)/$H150*OFFSET(ORÇAMENTO!$X$15,ROW(AU150)-ROW(AU$15),0),
              ROUND(ROUND(OFFSET($P150,0,AU$13),15-13*ORÇAMENTO!$AF$7)*OFFSET(ORÇAMENTO!$W$15,ROW(AU150)-ROW(AU$15),0),15-13*ORÇAMENTO!$AF$11)),
         0)</f>
        <v>0</v>
      </c>
      <c r="AV150" s="453">
        <f ca="1">IF(AND($D150="Serviço",AV$12&lt;&gt;0,$H150&gt;0,OR(AUTOEVENTO&lt;&gt;"manual",$M150&lt;&gt;$A$15)),
        IF(Import.TipoArredondamento&lt;&gt;"TransfereGOV",
              ROUND(OFFSET($P150,0,AV$13),15-13*ORÇAMENTO!$AF$7)/$H150*OFFSET(ORÇAMENTO!$X$15,ROW(AV150)-ROW(AV$15),0),
              ROUND(ROUND(OFFSET($P150,0,AV$13),15-13*ORÇAMENTO!$AF$7)*OFFSET(ORÇAMENTO!$W$15,ROW(AV150)-ROW(AV$15),0),15-13*ORÇAMENTO!$AF$11)),
         0)</f>
        <v>0</v>
      </c>
      <c r="AW150" s="453">
        <f ca="1">IF(AND($D150="Serviço",AW$12&lt;&gt;0,$H150&gt;0,OR(AUTOEVENTO&lt;&gt;"manual",$M150&lt;&gt;$A$15)),
        IF(Import.TipoArredondamento&lt;&gt;"TransfereGOV",
              ROUND(OFFSET($P150,0,AW$13),15-13*ORÇAMENTO!$AF$7)/$H150*OFFSET(ORÇAMENTO!$X$15,ROW(AW150)-ROW(AW$15),0),
              ROUND(ROUND(OFFSET($P150,0,AW$13),15-13*ORÇAMENTO!$AF$7)*OFFSET(ORÇAMENTO!$W$15,ROW(AW150)-ROW(AW$15),0),15-13*ORÇAMENTO!$AF$11)),
         0)</f>
        <v>0</v>
      </c>
      <c r="AX150" s="453">
        <f ca="1">IF(AND($D150="Serviço",AX$12&lt;&gt;0,$H150&gt;0,OR(AUTOEVENTO&lt;&gt;"manual",$M150&lt;&gt;$A$15)),
        IF(Import.TipoArredondamento&lt;&gt;"TransfereGOV",
              ROUND(OFFSET($P150,0,AX$13),15-13*ORÇAMENTO!$AF$7)/$H150*OFFSET(ORÇAMENTO!$X$15,ROW(AX150)-ROW(AX$15),0),
              ROUND(ROUND(OFFSET($P150,0,AX$13),15-13*ORÇAMENTO!$AF$7)*OFFSET(ORÇAMENTO!$W$15,ROW(AX150)-ROW(AX$15),0),15-13*ORÇAMENTO!$AF$11)),
         0)</f>
        <v>0</v>
      </c>
      <c r="AY150" s="453">
        <f ca="1">IF(AND($D150="Serviço",AY$12&lt;&gt;0,$H150&gt;0,OR(AUTOEVENTO&lt;&gt;"manual",$M150&lt;&gt;$A$15)),
        IF(Import.TipoArredondamento&lt;&gt;"TransfereGOV",
              ROUND(OFFSET($P150,0,AY$13),15-13*ORÇAMENTO!$AF$7)/$H150*OFFSET(ORÇAMENTO!$X$15,ROW(AY150)-ROW(AY$15),0),
              ROUND(ROUND(OFFSET($P150,0,AY$13),15-13*ORÇAMENTO!$AF$7)*OFFSET(ORÇAMENTO!$W$15,ROW(AY150)-ROW(AY$15),0),15-13*ORÇAMENTO!$AF$11)),
         0)</f>
        <v>0</v>
      </c>
      <c r="AZ150" s="453">
        <f ca="1">IF(AND($D150="Serviço",AZ$12&lt;&gt;0,$H150&gt;0,OR(AUTOEVENTO&lt;&gt;"manual",$M150&lt;&gt;$A$15)),
        IF(Import.TipoArredondamento&lt;&gt;"TransfereGOV",
              ROUND(OFFSET($P150,0,AZ$13),15-13*ORÇAMENTO!$AF$7)/$H150*OFFSET(ORÇAMENTO!$X$15,ROW(AZ150)-ROW(AZ$15),0),
              ROUND(ROUND(OFFSET($P150,0,AZ$13),15-13*ORÇAMENTO!$AF$7)*OFFSET(ORÇAMENTO!$W$15,ROW(AZ150)-ROW(AZ$15),0),15-13*ORÇAMENTO!$AF$11)),
         0)</f>
        <v>0</v>
      </c>
      <c r="BA150" s="453">
        <f ca="1">IF(AND($D150="Serviço",BA$12&lt;&gt;0,$H150&gt;0,OR(AUTOEVENTO&lt;&gt;"manual",$M150&lt;&gt;$A$15)),
        IF(Import.TipoArredondamento&lt;&gt;"TransfereGOV",
              ROUND(OFFSET($P150,0,BA$13),15-13*ORÇAMENTO!$AF$7)/$H150*OFFSET(ORÇAMENTO!$X$15,ROW(BA150)-ROW(BA$15),0),
              ROUND(ROUND(OFFSET($P150,0,BA$13),15-13*ORÇAMENTO!$AF$7)*OFFSET(ORÇAMENTO!$W$15,ROW(BA150)-ROW(BA$15),0),15-13*ORÇAMENTO!$AF$11)),
         0)</f>
        <v>0</v>
      </c>
      <c r="BC150" s="171">
        <f ca="1">IF(OR($D150&lt;&gt;"Serviço",AND(AUTOEVENTO="Manual",$M150=$A$15)),0,
         IF(OFFSET(CRONOPLE!$F$15,$M150-$A$15,BC$13)=0,10^12,OFFSET(CRONOPLE!$F$15,$M150-$A$15,BC$13)))</f>
        <v>1000000000000</v>
      </c>
      <c r="BD150" s="171">
        <f ca="1">IF(OR($D150&lt;&gt;"Serviço",AND(AUTOEVENTO="Manual",$M150=$A$15)),0,
         IF(OFFSET(CRONOPLE!$F$15,$M150-$A$15,BD$13)=0,10^12,OFFSET(CRONOPLE!$F$15,$M150-$A$15,BD$13)))</f>
        <v>1000000000000</v>
      </c>
      <c r="BE150" s="171">
        <f ca="1">IF(OR($D150&lt;&gt;"Serviço",AND(AUTOEVENTO="Manual",$M150=$A$15)),0,
         IF(OFFSET(CRONOPLE!$F$15,$M150-$A$15,BE$13)=0,10^12,OFFSET(CRONOPLE!$F$15,$M150-$A$15,BE$13)))</f>
        <v>1000000000000</v>
      </c>
      <c r="BF150" s="171">
        <f ca="1">IF(OR($D150&lt;&gt;"Serviço",AND(AUTOEVENTO="Manual",$M150=$A$15)),0,
         IF(OFFSET(CRONOPLE!$F$15,$M150-$A$15,BF$13)=0,10^12,OFFSET(CRONOPLE!$F$15,$M150-$A$15,BF$13)))</f>
        <v>1000000000000</v>
      </c>
      <c r="BG150" s="171">
        <f ca="1">IF(OR($D150&lt;&gt;"Serviço",AND(AUTOEVENTO="Manual",$M150=$A$15)),0,
         IF(OFFSET(CRONOPLE!$F$15,$M150-$A$15,BG$13)=0,10^12,OFFSET(CRONOPLE!$F$15,$M150-$A$15,BG$13)))</f>
        <v>1000000000000</v>
      </c>
      <c r="BH150" s="171">
        <f ca="1">IF(OR($D150&lt;&gt;"Serviço",AND(AUTOEVENTO="Manual",$M150=$A$15)),0,
         IF(OFFSET(CRONOPLE!$F$15,$M150-$A$15,BH$13)=0,10^12,OFFSET(CRONOPLE!$F$15,$M150-$A$15,BH$13)))</f>
        <v>11</v>
      </c>
      <c r="BI150" s="171">
        <f ca="1">IF(OR($D150&lt;&gt;"Serviço",AND(AUTOEVENTO="Manual",$M150=$A$15)),0,
         IF(OFFSET(CRONOPLE!$F$15,$M150-$A$15,BI$13)=0,10^12,OFFSET(CRONOPLE!$F$15,$M150-$A$15,BI$13)))</f>
        <v>1000000000000</v>
      </c>
      <c r="BJ150" s="171">
        <f ca="1">IF(OR($D150&lt;&gt;"Serviço",AND(AUTOEVENTO="Manual",$M150=$A$15)),0,
         IF(OFFSET(CRONOPLE!$F$15,$M150-$A$15,BJ$13)=0,10^12,OFFSET(CRONOPLE!$F$15,$M150-$A$15,BJ$13)))</f>
        <v>1000000000000</v>
      </c>
      <c r="BK150" s="171">
        <f ca="1">IF(OR($D150&lt;&gt;"Serviço",AND(AUTOEVENTO="Manual",$M150=$A$15)),0,
         IF(OFFSET(CRONOPLE!$F$15,$M150-$A$15,BK$13)=0,10^12,OFFSET(CRONOPLE!$F$15,$M150-$A$15,BK$13)))</f>
        <v>1000000000000</v>
      </c>
      <c r="BL150" s="171">
        <f ca="1">IF(OR($D150&lt;&gt;"Serviço",AND(AUTOEVENTO="Manual",$M150=$A$15)),0,
         IF(OFFSET(CRONOPLE!$F$15,$M150-$A$15,BL$13)=0,10^12,OFFSET(CRONOPLE!$F$15,$M150-$A$15,BL$13)))</f>
        <v>1000000000000</v>
      </c>
      <c r="BM150" s="171">
        <f ca="1">IF(OR($D150&lt;&gt;"Serviço",AND(AUTOEVENTO="Manual",$M150=$A$15)),0,
         IF(OFFSET(CRONOPLE!$F$15,$M150-$A$15,BM$13)=0,10^12,OFFSET(CRONOPLE!$F$15,$M150-$A$15,BM$13)))</f>
        <v>1000000000000</v>
      </c>
      <c r="BN150" s="171">
        <f ca="1">IF(OR($D150&lt;&gt;"Serviço",AND(AUTOEVENTO="Manual",$M150=$A$15)),0,
         IF(OFFSET(CRONOPLE!$F$15,$M150-$A$15,BN$13)=0,10^12,OFFSET(CRONOPLE!$F$15,$M150-$A$15,BN$13)))</f>
        <v>1000000000000</v>
      </c>
      <c r="BO150" s="171">
        <f ca="1">IF(OR($D150&lt;&gt;"Serviço",AND(AUTOEVENTO="Manual",$M150=$A$15)),0,
         IF(OFFSET(CRONOPLE!$F$15,$M150-$A$15,BO$13)=0,10^12,OFFSET(CRONOPLE!$F$15,$M150-$A$15,BO$13)))</f>
        <v>1000000000000</v>
      </c>
      <c r="BP150" s="171">
        <f ca="1">IF(OR($D150&lt;&gt;"Serviço",AND(AUTOEVENTO="Manual",$M150=$A$15)),0,
         IF(OFFSET(CRONOPLE!$F$15,$M150-$A$15,BP$13)=0,10^12,OFFSET(CRONOPLE!$F$15,$M150-$A$15,BP$13)))</f>
        <v>1000000000000</v>
      </c>
      <c r="BQ150" s="171">
        <f ca="1">IF(OR($D150&lt;&gt;"Serviço",AND(AUTOEVENTO="Manual",$M150=$A$15)),0,
         IF(OFFSET(CRONOPLE!$F$15,$M150-$A$15,BQ$13)=0,10^12,OFFSET(CRONOPLE!$F$15,$M150-$A$15,BQ$13)))</f>
        <v>1000000000000</v>
      </c>
      <c r="BR150" s="171">
        <f ca="1">IF(OR($D150&lt;&gt;"Serviço",AND(AUTOEVENTO="Manual",$M150=$A$15)),0,
         IF(OFFSET(CRONOPLE!$F$15,$M150-$A$15,BR$13)=0,10^12,OFFSET(CRONOPLE!$F$15,$M150-$A$15,BR$13)))</f>
        <v>1000000000000</v>
      </c>
      <c r="BS150" s="171">
        <f ca="1">IF(OR($D150&lt;&gt;"Serviço",AND(AUTOEVENTO="Manual",$M150=$A$15)),0,
         IF(OFFSET(CRONOPLE!$F$15,$M150-$A$15,BS$13)=0,10^12,OFFSET(CRONOPLE!$F$15,$M150-$A$15,BS$13)))</f>
        <v>1000000000000</v>
      </c>
      <c r="BT150" s="171">
        <f ca="1">IF(OR($D150&lt;&gt;"Serviço",AND(AUTOEVENTO="Manual",$M150=$A$15)),0,
         IF(OFFSET(CRONOPLE!$F$15,$M150-$A$15,BT$13)=0,10^12,OFFSET(CRONOPLE!$F$15,$M150-$A$15,BT$13)))</f>
        <v>1000000000000</v>
      </c>
      <c r="BV150" s="172" cm="1">
        <f t="array" aca="1" ref="BV150" ca="1">IF(OR($D150&lt;&gt;"Serviço",AND(AUTOEVENTO="Manual",$M150=$A$15),$M150&gt;(ROW(PLE.lastrow)-ROW(PLE.firstrow))),0,
           IF(OFFSET(PLE!$G$15,$M150-$A$15,BV$13)="",10^12,OFFSET(PLE!$G$15,$M150-$A$15,BV$13)))</f>
        <v>1000000000000</v>
      </c>
      <c r="BW150" s="172" cm="1">
        <f t="array" aca="1" ref="BW150" ca="1">IF(OR($D150&lt;&gt;"Serviço",AND(AUTOEVENTO="Manual",$M150=$A$15),$M150&gt;(ROW(PLE.lastrow)-ROW(PLE.firstrow))),0,
           IF(OFFSET(PLE!$G$15,$M150-$A$15,BW$13)="",10^12,OFFSET(PLE!$G$15,$M150-$A$15,BW$13)))</f>
        <v>1000000000000</v>
      </c>
      <c r="BX150" s="172" cm="1">
        <f t="array" aca="1" ref="BX150" ca="1">IF(OR($D150&lt;&gt;"Serviço",AND(AUTOEVENTO="Manual",$M150=$A$15),$M150&gt;(ROW(PLE.lastrow)-ROW(PLE.firstrow))),0,
           IF(OFFSET(PLE!$G$15,$M150-$A$15,BX$13)="",10^12,OFFSET(PLE!$G$15,$M150-$A$15,BX$13)))</f>
        <v>1000000000000</v>
      </c>
      <c r="BY150" s="172" cm="1">
        <f t="array" aca="1" ref="BY150" ca="1">IF(OR($D150&lt;&gt;"Serviço",AND(AUTOEVENTO="Manual",$M150=$A$15),$M150&gt;(ROW(PLE.lastrow)-ROW(PLE.firstrow))),0,
           IF(OFFSET(PLE!$G$15,$M150-$A$15,BY$13)="",10^12,OFFSET(PLE!$G$15,$M150-$A$15,BY$13)))</f>
        <v>1000000000000</v>
      </c>
      <c r="BZ150" s="172" cm="1">
        <f t="array" aca="1" ref="BZ150" ca="1">IF(OR($D150&lt;&gt;"Serviço",AND(AUTOEVENTO="Manual",$M150=$A$15),$M150&gt;(ROW(PLE.lastrow)-ROW(PLE.firstrow))),0,
           IF(OFFSET(PLE!$G$15,$M150-$A$15,BZ$13)="",10^12,OFFSET(PLE!$G$15,$M150-$A$15,BZ$13)))</f>
        <v>1000000000000</v>
      </c>
      <c r="CA150" s="172" cm="1">
        <f t="array" aca="1" ref="CA150" ca="1">IF(OR($D150&lt;&gt;"Serviço",AND(AUTOEVENTO="Manual",$M150=$A$15),$M150&gt;(ROW(PLE.lastrow)-ROW(PLE.firstrow))),0,
           IF(OFFSET(PLE!$G$15,$M150-$A$15,CA$13)="",10^12,OFFSET(PLE!$G$15,$M150-$A$15,CA$13)))</f>
        <v>1000000000000</v>
      </c>
      <c r="CB150" s="172" cm="1">
        <f t="array" aca="1" ref="CB150" ca="1">IF(OR($D150&lt;&gt;"Serviço",AND(AUTOEVENTO="Manual",$M150=$A$15),$M150&gt;(ROW(PLE.lastrow)-ROW(PLE.firstrow))),0,
           IF(OFFSET(PLE!$G$15,$M150-$A$15,CB$13)="",10^12,OFFSET(PLE!$G$15,$M150-$A$15,CB$13)))</f>
        <v>1000000000000</v>
      </c>
      <c r="CC150" s="172" cm="1">
        <f t="array" aca="1" ref="CC150" ca="1">IF(OR($D150&lt;&gt;"Serviço",AND(AUTOEVENTO="Manual",$M150=$A$15),$M150&gt;(ROW(PLE.lastrow)-ROW(PLE.firstrow))),0,
           IF(OFFSET(PLE!$G$15,$M150-$A$15,CC$13)="",10^12,OFFSET(PLE!$G$15,$M150-$A$15,CC$13)))</f>
        <v>1000000000000</v>
      </c>
      <c r="CD150" s="172" cm="1">
        <f t="array" aca="1" ref="CD150" ca="1">IF(OR($D150&lt;&gt;"Serviço",AND(AUTOEVENTO="Manual",$M150=$A$15),$M150&gt;(ROW(PLE.lastrow)-ROW(PLE.firstrow))),0,
           IF(OFFSET(PLE!$G$15,$M150-$A$15,CD$13)="",10^12,OFFSET(PLE!$G$15,$M150-$A$15,CD$13)))</f>
        <v>1000000000000</v>
      </c>
      <c r="CE150" s="172" cm="1">
        <f t="array" aca="1" ref="CE150" ca="1">IF(OR($D150&lt;&gt;"Serviço",AND(AUTOEVENTO="Manual",$M150=$A$15),$M150&gt;(ROW(PLE.lastrow)-ROW(PLE.firstrow))),0,
           IF(OFFSET(PLE!$G$15,$M150-$A$15,CE$13)="",10^12,OFFSET(PLE!$G$15,$M150-$A$15,CE$13)))</f>
        <v>1000000000000</v>
      </c>
      <c r="CF150" s="172" cm="1">
        <f t="array" aca="1" ref="CF150" ca="1">IF(OR($D150&lt;&gt;"Serviço",AND(AUTOEVENTO="Manual",$M150=$A$15),$M150&gt;(ROW(PLE.lastrow)-ROW(PLE.firstrow))),0,
           IF(OFFSET(PLE!$G$15,$M150-$A$15,CF$13)="",10^12,OFFSET(PLE!$G$15,$M150-$A$15,CF$13)))</f>
        <v>1000000000000</v>
      </c>
      <c r="CG150" s="172" cm="1">
        <f t="array" aca="1" ref="CG150" ca="1">IF(OR($D150&lt;&gt;"Serviço",AND(AUTOEVENTO="Manual",$M150=$A$15),$M150&gt;(ROW(PLE.lastrow)-ROW(PLE.firstrow))),0,
           IF(OFFSET(PLE!$G$15,$M150-$A$15,CG$13)="",10^12,OFFSET(PLE!$G$15,$M150-$A$15,CG$13)))</f>
        <v>1000000000000</v>
      </c>
      <c r="CH150" s="172" cm="1">
        <f t="array" aca="1" ref="CH150" ca="1">IF(OR($D150&lt;&gt;"Serviço",AND(AUTOEVENTO="Manual",$M150=$A$15),$M150&gt;(ROW(PLE.lastrow)-ROW(PLE.firstrow))),0,
           IF(OFFSET(PLE!$G$15,$M150-$A$15,CH$13)="",10^12,OFFSET(PLE!$G$15,$M150-$A$15,CH$13)))</f>
        <v>1000000000000</v>
      </c>
      <c r="CI150" s="172" cm="1">
        <f t="array" aca="1" ref="CI150" ca="1">IF(OR($D150&lt;&gt;"Serviço",AND(AUTOEVENTO="Manual",$M150=$A$15),$M150&gt;(ROW(PLE.lastrow)-ROW(PLE.firstrow))),0,
           IF(OFFSET(PLE!$G$15,$M150-$A$15,CI$13)="",10^12,OFFSET(PLE!$G$15,$M150-$A$15,CI$13)))</f>
        <v>1000000000000</v>
      </c>
      <c r="CJ150" s="172" cm="1">
        <f t="array" aca="1" ref="CJ150" ca="1">IF(OR($D150&lt;&gt;"Serviço",AND(AUTOEVENTO="Manual",$M150=$A$15),$M150&gt;(ROW(PLE.lastrow)-ROW(PLE.firstrow))),0,
           IF(OFFSET(PLE!$G$15,$M150-$A$15,CJ$13)="",10^12,OFFSET(PLE!$G$15,$M150-$A$15,CJ$13)))</f>
        <v>1000000000000</v>
      </c>
      <c r="CK150" s="172" cm="1">
        <f t="array" aca="1" ref="CK150" ca="1">IF(OR($D150&lt;&gt;"Serviço",AND(AUTOEVENTO="Manual",$M150=$A$15),$M150&gt;(ROW(PLE.lastrow)-ROW(PLE.firstrow))),0,
           IF(OFFSET(PLE!$G$15,$M150-$A$15,CK$13)="",10^12,OFFSET(PLE!$G$15,$M150-$A$15,CK$13)))</f>
        <v>1000000000000</v>
      </c>
      <c r="CL150" s="172" cm="1">
        <f t="array" aca="1" ref="CL150" ca="1">IF(OR($D150&lt;&gt;"Serviço",AND(AUTOEVENTO="Manual",$M150=$A$15),$M150&gt;(ROW(PLE.lastrow)-ROW(PLE.firstrow))),0,
           IF(OFFSET(PLE!$G$15,$M150-$A$15,CL$13)="",10^12,OFFSET(PLE!$G$15,$M150-$A$15,CL$13)))</f>
        <v>1000000000000</v>
      </c>
      <c r="CM150" s="172" cm="1">
        <f t="array" aca="1" ref="CM150" ca="1">IF(OR($D150&lt;&gt;"Serviço",AND(AUTOEVENTO="Manual",$M150=$A$15),$M150&gt;(ROW(PLE.lastrow)-ROW(PLE.firstrow))),0,
           IF(OFFSET(PLE!$G$15,$M150-$A$15,CM$13)="",10^12,OFFSET(PLE!$G$15,$M150-$A$15,CM$13)))</f>
        <v>1000000000000</v>
      </c>
    </row>
    <row r="151" spans="1:91" s="670" customFormat="1" ht="25.5" x14ac:dyDescent="0.2">
      <c r="A151" s="668">
        <f t="shared" ca="1" si="14"/>
        <v>29</v>
      </c>
      <c r="B151" s="668" t="str">
        <f ca="1">OFFSET(ORÇAMENTO!C$15,$L151,0)</f>
        <v>S</v>
      </c>
      <c r="C151" s="668" t="str">
        <f ca="1">OFFSET(ORÇAMENTO!L$15,$L151,0)</f>
        <v>F</v>
      </c>
      <c r="D151" s="116" t="str">
        <f ca="1">OFFSET(ORÇAMENTO!N$15,$L151,0)</f>
        <v>Serviço</v>
      </c>
      <c r="E151" s="117" t="str">
        <f ca="1">OFFSET(ORÇAMENTO!O$15,$L151,0)</f>
        <v>1.19.6.</v>
      </c>
      <c r="F151" s="163" t="str">
        <f ca="1">OFFSET(ORÇAMENTO!R$15,$L151,0)</f>
        <v>PINTURA LÁTEX ACRÍLICA ECONÔMICA, APLICAÇÃO MANUAL EM PAREDES, DUAS DEMÃOS. AF_04/2023</v>
      </c>
      <c r="G151" s="164" t="str">
        <f ca="1">IF($D151&lt;&gt;"Serviço","",OFFSET(ORÇAMENTO!S$15,$L151,0))</f>
        <v>M2</v>
      </c>
      <c r="H151" s="122" cm="1">
        <f t="array" aca="1" ref="H151" ca="1">IF($D151&lt;&gt;"Serviço",0,IF(ACOMPANHAMENTO="BM",ROUND(OFFSET(ORÇAMENTO!AJ$15,$L151,0),15-13*ORÇAMENTO!$AF$7),IF(IFERROR(CÁLCULO.FrentesPreenchidas,0)=0,0,SUM(ROUND(OFFSET($P151,0,1,1,CÁLCULO.FrentesPreenchidas),15-13*ORÇAMENTO!$AF$7)))))</f>
        <v>13</v>
      </c>
      <c r="I151" s="468" t="s">
        <v>1196</v>
      </c>
      <c r="J151" s="651" t="str" cm="1">
        <f t="array" aca="1" ref="J151" ca="1">IF(OR(B151&lt;&gt;"S",CÁLCULO.FrentesPreenchidas=0),"",IF(AND(ACOMPANHAMENTO="PLE",AUTOEVENTO="Manual",OR(H151&gt;0,ORÇAMENTO!AC151="QUANT."),OR(K151="",M151=0,N151="")),"►E",IF(AND(ACOMPANHAMENTO="PLE",ORÇAMENTO!AC151="QUANT."),"►Q",IF(AND(ACOMPANHAMENTO="PLE",H151&lt;&gt;SUMPRODUCT(($Q$1:$AI$1=1)*ROUND(Q151:AI151,15))),"►S",IF(AND(COUNTIF($P$11:$AI$11,"▼")=0,H151&gt;0,I151=""),"◄M","")))))</f>
        <v/>
      </c>
      <c r="K151" s="652" t="s">
        <v>1362</v>
      </c>
      <c r="L151" s="165">
        <f t="shared" ca="1" si="15"/>
        <v>136</v>
      </c>
      <c r="M151" s="166">
        <f ca="1">IF($D151&lt;&gt;"Serviço","",
          IF(AUTOEVENTO="manual",$A151,
                IF(ISERROR(MATCH($A151,$A$15:OFFSET($A151,-1,0),0)),MAX($M$15:OFFSET(M151,-1,0))+1,
                      INDEX($M$15:OFFSET(M151,-1,0),MATCH($A151,$A$15:OFFSET($A151,-1,0),0)))))</f>
        <v>29</v>
      </c>
      <c r="N151" s="167" t="str">
        <f ca="1">IF($D151&lt;&gt;"Serviço","",
         IF(AUTOEVENTO="Manual",
                IF($A151=0,"&lt;-- defina o número do agrupador",
                       OFFSET(EVENTOS!$D$15,$A151-$A$15,0)),
                OFFSET($F$15,$A151,0)))</f>
        <v>Pintura</v>
      </c>
      <c r="O151" s="168"/>
      <c r="Q151" s="168"/>
      <c r="R151" s="169"/>
      <c r="S151" s="169"/>
      <c r="T151" s="169"/>
      <c r="U151" s="169"/>
      <c r="V151" s="169">
        <v>13</v>
      </c>
      <c r="W151" s="169"/>
      <c r="X151" s="169"/>
      <c r="Y151" s="169"/>
      <c r="Z151" s="170"/>
      <c r="AA151" s="705"/>
      <c r="AB151" s="705"/>
      <c r="AC151" s="705"/>
      <c r="AD151" s="705"/>
      <c r="AE151" s="705"/>
      <c r="AF151" s="705"/>
      <c r="AG151" s="705"/>
      <c r="AH151" s="706"/>
      <c r="AJ151" s="453">
        <f ca="1">IF(AND($D151="Serviço",AJ$12&lt;&gt;0,$H151&gt;0,OR(AUTOEVENTO&lt;&gt;"manual",$M151&lt;&gt;$A$15)),
        IF(Import.TipoArredondamento&lt;&gt;"TransfereGOV",
              ROUND(OFFSET($P151,0,AJ$13),15-13*ORÇAMENTO!$AF$7)/$H151*OFFSET(ORÇAMENTO!$X$15,ROW(AJ151)-ROW(AJ$15),0),
              ROUND(ROUND(OFFSET($P151,0,AJ$13),15-13*ORÇAMENTO!$AF$7)*OFFSET(ORÇAMENTO!$W$15,ROW(AJ151)-ROW(AJ$15),0),15-13*ORÇAMENTO!$AF$11)),
         0)</f>
        <v>0</v>
      </c>
      <c r="AK151" s="453">
        <f ca="1">IF(AND($D151="Serviço",AK$12&lt;&gt;0,$H151&gt;0,OR(AUTOEVENTO&lt;&gt;"manual",$M151&lt;&gt;$A$15)),
        IF(Import.TipoArredondamento&lt;&gt;"TransfereGOV",
              ROUND(OFFSET($P151,0,AK$13),15-13*ORÇAMENTO!$AF$7)/$H151*OFFSET(ORÇAMENTO!$X$15,ROW(AK151)-ROW(AK$15),0),
              ROUND(ROUND(OFFSET($P151,0,AK$13),15-13*ORÇAMENTO!$AF$7)*OFFSET(ORÇAMENTO!$W$15,ROW(AK151)-ROW(AK$15),0),15-13*ORÇAMENTO!$AF$11)),
         0)</f>
        <v>0</v>
      </c>
      <c r="AL151" s="453">
        <f ca="1">IF(AND($D151="Serviço",AL$12&lt;&gt;0,$H151&gt;0,OR(AUTOEVENTO&lt;&gt;"manual",$M151&lt;&gt;$A$15)),
        IF(Import.TipoArredondamento&lt;&gt;"TransfereGOV",
              ROUND(OFFSET($P151,0,AL$13),15-13*ORÇAMENTO!$AF$7)/$H151*OFFSET(ORÇAMENTO!$X$15,ROW(AL151)-ROW(AL$15),0),
              ROUND(ROUND(OFFSET($P151,0,AL$13),15-13*ORÇAMENTO!$AF$7)*OFFSET(ORÇAMENTO!$W$15,ROW(AL151)-ROW(AL$15),0),15-13*ORÇAMENTO!$AF$11)),
         0)</f>
        <v>0</v>
      </c>
      <c r="AM151" s="453">
        <f ca="1">IF(AND($D151="Serviço",AM$12&lt;&gt;0,$H151&gt;0,OR(AUTOEVENTO&lt;&gt;"manual",$M151&lt;&gt;$A$15)),
        IF(Import.TipoArredondamento&lt;&gt;"TransfereGOV",
              ROUND(OFFSET($P151,0,AM$13),15-13*ORÇAMENTO!$AF$7)/$H151*OFFSET(ORÇAMENTO!$X$15,ROW(AM151)-ROW(AM$15),0),
              ROUND(ROUND(OFFSET($P151,0,AM$13),15-13*ORÇAMENTO!$AF$7)*OFFSET(ORÇAMENTO!$W$15,ROW(AM151)-ROW(AM$15),0),15-13*ORÇAMENTO!$AF$11)),
         0)</f>
        <v>0</v>
      </c>
      <c r="AN151" s="453">
        <f ca="1">IF(AND($D151="Serviço",AN$12&lt;&gt;0,$H151&gt;0,OR(AUTOEVENTO&lt;&gt;"manual",$M151&lt;&gt;$A$15)),
        IF(Import.TipoArredondamento&lt;&gt;"TransfereGOV",
              ROUND(OFFSET($P151,0,AN$13),15-13*ORÇAMENTO!$AF$7)/$H151*OFFSET(ORÇAMENTO!$X$15,ROW(AN151)-ROW(AN$15),0),
              ROUND(ROUND(OFFSET($P151,0,AN$13),15-13*ORÇAMENTO!$AF$7)*OFFSET(ORÇAMENTO!$W$15,ROW(AN151)-ROW(AN$15),0),15-13*ORÇAMENTO!$AF$11)),
         0)</f>
        <v>0</v>
      </c>
      <c r="AO151" s="453">
        <f ca="1">IF(AND($D151="Serviço",AO$12&lt;&gt;0,$H151&gt;0,OR(AUTOEVENTO&lt;&gt;"manual",$M151&lt;&gt;$A$15)),
        IF(Import.TipoArredondamento&lt;&gt;"TransfereGOV",
              ROUND(OFFSET($P151,0,AO$13),15-13*ORÇAMENTO!$AF$7)/$H151*OFFSET(ORÇAMENTO!$X$15,ROW(AO151)-ROW(AO$15),0),
              ROUND(ROUND(OFFSET($P151,0,AO$13),15-13*ORÇAMENTO!$AF$7)*OFFSET(ORÇAMENTO!$W$15,ROW(AO151)-ROW(AO$15),0),15-13*ORÇAMENTO!$AF$11)),
         0)</f>
        <v>176.54</v>
      </c>
      <c r="AP151" s="453">
        <f ca="1">IF(AND($D151="Serviço",AP$12&lt;&gt;0,$H151&gt;0,OR(AUTOEVENTO&lt;&gt;"manual",$M151&lt;&gt;$A$15)),
        IF(Import.TipoArredondamento&lt;&gt;"TransfereGOV",
              ROUND(OFFSET($P151,0,AP$13),15-13*ORÇAMENTO!$AF$7)/$H151*OFFSET(ORÇAMENTO!$X$15,ROW(AP151)-ROW(AP$15),0),
              ROUND(ROUND(OFFSET($P151,0,AP$13),15-13*ORÇAMENTO!$AF$7)*OFFSET(ORÇAMENTO!$W$15,ROW(AP151)-ROW(AP$15),0),15-13*ORÇAMENTO!$AF$11)),
         0)</f>
        <v>0</v>
      </c>
      <c r="AQ151" s="453">
        <f ca="1">IF(AND($D151="Serviço",AQ$12&lt;&gt;0,$H151&gt;0,OR(AUTOEVENTO&lt;&gt;"manual",$M151&lt;&gt;$A$15)),
        IF(Import.TipoArredondamento&lt;&gt;"TransfereGOV",
              ROUND(OFFSET($P151,0,AQ$13),15-13*ORÇAMENTO!$AF$7)/$H151*OFFSET(ORÇAMENTO!$X$15,ROW(AQ151)-ROW(AQ$15),0),
              ROUND(ROUND(OFFSET($P151,0,AQ$13),15-13*ORÇAMENTO!$AF$7)*OFFSET(ORÇAMENTO!$W$15,ROW(AQ151)-ROW(AQ$15),0),15-13*ORÇAMENTO!$AF$11)),
         0)</f>
        <v>0</v>
      </c>
      <c r="AR151" s="453">
        <f ca="1">IF(AND($D151="Serviço",AR$12&lt;&gt;0,$H151&gt;0,OR(AUTOEVENTO&lt;&gt;"manual",$M151&lt;&gt;$A$15)),
        IF(Import.TipoArredondamento&lt;&gt;"TransfereGOV",
              ROUND(OFFSET($P151,0,AR$13),15-13*ORÇAMENTO!$AF$7)/$H151*OFFSET(ORÇAMENTO!$X$15,ROW(AR151)-ROW(AR$15),0),
              ROUND(ROUND(OFFSET($P151,0,AR$13),15-13*ORÇAMENTO!$AF$7)*OFFSET(ORÇAMENTO!$W$15,ROW(AR151)-ROW(AR$15),0),15-13*ORÇAMENTO!$AF$11)),
         0)</f>
        <v>0</v>
      </c>
      <c r="AS151" s="453">
        <f ca="1">IF(AND($D151="Serviço",AS$12&lt;&gt;0,$H151&gt;0,OR(AUTOEVENTO&lt;&gt;"manual",$M151&lt;&gt;$A$15)),
        IF(Import.TipoArredondamento&lt;&gt;"TransfereGOV",
              ROUND(OFFSET($P151,0,AS$13),15-13*ORÇAMENTO!$AF$7)/$H151*OFFSET(ORÇAMENTO!$X$15,ROW(AS151)-ROW(AS$15),0),
              ROUND(ROUND(OFFSET($P151,0,AS$13),15-13*ORÇAMENTO!$AF$7)*OFFSET(ORÇAMENTO!$W$15,ROW(AS151)-ROW(AS$15),0),15-13*ORÇAMENTO!$AF$11)),
         0)</f>
        <v>0</v>
      </c>
      <c r="AT151" s="453">
        <f ca="1">IF(AND($D151="Serviço",AT$12&lt;&gt;0,$H151&gt;0,OR(AUTOEVENTO&lt;&gt;"manual",$M151&lt;&gt;$A$15)),
        IF(Import.TipoArredondamento&lt;&gt;"TransfereGOV",
              ROUND(OFFSET($P151,0,AT$13),15-13*ORÇAMENTO!$AF$7)/$H151*OFFSET(ORÇAMENTO!$X$15,ROW(AT151)-ROW(AT$15),0),
              ROUND(ROUND(OFFSET($P151,0,AT$13),15-13*ORÇAMENTO!$AF$7)*OFFSET(ORÇAMENTO!$W$15,ROW(AT151)-ROW(AT$15),0),15-13*ORÇAMENTO!$AF$11)),
         0)</f>
        <v>0</v>
      </c>
      <c r="AU151" s="453">
        <f ca="1">IF(AND($D151="Serviço",AU$12&lt;&gt;0,$H151&gt;0,OR(AUTOEVENTO&lt;&gt;"manual",$M151&lt;&gt;$A$15)),
        IF(Import.TipoArredondamento&lt;&gt;"TransfereGOV",
              ROUND(OFFSET($P151,0,AU$13),15-13*ORÇAMENTO!$AF$7)/$H151*OFFSET(ORÇAMENTO!$X$15,ROW(AU151)-ROW(AU$15),0),
              ROUND(ROUND(OFFSET($P151,0,AU$13),15-13*ORÇAMENTO!$AF$7)*OFFSET(ORÇAMENTO!$W$15,ROW(AU151)-ROW(AU$15),0),15-13*ORÇAMENTO!$AF$11)),
         0)</f>
        <v>0</v>
      </c>
      <c r="AV151" s="453">
        <f ca="1">IF(AND($D151="Serviço",AV$12&lt;&gt;0,$H151&gt;0,OR(AUTOEVENTO&lt;&gt;"manual",$M151&lt;&gt;$A$15)),
        IF(Import.TipoArredondamento&lt;&gt;"TransfereGOV",
              ROUND(OFFSET($P151,0,AV$13),15-13*ORÇAMENTO!$AF$7)/$H151*OFFSET(ORÇAMENTO!$X$15,ROW(AV151)-ROW(AV$15),0),
              ROUND(ROUND(OFFSET($P151,0,AV$13),15-13*ORÇAMENTO!$AF$7)*OFFSET(ORÇAMENTO!$W$15,ROW(AV151)-ROW(AV$15),0),15-13*ORÇAMENTO!$AF$11)),
         0)</f>
        <v>0</v>
      </c>
      <c r="AW151" s="453">
        <f ca="1">IF(AND($D151="Serviço",AW$12&lt;&gt;0,$H151&gt;0,OR(AUTOEVENTO&lt;&gt;"manual",$M151&lt;&gt;$A$15)),
        IF(Import.TipoArredondamento&lt;&gt;"TransfereGOV",
              ROUND(OFFSET($P151,0,AW$13),15-13*ORÇAMENTO!$AF$7)/$H151*OFFSET(ORÇAMENTO!$X$15,ROW(AW151)-ROW(AW$15),0),
              ROUND(ROUND(OFFSET($P151,0,AW$13),15-13*ORÇAMENTO!$AF$7)*OFFSET(ORÇAMENTO!$W$15,ROW(AW151)-ROW(AW$15),0),15-13*ORÇAMENTO!$AF$11)),
         0)</f>
        <v>0</v>
      </c>
      <c r="AX151" s="453">
        <f ca="1">IF(AND($D151="Serviço",AX$12&lt;&gt;0,$H151&gt;0,OR(AUTOEVENTO&lt;&gt;"manual",$M151&lt;&gt;$A$15)),
        IF(Import.TipoArredondamento&lt;&gt;"TransfereGOV",
              ROUND(OFFSET($P151,0,AX$13),15-13*ORÇAMENTO!$AF$7)/$H151*OFFSET(ORÇAMENTO!$X$15,ROW(AX151)-ROW(AX$15),0),
              ROUND(ROUND(OFFSET($P151,0,AX$13),15-13*ORÇAMENTO!$AF$7)*OFFSET(ORÇAMENTO!$W$15,ROW(AX151)-ROW(AX$15),0),15-13*ORÇAMENTO!$AF$11)),
         0)</f>
        <v>0</v>
      </c>
      <c r="AY151" s="453">
        <f ca="1">IF(AND($D151="Serviço",AY$12&lt;&gt;0,$H151&gt;0,OR(AUTOEVENTO&lt;&gt;"manual",$M151&lt;&gt;$A$15)),
        IF(Import.TipoArredondamento&lt;&gt;"TransfereGOV",
              ROUND(OFFSET($P151,0,AY$13),15-13*ORÇAMENTO!$AF$7)/$H151*OFFSET(ORÇAMENTO!$X$15,ROW(AY151)-ROW(AY$15),0),
              ROUND(ROUND(OFFSET($P151,0,AY$13),15-13*ORÇAMENTO!$AF$7)*OFFSET(ORÇAMENTO!$W$15,ROW(AY151)-ROW(AY$15),0),15-13*ORÇAMENTO!$AF$11)),
         0)</f>
        <v>0</v>
      </c>
      <c r="AZ151" s="453">
        <f ca="1">IF(AND($D151="Serviço",AZ$12&lt;&gt;0,$H151&gt;0,OR(AUTOEVENTO&lt;&gt;"manual",$M151&lt;&gt;$A$15)),
        IF(Import.TipoArredondamento&lt;&gt;"TransfereGOV",
              ROUND(OFFSET($P151,0,AZ$13),15-13*ORÇAMENTO!$AF$7)/$H151*OFFSET(ORÇAMENTO!$X$15,ROW(AZ151)-ROW(AZ$15),0),
              ROUND(ROUND(OFFSET($P151,0,AZ$13),15-13*ORÇAMENTO!$AF$7)*OFFSET(ORÇAMENTO!$W$15,ROW(AZ151)-ROW(AZ$15),0),15-13*ORÇAMENTO!$AF$11)),
         0)</f>
        <v>0</v>
      </c>
      <c r="BA151" s="453">
        <f ca="1">IF(AND($D151="Serviço",BA$12&lt;&gt;0,$H151&gt;0,OR(AUTOEVENTO&lt;&gt;"manual",$M151&lt;&gt;$A$15)),
        IF(Import.TipoArredondamento&lt;&gt;"TransfereGOV",
              ROUND(OFFSET($P151,0,BA$13),15-13*ORÇAMENTO!$AF$7)/$H151*OFFSET(ORÇAMENTO!$X$15,ROW(BA151)-ROW(BA$15),0),
              ROUND(ROUND(OFFSET($P151,0,BA$13),15-13*ORÇAMENTO!$AF$7)*OFFSET(ORÇAMENTO!$W$15,ROW(BA151)-ROW(BA$15),0),15-13*ORÇAMENTO!$AF$11)),
         0)</f>
        <v>0</v>
      </c>
      <c r="BC151" s="171">
        <f ca="1">IF(OR($D151&lt;&gt;"Serviço",AND(AUTOEVENTO="Manual",$M151=$A$15)),0,
         IF(OFFSET(CRONOPLE!$F$15,$M151-$A$15,BC$13)=0,10^12,OFFSET(CRONOPLE!$F$15,$M151-$A$15,BC$13)))</f>
        <v>1000000000000</v>
      </c>
      <c r="BD151" s="171">
        <f ca="1">IF(OR($D151&lt;&gt;"Serviço",AND(AUTOEVENTO="Manual",$M151=$A$15)),0,
         IF(OFFSET(CRONOPLE!$F$15,$M151-$A$15,BD$13)=0,10^12,OFFSET(CRONOPLE!$F$15,$M151-$A$15,BD$13)))</f>
        <v>1000000000000</v>
      </c>
      <c r="BE151" s="171">
        <f ca="1">IF(OR($D151&lt;&gt;"Serviço",AND(AUTOEVENTO="Manual",$M151=$A$15)),0,
         IF(OFFSET(CRONOPLE!$F$15,$M151-$A$15,BE$13)=0,10^12,OFFSET(CRONOPLE!$F$15,$M151-$A$15,BE$13)))</f>
        <v>1000000000000</v>
      </c>
      <c r="BF151" s="171">
        <f ca="1">IF(OR($D151&lt;&gt;"Serviço",AND(AUTOEVENTO="Manual",$M151=$A$15)),0,
         IF(OFFSET(CRONOPLE!$F$15,$M151-$A$15,BF$13)=0,10^12,OFFSET(CRONOPLE!$F$15,$M151-$A$15,BF$13)))</f>
        <v>1000000000000</v>
      </c>
      <c r="BG151" s="171">
        <f ca="1">IF(OR($D151&lt;&gt;"Serviço",AND(AUTOEVENTO="Manual",$M151=$A$15)),0,
         IF(OFFSET(CRONOPLE!$F$15,$M151-$A$15,BG$13)=0,10^12,OFFSET(CRONOPLE!$F$15,$M151-$A$15,BG$13)))</f>
        <v>1000000000000</v>
      </c>
      <c r="BH151" s="171">
        <f ca="1">IF(OR($D151&lt;&gt;"Serviço",AND(AUTOEVENTO="Manual",$M151=$A$15)),0,
         IF(OFFSET(CRONOPLE!$F$15,$M151-$A$15,BH$13)=0,10^12,OFFSET(CRONOPLE!$F$15,$M151-$A$15,BH$13)))</f>
        <v>11</v>
      </c>
      <c r="BI151" s="171">
        <f ca="1">IF(OR($D151&lt;&gt;"Serviço",AND(AUTOEVENTO="Manual",$M151=$A$15)),0,
         IF(OFFSET(CRONOPLE!$F$15,$M151-$A$15,BI$13)=0,10^12,OFFSET(CRONOPLE!$F$15,$M151-$A$15,BI$13)))</f>
        <v>1000000000000</v>
      </c>
      <c r="BJ151" s="171">
        <f ca="1">IF(OR($D151&lt;&gt;"Serviço",AND(AUTOEVENTO="Manual",$M151=$A$15)),0,
         IF(OFFSET(CRONOPLE!$F$15,$M151-$A$15,BJ$13)=0,10^12,OFFSET(CRONOPLE!$F$15,$M151-$A$15,BJ$13)))</f>
        <v>1000000000000</v>
      </c>
      <c r="BK151" s="171">
        <f ca="1">IF(OR($D151&lt;&gt;"Serviço",AND(AUTOEVENTO="Manual",$M151=$A$15)),0,
         IF(OFFSET(CRONOPLE!$F$15,$M151-$A$15,BK$13)=0,10^12,OFFSET(CRONOPLE!$F$15,$M151-$A$15,BK$13)))</f>
        <v>1000000000000</v>
      </c>
      <c r="BL151" s="171">
        <f ca="1">IF(OR($D151&lt;&gt;"Serviço",AND(AUTOEVENTO="Manual",$M151=$A$15)),0,
         IF(OFFSET(CRONOPLE!$F$15,$M151-$A$15,BL$13)=0,10^12,OFFSET(CRONOPLE!$F$15,$M151-$A$15,BL$13)))</f>
        <v>1000000000000</v>
      </c>
      <c r="BM151" s="171">
        <f ca="1">IF(OR($D151&lt;&gt;"Serviço",AND(AUTOEVENTO="Manual",$M151=$A$15)),0,
         IF(OFFSET(CRONOPLE!$F$15,$M151-$A$15,BM$13)=0,10^12,OFFSET(CRONOPLE!$F$15,$M151-$A$15,BM$13)))</f>
        <v>1000000000000</v>
      </c>
      <c r="BN151" s="171">
        <f ca="1">IF(OR($D151&lt;&gt;"Serviço",AND(AUTOEVENTO="Manual",$M151=$A$15)),0,
         IF(OFFSET(CRONOPLE!$F$15,$M151-$A$15,BN$13)=0,10^12,OFFSET(CRONOPLE!$F$15,$M151-$A$15,BN$13)))</f>
        <v>1000000000000</v>
      </c>
      <c r="BO151" s="171">
        <f ca="1">IF(OR($D151&lt;&gt;"Serviço",AND(AUTOEVENTO="Manual",$M151=$A$15)),0,
         IF(OFFSET(CRONOPLE!$F$15,$M151-$A$15,BO$13)=0,10^12,OFFSET(CRONOPLE!$F$15,$M151-$A$15,BO$13)))</f>
        <v>1000000000000</v>
      </c>
      <c r="BP151" s="171">
        <f ca="1">IF(OR($D151&lt;&gt;"Serviço",AND(AUTOEVENTO="Manual",$M151=$A$15)),0,
         IF(OFFSET(CRONOPLE!$F$15,$M151-$A$15,BP$13)=0,10^12,OFFSET(CRONOPLE!$F$15,$M151-$A$15,BP$13)))</f>
        <v>1000000000000</v>
      </c>
      <c r="BQ151" s="171">
        <f ca="1">IF(OR($D151&lt;&gt;"Serviço",AND(AUTOEVENTO="Manual",$M151=$A$15)),0,
         IF(OFFSET(CRONOPLE!$F$15,$M151-$A$15,BQ$13)=0,10^12,OFFSET(CRONOPLE!$F$15,$M151-$A$15,BQ$13)))</f>
        <v>1000000000000</v>
      </c>
      <c r="BR151" s="171">
        <f ca="1">IF(OR($D151&lt;&gt;"Serviço",AND(AUTOEVENTO="Manual",$M151=$A$15)),0,
         IF(OFFSET(CRONOPLE!$F$15,$M151-$A$15,BR$13)=0,10^12,OFFSET(CRONOPLE!$F$15,$M151-$A$15,BR$13)))</f>
        <v>1000000000000</v>
      </c>
      <c r="BS151" s="171">
        <f ca="1">IF(OR($D151&lt;&gt;"Serviço",AND(AUTOEVENTO="Manual",$M151=$A$15)),0,
         IF(OFFSET(CRONOPLE!$F$15,$M151-$A$15,BS$13)=0,10^12,OFFSET(CRONOPLE!$F$15,$M151-$A$15,BS$13)))</f>
        <v>1000000000000</v>
      </c>
      <c r="BT151" s="171">
        <f ca="1">IF(OR($D151&lt;&gt;"Serviço",AND(AUTOEVENTO="Manual",$M151=$A$15)),0,
         IF(OFFSET(CRONOPLE!$F$15,$M151-$A$15,BT$13)=0,10^12,OFFSET(CRONOPLE!$F$15,$M151-$A$15,BT$13)))</f>
        <v>1000000000000</v>
      </c>
      <c r="BV151" s="172" cm="1">
        <f t="array" aca="1" ref="BV151" ca="1">IF(OR($D151&lt;&gt;"Serviço",AND(AUTOEVENTO="Manual",$M151=$A$15),$M151&gt;(ROW(PLE.lastrow)-ROW(PLE.firstrow))),0,
           IF(OFFSET(PLE!$G$15,$M151-$A$15,BV$13)="",10^12,OFFSET(PLE!$G$15,$M151-$A$15,BV$13)))</f>
        <v>1000000000000</v>
      </c>
      <c r="BW151" s="172" cm="1">
        <f t="array" aca="1" ref="BW151" ca="1">IF(OR($D151&lt;&gt;"Serviço",AND(AUTOEVENTO="Manual",$M151=$A$15),$M151&gt;(ROW(PLE.lastrow)-ROW(PLE.firstrow))),0,
           IF(OFFSET(PLE!$G$15,$M151-$A$15,BW$13)="",10^12,OFFSET(PLE!$G$15,$M151-$A$15,BW$13)))</f>
        <v>1000000000000</v>
      </c>
      <c r="BX151" s="172" cm="1">
        <f t="array" aca="1" ref="BX151" ca="1">IF(OR($D151&lt;&gt;"Serviço",AND(AUTOEVENTO="Manual",$M151=$A$15),$M151&gt;(ROW(PLE.lastrow)-ROW(PLE.firstrow))),0,
           IF(OFFSET(PLE!$G$15,$M151-$A$15,BX$13)="",10^12,OFFSET(PLE!$G$15,$M151-$A$15,BX$13)))</f>
        <v>1000000000000</v>
      </c>
      <c r="BY151" s="172" cm="1">
        <f t="array" aca="1" ref="BY151" ca="1">IF(OR($D151&lt;&gt;"Serviço",AND(AUTOEVENTO="Manual",$M151=$A$15),$M151&gt;(ROW(PLE.lastrow)-ROW(PLE.firstrow))),0,
           IF(OFFSET(PLE!$G$15,$M151-$A$15,BY$13)="",10^12,OFFSET(PLE!$G$15,$M151-$A$15,BY$13)))</f>
        <v>1000000000000</v>
      </c>
      <c r="BZ151" s="172" cm="1">
        <f t="array" aca="1" ref="BZ151" ca="1">IF(OR($D151&lt;&gt;"Serviço",AND(AUTOEVENTO="Manual",$M151=$A$15),$M151&gt;(ROW(PLE.lastrow)-ROW(PLE.firstrow))),0,
           IF(OFFSET(PLE!$G$15,$M151-$A$15,BZ$13)="",10^12,OFFSET(PLE!$G$15,$M151-$A$15,BZ$13)))</f>
        <v>1000000000000</v>
      </c>
      <c r="CA151" s="172" cm="1">
        <f t="array" aca="1" ref="CA151" ca="1">IF(OR($D151&lt;&gt;"Serviço",AND(AUTOEVENTO="Manual",$M151=$A$15),$M151&gt;(ROW(PLE.lastrow)-ROW(PLE.firstrow))),0,
           IF(OFFSET(PLE!$G$15,$M151-$A$15,CA$13)="",10^12,OFFSET(PLE!$G$15,$M151-$A$15,CA$13)))</f>
        <v>1000000000000</v>
      </c>
      <c r="CB151" s="172" cm="1">
        <f t="array" aca="1" ref="CB151" ca="1">IF(OR($D151&lt;&gt;"Serviço",AND(AUTOEVENTO="Manual",$M151=$A$15),$M151&gt;(ROW(PLE.lastrow)-ROW(PLE.firstrow))),0,
           IF(OFFSET(PLE!$G$15,$M151-$A$15,CB$13)="",10^12,OFFSET(PLE!$G$15,$M151-$A$15,CB$13)))</f>
        <v>1000000000000</v>
      </c>
      <c r="CC151" s="172" cm="1">
        <f t="array" aca="1" ref="CC151" ca="1">IF(OR($D151&lt;&gt;"Serviço",AND(AUTOEVENTO="Manual",$M151=$A$15),$M151&gt;(ROW(PLE.lastrow)-ROW(PLE.firstrow))),0,
           IF(OFFSET(PLE!$G$15,$M151-$A$15,CC$13)="",10^12,OFFSET(PLE!$G$15,$M151-$A$15,CC$13)))</f>
        <v>1000000000000</v>
      </c>
      <c r="CD151" s="172" cm="1">
        <f t="array" aca="1" ref="CD151" ca="1">IF(OR($D151&lt;&gt;"Serviço",AND(AUTOEVENTO="Manual",$M151=$A$15),$M151&gt;(ROW(PLE.lastrow)-ROW(PLE.firstrow))),0,
           IF(OFFSET(PLE!$G$15,$M151-$A$15,CD$13)="",10^12,OFFSET(PLE!$G$15,$M151-$A$15,CD$13)))</f>
        <v>1000000000000</v>
      </c>
      <c r="CE151" s="172" cm="1">
        <f t="array" aca="1" ref="CE151" ca="1">IF(OR($D151&lt;&gt;"Serviço",AND(AUTOEVENTO="Manual",$M151=$A$15),$M151&gt;(ROW(PLE.lastrow)-ROW(PLE.firstrow))),0,
           IF(OFFSET(PLE!$G$15,$M151-$A$15,CE$13)="",10^12,OFFSET(PLE!$G$15,$M151-$A$15,CE$13)))</f>
        <v>1000000000000</v>
      </c>
      <c r="CF151" s="172" cm="1">
        <f t="array" aca="1" ref="CF151" ca="1">IF(OR($D151&lt;&gt;"Serviço",AND(AUTOEVENTO="Manual",$M151=$A$15),$M151&gt;(ROW(PLE.lastrow)-ROW(PLE.firstrow))),0,
           IF(OFFSET(PLE!$G$15,$M151-$A$15,CF$13)="",10^12,OFFSET(PLE!$G$15,$M151-$A$15,CF$13)))</f>
        <v>1000000000000</v>
      </c>
      <c r="CG151" s="172" cm="1">
        <f t="array" aca="1" ref="CG151" ca="1">IF(OR($D151&lt;&gt;"Serviço",AND(AUTOEVENTO="Manual",$M151=$A$15),$M151&gt;(ROW(PLE.lastrow)-ROW(PLE.firstrow))),0,
           IF(OFFSET(PLE!$G$15,$M151-$A$15,CG$13)="",10^12,OFFSET(PLE!$G$15,$M151-$A$15,CG$13)))</f>
        <v>1000000000000</v>
      </c>
      <c r="CH151" s="172" cm="1">
        <f t="array" aca="1" ref="CH151" ca="1">IF(OR($D151&lt;&gt;"Serviço",AND(AUTOEVENTO="Manual",$M151=$A$15),$M151&gt;(ROW(PLE.lastrow)-ROW(PLE.firstrow))),0,
           IF(OFFSET(PLE!$G$15,$M151-$A$15,CH$13)="",10^12,OFFSET(PLE!$G$15,$M151-$A$15,CH$13)))</f>
        <v>1000000000000</v>
      </c>
      <c r="CI151" s="172" cm="1">
        <f t="array" aca="1" ref="CI151" ca="1">IF(OR($D151&lt;&gt;"Serviço",AND(AUTOEVENTO="Manual",$M151=$A$15),$M151&gt;(ROW(PLE.lastrow)-ROW(PLE.firstrow))),0,
           IF(OFFSET(PLE!$G$15,$M151-$A$15,CI$13)="",10^12,OFFSET(PLE!$G$15,$M151-$A$15,CI$13)))</f>
        <v>1000000000000</v>
      </c>
      <c r="CJ151" s="172" cm="1">
        <f t="array" aca="1" ref="CJ151" ca="1">IF(OR($D151&lt;&gt;"Serviço",AND(AUTOEVENTO="Manual",$M151=$A$15),$M151&gt;(ROW(PLE.lastrow)-ROW(PLE.firstrow))),0,
           IF(OFFSET(PLE!$G$15,$M151-$A$15,CJ$13)="",10^12,OFFSET(PLE!$G$15,$M151-$A$15,CJ$13)))</f>
        <v>1000000000000</v>
      </c>
      <c r="CK151" s="172" cm="1">
        <f t="array" aca="1" ref="CK151" ca="1">IF(OR($D151&lt;&gt;"Serviço",AND(AUTOEVENTO="Manual",$M151=$A$15),$M151&gt;(ROW(PLE.lastrow)-ROW(PLE.firstrow))),0,
           IF(OFFSET(PLE!$G$15,$M151-$A$15,CK$13)="",10^12,OFFSET(PLE!$G$15,$M151-$A$15,CK$13)))</f>
        <v>1000000000000</v>
      </c>
      <c r="CL151" s="172" cm="1">
        <f t="array" aca="1" ref="CL151" ca="1">IF(OR($D151&lt;&gt;"Serviço",AND(AUTOEVENTO="Manual",$M151=$A$15),$M151&gt;(ROW(PLE.lastrow)-ROW(PLE.firstrow))),0,
           IF(OFFSET(PLE!$G$15,$M151-$A$15,CL$13)="",10^12,OFFSET(PLE!$G$15,$M151-$A$15,CL$13)))</f>
        <v>1000000000000</v>
      </c>
      <c r="CM151" s="172" cm="1">
        <f t="array" aca="1" ref="CM151" ca="1">IF(OR($D151&lt;&gt;"Serviço",AND(AUTOEVENTO="Manual",$M151=$A$15),$M151&gt;(ROW(PLE.lastrow)-ROW(PLE.firstrow))),0,
           IF(OFFSET(PLE!$G$15,$M151-$A$15,CM$13)="",10^12,OFFSET(PLE!$G$15,$M151-$A$15,CM$13)))</f>
        <v>1000000000000</v>
      </c>
    </row>
    <row r="152" spans="1:91" s="670" customFormat="1" ht="25.5" x14ac:dyDescent="0.2">
      <c r="A152" s="668">
        <f t="shared" ca="1" si="14"/>
        <v>29</v>
      </c>
      <c r="B152" s="668" t="str">
        <f ca="1">OFFSET(ORÇAMENTO!C$15,$L152,0)</f>
        <v>S</v>
      </c>
      <c r="C152" s="668" t="str">
        <f ca="1">OFFSET(ORÇAMENTO!L$15,$L152,0)</f>
        <v>F</v>
      </c>
      <c r="D152" s="116" t="str">
        <f ca="1">OFFSET(ORÇAMENTO!N$15,$L152,0)</f>
        <v>Serviço</v>
      </c>
      <c r="E152" s="117" t="str">
        <f ca="1">OFFSET(ORÇAMENTO!O$15,$L152,0)</f>
        <v>1.19.7.</v>
      </c>
      <c r="F152" s="163" t="str">
        <f ca="1">OFFSET(ORÇAMENTO!R$15,$L152,0)</f>
        <v>PINTURA LÁTEX ACRÍLICA STANDARD, APLICAÇÃO MANUAL EM PAREDES, DUAS DEMÃOS. AF_04/2023</v>
      </c>
      <c r="G152" s="164" t="str">
        <f ca="1">IF($D152&lt;&gt;"Serviço","",OFFSET(ORÇAMENTO!S$15,$L152,0))</f>
        <v>M2</v>
      </c>
      <c r="H152" s="122" cm="1">
        <f t="array" aca="1" ref="H152" ca="1">IF($D152&lt;&gt;"Serviço",0,IF(ACOMPANHAMENTO="BM",ROUND(OFFSET(ORÇAMENTO!AJ$15,$L152,0),15-13*ORÇAMENTO!$AF$7),IF(IFERROR(CÁLCULO.FrentesPreenchidas,0)=0,0,SUM(ROUND(OFFSET($P152,0,1,1,CÁLCULO.FrentesPreenchidas),15-13*ORÇAMENTO!$AF$7)))))</f>
        <v>11</v>
      </c>
      <c r="I152" s="468" t="s">
        <v>1197</v>
      </c>
      <c r="J152" s="651" t="str" cm="1">
        <f t="array" aca="1" ref="J152" ca="1">IF(OR(B152&lt;&gt;"S",CÁLCULO.FrentesPreenchidas=0),"",IF(AND(ACOMPANHAMENTO="PLE",AUTOEVENTO="Manual",OR(H152&gt;0,ORÇAMENTO!AC152="QUANT."),OR(K152="",M152=0,N152="")),"►E",IF(AND(ACOMPANHAMENTO="PLE",ORÇAMENTO!AC152="QUANT."),"►Q",IF(AND(ACOMPANHAMENTO="PLE",H152&lt;&gt;SUMPRODUCT(($Q$1:$AI$1=1)*ROUND(Q152:AI152,15))),"►S",IF(AND(COUNTIF($P$11:$AI$11,"▼")=0,H152&gt;0,I152=""),"◄M","")))))</f>
        <v/>
      </c>
      <c r="K152" s="652" t="s">
        <v>1362</v>
      </c>
      <c r="L152" s="165">
        <f t="shared" ca="1" si="15"/>
        <v>137</v>
      </c>
      <c r="M152" s="166">
        <f ca="1">IF($D152&lt;&gt;"Serviço","",
          IF(AUTOEVENTO="manual",$A152,
                IF(ISERROR(MATCH($A152,$A$15:OFFSET($A152,-1,0),0)),MAX($M$15:OFFSET(M152,-1,0))+1,
                      INDEX($M$15:OFFSET(M152,-1,0),MATCH($A152,$A$15:OFFSET($A152,-1,0),0)))))</f>
        <v>29</v>
      </c>
      <c r="N152" s="167" t="str">
        <f ca="1">IF($D152&lt;&gt;"Serviço","",
         IF(AUTOEVENTO="Manual",
                IF($A152=0,"&lt;-- defina o número do agrupador",
                       OFFSET(EVENTOS!$D$15,$A152-$A$15,0)),
                OFFSET($F$15,$A152,0)))</f>
        <v>Pintura</v>
      </c>
      <c r="O152" s="168"/>
      <c r="Q152" s="168"/>
      <c r="R152" s="169"/>
      <c r="S152" s="169"/>
      <c r="T152" s="169"/>
      <c r="U152" s="169"/>
      <c r="V152" s="169">
        <v>11</v>
      </c>
      <c r="W152" s="169"/>
      <c r="X152" s="169"/>
      <c r="Y152" s="169"/>
      <c r="Z152" s="170"/>
      <c r="AA152" s="705"/>
      <c r="AB152" s="705"/>
      <c r="AC152" s="705"/>
      <c r="AD152" s="705"/>
      <c r="AE152" s="705"/>
      <c r="AF152" s="705"/>
      <c r="AG152" s="705"/>
      <c r="AH152" s="706"/>
      <c r="AJ152" s="453">
        <f ca="1">IF(AND($D152="Serviço",AJ$12&lt;&gt;0,$H152&gt;0,OR(AUTOEVENTO&lt;&gt;"manual",$M152&lt;&gt;$A$15)),
        IF(Import.TipoArredondamento&lt;&gt;"TransfereGOV",
              ROUND(OFFSET($P152,0,AJ$13),15-13*ORÇAMENTO!$AF$7)/$H152*OFFSET(ORÇAMENTO!$X$15,ROW(AJ152)-ROW(AJ$15),0),
              ROUND(ROUND(OFFSET($P152,0,AJ$13),15-13*ORÇAMENTO!$AF$7)*OFFSET(ORÇAMENTO!$W$15,ROW(AJ152)-ROW(AJ$15),0),15-13*ORÇAMENTO!$AF$11)),
         0)</f>
        <v>0</v>
      </c>
      <c r="AK152" s="453">
        <f ca="1">IF(AND($D152="Serviço",AK$12&lt;&gt;0,$H152&gt;0,OR(AUTOEVENTO&lt;&gt;"manual",$M152&lt;&gt;$A$15)),
        IF(Import.TipoArredondamento&lt;&gt;"TransfereGOV",
              ROUND(OFFSET($P152,0,AK$13),15-13*ORÇAMENTO!$AF$7)/$H152*OFFSET(ORÇAMENTO!$X$15,ROW(AK152)-ROW(AK$15),0),
              ROUND(ROUND(OFFSET($P152,0,AK$13),15-13*ORÇAMENTO!$AF$7)*OFFSET(ORÇAMENTO!$W$15,ROW(AK152)-ROW(AK$15),0),15-13*ORÇAMENTO!$AF$11)),
         0)</f>
        <v>0</v>
      </c>
      <c r="AL152" s="453">
        <f ca="1">IF(AND($D152="Serviço",AL$12&lt;&gt;0,$H152&gt;0,OR(AUTOEVENTO&lt;&gt;"manual",$M152&lt;&gt;$A$15)),
        IF(Import.TipoArredondamento&lt;&gt;"TransfereGOV",
              ROUND(OFFSET($P152,0,AL$13),15-13*ORÇAMENTO!$AF$7)/$H152*OFFSET(ORÇAMENTO!$X$15,ROW(AL152)-ROW(AL$15),0),
              ROUND(ROUND(OFFSET($P152,0,AL$13),15-13*ORÇAMENTO!$AF$7)*OFFSET(ORÇAMENTO!$W$15,ROW(AL152)-ROW(AL$15),0),15-13*ORÇAMENTO!$AF$11)),
         0)</f>
        <v>0</v>
      </c>
      <c r="AM152" s="453">
        <f ca="1">IF(AND($D152="Serviço",AM$12&lt;&gt;0,$H152&gt;0,OR(AUTOEVENTO&lt;&gt;"manual",$M152&lt;&gt;$A$15)),
        IF(Import.TipoArredondamento&lt;&gt;"TransfereGOV",
              ROUND(OFFSET($P152,0,AM$13),15-13*ORÇAMENTO!$AF$7)/$H152*OFFSET(ORÇAMENTO!$X$15,ROW(AM152)-ROW(AM$15),0),
              ROUND(ROUND(OFFSET($P152,0,AM$13),15-13*ORÇAMENTO!$AF$7)*OFFSET(ORÇAMENTO!$W$15,ROW(AM152)-ROW(AM$15),0),15-13*ORÇAMENTO!$AF$11)),
         0)</f>
        <v>0</v>
      </c>
      <c r="AN152" s="453">
        <f ca="1">IF(AND($D152="Serviço",AN$12&lt;&gt;0,$H152&gt;0,OR(AUTOEVENTO&lt;&gt;"manual",$M152&lt;&gt;$A$15)),
        IF(Import.TipoArredondamento&lt;&gt;"TransfereGOV",
              ROUND(OFFSET($P152,0,AN$13),15-13*ORÇAMENTO!$AF$7)/$H152*OFFSET(ORÇAMENTO!$X$15,ROW(AN152)-ROW(AN$15),0),
              ROUND(ROUND(OFFSET($P152,0,AN$13),15-13*ORÇAMENTO!$AF$7)*OFFSET(ORÇAMENTO!$W$15,ROW(AN152)-ROW(AN$15),0),15-13*ORÇAMENTO!$AF$11)),
         0)</f>
        <v>0</v>
      </c>
      <c r="AO152" s="453">
        <f ca="1">IF(AND($D152="Serviço",AO$12&lt;&gt;0,$H152&gt;0,OR(AUTOEVENTO&lt;&gt;"manual",$M152&lt;&gt;$A$15)),
        IF(Import.TipoArredondamento&lt;&gt;"TransfereGOV",
              ROUND(OFFSET($P152,0,AO$13),15-13*ORÇAMENTO!$AF$7)/$H152*OFFSET(ORÇAMENTO!$X$15,ROW(AO152)-ROW(AO$15),0),
              ROUND(ROUND(OFFSET($P152,0,AO$13),15-13*ORÇAMENTO!$AF$7)*OFFSET(ORÇAMENTO!$W$15,ROW(AO152)-ROW(AO$15),0),15-13*ORÇAMENTO!$AF$11)),
         0)</f>
        <v>169.73</v>
      </c>
      <c r="AP152" s="453">
        <f ca="1">IF(AND($D152="Serviço",AP$12&lt;&gt;0,$H152&gt;0,OR(AUTOEVENTO&lt;&gt;"manual",$M152&lt;&gt;$A$15)),
        IF(Import.TipoArredondamento&lt;&gt;"TransfereGOV",
              ROUND(OFFSET($P152,0,AP$13),15-13*ORÇAMENTO!$AF$7)/$H152*OFFSET(ORÇAMENTO!$X$15,ROW(AP152)-ROW(AP$15),0),
              ROUND(ROUND(OFFSET($P152,0,AP$13),15-13*ORÇAMENTO!$AF$7)*OFFSET(ORÇAMENTO!$W$15,ROW(AP152)-ROW(AP$15),0),15-13*ORÇAMENTO!$AF$11)),
         0)</f>
        <v>0</v>
      </c>
      <c r="AQ152" s="453">
        <f ca="1">IF(AND($D152="Serviço",AQ$12&lt;&gt;0,$H152&gt;0,OR(AUTOEVENTO&lt;&gt;"manual",$M152&lt;&gt;$A$15)),
        IF(Import.TipoArredondamento&lt;&gt;"TransfereGOV",
              ROUND(OFFSET($P152,0,AQ$13),15-13*ORÇAMENTO!$AF$7)/$H152*OFFSET(ORÇAMENTO!$X$15,ROW(AQ152)-ROW(AQ$15),0),
              ROUND(ROUND(OFFSET($P152,0,AQ$13),15-13*ORÇAMENTO!$AF$7)*OFFSET(ORÇAMENTO!$W$15,ROW(AQ152)-ROW(AQ$15),0),15-13*ORÇAMENTO!$AF$11)),
         0)</f>
        <v>0</v>
      </c>
      <c r="AR152" s="453">
        <f ca="1">IF(AND($D152="Serviço",AR$12&lt;&gt;0,$H152&gt;0,OR(AUTOEVENTO&lt;&gt;"manual",$M152&lt;&gt;$A$15)),
        IF(Import.TipoArredondamento&lt;&gt;"TransfereGOV",
              ROUND(OFFSET($P152,0,AR$13),15-13*ORÇAMENTO!$AF$7)/$H152*OFFSET(ORÇAMENTO!$X$15,ROW(AR152)-ROW(AR$15),0),
              ROUND(ROUND(OFFSET($P152,0,AR$13),15-13*ORÇAMENTO!$AF$7)*OFFSET(ORÇAMENTO!$W$15,ROW(AR152)-ROW(AR$15),0),15-13*ORÇAMENTO!$AF$11)),
         0)</f>
        <v>0</v>
      </c>
      <c r="AS152" s="453">
        <f ca="1">IF(AND($D152="Serviço",AS$12&lt;&gt;0,$H152&gt;0,OR(AUTOEVENTO&lt;&gt;"manual",$M152&lt;&gt;$A$15)),
        IF(Import.TipoArredondamento&lt;&gt;"TransfereGOV",
              ROUND(OFFSET($P152,0,AS$13),15-13*ORÇAMENTO!$AF$7)/$H152*OFFSET(ORÇAMENTO!$X$15,ROW(AS152)-ROW(AS$15),0),
              ROUND(ROUND(OFFSET($P152,0,AS$13),15-13*ORÇAMENTO!$AF$7)*OFFSET(ORÇAMENTO!$W$15,ROW(AS152)-ROW(AS$15),0),15-13*ORÇAMENTO!$AF$11)),
         0)</f>
        <v>0</v>
      </c>
      <c r="AT152" s="453">
        <f ca="1">IF(AND($D152="Serviço",AT$12&lt;&gt;0,$H152&gt;0,OR(AUTOEVENTO&lt;&gt;"manual",$M152&lt;&gt;$A$15)),
        IF(Import.TipoArredondamento&lt;&gt;"TransfereGOV",
              ROUND(OFFSET($P152,0,AT$13),15-13*ORÇAMENTO!$AF$7)/$H152*OFFSET(ORÇAMENTO!$X$15,ROW(AT152)-ROW(AT$15),0),
              ROUND(ROUND(OFFSET($P152,0,AT$13),15-13*ORÇAMENTO!$AF$7)*OFFSET(ORÇAMENTO!$W$15,ROW(AT152)-ROW(AT$15),0),15-13*ORÇAMENTO!$AF$11)),
         0)</f>
        <v>0</v>
      </c>
      <c r="AU152" s="453">
        <f ca="1">IF(AND($D152="Serviço",AU$12&lt;&gt;0,$H152&gt;0,OR(AUTOEVENTO&lt;&gt;"manual",$M152&lt;&gt;$A$15)),
        IF(Import.TipoArredondamento&lt;&gt;"TransfereGOV",
              ROUND(OFFSET($P152,0,AU$13),15-13*ORÇAMENTO!$AF$7)/$H152*OFFSET(ORÇAMENTO!$X$15,ROW(AU152)-ROW(AU$15),0),
              ROUND(ROUND(OFFSET($P152,0,AU$13),15-13*ORÇAMENTO!$AF$7)*OFFSET(ORÇAMENTO!$W$15,ROW(AU152)-ROW(AU$15),0),15-13*ORÇAMENTO!$AF$11)),
         0)</f>
        <v>0</v>
      </c>
      <c r="AV152" s="453">
        <f ca="1">IF(AND($D152="Serviço",AV$12&lt;&gt;0,$H152&gt;0,OR(AUTOEVENTO&lt;&gt;"manual",$M152&lt;&gt;$A$15)),
        IF(Import.TipoArredondamento&lt;&gt;"TransfereGOV",
              ROUND(OFFSET($P152,0,AV$13),15-13*ORÇAMENTO!$AF$7)/$H152*OFFSET(ORÇAMENTO!$X$15,ROW(AV152)-ROW(AV$15),0),
              ROUND(ROUND(OFFSET($P152,0,AV$13),15-13*ORÇAMENTO!$AF$7)*OFFSET(ORÇAMENTO!$W$15,ROW(AV152)-ROW(AV$15),0),15-13*ORÇAMENTO!$AF$11)),
         0)</f>
        <v>0</v>
      </c>
      <c r="AW152" s="453">
        <f ca="1">IF(AND($D152="Serviço",AW$12&lt;&gt;0,$H152&gt;0,OR(AUTOEVENTO&lt;&gt;"manual",$M152&lt;&gt;$A$15)),
        IF(Import.TipoArredondamento&lt;&gt;"TransfereGOV",
              ROUND(OFFSET($P152,0,AW$13),15-13*ORÇAMENTO!$AF$7)/$H152*OFFSET(ORÇAMENTO!$X$15,ROW(AW152)-ROW(AW$15),0),
              ROUND(ROUND(OFFSET($P152,0,AW$13),15-13*ORÇAMENTO!$AF$7)*OFFSET(ORÇAMENTO!$W$15,ROW(AW152)-ROW(AW$15),0),15-13*ORÇAMENTO!$AF$11)),
         0)</f>
        <v>0</v>
      </c>
      <c r="AX152" s="453">
        <f ca="1">IF(AND($D152="Serviço",AX$12&lt;&gt;0,$H152&gt;0,OR(AUTOEVENTO&lt;&gt;"manual",$M152&lt;&gt;$A$15)),
        IF(Import.TipoArredondamento&lt;&gt;"TransfereGOV",
              ROUND(OFFSET($P152,0,AX$13),15-13*ORÇAMENTO!$AF$7)/$H152*OFFSET(ORÇAMENTO!$X$15,ROW(AX152)-ROW(AX$15),0),
              ROUND(ROUND(OFFSET($P152,0,AX$13),15-13*ORÇAMENTO!$AF$7)*OFFSET(ORÇAMENTO!$W$15,ROW(AX152)-ROW(AX$15),0),15-13*ORÇAMENTO!$AF$11)),
         0)</f>
        <v>0</v>
      </c>
      <c r="AY152" s="453">
        <f ca="1">IF(AND($D152="Serviço",AY$12&lt;&gt;0,$H152&gt;0,OR(AUTOEVENTO&lt;&gt;"manual",$M152&lt;&gt;$A$15)),
        IF(Import.TipoArredondamento&lt;&gt;"TransfereGOV",
              ROUND(OFFSET($P152,0,AY$13),15-13*ORÇAMENTO!$AF$7)/$H152*OFFSET(ORÇAMENTO!$X$15,ROW(AY152)-ROW(AY$15),0),
              ROUND(ROUND(OFFSET($P152,0,AY$13),15-13*ORÇAMENTO!$AF$7)*OFFSET(ORÇAMENTO!$W$15,ROW(AY152)-ROW(AY$15),0),15-13*ORÇAMENTO!$AF$11)),
         0)</f>
        <v>0</v>
      </c>
      <c r="AZ152" s="453">
        <f ca="1">IF(AND($D152="Serviço",AZ$12&lt;&gt;0,$H152&gt;0,OR(AUTOEVENTO&lt;&gt;"manual",$M152&lt;&gt;$A$15)),
        IF(Import.TipoArredondamento&lt;&gt;"TransfereGOV",
              ROUND(OFFSET($P152,0,AZ$13),15-13*ORÇAMENTO!$AF$7)/$H152*OFFSET(ORÇAMENTO!$X$15,ROW(AZ152)-ROW(AZ$15),0),
              ROUND(ROUND(OFFSET($P152,0,AZ$13),15-13*ORÇAMENTO!$AF$7)*OFFSET(ORÇAMENTO!$W$15,ROW(AZ152)-ROW(AZ$15),0),15-13*ORÇAMENTO!$AF$11)),
         0)</f>
        <v>0</v>
      </c>
      <c r="BA152" s="453">
        <f ca="1">IF(AND($D152="Serviço",BA$12&lt;&gt;0,$H152&gt;0,OR(AUTOEVENTO&lt;&gt;"manual",$M152&lt;&gt;$A$15)),
        IF(Import.TipoArredondamento&lt;&gt;"TransfereGOV",
              ROUND(OFFSET($P152,0,BA$13),15-13*ORÇAMENTO!$AF$7)/$H152*OFFSET(ORÇAMENTO!$X$15,ROW(BA152)-ROW(BA$15),0),
              ROUND(ROUND(OFFSET($P152,0,BA$13),15-13*ORÇAMENTO!$AF$7)*OFFSET(ORÇAMENTO!$W$15,ROW(BA152)-ROW(BA$15),0),15-13*ORÇAMENTO!$AF$11)),
         0)</f>
        <v>0</v>
      </c>
      <c r="BC152" s="171">
        <f ca="1">IF(OR($D152&lt;&gt;"Serviço",AND(AUTOEVENTO="Manual",$M152=$A$15)),0,
         IF(OFFSET(CRONOPLE!$F$15,$M152-$A$15,BC$13)=0,10^12,OFFSET(CRONOPLE!$F$15,$M152-$A$15,BC$13)))</f>
        <v>1000000000000</v>
      </c>
      <c r="BD152" s="171">
        <f ca="1">IF(OR($D152&lt;&gt;"Serviço",AND(AUTOEVENTO="Manual",$M152=$A$15)),0,
         IF(OFFSET(CRONOPLE!$F$15,$M152-$A$15,BD$13)=0,10^12,OFFSET(CRONOPLE!$F$15,$M152-$A$15,BD$13)))</f>
        <v>1000000000000</v>
      </c>
      <c r="BE152" s="171">
        <f ca="1">IF(OR($D152&lt;&gt;"Serviço",AND(AUTOEVENTO="Manual",$M152=$A$15)),0,
         IF(OFFSET(CRONOPLE!$F$15,$M152-$A$15,BE$13)=0,10^12,OFFSET(CRONOPLE!$F$15,$M152-$A$15,BE$13)))</f>
        <v>1000000000000</v>
      </c>
      <c r="BF152" s="171">
        <f ca="1">IF(OR($D152&lt;&gt;"Serviço",AND(AUTOEVENTO="Manual",$M152=$A$15)),0,
         IF(OFFSET(CRONOPLE!$F$15,$M152-$A$15,BF$13)=0,10^12,OFFSET(CRONOPLE!$F$15,$M152-$A$15,BF$13)))</f>
        <v>1000000000000</v>
      </c>
      <c r="BG152" s="171">
        <f ca="1">IF(OR($D152&lt;&gt;"Serviço",AND(AUTOEVENTO="Manual",$M152=$A$15)),0,
         IF(OFFSET(CRONOPLE!$F$15,$M152-$A$15,BG$13)=0,10^12,OFFSET(CRONOPLE!$F$15,$M152-$A$15,BG$13)))</f>
        <v>1000000000000</v>
      </c>
      <c r="BH152" s="171">
        <f ca="1">IF(OR($D152&lt;&gt;"Serviço",AND(AUTOEVENTO="Manual",$M152=$A$15)),0,
         IF(OFFSET(CRONOPLE!$F$15,$M152-$A$15,BH$13)=0,10^12,OFFSET(CRONOPLE!$F$15,$M152-$A$15,BH$13)))</f>
        <v>11</v>
      </c>
      <c r="BI152" s="171">
        <f ca="1">IF(OR($D152&lt;&gt;"Serviço",AND(AUTOEVENTO="Manual",$M152=$A$15)),0,
         IF(OFFSET(CRONOPLE!$F$15,$M152-$A$15,BI$13)=0,10^12,OFFSET(CRONOPLE!$F$15,$M152-$A$15,BI$13)))</f>
        <v>1000000000000</v>
      </c>
      <c r="BJ152" s="171">
        <f ca="1">IF(OR($D152&lt;&gt;"Serviço",AND(AUTOEVENTO="Manual",$M152=$A$15)),0,
         IF(OFFSET(CRONOPLE!$F$15,$M152-$A$15,BJ$13)=0,10^12,OFFSET(CRONOPLE!$F$15,$M152-$A$15,BJ$13)))</f>
        <v>1000000000000</v>
      </c>
      <c r="BK152" s="171">
        <f ca="1">IF(OR($D152&lt;&gt;"Serviço",AND(AUTOEVENTO="Manual",$M152=$A$15)),0,
         IF(OFFSET(CRONOPLE!$F$15,$M152-$A$15,BK$13)=0,10^12,OFFSET(CRONOPLE!$F$15,$M152-$A$15,BK$13)))</f>
        <v>1000000000000</v>
      </c>
      <c r="BL152" s="171">
        <f ca="1">IF(OR($D152&lt;&gt;"Serviço",AND(AUTOEVENTO="Manual",$M152=$A$15)),0,
         IF(OFFSET(CRONOPLE!$F$15,$M152-$A$15,BL$13)=0,10^12,OFFSET(CRONOPLE!$F$15,$M152-$A$15,BL$13)))</f>
        <v>1000000000000</v>
      </c>
      <c r="BM152" s="171">
        <f ca="1">IF(OR($D152&lt;&gt;"Serviço",AND(AUTOEVENTO="Manual",$M152=$A$15)),0,
         IF(OFFSET(CRONOPLE!$F$15,$M152-$A$15,BM$13)=0,10^12,OFFSET(CRONOPLE!$F$15,$M152-$A$15,BM$13)))</f>
        <v>1000000000000</v>
      </c>
      <c r="BN152" s="171">
        <f ca="1">IF(OR($D152&lt;&gt;"Serviço",AND(AUTOEVENTO="Manual",$M152=$A$15)),0,
         IF(OFFSET(CRONOPLE!$F$15,$M152-$A$15,BN$13)=0,10^12,OFFSET(CRONOPLE!$F$15,$M152-$A$15,BN$13)))</f>
        <v>1000000000000</v>
      </c>
      <c r="BO152" s="171">
        <f ca="1">IF(OR($D152&lt;&gt;"Serviço",AND(AUTOEVENTO="Manual",$M152=$A$15)),0,
         IF(OFFSET(CRONOPLE!$F$15,$M152-$A$15,BO$13)=0,10^12,OFFSET(CRONOPLE!$F$15,$M152-$A$15,BO$13)))</f>
        <v>1000000000000</v>
      </c>
      <c r="BP152" s="171">
        <f ca="1">IF(OR($D152&lt;&gt;"Serviço",AND(AUTOEVENTO="Manual",$M152=$A$15)),0,
         IF(OFFSET(CRONOPLE!$F$15,$M152-$A$15,BP$13)=0,10^12,OFFSET(CRONOPLE!$F$15,$M152-$A$15,BP$13)))</f>
        <v>1000000000000</v>
      </c>
      <c r="BQ152" s="171">
        <f ca="1">IF(OR($D152&lt;&gt;"Serviço",AND(AUTOEVENTO="Manual",$M152=$A$15)),0,
         IF(OFFSET(CRONOPLE!$F$15,$M152-$A$15,BQ$13)=0,10^12,OFFSET(CRONOPLE!$F$15,$M152-$A$15,BQ$13)))</f>
        <v>1000000000000</v>
      </c>
      <c r="BR152" s="171">
        <f ca="1">IF(OR($D152&lt;&gt;"Serviço",AND(AUTOEVENTO="Manual",$M152=$A$15)),0,
         IF(OFFSET(CRONOPLE!$F$15,$M152-$A$15,BR$13)=0,10^12,OFFSET(CRONOPLE!$F$15,$M152-$A$15,BR$13)))</f>
        <v>1000000000000</v>
      </c>
      <c r="BS152" s="171">
        <f ca="1">IF(OR($D152&lt;&gt;"Serviço",AND(AUTOEVENTO="Manual",$M152=$A$15)),0,
         IF(OFFSET(CRONOPLE!$F$15,$M152-$A$15,BS$13)=0,10^12,OFFSET(CRONOPLE!$F$15,$M152-$A$15,BS$13)))</f>
        <v>1000000000000</v>
      </c>
      <c r="BT152" s="171">
        <f ca="1">IF(OR($D152&lt;&gt;"Serviço",AND(AUTOEVENTO="Manual",$M152=$A$15)),0,
         IF(OFFSET(CRONOPLE!$F$15,$M152-$A$15,BT$13)=0,10^12,OFFSET(CRONOPLE!$F$15,$M152-$A$15,BT$13)))</f>
        <v>1000000000000</v>
      </c>
      <c r="BV152" s="172" cm="1">
        <f t="array" aca="1" ref="BV152" ca="1">IF(OR($D152&lt;&gt;"Serviço",AND(AUTOEVENTO="Manual",$M152=$A$15),$M152&gt;(ROW(PLE.lastrow)-ROW(PLE.firstrow))),0,
           IF(OFFSET(PLE!$G$15,$M152-$A$15,BV$13)="",10^12,OFFSET(PLE!$G$15,$M152-$A$15,BV$13)))</f>
        <v>1000000000000</v>
      </c>
      <c r="BW152" s="172" cm="1">
        <f t="array" aca="1" ref="BW152" ca="1">IF(OR($D152&lt;&gt;"Serviço",AND(AUTOEVENTO="Manual",$M152=$A$15),$M152&gt;(ROW(PLE.lastrow)-ROW(PLE.firstrow))),0,
           IF(OFFSET(PLE!$G$15,$M152-$A$15,BW$13)="",10^12,OFFSET(PLE!$G$15,$M152-$A$15,BW$13)))</f>
        <v>1000000000000</v>
      </c>
      <c r="BX152" s="172" cm="1">
        <f t="array" aca="1" ref="BX152" ca="1">IF(OR($D152&lt;&gt;"Serviço",AND(AUTOEVENTO="Manual",$M152=$A$15),$M152&gt;(ROW(PLE.lastrow)-ROW(PLE.firstrow))),0,
           IF(OFFSET(PLE!$G$15,$M152-$A$15,BX$13)="",10^12,OFFSET(PLE!$G$15,$M152-$A$15,BX$13)))</f>
        <v>1000000000000</v>
      </c>
      <c r="BY152" s="172" cm="1">
        <f t="array" aca="1" ref="BY152" ca="1">IF(OR($D152&lt;&gt;"Serviço",AND(AUTOEVENTO="Manual",$M152=$A$15),$M152&gt;(ROW(PLE.lastrow)-ROW(PLE.firstrow))),0,
           IF(OFFSET(PLE!$G$15,$M152-$A$15,BY$13)="",10^12,OFFSET(PLE!$G$15,$M152-$A$15,BY$13)))</f>
        <v>1000000000000</v>
      </c>
      <c r="BZ152" s="172" cm="1">
        <f t="array" aca="1" ref="BZ152" ca="1">IF(OR($D152&lt;&gt;"Serviço",AND(AUTOEVENTO="Manual",$M152=$A$15),$M152&gt;(ROW(PLE.lastrow)-ROW(PLE.firstrow))),0,
           IF(OFFSET(PLE!$G$15,$M152-$A$15,BZ$13)="",10^12,OFFSET(PLE!$G$15,$M152-$A$15,BZ$13)))</f>
        <v>1000000000000</v>
      </c>
      <c r="CA152" s="172" cm="1">
        <f t="array" aca="1" ref="CA152" ca="1">IF(OR($D152&lt;&gt;"Serviço",AND(AUTOEVENTO="Manual",$M152=$A$15),$M152&gt;(ROW(PLE.lastrow)-ROW(PLE.firstrow))),0,
           IF(OFFSET(PLE!$G$15,$M152-$A$15,CA$13)="",10^12,OFFSET(PLE!$G$15,$M152-$A$15,CA$13)))</f>
        <v>1000000000000</v>
      </c>
      <c r="CB152" s="172" cm="1">
        <f t="array" aca="1" ref="CB152" ca="1">IF(OR($D152&lt;&gt;"Serviço",AND(AUTOEVENTO="Manual",$M152=$A$15),$M152&gt;(ROW(PLE.lastrow)-ROW(PLE.firstrow))),0,
           IF(OFFSET(PLE!$G$15,$M152-$A$15,CB$13)="",10^12,OFFSET(PLE!$G$15,$M152-$A$15,CB$13)))</f>
        <v>1000000000000</v>
      </c>
      <c r="CC152" s="172" cm="1">
        <f t="array" aca="1" ref="CC152" ca="1">IF(OR($D152&lt;&gt;"Serviço",AND(AUTOEVENTO="Manual",$M152=$A$15),$M152&gt;(ROW(PLE.lastrow)-ROW(PLE.firstrow))),0,
           IF(OFFSET(PLE!$G$15,$M152-$A$15,CC$13)="",10^12,OFFSET(PLE!$G$15,$M152-$A$15,CC$13)))</f>
        <v>1000000000000</v>
      </c>
      <c r="CD152" s="172" cm="1">
        <f t="array" aca="1" ref="CD152" ca="1">IF(OR($D152&lt;&gt;"Serviço",AND(AUTOEVENTO="Manual",$M152=$A$15),$M152&gt;(ROW(PLE.lastrow)-ROW(PLE.firstrow))),0,
           IF(OFFSET(PLE!$G$15,$M152-$A$15,CD$13)="",10^12,OFFSET(PLE!$G$15,$M152-$A$15,CD$13)))</f>
        <v>1000000000000</v>
      </c>
      <c r="CE152" s="172" cm="1">
        <f t="array" aca="1" ref="CE152" ca="1">IF(OR($D152&lt;&gt;"Serviço",AND(AUTOEVENTO="Manual",$M152=$A$15),$M152&gt;(ROW(PLE.lastrow)-ROW(PLE.firstrow))),0,
           IF(OFFSET(PLE!$G$15,$M152-$A$15,CE$13)="",10^12,OFFSET(PLE!$G$15,$M152-$A$15,CE$13)))</f>
        <v>1000000000000</v>
      </c>
      <c r="CF152" s="172" cm="1">
        <f t="array" aca="1" ref="CF152" ca="1">IF(OR($D152&lt;&gt;"Serviço",AND(AUTOEVENTO="Manual",$M152=$A$15),$M152&gt;(ROW(PLE.lastrow)-ROW(PLE.firstrow))),0,
           IF(OFFSET(PLE!$G$15,$M152-$A$15,CF$13)="",10^12,OFFSET(PLE!$G$15,$M152-$A$15,CF$13)))</f>
        <v>1000000000000</v>
      </c>
      <c r="CG152" s="172" cm="1">
        <f t="array" aca="1" ref="CG152" ca="1">IF(OR($D152&lt;&gt;"Serviço",AND(AUTOEVENTO="Manual",$M152=$A$15),$M152&gt;(ROW(PLE.lastrow)-ROW(PLE.firstrow))),0,
           IF(OFFSET(PLE!$G$15,$M152-$A$15,CG$13)="",10^12,OFFSET(PLE!$G$15,$M152-$A$15,CG$13)))</f>
        <v>1000000000000</v>
      </c>
      <c r="CH152" s="172" cm="1">
        <f t="array" aca="1" ref="CH152" ca="1">IF(OR($D152&lt;&gt;"Serviço",AND(AUTOEVENTO="Manual",$M152=$A$15),$M152&gt;(ROW(PLE.lastrow)-ROW(PLE.firstrow))),0,
           IF(OFFSET(PLE!$G$15,$M152-$A$15,CH$13)="",10^12,OFFSET(PLE!$G$15,$M152-$A$15,CH$13)))</f>
        <v>1000000000000</v>
      </c>
      <c r="CI152" s="172" cm="1">
        <f t="array" aca="1" ref="CI152" ca="1">IF(OR($D152&lt;&gt;"Serviço",AND(AUTOEVENTO="Manual",$M152=$A$15),$M152&gt;(ROW(PLE.lastrow)-ROW(PLE.firstrow))),0,
           IF(OFFSET(PLE!$G$15,$M152-$A$15,CI$13)="",10^12,OFFSET(PLE!$G$15,$M152-$A$15,CI$13)))</f>
        <v>1000000000000</v>
      </c>
      <c r="CJ152" s="172" cm="1">
        <f t="array" aca="1" ref="CJ152" ca="1">IF(OR($D152&lt;&gt;"Serviço",AND(AUTOEVENTO="Manual",$M152=$A$15),$M152&gt;(ROW(PLE.lastrow)-ROW(PLE.firstrow))),0,
           IF(OFFSET(PLE!$G$15,$M152-$A$15,CJ$13)="",10^12,OFFSET(PLE!$G$15,$M152-$A$15,CJ$13)))</f>
        <v>1000000000000</v>
      </c>
      <c r="CK152" s="172" cm="1">
        <f t="array" aca="1" ref="CK152" ca="1">IF(OR($D152&lt;&gt;"Serviço",AND(AUTOEVENTO="Manual",$M152=$A$15),$M152&gt;(ROW(PLE.lastrow)-ROW(PLE.firstrow))),0,
           IF(OFFSET(PLE!$G$15,$M152-$A$15,CK$13)="",10^12,OFFSET(PLE!$G$15,$M152-$A$15,CK$13)))</f>
        <v>1000000000000</v>
      </c>
      <c r="CL152" s="172" cm="1">
        <f t="array" aca="1" ref="CL152" ca="1">IF(OR($D152&lt;&gt;"Serviço",AND(AUTOEVENTO="Manual",$M152=$A$15),$M152&gt;(ROW(PLE.lastrow)-ROW(PLE.firstrow))),0,
           IF(OFFSET(PLE!$G$15,$M152-$A$15,CL$13)="",10^12,OFFSET(PLE!$G$15,$M152-$A$15,CL$13)))</f>
        <v>1000000000000</v>
      </c>
      <c r="CM152" s="172" cm="1">
        <f t="array" aca="1" ref="CM152" ca="1">IF(OR($D152&lt;&gt;"Serviço",AND(AUTOEVENTO="Manual",$M152=$A$15),$M152&gt;(ROW(PLE.lastrow)-ROW(PLE.firstrow))),0,
           IF(OFFSET(PLE!$G$15,$M152-$A$15,CM$13)="",10^12,OFFSET(PLE!$G$15,$M152-$A$15,CM$13)))</f>
        <v>1000000000000</v>
      </c>
    </row>
    <row r="153" spans="1:91" s="670" customFormat="1" ht="25.5" x14ac:dyDescent="0.2">
      <c r="A153" s="668">
        <f t="shared" ca="1" si="14"/>
        <v>29</v>
      </c>
      <c r="B153" s="668" t="str">
        <f ca="1">OFFSET(ORÇAMENTO!C$15,$L153,0)</f>
        <v>S</v>
      </c>
      <c r="C153" s="668" t="str">
        <f ca="1">OFFSET(ORÇAMENTO!L$15,$L153,0)</f>
        <v>F</v>
      </c>
      <c r="D153" s="116" t="str">
        <f ca="1">OFFSET(ORÇAMENTO!N$15,$L153,0)</f>
        <v>Serviço</v>
      </c>
      <c r="E153" s="117" t="str">
        <f ca="1">OFFSET(ORÇAMENTO!O$15,$L153,0)</f>
        <v>1.19.8.</v>
      </c>
      <c r="F153" s="163" t="str">
        <f ca="1">OFFSET(ORÇAMENTO!R$15,$L153,0)</f>
        <v>PINTURA LÁTEX ACRÍLICA PREMIUM, APLICAÇÃO MANUAL EM PAREDES, DUAS DEMÃOS. AF_04/2023</v>
      </c>
      <c r="G153" s="164" t="str">
        <f ca="1">IF($D153&lt;&gt;"Serviço","",OFFSET(ORÇAMENTO!S$15,$L153,0))</f>
        <v>M2</v>
      </c>
      <c r="H153" s="122" cm="1">
        <f t="array" aca="1" ref="H153" ca="1">IF($D153&lt;&gt;"Serviço",0,IF(ACOMPANHAMENTO="BM",ROUND(OFFSET(ORÇAMENTO!AJ$15,$L153,0),15-13*ORÇAMENTO!$AF$7),IF(IFERROR(CÁLCULO.FrentesPreenchidas,0)=0,0,SUM(ROUND(OFFSET($P153,0,1,1,CÁLCULO.FrentesPreenchidas),15-13*ORÇAMENTO!$AF$7)))))</f>
        <v>1</v>
      </c>
      <c r="I153" s="468" t="s">
        <v>1198</v>
      </c>
      <c r="J153" s="651" t="str" cm="1">
        <f t="array" aca="1" ref="J153" ca="1">IF(OR(B153&lt;&gt;"S",CÁLCULO.FrentesPreenchidas=0),"",IF(AND(ACOMPANHAMENTO="PLE",AUTOEVENTO="Manual",OR(H153&gt;0,ORÇAMENTO!AC153="QUANT."),OR(K153="",M153=0,N153="")),"►E",IF(AND(ACOMPANHAMENTO="PLE",ORÇAMENTO!AC153="QUANT."),"►Q",IF(AND(ACOMPANHAMENTO="PLE",H153&lt;&gt;SUMPRODUCT(($Q$1:$AI$1=1)*ROUND(Q153:AI153,15))),"►S",IF(AND(COUNTIF($P$11:$AI$11,"▼")=0,H153&gt;0,I153=""),"◄M","")))))</f>
        <v/>
      </c>
      <c r="K153" s="652" t="s">
        <v>1362</v>
      </c>
      <c r="L153" s="165">
        <f t="shared" ca="1" si="15"/>
        <v>138</v>
      </c>
      <c r="M153" s="166">
        <f ca="1">IF($D153&lt;&gt;"Serviço","",
          IF(AUTOEVENTO="manual",$A153,
                IF(ISERROR(MATCH($A153,$A$15:OFFSET($A153,-1,0),0)),MAX($M$15:OFFSET(M153,-1,0))+1,
                      INDEX($M$15:OFFSET(M153,-1,0),MATCH($A153,$A$15:OFFSET($A153,-1,0),0)))))</f>
        <v>29</v>
      </c>
      <c r="N153" s="167" t="str">
        <f ca="1">IF($D153&lt;&gt;"Serviço","",
         IF(AUTOEVENTO="Manual",
                IF($A153=0,"&lt;-- defina o número do agrupador",
                       OFFSET(EVENTOS!$D$15,$A153-$A$15,0)),
                OFFSET($F$15,$A153,0)))</f>
        <v>Pintura</v>
      </c>
      <c r="O153" s="168"/>
      <c r="Q153" s="168"/>
      <c r="R153" s="169"/>
      <c r="S153" s="169"/>
      <c r="T153" s="169"/>
      <c r="U153" s="169"/>
      <c r="V153" s="169">
        <v>1</v>
      </c>
      <c r="W153" s="169"/>
      <c r="X153" s="169"/>
      <c r="Y153" s="169"/>
      <c r="Z153" s="170"/>
      <c r="AA153" s="705"/>
      <c r="AB153" s="705"/>
      <c r="AC153" s="705"/>
      <c r="AD153" s="705"/>
      <c r="AE153" s="705"/>
      <c r="AF153" s="705"/>
      <c r="AG153" s="705"/>
      <c r="AH153" s="706"/>
      <c r="AJ153" s="453">
        <f ca="1">IF(AND($D153="Serviço",AJ$12&lt;&gt;0,$H153&gt;0,OR(AUTOEVENTO&lt;&gt;"manual",$M153&lt;&gt;$A$15)),
        IF(Import.TipoArredondamento&lt;&gt;"TransfereGOV",
              ROUND(OFFSET($P153,0,AJ$13),15-13*ORÇAMENTO!$AF$7)/$H153*OFFSET(ORÇAMENTO!$X$15,ROW(AJ153)-ROW(AJ$15),0),
              ROUND(ROUND(OFFSET($P153,0,AJ$13),15-13*ORÇAMENTO!$AF$7)*OFFSET(ORÇAMENTO!$W$15,ROW(AJ153)-ROW(AJ$15),0),15-13*ORÇAMENTO!$AF$11)),
         0)</f>
        <v>0</v>
      </c>
      <c r="AK153" s="453">
        <f ca="1">IF(AND($D153="Serviço",AK$12&lt;&gt;0,$H153&gt;0,OR(AUTOEVENTO&lt;&gt;"manual",$M153&lt;&gt;$A$15)),
        IF(Import.TipoArredondamento&lt;&gt;"TransfereGOV",
              ROUND(OFFSET($P153,0,AK$13),15-13*ORÇAMENTO!$AF$7)/$H153*OFFSET(ORÇAMENTO!$X$15,ROW(AK153)-ROW(AK$15),0),
              ROUND(ROUND(OFFSET($P153,0,AK$13),15-13*ORÇAMENTO!$AF$7)*OFFSET(ORÇAMENTO!$W$15,ROW(AK153)-ROW(AK$15),0),15-13*ORÇAMENTO!$AF$11)),
         0)</f>
        <v>0</v>
      </c>
      <c r="AL153" s="453">
        <f ca="1">IF(AND($D153="Serviço",AL$12&lt;&gt;0,$H153&gt;0,OR(AUTOEVENTO&lt;&gt;"manual",$M153&lt;&gt;$A$15)),
        IF(Import.TipoArredondamento&lt;&gt;"TransfereGOV",
              ROUND(OFFSET($P153,0,AL$13),15-13*ORÇAMENTO!$AF$7)/$H153*OFFSET(ORÇAMENTO!$X$15,ROW(AL153)-ROW(AL$15),0),
              ROUND(ROUND(OFFSET($P153,0,AL$13),15-13*ORÇAMENTO!$AF$7)*OFFSET(ORÇAMENTO!$W$15,ROW(AL153)-ROW(AL$15),0),15-13*ORÇAMENTO!$AF$11)),
         0)</f>
        <v>0</v>
      </c>
      <c r="AM153" s="453">
        <f ca="1">IF(AND($D153="Serviço",AM$12&lt;&gt;0,$H153&gt;0,OR(AUTOEVENTO&lt;&gt;"manual",$M153&lt;&gt;$A$15)),
        IF(Import.TipoArredondamento&lt;&gt;"TransfereGOV",
              ROUND(OFFSET($P153,0,AM$13),15-13*ORÇAMENTO!$AF$7)/$H153*OFFSET(ORÇAMENTO!$X$15,ROW(AM153)-ROW(AM$15),0),
              ROUND(ROUND(OFFSET($P153,0,AM$13),15-13*ORÇAMENTO!$AF$7)*OFFSET(ORÇAMENTO!$W$15,ROW(AM153)-ROW(AM$15),0),15-13*ORÇAMENTO!$AF$11)),
         0)</f>
        <v>0</v>
      </c>
      <c r="AN153" s="453">
        <f ca="1">IF(AND($D153="Serviço",AN$12&lt;&gt;0,$H153&gt;0,OR(AUTOEVENTO&lt;&gt;"manual",$M153&lt;&gt;$A$15)),
        IF(Import.TipoArredondamento&lt;&gt;"TransfereGOV",
              ROUND(OFFSET($P153,0,AN$13),15-13*ORÇAMENTO!$AF$7)/$H153*OFFSET(ORÇAMENTO!$X$15,ROW(AN153)-ROW(AN$15),0),
              ROUND(ROUND(OFFSET($P153,0,AN$13),15-13*ORÇAMENTO!$AF$7)*OFFSET(ORÇAMENTO!$W$15,ROW(AN153)-ROW(AN$15),0),15-13*ORÇAMENTO!$AF$11)),
         0)</f>
        <v>0</v>
      </c>
      <c r="AO153" s="453">
        <f ca="1">IF(AND($D153="Serviço",AO$12&lt;&gt;0,$H153&gt;0,OR(AUTOEVENTO&lt;&gt;"manual",$M153&lt;&gt;$A$15)),
        IF(Import.TipoArredondamento&lt;&gt;"TransfereGOV",
              ROUND(OFFSET($P153,0,AO$13),15-13*ORÇAMENTO!$AF$7)/$H153*OFFSET(ORÇAMENTO!$X$15,ROW(AO153)-ROW(AO$15),0),
              ROUND(ROUND(OFFSET($P153,0,AO$13),15-13*ORÇAMENTO!$AF$7)*OFFSET(ORÇAMENTO!$W$15,ROW(AO153)-ROW(AO$15),0),15-13*ORÇAMENTO!$AF$11)),
         0)</f>
        <v>18.559999999999999</v>
      </c>
      <c r="AP153" s="453">
        <f ca="1">IF(AND($D153="Serviço",AP$12&lt;&gt;0,$H153&gt;0,OR(AUTOEVENTO&lt;&gt;"manual",$M153&lt;&gt;$A$15)),
        IF(Import.TipoArredondamento&lt;&gt;"TransfereGOV",
              ROUND(OFFSET($P153,0,AP$13),15-13*ORÇAMENTO!$AF$7)/$H153*OFFSET(ORÇAMENTO!$X$15,ROW(AP153)-ROW(AP$15),0),
              ROUND(ROUND(OFFSET($P153,0,AP$13),15-13*ORÇAMENTO!$AF$7)*OFFSET(ORÇAMENTO!$W$15,ROW(AP153)-ROW(AP$15),0),15-13*ORÇAMENTO!$AF$11)),
         0)</f>
        <v>0</v>
      </c>
      <c r="AQ153" s="453">
        <f ca="1">IF(AND($D153="Serviço",AQ$12&lt;&gt;0,$H153&gt;0,OR(AUTOEVENTO&lt;&gt;"manual",$M153&lt;&gt;$A$15)),
        IF(Import.TipoArredondamento&lt;&gt;"TransfereGOV",
              ROUND(OFFSET($P153,0,AQ$13),15-13*ORÇAMENTO!$AF$7)/$H153*OFFSET(ORÇAMENTO!$X$15,ROW(AQ153)-ROW(AQ$15),0),
              ROUND(ROUND(OFFSET($P153,0,AQ$13),15-13*ORÇAMENTO!$AF$7)*OFFSET(ORÇAMENTO!$W$15,ROW(AQ153)-ROW(AQ$15),0),15-13*ORÇAMENTO!$AF$11)),
         0)</f>
        <v>0</v>
      </c>
      <c r="AR153" s="453">
        <f ca="1">IF(AND($D153="Serviço",AR$12&lt;&gt;0,$H153&gt;0,OR(AUTOEVENTO&lt;&gt;"manual",$M153&lt;&gt;$A$15)),
        IF(Import.TipoArredondamento&lt;&gt;"TransfereGOV",
              ROUND(OFFSET($P153,0,AR$13),15-13*ORÇAMENTO!$AF$7)/$H153*OFFSET(ORÇAMENTO!$X$15,ROW(AR153)-ROW(AR$15),0),
              ROUND(ROUND(OFFSET($P153,0,AR$13),15-13*ORÇAMENTO!$AF$7)*OFFSET(ORÇAMENTO!$W$15,ROW(AR153)-ROW(AR$15),0),15-13*ORÇAMENTO!$AF$11)),
         0)</f>
        <v>0</v>
      </c>
      <c r="AS153" s="453">
        <f ca="1">IF(AND($D153="Serviço",AS$12&lt;&gt;0,$H153&gt;0,OR(AUTOEVENTO&lt;&gt;"manual",$M153&lt;&gt;$A$15)),
        IF(Import.TipoArredondamento&lt;&gt;"TransfereGOV",
              ROUND(OFFSET($P153,0,AS$13),15-13*ORÇAMENTO!$AF$7)/$H153*OFFSET(ORÇAMENTO!$X$15,ROW(AS153)-ROW(AS$15),0),
              ROUND(ROUND(OFFSET($P153,0,AS$13),15-13*ORÇAMENTO!$AF$7)*OFFSET(ORÇAMENTO!$W$15,ROW(AS153)-ROW(AS$15),0),15-13*ORÇAMENTO!$AF$11)),
         0)</f>
        <v>0</v>
      </c>
      <c r="AT153" s="453">
        <f ca="1">IF(AND($D153="Serviço",AT$12&lt;&gt;0,$H153&gt;0,OR(AUTOEVENTO&lt;&gt;"manual",$M153&lt;&gt;$A$15)),
        IF(Import.TipoArredondamento&lt;&gt;"TransfereGOV",
              ROUND(OFFSET($P153,0,AT$13),15-13*ORÇAMENTO!$AF$7)/$H153*OFFSET(ORÇAMENTO!$X$15,ROW(AT153)-ROW(AT$15),0),
              ROUND(ROUND(OFFSET($P153,0,AT$13),15-13*ORÇAMENTO!$AF$7)*OFFSET(ORÇAMENTO!$W$15,ROW(AT153)-ROW(AT$15),0),15-13*ORÇAMENTO!$AF$11)),
         0)</f>
        <v>0</v>
      </c>
      <c r="AU153" s="453">
        <f ca="1">IF(AND($D153="Serviço",AU$12&lt;&gt;0,$H153&gt;0,OR(AUTOEVENTO&lt;&gt;"manual",$M153&lt;&gt;$A$15)),
        IF(Import.TipoArredondamento&lt;&gt;"TransfereGOV",
              ROUND(OFFSET($P153,0,AU$13),15-13*ORÇAMENTO!$AF$7)/$H153*OFFSET(ORÇAMENTO!$X$15,ROW(AU153)-ROW(AU$15),0),
              ROUND(ROUND(OFFSET($P153,0,AU$13),15-13*ORÇAMENTO!$AF$7)*OFFSET(ORÇAMENTO!$W$15,ROW(AU153)-ROW(AU$15),0),15-13*ORÇAMENTO!$AF$11)),
         0)</f>
        <v>0</v>
      </c>
      <c r="AV153" s="453">
        <f ca="1">IF(AND($D153="Serviço",AV$12&lt;&gt;0,$H153&gt;0,OR(AUTOEVENTO&lt;&gt;"manual",$M153&lt;&gt;$A$15)),
        IF(Import.TipoArredondamento&lt;&gt;"TransfereGOV",
              ROUND(OFFSET($P153,0,AV$13),15-13*ORÇAMENTO!$AF$7)/$H153*OFFSET(ORÇAMENTO!$X$15,ROW(AV153)-ROW(AV$15),0),
              ROUND(ROUND(OFFSET($P153,0,AV$13),15-13*ORÇAMENTO!$AF$7)*OFFSET(ORÇAMENTO!$W$15,ROW(AV153)-ROW(AV$15),0),15-13*ORÇAMENTO!$AF$11)),
         0)</f>
        <v>0</v>
      </c>
      <c r="AW153" s="453">
        <f ca="1">IF(AND($D153="Serviço",AW$12&lt;&gt;0,$H153&gt;0,OR(AUTOEVENTO&lt;&gt;"manual",$M153&lt;&gt;$A$15)),
        IF(Import.TipoArredondamento&lt;&gt;"TransfereGOV",
              ROUND(OFFSET($P153,0,AW$13),15-13*ORÇAMENTO!$AF$7)/$H153*OFFSET(ORÇAMENTO!$X$15,ROW(AW153)-ROW(AW$15),0),
              ROUND(ROUND(OFFSET($P153,0,AW$13),15-13*ORÇAMENTO!$AF$7)*OFFSET(ORÇAMENTO!$W$15,ROW(AW153)-ROW(AW$15),0),15-13*ORÇAMENTO!$AF$11)),
         0)</f>
        <v>0</v>
      </c>
      <c r="AX153" s="453">
        <f ca="1">IF(AND($D153="Serviço",AX$12&lt;&gt;0,$H153&gt;0,OR(AUTOEVENTO&lt;&gt;"manual",$M153&lt;&gt;$A$15)),
        IF(Import.TipoArredondamento&lt;&gt;"TransfereGOV",
              ROUND(OFFSET($P153,0,AX$13),15-13*ORÇAMENTO!$AF$7)/$H153*OFFSET(ORÇAMENTO!$X$15,ROW(AX153)-ROW(AX$15),0),
              ROUND(ROUND(OFFSET($P153,0,AX$13),15-13*ORÇAMENTO!$AF$7)*OFFSET(ORÇAMENTO!$W$15,ROW(AX153)-ROW(AX$15),0),15-13*ORÇAMENTO!$AF$11)),
         0)</f>
        <v>0</v>
      </c>
      <c r="AY153" s="453">
        <f ca="1">IF(AND($D153="Serviço",AY$12&lt;&gt;0,$H153&gt;0,OR(AUTOEVENTO&lt;&gt;"manual",$M153&lt;&gt;$A$15)),
        IF(Import.TipoArredondamento&lt;&gt;"TransfereGOV",
              ROUND(OFFSET($P153,0,AY$13),15-13*ORÇAMENTO!$AF$7)/$H153*OFFSET(ORÇAMENTO!$X$15,ROW(AY153)-ROW(AY$15),0),
              ROUND(ROUND(OFFSET($P153,0,AY$13),15-13*ORÇAMENTO!$AF$7)*OFFSET(ORÇAMENTO!$W$15,ROW(AY153)-ROW(AY$15),0),15-13*ORÇAMENTO!$AF$11)),
         0)</f>
        <v>0</v>
      </c>
      <c r="AZ153" s="453">
        <f ca="1">IF(AND($D153="Serviço",AZ$12&lt;&gt;0,$H153&gt;0,OR(AUTOEVENTO&lt;&gt;"manual",$M153&lt;&gt;$A$15)),
        IF(Import.TipoArredondamento&lt;&gt;"TransfereGOV",
              ROUND(OFFSET($P153,0,AZ$13),15-13*ORÇAMENTO!$AF$7)/$H153*OFFSET(ORÇAMENTO!$X$15,ROW(AZ153)-ROW(AZ$15),0),
              ROUND(ROUND(OFFSET($P153,0,AZ$13),15-13*ORÇAMENTO!$AF$7)*OFFSET(ORÇAMENTO!$W$15,ROW(AZ153)-ROW(AZ$15),0),15-13*ORÇAMENTO!$AF$11)),
         0)</f>
        <v>0</v>
      </c>
      <c r="BA153" s="453">
        <f ca="1">IF(AND($D153="Serviço",BA$12&lt;&gt;0,$H153&gt;0,OR(AUTOEVENTO&lt;&gt;"manual",$M153&lt;&gt;$A$15)),
        IF(Import.TipoArredondamento&lt;&gt;"TransfereGOV",
              ROUND(OFFSET($P153,0,BA$13),15-13*ORÇAMENTO!$AF$7)/$H153*OFFSET(ORÇAMENTO!$X$15,ROW(BA153)-ROW(BA$15),0),
              ROUND(ROUND(OFFSET($P153,0,BA$13),15-13*ORÇAMENTO!$AF$7)*OFFSET(ORÇAMENTO!$W$15,ROW(BA153)-ROW(BA$15),0),15-13*ORÇAMENTO!$AF$11)),
         0)</f>
        <v>0</v>
      </c>
      <c r="BC153" s="171">
        <f ca="1">IF(OR($D153&lt;&gt;"Serviço",AND(AUTOEVENTO="Manual",$M153=$A$15)),0,
         IF(OFFSET(CRONOPLE!$F$15,$M153-$A$15,BC$13)=0,10^12,OFFSET(CRONOPLE!$F$15,$M153-$A$15,BC$13)))</f>
        <v>1000000000000</v>
      </c>
      <c r="BD153" s="171">
        <f ca="1">IF(OR($D153&lt;&gt;"Serviço",AND(AUTOEVENTO="Manual",$M153=$A$15)),0,
         IF(OFFSET(CRONOPLE!$F$15,$M153-$A$15,BD$13)=0,10^12,OFFSET(CRONOPLE!$F$15,$M153-$A$15,BD$13)))</f>
        <v>1000000000000</v>
      </c>
      <c r="BE153" s="171">
        <f ca="1">IF(OR($D153&lt;&gt;"Serviço",AND(AUTOEVENTO="Manual",$M153=$A$15)),0,
         IF(OFFSET(CRONOPLE!$F$15,$M153-$A$15,BE$13)=0,10^12,OFFSET(CRONOPLE!$F$15,$M153-$A$15,BE$13)))</f>
        <v>1000000000000</v>
      </c>
      <c r="BF153" s="171">
        <f ca="1">IF(OR($D153&lt;&gt;"Serviço",AND(AUTOEVENTO="Manual",$M153=$A$15)),0,
         IF(OFFSET(CRONOPLE!$F$15,$M153-$A$15,BF$13)=0,10^12,OFFSET(CRONOPLE!$F$15,$M153-$A$15,BF$13)))</f>
        <v>1000000000000</v>
      </c>
      <c r="BG153" s="171">
        <f ca="1">IF(OR($D153&lt;&gt;"Serviço",AND(AUTOEVENTO="Manual",$M153=$A$15)),0,
         IF(OFFSET(CRONOPLE!$F$15,$M153-$A$15,BG$13)=0,10^12,OFFSET(CRONOPLE!$F$15,$M153-$A$15,BG$13)))</f>
        <v>1000000000000</v>
      </c>
      <c r="BH153" s="171">
        <f ca="1">IF(OR($D153&lt;&gt;"Serviço",AND(AUTOEVENTO="Manual",$M153=$A$15)),0,
         IF(OFFSET(CRONOPLE!$F$15,$M153-$A$15,BH$13)=0,10^12,OFFSET(CRONOPLE!$F$15,$M153-$A$15,BH$13)))</f>
        <v>11</v>
      </c>
      <c r="BI153" s="171">
        <f ca="1">IF(OR($D153&lt;&gt;"Serviço",AND(AUTOEVENTO="Manual",$M153=$A$15)),0,
         IF(OFFSET(CRONOPLE!$F$15,$M153-$A$15,BI$13)=0,10^12,OFFSET(CRONOPLE!$F$15,$M153-$A$15,BI$13)))</f>
        <v>1000000000000</v>
      </c>
      <c r="BJ153" s="171">
        <f ca="1">IF(OR($D153&lt;&gt;"Serviço",AND(AUTOEVENTO="Manual",$M153=$A$15)),0,
         IF(OFFSET(CRONOPLE!$F$15,$M153-$A$15,BJ$13)=0,10^12,OFFSET(CRONOPLE!$F$15,$M153-$A$15,BJ$13)))</f>
        <v>1000000000000</v>
      </c>
      <c r="BK153" s="171">
        <f ca="1">IF(OR($D153&lt;&gt;"Serviço",AND(AUTOEVENTO="Manual",$M153=$A$15)),0,
         IF(OFFSET(CRONOPLE!$F$15,$M153-$A$15,BK$13)=0,10^12,OFFSET(CRONOPLE!$F$15,$M153-$A$15,BK$13)))</f>
        <v>1000000000000</v>
      </c>
      <c r="BL153" s="171">
        <f ca="1">IF(OR($D153&lt;&gt;"Serviço",AND(AUTOEVENTO="Manual",$M153=$A$15)),0,
         IF(OFFSET(CRONOPLE!$F$15,$M153-$A$15,BL$13)=0,10^12,OFFSET(CRONOPLE!$F$15,$M153-$A$15,BL$13)))</f>
        <v>1000000000000</v>
      </c>
      <c r="BM153" s="171">
        <f ca="1">IF(OR($D153&lt;&gt;"Serviço",AND(AUTOEVENTO="Manual",$M153=$A$15)),0,
         IF(OFFSET(CRONOPLE!$F$15,$M153-$A$15,BM$13)=0,10^12,OFFSET(CRONOPLE!$F$15,$M153-$A$15,BM$13)))</f>
        <v>1000000000000</v>
      </c>
      <c r="BN153" s="171">
        <f ca="1">IF(OR($D153&lt;&gt;"Serviço",AND(AUTOEVENTO="Manual",$M153=$A$15)),0,
         IF(OFFSET(CRONOPLE!$F$15,$M153-$A$15,BN$13)=0,10^12,OFFSET(CRONOPLE!$F$15,$M153-$A$15,BN$13)))</f>
        <v>1000000000000</v>
      </c>
      <c r="BO153" s="171">
        <f ca="1">IF(OR($D153&lt;&gt;"Serviço",AND(AUTOEVENTO="Manual",$M153=$A$15)),0,
         IF(OFFSET(CRONOPLE!$F$15,$M153-$A$15,BO$13)=0,10^12,OFFSET(CRONOPLE!$F$15,$M153-$A$15,BO$13)))</f>
        <v>1000000000000</v>
      </c>
      <c r="BP153" s="171">
        <f ca="1">IF(OR($D153&lt;&gt;"Serviço",AND(AUTOEVENTO="Manual",$M153=$A$15)),0,
         IF(OFFSET(CRONOPLE!$F$15,$M153-$A$15,BP$13)=0,10^12,OFFSET(CRONOPLE!$F$15,$M153-$A$15,BP$13)))</f>
        <v>1000000000000</v>
      </c>
      <c r="BQ153" s="171">
        <f ca="1">IF(OR($D153&lt;&gt;"Serviço",AND(AUTOEVENTO="Manual",$M153=$A$15)),0,
         IF(OFFSET(CRONOPLE!$F$15,$M153-$A$15,BQ$13)=0,10^12,OFFSET(CRONOPLE!$F$15,$M153-$A$15,BQ$13)))</f>
        <v>1000000000000</v>
      </c>
      <c r="BR153" s="171">
        <f ca="1">IF(OR($D153&lt;&gt;"Serviço",AND(AUTOEVENTO="Manual",$M153=$A$15)),0,
         IF(OFFSET(CRONOPLE!$F$15,$M153-$A$15,BR$13)=0,10^12,OFFSET(CRONOPLE!$F$15,$M153-$A$15,BR$13)))</f>
        <v>1000000000000</v>
      </c>
      <c r="BS153" s="171">
        <f ca="1">IF(OR($D153&lt;&gt;"Serviço",AND(AUTOEVENTO="Manual",$M153=$A$15)),0,
         IF(OFFSET(CRONOPLE!$F$15,$M153-$A$15,BS$13)=0,10^12,OFFSET(CRONOPLE!$F$15,$M153-$A$15,BS$13)))</f>
        <v>1000000000000</v>
      </c>
      <c r="BT153" s="171">
        <f ca="1">IF(OR($D153&lt;&gt;"Serviço",AND(AUTOEVENTO="Manual",$M153=$A$15)),0,
         IF(OFFSET(CRONOPLE!$F$15,$M153-$A$15,BT$13)=0,10^12,OFFSET(CRONOPLE!$F$15,$M153-$A$15,BT$13)))</f>
        <v>1000000000000</v>
      </c>
      <c r="BV153" s="172" cm="1">
        <f t="array" aca="1" ref="BV153" ca="1">IF(OR($D153&lt;&gt;"Serviço",AND(AUTOEVENTO="Manual",$M153=$A$15),$M153&gt;(ROW(PLE.lastrow)-ROW(PLE.firstrow))),0,
           IF(OFFSET(PLE!$G$15,$M153-$A$15,BV$13)="",10^12,OFFSET(PLE!$G$15,$M153-$A$15,BV$13)))</f>
        <v>1000000000000</v>
      </c>
      <c r="BW153" s="172" cm="1">
        <f t="array" aca="1" ref="BW153" ca="1">IF(OR($D153&lt;&gt;"Serviço",AND(AUTOEVENTO="Manual",$M153=$A$15),$M153&gt;(ROW(PLE.lastrow)-ROW(PLE.firstrow))),0,
           IF(OFFSET(PLE!$G$15,$M153-$A$15,BW$13)="",10^12,OFFSET(PLE!$G$15,$M153-$A$15,BW$13)))</f>
        <v>1000000000000</v>
      </c>
      <c r="BX153" s="172" cm="1">
        <f t="array" aca="1" ref="BX153" ca="1">IF(OR($D153&lt;&gt;"Serviço",AND(AUTOEVENTO="Manual",$M153=$A$15),$M153&gt;(ROW(PLE.lastrow)-ROW(PLE.firstrow))),0,
           IF(OFFSET(PLE!$G$15,$M153-$A$15,BX$13)="",10^12,OFFSET(PLE!$G$15,$M153-$A$15,BX$13)))</f>
        <v>1000000000000</v>
      </c>
      <c r="BY153" s="172" cm="1">
        <f t="array" aca="1" ref="BY153" ca="1">IF(OR($D153&lt;&gt;"Serviço",AND(AUTOEVENTO="Manual",$M153=$A$15),$M153&gt;(ROW(PLE.lastrow)-ROW(PLE.firstrow))),0,
           IF(OFFSET(PLE!$G$15,$M153-$A$15,BY$13)="",10^12,OFFSET(PLE!$G$15,$M153-$A$15,BY$13)))</f>
        <v>1000000000000</v>
      </c>
      <c r="BZ153" s="172" cm="1">
        <f t="array" aca="1" ref="BZ153" ca="1">IF(OR($D153&lt;&gt;"Serviço",AND(AUTOEVENTO="Manual",$M153=$A$15),$M153&gt;(ROW(PLE.lastrow)-ROW(PLE.firstrow))),0,
           IF(OFFSET(PLE!$G$15,$M153-$A$15,BZ$13)="",10^12,OFFSET(PLE!$G$15,$M153-$A$15,BZ$13)))</f>
        <v>1000000000000</v>
      </c>
      <c r="CA153" s="172" cm="1">
        <f t="array" aca="1" ref="CA153" ca="1">IF(OR($D153&lt;&gt;"Serviço",AND(AUTOEVENTO="Manual",$M153=$A$15),$M153&gt;(ROW(PLE.lastrow)-ROW(PLE.firstrow))),0,
           IF(OFFSET(PLE!$G$15,$M153-$A$15,CA$13)="",10^12,OFFSET(PLE!$G$15,$M153-$A$15,CA$13)))</f>
        <v>1000000000000</v>
      </c>
      <c r="CB153" s="172" cm="1">
        <f t="array" aca="1" ref="CB153" ca="1">IF(OR($D153&lt;&gt;"Serviço",AND(AUTOEVENTO="Manual",$M153=$A$15),$M153&gt;(ROW(PLE.lastrow)-ROW(PLE.firstrow))),0,
           IF(OFFSET(PLE!$G$15,$M153-$A$15,CB$13)="",10^12,OFFSET(PLE!$G$15,$M153-$A$15,CB$13)))</f>
        <v>1000000000000</v>
      </c>
      <c r="CC153" s="172" cm="1">
        <f t="array" aca="1" ref="CC153" ca="1">IF(OR($D153&lt;&gt;"Serviço",AND(AUTOEVENTO="Manual",$M153=$A$15),$M153&gt;(ROW(PLE.lastrow)-ROW(PLE.firstrow))),0,
           IF(OFFSET(PLE!$G$15,$M153-$A$15,CC$13)="",10^12,OFFSET(PLE!$G$15,$M153-$A$15,CC$13)))</f>
        <v>1000000000000</v>
      </c>
      <c r="CD153" s="172" cm="1">
        <f t="array" aca="1" ref="CD153" ca="1">IF(OR($D153&lt;&gt;"Serviço",AND(AUTOEVENTO="Manual",$M153=$A$15),$M153&gt;(ROW(PLE.lastrow)-ROW(PLE.firstrow))),0,
           IF(OFFSET(PLE!$G$15,$M153-$A$15,CD$13)="",10^12,OFFSET(PLE!$G$15,$M153-$A$15,CD$13)))</f>
        <v>1000000000000</v>
      </c>
      <c r="CE153" s="172" cm="1">
        <f t="array" aca="1" ref="CE153" ca="1">IF(OR($D153&lt;&gt;"Serviço",AND(AUTOEVENTO="Manual",$M153=$A$15),$M153&gt;(ROW(PLE.lastrow)-ROW(PLE.firstrow))),0,
           IF(OFFSET(PLE!$G$15,$M153-$A$15,CE$13)="",10^12,OFFSET(PLE!$G$15,$M153-$A$15,CE$13)))</f>
        <v>1000000000000</v>
      </c>
      <c r="CF153" s="172" cm="1">
        <f t="array" aca="1" ref="CF153" ca="1">IF(OR($D153&lt;&gt;"Serviço",AND(AUTOEVENTO="Manual",$M153=$A$15),$M153&gt;(ROW(PLE.lastrow)-ROW(PLE.firstrow))),0,
           IF(OFFSET(PLE!$G$15,$M153-$A$15,CF$13)="",10^12,OFFSET(PLE!$G$15,$M153-$A$15,CF$13)))</f>
        <v>1000000000000</v>
      </c>
      <c r="CG153" s="172" cm="1">
        <f t="array" aca="1" ref="CG153" ca="1">IF(OR($D153&lt;&gt;"Serviço",AND(AUTOEVENTO="Manual",$M153=$A$15),$M153&gt;(ROW(PLE.lastrow)-ROW(PLE.firstrow))),0,
           IF(OFFSET(PLE!$G$15,$M153-$A$15,CG$13)="",10^12,OFFSET(PLE!$G$15,$M153-$A$15,CG$13)))</f>
        <v>1000000000000</v>
      </c>
      <c r="CH153" s="172" cm="1">
        <f t="array" aca="1" ref="CH153" ca="1">IF(OR($D153&lt;&gt;"Serviço",AND(AUTOEVENTO="Manual",$M153=$A$15),$M153&gt;(ROW(PLE.lastrow)-ROW(PLE.firstrow))),0,
           IF(OFFSET(PLE!$G$15,$M153-$A$15,CH$13)="",10^12,OFFSET(PLE!$G$15,$M153-$A$15,CH$13)))</f>
        <v>1000000000000</v>
      </c>
      <c r="CI153" s="172" cm="1">
        <f t="array" aca="1" ref="CI153" ca="1">IF(OR($D153&lt;&gt;"Serviço",AND(AUTOEVENTO="Manual",$M153=$A$15),$M153&gt;(ROW(PLE.lastrow)-ROW(PLE.firstrow))),0,
           IF(OFFSET(PLE!$G$15,$M153-$A$15,CI$13)="",10^12,OFFSET(PLE!$G$15,$M153-$A$15,CI$13)))</f>
        <v>1000000000000</v>
      </c>
      <c r="CJ153" s="172" cm="1">
        <f t="array" aca="1" ref="CJ153" ca="1">IF(OR($D153&lt;&gt;"Serviço",AND(AUTOEVENTO="Manual",$M153=$A$15),$M153&gt;(ROW(PLE.lastrow)-ROW(PLE.firstrow))),0,
           IF(OFFSET(PLE!$G$15,$M153-$A$15,CJ$13)="",10^12,OFFSET(PLE!$G$15,$M153-$A$15,CJ$13)))</f>
        <v>1000000000000</v>
      </c>
      <c r="CK153" s="172" cm="1">
        <f t="array" aca="1" ref="CK153" ca="1">IF(OR($D153&lt;&gt;"Serviço",AND(AUTOEVENTO="Manual",$M153=$A$15),$M153&gt;(ROW(PLE.lastrow)-ROW(PLE.firstrow))),0,
           IF(OFFSET(PLE!$G$15,$M153-$A$15,CK$13)="",10^12,OFFSET(PLE!$G$15,$M153-$A$15,CK$13)))</f>
        <v>1000000000000</v>
      </c>
      <c r="CL153" s="172" cm="1">
        <f t="array" aca="1" ref="CL153" ca="1">IF(OR($D153&lt;&gt;"Serviço",AND(AUTOEVENTO="Manual",$M153=$A$15),$M153&gt;(ROW(PLE.lastrow)-ROW(PLE.firstrow))),0,
           IF(OFFSET(PLE!$G$15,$M153-$A$15,CL$13)="",10^12,OFFSET(PLE!$G$15,$M153-$A$15,CL$13)))</f>
        <v>1000000000000</v>
      </c>
      <c r="CM153" s="172" cm="1">
        <f t="array" aca="1" ref="CM153" ca="1">IF(OR($D153&lt;&gt;"Serviço",AND(AUTOEVENTO="Manual",$M153=$A$15),$M153&gt;(ROW(PLE.lastrow)-ROW(PLE.firstrow))),0,
           IF(OFFSET(PLE!$G$15,$M153-$A$15,CM$13)="",10^12,OFFSET(PLE!$G$15,$M153-$A$15,CM$13)))</f>
        <v>1000000000000</v>
      </c>
    </row>
    <row r="154" spans="1:91" s="670" customFormat="1" ht="12.75" x14ac:dyDescent="0.2">
      <c r="A154" s="668">
        <f t="shared" ca="1" si="14"/>
        <v>0</v>
      </c>
      <c r="B154" s="668">
        <f ca="1">OFFSET(ORÇAMENTO!C$15,$L154,0)</f>
        <v>2</v>
      </c>
      <c r="C154" s="668" t="str">
        <f ca="1">OFFSET(ORÇAMENTO!L$15,$L154,0)</f>
        <v>F</v>
      </c>
      <c r="D154" s="116" t="str">
        <f ca="1">OFFSET(ORÇAMENTO!N$15,$L154,0)</f>
        <v>Nível 2</v>
      </c>
      <c r="E154" s="117" t="str">
        <f ca="1">OFFSET(ORÇAMENTO!O$15,$L154,0)</f>
        <v>1.20.</v>
      </c>
      <c r="F154" s="163" t="str">
        <f ca="1">OFFSET(ORÇAMENTO!R$15,$L154,0)</f>
        <v>OBRAS COMPLEMENTARES - Estação Elevatória de Água Tratada</v>
      </c>
      <c r="G154" s="164" t="str">
        <f ca="1">IF($D154&lt;&gt;"Serviço","",OFFSET(ORÇAMENTO!S$15,$L154,0))</f>
        <v/>
      </c>
      <c r="H154" s="122" cm="1">
        <f t="array" aca="1" ref="H154" ca="1">IF($D154&lt;&gt;"Serviço",0,IF(ACOMPANHAMENTO="BM",ROUND(OFFSET(ORÇAMENTO!AJ$15,$L154,0),15-13*ORÇAMENTO!$AF$7),IF(IFERROR(CÁLCULO.FrentesPreenchidas,0)=0,0,SUM(ROUND(OFFSET($P154,0,1,1,CÁLCULO.FrentesPreenchidas),15-13*ORÇAMENTO!$AF$7)))))</f>
        <v>0</v>
      </c>
      <c r="I154" s="468"/>
      <c r="J154" s="651" t="str" cm="1">
        <f t="array" aca="1" ref="J154" ca="1">IF(OR(B154&lt;&gt;"S",CÁLCULO.FrentesPreenchidas=0),"",IF(AND(ACOMPANHAMENTO="PLE",AUTOEVENTO="Manual",OR(H154&gt;0,ORÇAMENTO!AC154="QUANT."),OR(K154="",M154=0,N154="")),"►E",IF(AND(ACOMPANHAMENTO="PLE",ORÇAMENTO!AC154="QUANT."),"►Q",IF(AND(ACOMPANHAMENTO="PLE",H154&lt;&gt;SUMPRODUCT(($Q$1:$AI$1=1)*ROUND(Q154:AI154,15))),"►S",IF(AND(COUNTIF($P$11:$AI$11,"▼")=0,H154&gt;0,I154=""),"◄M","")))))</f>
        <v/>
      </c>
      <c r="K154" s="652"/>
      <c r="L154" s="165">
        <f t="shared" ca="1" si="15"/>
        <v>139</v>
      </c>
      <c r="M154" s="166" t="str">
        <f ca="1">IF($D154&lt;&gt;"Serviço","",
          IF(AUTOEVENTO="manual",$A154,
                IF(ISERROR(MATCH($A154,$A$15:OFFSET($A154,-1,0),0)),MAX($M$15:OFFSET(M154,-1,0))+1,
                      INDEX($M$15:OFFSET(M154,-1,0),MATCH($A154,$A$15:OFFSET($A154,-1,0),0)))))</f>
        <v/>
      </c>
      <c r="N154" s="167" t="str">
        <f ca="1">IF($D154&lt;&gt;"Serviço","",
         IF(AUTOEVENTO="Manual",
                IF($A154=0,"&lt;-- defina o número do agrupador",
                       OFFSET(EVENTOS!$D$15,$A154-$A$15,0)),
                OFFSET($F$15,$A154,0)))</f>
        <v/>
      </c>
      <c r="O154" s="168"/>
      <c r="Q154" s="168"/>
      <c r="R154" s="169"/>
      <c r="S154" s="169"/>
      <c r="T154" s="169"/>
      <c r="U154" s="169"/>
      <c r="V154" s="169" t="s">
        <v>250</v>
      </c>
      <c r="W154" s="169"/>
      <c r="X154" s="169"/>
      <c r="Y154" s="169"/>
      <c r="Z154" s="170"/>
      <c r="AA154" s="705"/>
      <c r="AB154" s="705"/>
      <c r="AC154" s="705"/>
      <c r="AD154" s="705"/>
      <c r="AE154" s="705"/>
      <c r="AF154" s="705"/>
      <c r="AG154" s="705"/>
      <c r="AH154" s="706"/>
      <c r="AJ154" s="453">
        <f ca="1">IF(AND($D154="Serviço",AJ$12&lt;&gt;0,$H154&gt;0,OR(AUTOEVENTO&lt;&gt;"manual",$M154&lt;&gt;$A$15)),
        IF(Import.TipoArredondamento&lt;&gt;"TransfereGOV",
              ROUND(OFFSET($P154,0,AJ$13),15-13*ORÇAMENTO!$AF$7)/$H154*OFFSET(ORÇAMENTO!$X$15,ROW(AJ154)-ROW(AJ$15),0),
              ROUND(ROUND(OFFSET($P154,0,AJ$13),15-13*ORÇAMENTO!$AF$7)*OFFSET(ORÇAMENTO!$W$15,ROW(AJ154)-ROW(AJ$15),0),15-13*ORÇAMENTO!$AF$11)),
         0)</f>
        <v>0</v>
      </c>
      <c r="AK154" s="453">
        <f ca="1">IF(AND($D154="Serviço",AK$12&lt;&gt;0,$H154&gt;0,OR(AUTOEVENTO&lt;&gt;"manual",$M154&lt;&gt;$A$15)),
        IF(Import.TipoArredondamento&lt;&gt;"TransfereGOV",
              ROUND(OFFSET($P154,0,AK$13),15-13*ORÇAMENTO!$AF$7)/$H154*OFFSET(ORÇAMENTO!$X$15,ROW(AK154)-ROW(AK$15),0),
              ROUND(ROUND(OFFSET($P154,0,AK$13),15-13*ORÇAMENTO!$AF$7)*OFFSET(ORÇAMENTO!$W$15,ROW(AK154)-ROW(AK$15),0),15-13*ORÇAMENTO!$AF$11)),
         0)</f>
        <v>0</v>
      </c>
      <c r="AL154" s="453">
        <f ca="1">IF(AND($D154="Serviço",AL$12&lt;&gt;0,$H154&gt;0,OR(AUTOEVENTO&lt;&gt;"manual",$M154&lt;&gt;$A$15)),
        IF(Import.TipoArredondamento&lt;&gt;"TransfereGOV",
              ROUND(OFFSET($P154,0,AL$13),15-13*ORÇAMENTO!$AF$7)/$H154*OFFSET(ORÇAMENTO!$X$15,ROW(AL154)-ROW(AL$15),0),
              ROUND(ROUND(OFFSET($P154,0,AL$13),15-13*ORÇAMENTO!$AF$7)*OFFSET(ORÇAMENTO!$W$15,ROW(AL154)-ROW(AL$15),0),15-13*ORÇAMENTO!$AF$11)),
         0)</f>
        <v>0</v>
      </c>
      <c r="AM154" s="453">
        <f ca="1">IF(AND($D154="Serviço",AM$12&lt;&gt;0,$H154&gt;0,OR(AUTOEVENTO&lt;&gt;"manual",$M154&lt;&gt;$A$15)),
        IF(Import.TipoArredondamento&lt;&gt;"TransfereGOV",
              ROUND(OFFSET($P154,0,AM$13),15-13*ORÇAMENTO!$AF$7)/$H154*OFFSET(ORÇAMENTO!$X$15,ROW(AM154)-ROW(AM$15),0),
              ROUND(ROUND(OFFSET($P154,0,AM$13),15-13*ORÇAMENTO!$AF$7)*OFFSET(ORÇAMENTO!$W$15,ROW(AM154)-ROW(AM$15),0),15-13*ORÇAMENTO!$AF$11)),
         0)</f>
        <v>0</v>
      </c>
      <c r="AN154" s="453">
        <f ca="1">IF(AND($D154="Serviço",AN$12&lt;&gt;0,$H154&gt;0,OR(AUTOEVENTO&lt;&gt;"manual",$M154&lt;&gt;$A$15)),
        IF(Import.TipoArredondamento&lt;&gt;"TransfereGOV",
              ROUND(OFFSET($P154,0,AN$13),15-13*ORÇAMENTO!$AF$7)/$H154*OFFSET(ORÇAMENTO!$X$15,ROW(AN154)-ROW(AN$15),0),
              ROUND(ROUND(OFFSET($P154,0,AN$13),15-13*ORÇAMENTO!$AF$7)*OFFSET(ORÇAMENTO!$W$15,ROW(AN154)-ROW(AN$15),0),15-13*ORÇAMENTO!$AF$11)),
         0)</f>
        <v>0</v>
      </c>
      <c r="AO154" s="453">
        <f ca="1">IF(AND($D154="Serviço",AO$12&lt;&gt;0,$H154&gt;0,OR(AUTOEVENTO&lt;&gt;"manual",$M154&lt;&gt;$A$15)),
        IF(Import.TipoArredondamento&lt;&gt;"TransfereGOV",
              ROUND(OFFSET($P154,0,AO$13),15-13*ORÇAMENTO!$AF$7)/$H154*OFFSET(ORÇAMENTO!$X$15,ROW(AO154)-ROW(AO$15),0),
              ROUND(ROUND(OFFSET($P154,0,AO$13),15-13*ORÇAMENTO!$AF$7)*OFFSET(ORÇAMENTO!$W$15,ROW(AO154)-ROW(AO$15),0),15-13*ORÇAMENTO!$AF$11)),
         0)</f>
        <v>0</v>
      </c>
      <c r="AP154" s="453">
        <f ca="1">IF(AND($D154="Serviço",AP$12&lt;&gt;0,$H154&gt;0,OR(AUTOEVENTO&lt;&gt;"manual",$M154&lt;&gt;$A$15)),
        IF(Import.TipoArredondamento&lt;&gt;"TransfereGOV",
              ROUND(OFFSET($P154,0,AP$13),15-13*ORÇAMENTO!$AF$7)/$H154*OFFSET(ORÇAMENTO!$X$15,ROW(AP154)-ROW(AP$15),0),
              ROUND(ROUND(OFFSET($P154,0,AP$13),15-13*ORÇAMENTO!$AF$7)*OFFSET(ORÇAMENTO!$W$15,ROW(AP154)-ROW(AP$15),0),15-13*ORÇAMENTO!$AF$11)),
         0)</f>
        <v>0</v>
      </c>
      <c r="AQ154" s="453">
        <f ca="1">IF(AND($D154="Serviço",AQ$12&lt;&gt;0,$H154&gt;0,OR(AUTOEVENTO&lt;&gt;"manual",$M154&lt;&gt;$A$15)),
        IF(Import.TipoArredondamento&lt;&gt;"TransfereGOV",
              ROUND(OFFSET($P154,0,AQ$13),15-13*ORÇAMENTO!$AF$7)/$H154*OFFSET(ORÇAMENTO!$X$15,ROW(AQ154)-ROW(AQ$15),0),
              ROUND(ROUND(OFFSET($P154,0,AQ$13),15-13*ORÇAMENTO!$AF$7)*OFFSET(ORÇAMENTO!$W$15,ROW(AQ154)-ROW(AQ$15),0),15-13*ORÇAMENTO!$AF$11)),
         0)</f>
        <v>0</v>
      </c>
      <c r="AR154" s="453">
        <f ca="1">IF(AND($D154="Serviço",AR$12&lt;&gt;0,$H154&gt;0,OR(AUTOEVENTO&lt;&gt;"manual",$M154&lt;&gt;$A$15)),
        IF(Import.TipoArredondamento&lt;&gt;"TransfereGOV",
              ROUND(OFFSET($P154,0,AR$13),15-13*ORÇAMENTO!$AF$7)/$H154*OFFSET(ORÇAMENTO!$X$15,ROW(AR154)-ROW(AR$15),0),
              ROUND(ROUND(OFFSET($P154,0,AR$13),15-13*ORÇAMENTO!$AF$7)*OFFSET(ORÇAMENTO!$W$15,ROW(AR154)-ROW(AR$15),0),15-13*ORÇAMENTO!$AF$11)),
         0)</f>
        <v>0</v>
      </c>
      <c r="AS154" s="453">
        <f ca="1">IF(AND($D154="Serviço",AS$12&lt;&gt;0,$H154&gt;0,OR(AUTOEVENTO&lt;&gt;"manual",$M154&lt;&gt;$A$15)),
        IF(Import.TipoArredondamento&lt;&gt;"TransfereGOV",
              ROUND(OFFSET($P154,0,AS$13),15-13*ORÇAMENTO!$AF$7)/$H154*OFFSET(ORÇAMENTO!$X$15,ROW(AS154)-ROW(AS$15),0),
              ROUND(ROUND(OFFSET($P154,0,AS$13),15-13*ORÇAMENTO!$AF$7)*OFFSET(ORÇAMENTO!$W$15,ROW(AS154)-ROW(AS$15),0),15-13*ORÇAMENTO!$AF$11)),
         0)</f>
        <v>0</v>
      </c>
      <c r="AT154" s="453">
        <f ca="1">IF(AND($D154="Serviço",AT$12&lt;&gt;0,$H154&gt;0,OR(AUTOEVENTO&lt;&gt;"manual",$M154&lt;&gt;$A$15)),
        IF(Import.TipoArredondamento&lt;&gt;"TransfereGOV",
              ROUND(OFFSET($P154,0,AT$13),15-13*ORÇAMENTO!$AF$7)/$H154*OFFSET(ORÇAMENTO!$X$15,ROW(AT154)-ROW(AT$15),0),
              ROUND(ROUND(OFFSET($P154,0,AT$13),15-13*ORÇAMENTO!$AF$7)*OFFSET(ORÇAMENTO!$W$15,ROW(AT154)-ROW(AT$15),0),15-13*ORÇAMENTO!$AF$11)),
         0)</f>
        <v>0</v>
      </c>
      <c r="AU154" s="453">
        <f ca="1">IF(AND($D154="Serviço",AU$12&lt;&gt;0,$H154&gt;0,OR(AUTOEVENTO&lt;&gt;"manual",$M154&lt;&gt;$A$15)),
        IF(Import.TipoArredondamento&lt;&gt;"TransfereGOV",
              ROUND(OFFSET($P154,0,AU$13),15-13*ORÇAMENTO!$AF$7)/$H154*OFFSET(ORÇAMENTO!$X$15,ROW(AU154)-ROW(AU$15),0),
              ROUND(ROUND(OFFSET($P154,0,AU$13),15-13*ORÇAMENTO!$AF$7)*OFFSET(ORÇAMENTO!$W$15,ROW(AU154)-ROW(AU$15),0),15-13*ORÇAMENTO!$AF$11)),
         0)</f>
        <v>0</v>
      </c>
      <c r="AV154" s="453">
        <f ca="1">IF(AND($D154="Serviço",AV$12&lt;&gt;0,$H154&gt;0,OR(AUTOEVENTO&lt;&gt;"manual",$M154&lt;&gt;$A$15)),
        IF(Import.TipoArredondamento&lt;&gt;"TransfereGOV",
              ROUND(OFFSET($P154,0,AV$13),15-13*ORÇAMENTO!$AF$7)/$H154*OFFSET(ORÇAMENTO!$X$15,ROW(AV154)-ROW(AV$15),0),
              ROUND(ROUND(OFFSET($P154,0,AV$13),15-13*ORÇAMENTO!$AF$7)*OFFSET(ORÇAMENTO!$W$15,ROW(AV154)-ROW(AV$15),0),15-13*ORÇAMENTO!$AF$11)),
         0)</f>
        <v>0</v>
      </c>
      <c r="AW154" s="453">
        <f ca="1">IF(AND($D154="Serviço",AW$12&lt;&gt;0,$H154&gt;0,OR(AUTOEVENTO&lt;&gt;"manual",$M154&lt;&gt;$A$15)),
        IF(Import.TipoArredondamento&lt;&gt;"TransfereGOV",
              ROUND(OFFSET($P154,0,AW$13),15-13*ORÇAMENTO!$AF$7)/$H154*OFFSET(ORÇAMENTO!$X$15,ROW(AW154)-ROW(AW$15),0),
              ROUND(ROUND(OFFSET($P154,0,AW$13),15-13*ORÇAMENTO!$AF$7)*OFFSET(ORÇAMENTO!$W$15,ROW(AW154)-ROW(AW$15),0),15-13*ORÇAMENTO!$AF$11)),
         0)</f>
        <v>0</v>
      </c>
      <c r="AX154" s="453">
        <f ca="1">IF(AND($D154="Serviço",AX$12&lt;&gt;0,$H154&gt;0,OR(AUTOEVENTO&lt;&gt;"manual",$M154&lt;&gt;$A$15)),
        IF(Import.TipoArredondamento&lt;&gt;"TransfereGOV",
              ROUND(OFFSET($P154,0,AX$13),15-13*ORÇAMENTO!$AF$7)/$H154*OFFSET(ORÇAMENTO!$X$15,ROW(AX154)-ROW(AX$15),0),
              ROUND(ROUND(OFFSET($P154,0,AX$13),15-13*ORÇAMENTO!$AF$7)*OFFSET(ORÇAMENTO!$W$15,ROW(AX154)-ROW(AX$15),0),15-13*ORÇAMENTO!$AF$11)),
         0)</f>
        <v>0</v>
      </c>
      <c r="AY154" s="453">
        <f ca="1">IF(AND($D154="Serviço",AY$12&lt;&gt;0,$H154&gt;0,OR(AUTOEVENTO&lt;&gt;"manual",$M154&lt;&gt;$A$15)),
        IF(Import.TipoArredondamento&lt;&gt;"TransfereGOV",
              ROUND(OFFSET($P154,0,AY$13),15-13*ORÇAMENTO!$AF$7)/$H154*OFFSET(ORÇAMENTO!$X$15,ROW(AY154)-ROW(AY$15),0),
              ROUND(ROUND(OFFSET($P154,0,AY$13),15-13*ORÇAMENTO!$AF$7)*OFFSET(ORÇAMENTO!$W$15,ROW(AY154)-ROW(AY$15),0),15-13*ORÇAMENTO!$AF$11)),
         0)</f>
        <v>0</v>
      </c>
      <c r="AZ154" s="453">
        <f ca="1">IF(AND($D154="Serviço",AZ$12&lt;&gt;0,$H154&gt;0,OR(AUTOEVENTO&lt;&gt;"manual",$M154&lt;&gt;$A$15)),
        IF(Import.TipoArredondamento&lt;&gt;"TransfereGOV",
              ROUND(OFFSET($P154,0,AZ$13),15-13*ORÇAMENTO!$AF$7)/$H154*OFFSET(ORÇAMENTO!$X$15,ROW(AZ154)-ROW(AZ$15),0),
              ROUND(ROUND(OFFSET($P154,0,AZ$13),15-13*ORÇAMENTO!$AF$7)*OFFSET(ORÇAMENTO!$W$15,ROW(AZ154)-ROW(AZ$15),0),15-13*ORÇAMENTO!$AF$11)),
         0)</f>
        <v>0</v>
      </c>
      <c r="BA154" s="453">
        <f ca="1">IF(AND($D154="Serviço",BA$12&lt;&gt;0,$H154&gt;0,OR(AUTOEVENTO&lt;&gt;"manual",$M154&lt;&gt;$A$15)),
        IF(Import.TipoArredondamento&lt;&gt;"TransfereGOV",
              ROUND(OFFSET($P154,0,BA$13),15-13*ORÇAMENTO!$AF$7)/$H154*OFFSET(ORÇAMENTO!$X$15,ROW(BA154)-ROW(BA$15),0),
              ROUND(ROUND(OFFSET($P154,0,BA$13),15-13*ORÇAMENTO!$AF$7)*OFFSET(ORÇAMENTO!$W$15,ROW(BA154)-ROW(BA$15),0),15-13*ORÇAMENTO!$AF$11)),
         0)</f>
        <v>0</v>
      </c>
      <c r="BC154" s="171">
        <f ca="1">IF(OR($D154&lt;&gt;"Serviço",AND(AUTOEVENTO="Manual",$M154=$A$15)),0,
         IF(OFFSET(CRONOPLE!$F$15,$M154-$A$15,BC$13)=0,10^12,OFFSET(CRONOPLE!$F$15,$M154-$A$15,BC$13)))</f>
        <v>0</v>
      </c>
      <c r="BD154" s="171">
        <f ca="1">IF(OR($D154&lt;&gt;"Serviço",AND(AUTOEVENTO="Manual",$M154=$A$15)),0,
         IF(OFFSET(CRONOPLE!$F$15,$M154-$A$15,BD$13)=0,10^12,OFFSET(CRONOPLE!$F$15,$M154-$A$15,BD$13)))</f>
        <v>0</v>
      </c>
      <c r="BE154" s="171">
        <f ca="1">IF(OR($D154&lt;&gt;"Serviço",AND(AUTOEVENTO="Manual",$M154=$A$15)),0,
         IF(OFFSET(CRONOPLE!$F$15,$M154-$A$15,BE$13)=0,10^12,OFFSET(CRONOPLE!$F$15,$M154-$A$15,BE$13)))</f>
        <v>0</v>
      </c>
      <c r="BF154" s="171">
        <f ca="1">IF(OR($D154&lt;&gt;"Serviço",AND(AUTOEVENTO="Manual",$M154=$A$15)),0,
         IF(OFFSET(CRONOPLE!$F$15,$M154-$A$15,BF$13)=0,10^12,OFFSET(CRONOPLE!$F$15,$M154-$A$15,BF$13)))</f>
        <v>0</v>
      </c>
      <c r="BG154" s="171">
        <f ca="1">IF(OR($D154&lt;&gt;"Serviço",AND(AUTOEVENTO="Manual",$M154=$A$15)),0,
         IF(OFFSET(CRONOPLE!$F$15,$M154-$A$15,BG$13)=0,10^12,OFFSET(CRONOPLE!$F$15,$M154-$A$15,BG$13)))</f>
        <v>0</v>
      </c>
      <c r="BH154" s="171">
        <f ca="1">IF(OR($D154&lt;&gt;"Serviço",AND(AUTOEVENTO="Manual",$M154=$A$15)),0,
         IF(OFFSET(CRONOPLE!$F$15,$M154-$A$15,BH$13)=0,10^12,OFFSET(CRONOPLE!$F$15,$M154-$A$15,BH$13)))</f>
        <v>0</v>
      </c>
      <c r="BI154" s="171">
        <f ca="1">IF(OR($D154&lt;&gt;"Serviço",AND(AUTOEVENTO="Manual",$M154=$A$15)),0,
         IF(OFFSET(CRONOPLE!$F$15,$M154-$A$15,BI$13)=0,10^12,OFFSET(CRONOPLE!$F$15,$M154-$A$15,BI$13)))</f>
        <v>0</v>
      </c>
      <c r="BJ154" s="171">
        <f ca="1">IF(OR($D154&lt;&gt;"Serviço",AND(AUTOEVENTO="Manual",$M154=$A$15)),0,
         IF(OFFSET(CRONOPLE!$F$15,$M154-$A$15,BJ$13)=0,10^12,OFFSET(CRONOPLE!$F$15,$M154-$A$15,BJ$13)))</f>
        <v>0</v>
      </c>
      <c r="BK154" s="171">
        <f ca="1">IF(OR($D154&lt;&gt;"Serviço",AND(AUTOEVENTO="Manual",$M154=$A$15)),0,
         IF(OFFSET(CRONOPLE!$F$15,$M154-$A$15,BK$13)=0,10^12,OFFSET(CRONOPLE!$F$15,$M154-$A$15,BK$13)))</f>
        <v>0</v>
      </c>
      <c r="BL154" s="171">
        <f ca="1">IF(OR($D154&lt;&gt;"Serviço",AND(AUTOEVENTO="Manual",$M154=$A$15)),0,
         IF(OFFSET(CRONOPLE!$F$15,$M154-$A$15,BL$13)=0,10^12,OFFSET(CRONOPLE!$F$15,$M154-$A$15,BL$13)))</f>
        <v>0</v>
      </c>
      <c r="BM154" s="171">
        <f ca="1">IF(OR($D154&lt;&gt;"Serviço",AND(AUTOEVENTO="Manual",$M154=$A$15)),0,
         IF(OFFSET(CRONOPLE!$F$15,$M154-$A$15,BM$13)=0,10^12,OFFSET(CRONOPLE!$F$15,$M154-$A$15,BM$13)))</f>
        <v>0</v>
      </c>
      <c r="BN154" s="171">
        <f ca="1">IF(OR($D154&lt;&gt;"Serviço",AND(AUTOEVENTO="Manual",$M154=$A$15)),0,
         IF(OFFSET(CRONOPLE!$F$15,$M154-$A$15,BN$13)=0,10^12,OFFSET(CRONOPLE!$F$15,$M154-$A$15,BN$13)))</f>
        <v>0</v>
      </c>
      <c r="BO154" s="171">
        <f ca="1">IF(OR($D154&lt;&gt;"Serviço",AND(AUTOEVENTO="Manual",$M154=$A$15)),0,
         IF(OFFSET(CRONOPLE!$F$15,$M154-$A$15,BO$13)=0,10^12,OFFSET(CRONOPLE!$F$15,$M154-$A$15,BO$13)))</f>
        <v>0</v>
      </c>
      <c r="BP154" s="171">
        <f ca="1">IF(OR($D154&lt;&gt;"Serviço",AND(AUTOEVENTO="Manual",$M154=$A$15)),0,
         IF(OFFSET(CRONOPLE!$F$15,$M154-$A$15,BP$13)=0,10^12,OFFSET(CRONOPLE!$F$15,$M154-$A$15,BP$13)))</f>
        <v>0</v>
      </c>
      <c r="BQ154" s="171">
        <f ca="1">IF(OR($D154&lt;&gt;"Serviço",AND(AUTOEVENTO="Manual",$M154=$A$15)),0,
         IF(OFFSET(CRONOPLE!$F$15,$M154-$A$15,BQ$13)=0,10^12,OFFSET(CRONOPLE!$F$15,$M154-$A$15,BQ$13)))</f>
        <v>0</v>
      </c>
      <c r="BR154" s="171">
        <f ca="1">IF(OR($D154&lt;&gt;"Serviço",AND(AUTOEVENTO="Manual",$M154=$A$15)),0,
         IF(OFFSET(CRONOPLE!$F$15,$M154-$A$15,BR$13)=0,10^12,OFFSET(CRONOPLE!$F$15,$M154-$A$15,BR$13)))</f>
        <v>0</v>
      </c>
      <c r="BS154" s="171">
        <f ca="1">IF(OR($D154&lt;&gt;"Serviço",AND(AUTOEVENTO="Manual",$M154=$A$15)),0,
         IF(OFFSET(CRONOPLE!$F$15,$M154-$A$15,BS$13)=0,10^12,OFFSET(CRONOPLE!$F$15,$M154-$A$15,BS$13)))</f>
        <v>0</v>
      </c>
      <c r="BT154" s="171">
        <f ca="1">IF(OR($D154&lt;&gt;"Serviço",AND(AUTOEVENTO="Manual",$M154=$A$15)),0,
         IF(OFFSET(CRONOPLE!$F$15,$M154-$A$15,BT$13)=0,10^12,OFFSET(CRONOPLE!$F$15,$M154-$A$15,BT$13)))</f>
        <v>0</v>
      </c>
      <c r="BV154" s="172" cm="1">
        <f t="array" aca="1" ref="BV154" ca="1">IF(OR($D154&lt;&gt;"Serviço",AND(AUTOEVENTO="Manual",$M154=$A$15),$M154&gt;(ROW(PLE.lastrow)-ROW(PLE.firstrow))),0,
           IF(OFFSET(PLE!$G$15,$M154-$A$15,BV$13)="",10^12,OFFSET(PLE!$G$15,$M154-$A$15,BV$13)))</f>
        <v>0</v>
      </c>
      <c r="BW154" s="172" cm="1">
        <f t="array" aca="1" ref="BW154" ca="1">IF(OR($D154&lt;&gt;"Serviço",AND(AUTOEVENTO="Manual",$M154=$A$15),$M154&gt;(ROW(PLE.lastrow)-ROW(PLE.firstrow))),0,
           IF(OFFSET(PLE!$G$15,$M154-$A$15,BW$13)="",10^12,OFFSET(PLE!$G$15,$M154-$A$15,BW$13)))</f>
        <v>0</v>
      </c>
      <c r="BX154" s="172" cm="1">
        <f t="array" aca="1" ref="BX154" ca="1">IF(OR($D154&lt;&gt;"Serviço",AND(AUTOEVENTO="Manual",$M154=$A$15),$M154&gt;(ROW(PLE.lastrow)-ROW(PLE.firstrow))),0,
           IF(OFFSET(PLE!$G$15,$M154-$A$15,BX$13)="",10^12,OFFSET(PLE!$G$15,$M154-$A$15,BX$13)))</f>
        <v>0</v>
      </c>
      <c r="BY154" s="172" cm="1">
        <f t="array" aca="1" ref="BY154" ca="1">IF(OR($D154&lt;&gt;"Serviço",AND(AUTOEVENTO="Manual",$M154=$A$15),$M154&gt;(ROW(PLE.lastrow)-ROW(PLE.firstrow))),0,
           IF(OFFSET(PLE!$G$15,$M154-$A$15,BY$13)="",10^12,OFFSET(PLE!$G$15,$M154-$A$15,BY$13)))</f>
        <v>0</v>
      </c>
      <c r="BZ154" s="172" cm="1">
        <f t="array" aca="1" ref="BZ154" ca="1">IF(OR($D154&lt;&gt;"Serviço",AND(AUTOEVENTO="Manual",$M154=$A$15),$M154&gt;(ROW(PLE.lastrow)-ROW(PLE.firstrow))),0,
           IF(OFFSET(PLE!$G$15,$M154-$A$15,BZ$13)="",10^12,OFFSET(PLE!$G$15,$M154-$A$15,BZ$13)))</f>
        <v>0</v>
      </c>
      <c r="CA154" s="172" cm="1">
        <f t="array" aca="1" ref="CA154" ca="1">IF(OR($D154&lt;&gt;"Serviço",AND(AUTOEVENTO="Manual",$M154=$A$15),$M154&gt;(ROW(PLE.lastrow)-ROW(PLE.firstrow))),0,
           IF(OFFSET(PLE!$G$15,$M154-$A$15,CA$13)="",10^12,OFFSET(PLE!$G$15,$M154-$A$15,CA$13)))</f>
        <v>0</v>
      </c>
      <c r="CB154" s="172" cm="1">
        <f t="array" aca="1" ref="CB154" ca="1">IF(OR($D154&lt;&gt;"Serviço",AND(AUTOEVENTO="Manual",$M154=$A$15),$M154&gt;(ROW(PLE.lastrow)-ROW(PLE.firstrow))),0,
           IF(OFFSET(PLE!$G$15,$M154-$A$15,CB$13)="",10^12,OFFSET(PLE!$G$15,$M154-$A$15,CB$13)))</f>
        <v>0</v>
      </c>
      <c r="CC154" s="172" cm="1">
        <f t="array" aca="1" ref="CC154" ca="1">IF(OR($D154&lt;&gt;"Serviço",AND(AUTOEVENTO="Manual",$M154=$A$15),$M154&gt;(ROW(PLE.lastrow)-ROW(PLE.firstrow))),0,
           IF(OFFSET(PLE!$G$15,$M154-$A$15,CC$13)="",10^12,OFFSET(PLE!$G$15,$M154-$A$15,CC$13)))</f>
        <v>0</v>
      </c>
      <c r="CD154" s="172" cm="1">
        <f t="array" aca="1" ref="CD154" ca="1">IF(OR($D154&lt;&gt;"Serviço",AND(AUTOEVENTO="Manual",$M154=$A$15),$M154&gt;(ROW(PLE.lastrow)-ROW(PLE.firstrow))),0,
           IF(OFFSET(PLE!$G$15,$M154-$A$15,CD$13)="",10^12,OFFSET(PLE!$G$15,$M154-$A$15,CD$13)))</f>
        <v>0</v>
      </c>
      <c r="CE154" s="172" cm="1">
        <f t="array" aca="1" ref="CE154" ca="1">IF(OR($D154&lt;&gt;"Serviço",AND(AUTOEVENTO="Manual",$M154=$A$15),$M154&gt;(ROW(PLE.lastrow)-ROW(PLE.firstrow))),0,
           IF(OFFSET(PLE!$G$15,$M154-$A$15,CE$13)="",10^12,OFFSET(PLE!$G$15,$M154-$A$15,CE$13)))</f>
        <v>0</v>
      </c>
      <c r="CF154" s="172" cm="1">
        <f t="array" aca="1" ref="CF154" ca="1">IF(OR($D154&lt;&gt;"Serviço",AND(AUTOEVENTO="Manual",$M154=$A$15),$M154&gt;(ROW(PLE.lastrow)-ROW(PLE.firstrow))),0,
           IF(OFFSET(PLE!$G$15,$M154-$A$15,CF$13)="",10^12,OFFSET(PLE!$G$15,$M154-$A$15,CF$13)))</f>
        <v>0</v>
      </c>
      <c r="CG154" s="172" cm="1">
        <f t="array" aca="1" ref="CG154" ca="1">IF(OR($D154&lt;&gt;"Serviço",AND(AUTOEVENTO="Manual",$M154=$A$15),$M154&gt;(ROW(PLE.lastrow)-ROW(PLE.firstrow))),0,
           IF(OFFSET(PLE!$G$15,$M154-$A$15,CG$13)="",10^12,OFFSET(PLE!$G$15,$M154-$A$15,CG$13)))</f>
        <v>0</v>
      </c>
      <c r="CH154" s="172" cm="1">
        <f t="array" aca="1" ref="CH154" ca="1">IF(OR($D154&lt;&gt;"Serviço",AND(AUTOEVENTO="Manual",$M154=$A$15),$M154&gt;(ROW(PLE.lastrow)-ROW(PLE.firstrow))),0,
           IF(OFFSET(PLE!$G$15,$M154-$A$15,CH$13)="",10^12,OFFSET(PLE!$G$15,$M154-$A$15,CH$13)))</f>
        <v>0</v>
      </c>
      <c r="CI154" s="172" cm="1">
        <f t="array" aca="1" ref="CI154" ca="1">IF(OR($D154&lt;&gt;"Serviço",AND(AUTOEVENTO="Manual",$M154=$A$15),$M154&gt;(ROW(PLE.lastrow)-ROW(PLE.firstrow))),0,
           IF(OFFSET(PLE!$G$15,$M154-$A$15,CI$13)="",10^12,OFFSET(PLE!$G$15,$M154-$A$15,CI$13)))</f>
        <v>0</v>
      </c>
      <c r="CJ154" s="172" cm="1">
        <f t="array" aca="1" ref="CJ154" ca="1">IF(OR($D154&lt;&gt;"Serviço",AND(AUTOEVENTO="Manual",$M154=$A$15),$M154&gt;(ROW(PLE.lastrow)-ROW(PLE.firstrow))),0,
           IF(OFFSET(PLE!$G$15,$M154-$A$15,CJ$13)="",10^12,OFFSET(PLE!$G$15,$M154-$A$15,CJ$13)))</f>
        <v>0</v>
      </c>
      <c r="CK154" s="172" cm="1">
        <f t="array" aca="1" ref="CK154" ca="1">IF(OR($D154&lt;&gt;"Serviço",AND(AUTOEVENTO="Manual",$M154=$A$15),$M154&gt;(ROW(PLE.lastrow)-ROW(PLE.firstrow))),0,
           IF(OFFSET(PLE!$G$15,$M154-$A$15,CK$13)="",10^12,OFFSET(PLE!$G$15,$M154-$A$15,CK$13)))</f>
        <v>0</v>
      </c>
      <c r="CL154" s="172" cm="1">
        <f t="array" aca="1" ref="CL154" ca="1">IF(OR($D154&lt;&gt;"Serviço",AND(AUTOEVENTO="Manual",$M154=$A$15),$M154&gt;(ROW(PLE.lastrow)-ROW(PLE.firstrow))),0,
           IF(OFFSET(PLE!$G$15,$M154-$A$15,CL$13)="",10^12,OFFSET(PLE!$G$15,$M154-$A$15,CL$13)))</f>
        <v>0</v>
      </c>
      <c r="CM154" s="172" cm="1">
        <f t="array" aca="1" ref="CM154" ca="1">IF(OR($D154&lt;&gt;"Serviço",AND(AUTOEVENTO="Manual",$M154=$A$15),$M154&gt;(ROW(PLE.lastrow)-ROW(PLE.firstrow))),0,
           IF(OFFSET(PLE!$G$15,$M154-$A$15,CM$13)="",10^12,OFFSET(PLE!$G$15,$M154-$A$15,CM$13)))</f>
        <v>0</v>
      </c>
    </row>
    <row r="155" spans="1:91" s="670" customFormat="1" ht="38.25" x14ac:dyDescent="0.2">
      <c r="A155" s="668">
        <f t="shared" ca="1" si="14"/>
        <v>28</v>
      </c>
      <c r="B155" s="668" t="str">
        <f ca="1">OFFSET(ORÇAMENTO!C$15,$L155,0)</f>
        <v>S</v>
      </c>
      <c r="C155" s="668" t="str">
        <f ca="1">OFFSET(ORÇAMENTO!L$15,$L155,0)</f>
        <v>F</v>
      </c>
      <c r="D155" s="116" t="str">
        <f ca="1">OFFSET(ORÇAMENTO!N$15,$L155,0)</f>
        <v>Serviço</v>
      </c>
      <c r="E155" s="117" t="str">
        <f ca="1">OFFSET(ORÇAMENTO!O$15,$L155,0)</f>
        <v>1.20.1.</v>
      </c>
      <c r="F155" s="163" t="str">
        <f ca="1">OFFSET(ORÇAMENTO!R$15,$L155,0)</f>
        <v>BLOQUETE/PISO DE CONCRETO - MODELO PISOGRAMA/CONCREGRAMA 2 FUROS, DIMENSOES APROX. DE *35 X 15* CM E ESPESSURA DE 7 CM (+/- 1 CM), COR NATURAL</v>
      </c>
      <c r="G155" s="164">
        <f ca="1">IF($D155&lt;&gt;"Serviço","",OFFSET(ORÇAMENTO!S$15,$L155,0))</f>
        <v>0</v>
      </c>
      <c r="H155" s="122" cm="1">
        <f t="array" aca="1" ref="H155" ca="1">IF($D155&lt;&gt;"Serviço",0,IF(ACOMPANHAMENTO="BM",ROUND(OFFSET(ORÇAMENTO!AJ$15,$L155,0),15-13*ORÇAMENTO!$AF$7),IF(IFERROR(CÁLCULO.FrentesPreenchidas,0)=0,0,SUM(ROUND(OFFSET($P155,0,1,1,CÁLCULO.FrentesPreenchidas),15-13*ORÇAMENTO!$AF$7)))))</f>
        <v>42.24</v>
      </c>
      <c r="I155" s="468" t="s">
        <v>1199</v>
      </c>
      <c r="J155" s="651" t="str" cm="1">
        <f t="array" aca="1" ref="J155" ca="1">IF(OR(B155&lt;&gt;"S",CÁLCULO.FrentesPreenchidas=0),"",IF(AND(ACOMPANHAMENTO="PLE",AUTOEVENTO="Manual",OR(H155&gt;0,ORÇAMENTO!AC155="QUANT."),OR(K155="",M155=0,N155="")),"►E",IF(AND(ACOMPANHAMENTO="PLE",ORÇAMENTO!AC155="QUANT."),"►Q",IF(AND(ACOMPANHAMENTO="PLE",H155&lt;&gt;SUMPRODUCT(($Q$1:$AI$1=1)*ROUND(Q155:AI155,15))),"►S",IF(AND(COUNTIF($P$11:$AI$11,"▼")=0,H155&gt;0,I155=""),"◄M","")))))</f>
        <v/>
      </c>
      <c r="K155" s="652" t="s">
        <v>1363</v>
      </c>
      <c r="L155" s="165">
        <f t="shared" ca="1" si="15"/>
        <v>140</v>
      </c>
      <c r="M155" s="166">
        <f ca="1">IF($D155&lt;&gt;"Serviço","",
          IF(AUTOEVENTO="manual",$A155,
                IF(ISERROR(MATCH($A155,$A$15:OFFSET($A155,-1,0),0)),MAX($M$15:OFFSET(M155,-1,0))+1,
                      INDEX($M$15:OFFSET(M155,-1,0),MATCH($A155,$A$15:OFFSET($A155,-1,0),0)))))</f>
        <v>28</v>
      </c>
      <c r="N155" s="167" t="str">
        <f ca="1">IF($D155&lt;&gt;"Serviço","",
         IF(AUTOEVENTO="Manual",
                IF($A155=0,"&lt;-- defina o número do agrupador",
                       OFFSET(EVENTOS!$D$15,$A155-$A$15,0)),
                OFFSET($F$15,$A155,0)))</f>
        <v>Pavimentação</v>
      </c>
      <c r="O155" s="168"/>
      <c r="Q155" s="168"/>
      <c r="R155" s="169"/>
      <c r="S155" s="169"/>
      <c r="T155" s="169"/>
      <c r="U155" s="169"/>
      <c r="V155" s="169">
        <v>42.24</v>
      </c>
      <c r="W155" s="169"/>
      <c r="X155" s="169"/>
      <c r="Y155" s="169"/>
      <c r="Z155" s="170"/>
      <c r="AA155" s="705"/>
      <c r="AB155" s="705"/>
      <c r="AC155" s="705"/>
      <c r="AD155" s="705"/>
      <c r="AE155" s="705"/>
      <c r="AF155" s="705"/>
      <c r="AG155" s="705"/>
      <c r="AH155" s="706"/>
      <c r="AJ155" s="453">
        <f ca="1">IF(AND($D155="Serviço",AJ$12&lt;&gt;0,$H155&gt;0,OR(AUTOEVENTO&lt;&gt;"manual",$M155&lt;&gt;$A$15)),
        IF(Import.TipoArredondamento&lt;&gt;"TransfereGOV",
              ROUND(OFFSET($P155,0,AJ$13),15-13*ORÇAMENTO!$AF$7)/$H155*OFFSET(ORÇAMENTO!$X$15,ROW(AJ155)-ROW(AJ$15),0),
              ROUND(ROUND(OFFSET($P155,0,AJ$13),15-13*ORÇAMENTO!$AF$7)*OFFSET(ORÇAMENTO!$W$15,ROW(AJ155)-ROW(AJ$15),0),15-13*ORÇAMENTO!$AF$11)),
         0)</f>
        <v>0</v>
      </c>
      <c r="AK155" s="453">
        <f ca="1">IF(AND($D155="Serviço",AK$12&lt;&gt;0,$H155&gt;0,OR(AUTOEVENTO&lt;&gt;"manual",$M155&lt;&gt;$A$15)),
        IF(Import.TipoArredondamento&lt;&gt;"TransfereGOV",
              ROUND(OFFSET($P155,0,AK$13),15-13*ORÇAMENTO!$AF$7)/$H155*OFFSET(ORÇAMENTO!$X$15,ROW(AK155)-ROW(AK$15),0),
              ROUND(ROUND(OFFSET($P155,0,AK$13),15-13*ORÇAMENTO!$AF$7)*OFFSET(ORÇAMENTO!$W$15,ROW(AK155)-ROW(AK$15),0),15-13*ORÇAMENTO!$AF$11)),
         0)</f>
        <v>0</v>
      </c>
      <c r="AL155" s="453">
        <f ca="1">IF(AND($D155="Serviço",AL$12&lt;&gt;0,$H155&gt;0,OR(AUTOEVENTO&lt;&gt;"manual",$M155&lt;&gt;$A$15)),
        IF(Import.TipoArredondamento&lt;&gt;"TransfereGOV",
              ROUND(OFFSET($P155,0,AL$13),15-13*ORÇAMENTO!$AF$7)/$H155*OFFSET(ORÇAMENTO!$X$15,ROW(AL155)-ROW(AL$15),0),
              ROUND(ROUND(OFFSET($P155,0,AL$13),15-13*ORÇAMENTO!$AF$7)*OFFSET(ORÇAMENTO!$W$15,ROW(AL155)-ROW(AL$15),0),15-13*ORÇAMENTO!$AF$11)),
         0)</f>
        <v>0</v>
      </c>
      <c r="AM155" s="453">
        <f ca="1">IF(AND($D155="Serviço",AM$12&lt;&gt;0,$H155&gt;0,OR(AUTOEVENTO&lt;&gt;"manual",$M155&lt;&gt;$A$15)),
        IF(Import.TipoArredondamento&lt;&gt;"TransfereGOV",
              ROUND(OFFSET($P155,0,AM$13),15-13*ORÇAMENTO!$AF$7)/$H155*OFFSET(ORÇAMENTO!$X$15,ROW(AM155)-ROW(AM$15),0),
              ROUND(ROUND(OFFSET($P155,0,AM$13),15-13*ORÇAMENTO!$AF$7)*OFFSET(ORÇAMENTO!$W$15,ROW(AM155)-ROW(AM$15),0),15-13*ORÇAMENTO!$AF$11)),
         0)</f>
        <v>0</v>
      </c>
      <c r="AN155" s="453">
        <f ca="1">IF(AND($D155="Serviço",AN$12&lt;&gt;0,$H155&gt;0,OR(AUTOEVENTO&lt;&gt;"manual",$M155&lt;&gt;$A$15)),
        IF(Import.TipoArredondamento&lt;&gt;"TransfereGOV",
              ROUND(OFFSET($P155,0,AN$13),15-13*ORÇAMENTO!$AF$7)/$H155*OFFSET(ORÇAMENTO!$X$15,ROW(AN155)-ROW(AN$15),0),
              ROUND(ROUND(OFFSET($P155,0,AN$13),15-13*ORÇAMENTO!$AF$7)*OFFSET(ORÇAMENTO!$W$15,ROW(AN155)-ROW(AN$15),0),15-13*ORÇAMENTO!$AF$11)),
         0)</f>
        <v>0</v>
      </c>
      <c r="AO155" s="453">
        <f ca="1">IF(AND($D155="Serviço",AO$12&lt;&gt;0,$H155&gt;0,OR(AUTOEVENTO&lt;&gt;"manual",$M155&lt;&gt;$A$15)),
        IF(Import.TipoArredondamento&lt;&gt;"TransfereGOV",
              ROUND(OFFSET($P155,0,AO$13),15-13*ORÇAMENTO!$AF$7)/$H155*OFFSET(ORÇAMENTO!$X$15,ROW(AO155)-ROW(AO$15),0),
              ROUND(ROUND(OFFSET($P155,0,AO$13),15-13*ORÇAMENTO!$AF$7)*OFFSET(ORÇAMENTO!$W$15,ROW(AO155)-ROW(AO$15),0),15-13*ORÇAMENTO!$AF$11)),
         0)</f>
        <v>5078.09</v>
      </c>
      <c r="AP155" s="453">
        <f ca="1">IF(AND($D155="Serviço",AP$12&lt;&gt;0,$H155&gt;0,OR(AUTOEVENTO&lt;&gt;"manual",$M155&lt;&gt;$A$15)),
        IF(Import.TipoArredondamento&lt;&gt;"TransfereGOV",
              ROUND(OFFSET($P155,0,AP$13),15-13*ORÇAMENTO!$AF$7)/$H155*OFFSET(ORÇAMENTO!$X$15,ROW(AP155)-ROW(AP$15),0),
              ROUND(ROUND(OFFSET($P155,0,AP$13),15-13*ORÇAMENTO!$AF$7)*OFFSET(ORÇAMENTO!$W$15,ROW(AP155)-ROW(AP$15),0),15-13*ORÇAMENTO!$AF$11)),
         0)</f>
        <v>0</v>
      </c>
      <c r="AQ155" s="453">
        <f ca="1">IF(AND($D155="Serviço",AQ$12&lt;&gt;0,$H155&gt;0,OR(AUTOEVENTO&lt;&gt;"manual",$M155&lt;&gt;$A$15)),
        IF(Import.TipoArredondamento&lt;&gt;"TransfereGOV",
              ROUND(OFFSET($P155,0,AQ$13),15-13*ORÇAMENTO!$AF$7)/$H155*OFFSET(ORÇAMENTO!$X$15,ROW(AQ155)-ROW(AQ$15),0),
              ROUND(ROUND(OFFSET($P155,0,AQ$13),15-13*ORÇAMENTO!$AF$7)*OFFSET(ORÇAMENTO!$W$15,ROW(AQ155)-ROW(AQ$15),0),15-13*ORÇAMENTO!$AF$11)),
         0)</f>
        <v>0</v>
      </c>
      <c r="AR155" s="453">
        <f ca="1">IF(AND($D155="Serviço",AR$12&lt;&gt;0,$H155&gt;0,OR(AUTOEVENTO&lt;&gt;"manual",$M155&lt;&gt;$A$15)),
        IF(Import.TipoArredondamento&lt;&gt;"TransfereGOV",
              ROUND(OFFSET($P155,0,AR$13),15-13*ORÇAMENTO!$AF$7)/$H155*OFFSET(ORÇAMENTO!$X$15,ROW(AR155)-ROW(AR$15),0),
              ROUND(ROUND(OFFSET($P155,0,AR$13),15-13*ORÇAMENTO!$AF$7)*OFFSET(ORÇAMENTO!$W$15,ROW(AR155)-ROW(AR$15),0),15-13*ORÇAMENTO!$AF$11)),
         0)</f>
        <v>0</v>
      </c>
      <c r="AS155" s="453">
        <f ca="1">IF(AND($D155="Serviço",AS$12&lt;&gt;0,$H155&gt;0,OR(AUTOEVENTO&lt;&gt;"manual",$M155&lt;&gt;$A$15)),
        IF(Import.TipoArredondamento&lt;&gt;"TransfereGOV",
              ROUND(OFFSET($P155,0,AS$13),15-13*ORÇAMENTO!$AF$7)/$H155*OFFSET(ORÇAMENTO!$X$15,ROW(AS155)-ROW(AS$15),0),
              ROUND(ROUND(OFFSET($P155,0,AS$13),15-13*ORÇAMENTO!$AF$7)*OFFSET(ORÇAMENTO!$W$15,ROW(AS155)-ROW(AS$15),0),15-13*ORÇAMENTO!$AF$11)),
         0)</f>
        <v>0</v>
      </c>
      <c r="AT155" s="453">
        <f ca="1">IF(AND($D155="Serviço",AT$12&lt;&gt;0,$H155&gt;0,OR(AUTOEVENTO&lt;&gt;"manual",$M155&lt;&gt;$A$15)),
        IF(Import.TipoArredondamento&lt;&gt;"TransfereGOV",
              ROUND(OFFSET($P155,0,AT$13),15-13*ORÇAMENTO!$AF$7)/$H155*OFFSET(ORÇAMENTO!$X$15,ROW(AT155)-ROW(AT$15),0),
              ROUND(ROUND(OFFSET($P155,0,AT$13),15-13*ORÇAMENTO!$AF$7)*OFFSET(ORÇAMENTO!$W$15,ROW(AT155)-ROW(AT$15),0),15-13*ORÇAMENTO!$AF$11)),
         0)</f>
        <v>0</v>
      </c>
      <c r="AU155" s="453">
        <f ca="1">IF(AND($D155="Serviço",AU$12&lt;&gt;0,$H155&gt;0,OR(AUTOEVENTO&lt;&gt;"manual",$M155&lt;&gt;$A$15)),
        IF(Import.TipoArredondamento&lt;&gt;"TransfereGOV",
              ROUND(OFFSET($P155,0,AU$13),15-13*ORÇAMENTO!$AF$7)/$H155*OFFSET(ORÇAMENTO!$X$15,ROW(AU155)-ROW(AU$15),0),
              ROUND(ROUND(OFFSET($P155,0,AU$13),15-13*ORÇAMENTO!$AF$7)*OFFSET(ORÇAMENTO!$W$15,ROW(AU155)-ROW(AU$15),0),15-13*ORÇAMENTO!$AF$11)),
         0)</f>
        <v>0</v>
      </c>
      <c r="AV155" s="453">
        <f ca="1">IF(AND($D155="Serviço",AV$12&lt;&gt;0,$H155&gt;0,OR(AUTOEVENTO&lt;&gt;"manual",$M155&lt;&gt;$A$15)),
        IF(Import.TipoArredondamento&lt;&gt;"TransfereGOV",
              ROUND(OFFSET($P155,0,AV$13),15-13*ORÇAMENTO!$AF$7)/$H155*OFFSET(ORÇAMENTO!$X$15,ROW(AV155)-ROW(AV$15),0),
              ROUND(ROUND(OFFSET($P155,0,AV$13),15-13*ORÇAMENTO!$AF$7)*OFFSET(ORÇAMENTO!$W$15,ROW(AV155)-ROW(AV$15),0),15-13*ORÇAMENTO!$AF$11)),
         0)</f>
        <v>0</v>
      </c>
      <c r="AW155" s="453">
        <f ca="1">IF(AND($D155="Serviço",AW$12&lt;&gt;0,$H155&gt;0,OR(AUTOEVENTO&lt;&gt;"manual",$M155&lt;&gt;$A$15)),
        IF(Import.TipoArredondamento&lt;&gt;"TransfereGOV",
              ROUND(OFFSET($P155,0,AW$13),15-13*ORÇAMENTO!$AF$7)/$H155*OFFSET(ORÇAMENTO!$X$15,ROW(AW155)-ROW(AW$15),0),
              ROUND(ROUND(OFFSET($P155,0,AW$13),15-13*ORÇAMENTO!$AF$7)*OFFSET(ORÇAMENTO!$W$15,ROW(AW155)-ROW(AW$15),0),15-13*ORÇAMENTO!$AF$11)),
         0)</f>
        <v>0</v>
      </c>
      <c r="AX155" s="453">
        <f ca="1">IF(AND($D155="Serviço",AX$12&lt;&gt;0,$H155&gt;0,OR(AUTOEVENTO&lt;&gt;"manual",$M155&lt;&gt;$A$15)),
        IF(Import.TipoArredondamento&lt;&gt;"TransfereGOV",
              ROUND(OFFSET($P155,0,AX$13),15-13*ORÇAMENTO!$AF$7)/$H155*OFFSET(ORÇAMENTO!$X$15,ROW(AX155)-ROW(AX$15),0),
              ROUND(ROUND(OFFSET($P155,0,AX$13),15-13*ORÇAMENTO!$AF$7)*OFFSET(ORÇAMENTO!$W$15,ROW(AX155)-ROW(AX$15),0),15-13*ORÇAMENTO!$AF$11)),
         0)</f>
        <v>0</v>
      </c>
      <c r="AY155" s="453">
        <f ca="1">IF(AND($D155="Serviço",AY$12&lt;&gt;0,$H155&gt;0,OR(AUTOEVENTO&lt;&gt;"manual",$M155&lt;&gt;$A$15)),
        IF(Import.TipoArredondamento&lt;&gt;"TransfereGOV",
              ROUND(OFFSET($P155,0,AY$13),15-13*ORÇAMENTO!$AF$7)/$H155*OFFSET(ORÇAMENTO!$X$15,ROW(AY155)-ROW(AY$15),0),
              ROUND(ROUND(OFFSET($P155,0,AY$13),15-13*ORÇAMENTO!$AF$7)*OFFSET(ORÇAMENTO!$W$15,ROW(AY155)-ROW(AY$15),0),15-13*ORÇAMENTO!$AF$11)),
         0)</f>
        <v>0</v>
      </c>
      <c r="AZ155" s="453">
        <f ca="1">IF(AND($D155="Serviço",AZ$12&lt;&gt;0,$H155&gt;0,OR(AUTOEVENTO&lt;&gt;"manual",$M155&lt;&gt;$A$15)),
        IF(Import.TipoArredondamento&lt;&gt;"TransfereGOV",
              ROUND(OFFSET($P155,0,AZ$13),15-13*ORÇAMENTO!$AF$7)/$H155*OFFSET(ORÇAMENTO!$X$15,ROW(AZ155)-ROW(AZ$15),0),
              ROUND(ROUND(OFFSET($P155,0,AZ$13),15-13*ORÇAMENTO!$AF$7)*OFFSET(ORÇAMENTO!$W$15,ROW(AZ155)-ROW(AZ$15),0),15-13*ORÇAMENTO!$AF$11)),
         0)</f>
        <v>0</v>
      </c>
      <c r="BA155" s="453">
        <f ca="1">IF(AND($D155="Serviço",BA$12&lt;&gt;0,$H155&gt;0,OR(AUTOEVENTO&lt;&gt;"manual",$M155&lt;&gt;$A$15)),
        IF(Import.TipoArredondamento&lt;&gt;"TransfereGOV",
              ROUND(OFFSET($P155,0,BA$13),15-13*ORÇAMENTO!$AF$7)/$H155*OFFSET(ORÇAMENTO!$X$15,ROW(BA155)-ROW(BA$15),0),
              ROUND(ROUND(OFFSET($P155,0,BA$13),15-13*ORÇAMENTO!$AF$7)*OFFSET(ORÇAMENTO!$W$15,ROW(BA155)-ROW(BA$15),0),15-13*ORÇAMENTO!$AF$11)),
         0)</f>
        <v>0</v>
      </c>
      <c r="BC155" s="171">
        <f ca="1">IF(OR($D155&lt;&gt;"Serviço",AND(AUTOEVENTO="Manual",$M155=$A$15)),0,
         IF(OFFSET(CRONOPLE!$F$15,$M155-$A$15,BC$13)=0,10^12,OFFSET(CRONOPLE!$F$15,$M155-$A$15,BC$13)))</f>
        <v>1000000000000</v>
      </c>
      <c r="BD155" s="171">
        <f ca="1">IF(OR($D155&lt;&gt;"Serviço",AND(AUTOEVENTO="Manual",$M155=$A$15)),0,
         IF(OFFSET(CRONOPLE!$F$15,$M155-$A$15,BD$13)=0,10^12,OFFSET(CRONOPLE!$F$15,$M155-$A$15,BD$13)))</f>
        <v>1000000000000</v>
      </c>
      <c r="BE155" s="171">
        <f ca="1">IF(OR($D155&lt;&gt;"Serviço",AND(AUTOEVENTO="Manual",$M155=$A$15)),0,
         IF(OFFSET(CRONOPLE!$F$15,$M155-$A$15,BE$13)=0,10^12,OFFSET(CRONOPLE!$F$15,$M155-$A$15,BE$13)))</f>
        <v>1000000000000</v>
      </c>
      <c r="BF155" s="171">
        <f ca="1">IF(OR($D155&lt;&gt;"Serviço",AND(AUTOEVENTO="Manual",$M155=$A$15)),0,
         IF(OFFSET(CRONOPLE!$F$15,$M155-$A$15,BF$13)=0,10^12,OFFSET(CRONOPLE!$F$15,$M155-$A$15,BF$13)))</f>
        <v>1000000000000</v>
      </c>
      <c r="BG155" s="171">
        <f ca="1">IF(OR($D155&lt;&gt;"Serviço",AND(AUTOEVENTO="Manual",$M155=$A$15)),0,
         IF(OFFSET(CRONOPLE!$F$15,$M155-$A$15,BG$13)=0,10^12,OFFSET(CRONOPLE!$F$15,$M155-$A$15,BG$13)))</f>
        <v>5</v>
      </c>
      <c r="BH155" s="171">
        <f ca="1">IF(OR($D155&lt;&gt;"Serviço",AND(AUTOEVENTO="Manual",$M155=$A$15)),0,
         IF(OFFSET(CRONOPLE!$F$15,$M155-$A$15,BH$13)=0,10^12,OFFSET(CRONOPLE!$F$15,$M155-$A$15,BH$13)))</f>
        <v>11</v>
      </c>
      <c r="BI155" s="171">
        <f ca="1">IF(OR($D155&lt;&gt;"Serviço",AND(AUTOEVENTO="Manual",$M155=$A$15)),0,
         IF(OFFSET(CRONOPLE!$F$15,$M155-$A$15,BI$13)=0,10^12,OFFSET(CRONOPLE!$F$15,$M155-$A$15,BI$13)))</f>
        <v>1000000000000</v>
      </c>
      <c r="BJ155" s="171">
        <f ca="1">IF(OR($D155&lt;&gt;"Serviço",AND(AUTOEVENTO="Manual",$M155=$A$15)),0,
         IF(OFFSET(CRONOPLE!$F$15,$M155-$A$15,BJ$13)=0,10^12,OFFSET(CRONOPLE!$F$15,$M155-$A$15,BJ$13)))</f>
        <v>1000000000000</v>
      </c>
      <c r="BK155" s="171">
        <f ca="1">IF(OR($D155&lt;&gt;"Serviço",AND(AUTOEVENTO="Manual",$M155=$A$15)),0,
         IF(OFFSET(CRONOPLE!$F$15,$M155-$A$15,BK$13)=0,10^12,OFFSET(CRONOPLE!$F$15,$M155-$A$15,BK$13)))</f>
        <v>1000000000000</v>
      </c>
      <c r="BL155" s="171">
        <f ca="1">IF(OR($D155&lt;&gt;"Serviço",AND(AUTOEVENTO="Manual",$M155=$A$15)),0,
         IF(OFFSET(CRONOPLE!$F$15,$M155-$A$15,BL$13)=0,10^12,OFFSET(CRONOPLE!$F$15,$M155-$A$15,BL$13)))</f>
        <v>1000000000000</v>
      </c>
      <c r="BM155" s="171">
        <f ca="1">IF(OR($D155&lt;&gt;"Serviço",AND(AUTOEVENTO="Manual",$M155=$A$15)),0,
         IF(OFFSET(CRONOPLE!$F$15,$M155-$A$15,BM$13)=0,10^12,OFFSET(CRONOPLE!$F$15,$M155-$A$15,BM$13)))</f>
        <v>1000000000000</v>
      </c>
      <c r="BN155" s="171">
        <f ca="1">IF(OR($D155&lt;&gt;"Serviço",AND(AUTOEVENTO="Manual",$M155=$A$15)),0,
         IF(OFFSET(CRONOPLE!$F$15,$M155-$A$15,BN$13)=0,10^12,OFFSET(CRONOPLE!$F$15,$M155-$A$15,BN$13)))</f>
        <v>1000000000000</v>
      </c>
      <c r="BO155" s="171">
        <f ca="1">IF(OR($D155&lt;&gt;"Serviço",AND(AUTOEVENTO="Manual",$M155=$A$15)),0,
         IF(OFFSET(CRONOPLE!$F$15,$M155-$A$15,BO$13)=0,10^12,OFFSET(CRONOPLE!$F$15,$M155-$A$15,BO$13)))</f>
        <v>1000000000000</v>
      </c>
      <c r="BP155" s="171">
        <f ca="1">IF(OR($D155&lt;&gt;"Serviço",AND(AUTOEVENTO="Manual",$M155=$A$15)),0,
         IF(OFFSET(CRONOPLE!$F$15,$M155-$A$15,BP$13)=0,10^12,OFFSET(CRONOPLE!$F$15,$M155-$A$15,BP$13)))</f>
        <v>1000000000000</v>
      </c>
      <c r="BQ155" s="171">
        <f ca="1">IF(OR($D155&lt;&gt;"Serviço",AND(AUTOEVENTO="Manual",$M155=$A$15)),0,
         IF(OFFSET(CRONOPLE!$F$15,$M155-$A$15,BQ$13)=0,10^12,OFFSET(CRONOPLE!$F$15,$M155-$A$15,BQ$13)))</f>
        <v>1000000000000</v>
      </c>
      <c r="BR155" s="171">
        <f ca="1">IF(OR($D155&lt;&gt;"Serviço",AND(AUTOEVENTO="Manual",$M155=$A$15)),0,
         IF(OFFSET(CRONOPLE!$F$15,$M155-$A$15,BR$13)=0,10^12,OFFSET(CRONOPLE!$F$15,$M155-$A$15,BR$13)))</f>
        <v>1000000000000</v>
      </c>
      <c r="BS155" s="171">
        <f ca="1">IF(OR($D155&lt;&gt;"Serviço",AND(AUTOEVENTO="Manual",$M155=$A$15)),0,
         IF(OFFSET(CRONOPLE!$F$15,$M155-$A$15,BS$13)=0,10^12,OFFSET(CRONOPLE!$F$15,$M155-$A$15,BS$13)))</f>
        <v>1000000000000</v>
      </c>
      <c r="BT155" s="171">
        <f ca="1">IF(OR($D155&lt;&gt;"Serviço",AND(AUTOEVENTO="Manual",$M155=$A$15)),0,
         IF(OFFSET(CRONOPLE!$F$15,$M155-$A$15,BT$13)=0,10^12,OFFSET(CRONOPLE!$F$15,$M155-$A$15,BT$13)))</f>
        <v>1000000000000</v>
      </c>
      <c r="BV155" s="172" cm="1">
        <f t="array" aca="1" ref="BV155" ca="1">IF(OR($D155&lt;&gt;"Serviço",AND(AUTOEVENTO="Manual",$M155=$A$15),$M155&gt;(ROW(PLE.lastrow)-ROW(PLE.firstrow))),0,
           IF(OFFSET(PLE!$G$15,$M155-$A$15,BV$13)="",10^12,OFFSET(PLE!$G$15,$M155-$A$15,BV$13)))</f>
        <v>1000000000000</v>
      </c>
      <c r="BW155" s="172" cm="1">
        <f t="array" aca="1" ref="BW155" ca="1">IF(OR($D155&lt;&gt;"Serviço",AND(AUTOEVENTO="Manual",$M155=$A$15),$M155&gt;(ROW(PLE.lastrow)-ROW(PLE.firstrow))),0,
           IF(OFFSET(PLE!$G$15,$M155-$A$15,BW$13)="",10^12,OFFSET(PLE!$G$15,$M155-$A$15,BW$13)))</f>
        <v>1000000000000</v>
      </c>
      <c r="BX155" s="172" cm="1">
        <f t="array" aca="1" ref="BX155" ca="1">IF(OR($D155&lt;&gt;"Serviço",AND(AUTOEVENTO="Manual",$M155=$A$15),$M155&gt;(ROW(PLE.lastrow)-ROW(PLE.firstrow))),0,
           IF(OFFSET(PLE!$G$15,$M155-$A$15,BX$13)="",10^12,OFFSET(PLE!$G$15,$M155-$A$15,BX$13)))</f>
        <v>1000000000000</v>
      </c>
      <c r="BY155" s="172" cm="1">
        <f t="array" aca="1" ref="BY155" ca="1">IF(OR($D155&lt;&gt;"Serviço",AND(AUTOEVENTO="Manual",$M155=$A$15),$M155&gt;(ROW(PLE.lastrow)-ROW(PLE.firstrow))),0,
           IF(OFFSET(PLE!$G$15,$M155-$A$15,BY$13)="",10^12,OFFSET(PLE!$G$15,$M155-$A$15,BY$13)))</f>
        <v>1000000000000</v>
      </c>
      <c r="BZ155" s="172" cm="1">
        <f t="array" aca="1" ref="BZ155" ca="1">IF(OR($D155&lt;&gt;"Serviço",AND(AUTOEVENTO="Manual",$M155=$A$15),$M155&gt;(ROW(PLE.lastrow)-ROW(PLE.firstrow))),0,
           IF(OFFSET(PLE!$G$15,$M155-$A$15,BZ$13)="",10^12,OFFSET(PLE!$G$15,$M155-$A$15,BZ$13)))</f>
        <v>1000000000000</v>
      </c>
      <c r="CA155" s="172" cm="1">
        <f t="array" aca="1" ref="CA155" ca="1">IF(OR($D155&lt;&gt;"Serviço",AND(AUTOEVENTO="Manual",$M155=$A$15),$M155&gt;(ROW(PLE.lastrow)-ROW(PLE.firstrow))),0,
           IF(OFFSET(PLE!$G$15,$M155-$A$15,CA$13)="",10^12,OFFSET(PLE!$G$15,$M155-$A$15,CA$13)))</f>
        <v>1000000000000</v>
      </c>
      <c r="CB155" s="172" cm="1">
        <f t="array" aca="1" ref="CB155" ca="1">IF(OR($D155&lt;&gt;"Serviço",AND(AUTOEVENTO="Manual",$M155=$A$15),$M155&gt;(ROW(PLE.lastrow)-ROW(PLE.firstrow))),0,
           IF(OFFSET(PLE!$G$15,$M155-$A$15,CB$13)="",10^12,OFFSET(PLE!$G$15,$M155-$A$15,CB$13)))</f>
        <v>1000000000000</v>
      </c>
      <c r="CC155" s="172" cm="1">
        <f t="array" aca="1" ref="CC155" ca="1">IF(OR($D155&lt;&gt;"Serviço",AND(AUTOEVENTO="Manual",$M155=$A$15),$M155&gt;(ROW(PLE.lastrow)-ROW(PLE.firstrow))),0,
           IF(OFFSET(PLE!$G$15,$M155-$A$15,CC$13)="",10^12,OFFSET(PLE!$G$15,$M155-$A$15,CC$13)))</f>
        <v>1000000000000</v>
      </c>
      <c r="CD155" s="172" cm="1">
        <f t="array" aca="1" ref="CD155" ca="1">IF(OR($D155&lt;&gt;"Serviço",AND(AUTOEVENTO="Manual",$M155=$A$15),$M155&gt;(ROW(PLE.lastrow)-ROW(PLE.firstrow))),0,
           IF(OFFSET(PLE!$G$15,$M155-$A$15,CD$13)="",10^12,OFFSET(PLE!$G$15,$M155-$A$15,CD$13)))</f>
        <v>1000000000000</v>
      </c>
      <c r="CE155" s="172" cm="1">
        <f t="array" aca="1" ref="CE155" ca="1">IF(OR($D155&lt;&gt;"Serviço",AND(AUTOEVENTO="Manual",$M155=$A$15),$M155&gt;(ROW(PLE.lastrow)-ROW(PLE.firstrow))),0,
           IF(OFFSET(PLE!$G$15,$M155-$A$15,CE$13)="",10^12,OFFSET(PLE!$G$15,$M155-$A$15,CE$13)))</f>
        <v>1000000000000</v>
      </c>
      <c r="CF155" s="172" cm="1">
        <f t="array" aca="1" ref="CF155" ca="1">IF(OR($D155&lt;&gt;"Serviço",AND(AUTOEVENTO="Manual",$M155=$A$15),$M155&gt;(ROW(PLE.lastrow)-ROW(PLE.firstrow))),0,
           IF(OFFSET(PLE!$G$15,$M155-$A$15,CF$13)="",10^12,OFFSET(PLE!$G$15,$M155-$A$15,CF$13)))</f>
        <v>1000000000000</v>
      </c>
      <c r="CG155" s="172" cm="1">
        <f t="array" aca="1" ref="CG155" ca="1">IF(OR($D155&lt;&gt;"Serviço",AND(AUTOEVENTO="Manual",$M155=$A$15),$M155&gt;(ROW(PLE.lastrow)-ROW(PLE.firstrow))),0,
           IF(OFFSET(PLE!$G$15,$M155-$A$15,CG$13)="",10^12,OFFSET(PLE!$G$15,$M155-$A$15,CG$13)))</f>
        <v>1000000000000</v>
      </c>
      <c r="CH155" s="172" cm="1">
        <f t="array" aca="1" ref="CH155" ca="1">IF(OR($D155&lt;&gt;"Serviço",AND(AUTOEVENTO="Manual",$M155=$A$15),$M155&gt;(ROW(PLE.lastrow)-ROW(PLE.firstrow))),0,
           IF(OFFSET(PLE!$G$15,$M155-$A$15,CH$13)="",10^12,OFFSET(PLE!$G$15,$M155-$A$15,CH$13)))</f>
        <v>1000000000000</v>
      </c>
      <c r="CI155" s="172" cm="1">
        <f t="array" aca="1" ref="CI155" ca="1">IF(OR($D155&lt;&gt;"Serviço",AND(AUTOEVENTO="Manual",$M155=$A$15),$M155&gt;(ROW(PLE.lastrow)-ROW(PLE.firstrow))),0,
           IF(OFFSET(PLE!$G$15,$M155-$A$15,CI$13)="",10^12,OFFSET(PLE!$G$15,$M155-$A$15,CI$13)))</f>
        <v>1000000000000</v>
      </c>
      <c r="CJ155" s="172" cm="1">
        <f t="array" aca="1" ref="CJ155" ca="1">IF(OR($D155&lt;&gt;"Serviço",AND(AUTOEVENTO="Manual",$M155=$A$15),$M155&gt;(ROW(PLE.lastrow)-ROW(PLE.firstrow))),0,
           IF(OFFSET(PLE!$G$15,$M155-$A$15,CJ$13)="",10^12,OFFSET(PLE!$G$15,$M155-$A$15,CJ$13)))</f>
        <v>1000000000000</v>
      </c>
      <c r="CK155" s="172" cm="1">
        <f t="array" aca="1" ref="CK155" ca="1">IF(OR($D155&lt;&gt;"Serviço",AND(AUTOEVENTO="Manual",$M155=$A$15),$M155&gt;(ROW(PLE.lastrow)-ROW(PLE.firstrow))),0,
           IF(OFFSET(PLE!$G$15,$M155-$A$15,CK$13)="",10^12,OFFSET(PLE!$G$15,$M155-$A$15,CK$13)))</f>
        <v>1000000000000</v>
      </c>
      <c r="CL155" s="172" cm="1">
        <f t="array" aca="1" ref="CL155" ca="1">IF(OR($D155&lt;&gt;"Serviço",AND(AUTOEVENTO="Manual",$M155=$A$15),$M155&gt;(ROW(PLE.lastrow)-ROW(PLE.firstrow))),0,
           IF(OFFSET(PLE!$G$15,$M155-$A$15,CL$13)="",10^12,OFFSET(PLE!$G$15,$M155-$A$15,CL$13)))</f>
        <v>1000000000000</v>
      </c>
      <c r="CM155" s="172" cm="1">
        <f t="array" aca="1" ref="CM155" ca="1">IF(OR($D155&lt;&gt;"Serviço",AND(AUTOEVENTO="Manual",$M155=$A$15),$M155&gt;(ROW(PLE.lastrow)-ROW(PLE.firstrow))),0,
           IF(OFFSET(PLE!$G$15,$M155-$A$15,CM$13)="",10^12,OFFSET(PLE!$G$15,$M155-$A$15,CM$13)))</f>
        <v>1000000000000</v>
      </c>
    </row>
    <row r="156" spans="1:91" s="670" customFormat="1" ht="25.5" x14ac:dyDescent="0.2">
      <c r="A156" s="668">
        <f t="shared" ca="1" si="14"/>
        <v>0</v>
      </c>
      <c r="B156" s="668">
        <f ca="1">OFFSET(ORÇAMENTO!C$15,$L156,0)</f>
        <v>2</v>
      </c>
      <c r="C156" s="668" t="str">
        <f ca="1">OFFSET(ORÇAMENTO!L$15,$L156,0)</f>
        <v>F</v>
      </c>
      <c r="D156" s="116" t="str">
        <f ca="1">OFFSET(ORÇAMENTO!N$15,$L156,0)</f>
        <v>Nível 2</v>
      </c>
      <c r="E156" s="117" t="str">
        <f ca="1">OFFSET(ORÇAMENTO!O$15,$L156,0)</f>
        <v>1.21.</v>
      </c>
      <c r="F156" s="163" t="str">
        <f ca="1">OFFSET(ORÇAMENTO!R$15,$L156,0)</f>
        <v>MATERIAIS E EQUIPAMENTOS HIDRAULICOS PARA BARRILETE - Estação Elevatória de Água Tratada</v>
      </c>
      <c r="G156" s="164" t="str">
        <f ca="1">IF($D156&lt;&gt;"Serviço","",OFFSET(ORÇAMENTO!S$15,$L156,0))</f>
        <v/>
      </c>
      <c r="H156" s="122" cm="1">
        <f t="array" aca="1" ref="H156" ca="1">IF($D156&lt;&gt;"Serviço",0,IF(ACOMPANHAMENTO="BM",ROUND(OFFSET(ORÇAMENTO!AJ$15,$L156,0),15-13*ORÇAMENTO!$AF$7),IF(IFERROR(CÁLCULO.FrentesPreenchidas,0)=0,0,SUM(ROUND(OFFSET($P156,0,1,1,CÁLCULO.FrentesPreenchidas),15-13*ORÇAMENTO!$AF$7)))))</f>
        <v>0</v>
      </c>
      <c r="I156" s="468"/>
      <c r="J156" s="651" t="str" cm="1">
        <f t="array" aca="1" ref="J156" ca="1">IF(OR(B156&lt;&gt;"S",CÁLCULO.FrentesPreenchidas=0),"",IF(AND(ACOMPANHAMENTO="PLE",AUTOEVENTO="Manual",OR(H156&gt;0,ORÇAMENTO!AC156="QUANT."),OR(K156="",M156=0,N156="")),"►E",IF(AND(ACOMPANHAMENTO="PLE",ORÇAMENTO!AC156="QUANT."),"►Q",IF(AND(ACOMPANHAMENTO="PLE",H156&lt;&gt;SUMPRODUCT(($Q$1:$AI$1=1)*ROUND(Q156:AI156,15))),"►S",IF(AND(COUNTIF($P$11:$AI$11,"▼")=0,H156&gt;0,I156=""),"◄M","")))))</f>
        <v/>
      </c>
      <c r="K156" s="652"/>
      <c r="L156" s="165">
        <f t="shared" ca="1" si="15"/>
        <v>141</v>
      </c>
      <c r="M156" s="166" t="str">
        <f ca="1">IF($D156&lt;&gt;"Serviço","",
          IF(AUTOEVENTO="manual",$A156,
                IF(ISERROR(MATCH($A156,$A$15:OFFSET($A156,-1,0),0)),MAX($M$15:OFFSET(M156,-1,0))+1,
                      INDEX($M$15:OFFSET(M156,-1,0),MATCH($A156,$A$15:OFFSET($A156,-1,0),0)))))</f>
        <v/>
      </c>
      <c r="N156" s="167" t="str">
        <f ca="1">IF($D156&lt;&gt;"Serviço","",
         IF(AUTOEVENTO="Manual",
                IF($A156=0,"&lt;-- defina o número do agrupador",
                       OFFSET(EVENTOS!$D$15,$A156-$A$15,0)),
                OFFSET($F$15,$A156,0)))</f>
        <v/>
      </c>
      <c r="O156" s="168"/>
      <c r="Q156" s="168"/>
      <c r="R156" s="169"/>
      <c r="S156" s="169"/>
      <c r="T156" s="169"/>
      <c r="U156" s="169"/>
      <c r="V156" s="169" t="s">
        <v>250</v>
      </c>
      <c r="W156" s="169"/>
      <c r="X156" s="169"/>
      <c r="Y156" s="169"/>
      <c r="Z156" s="170"/>
      <c r="AA156" s="705"/>
      <c r="AB156" s="705"/>
      <c r="AC156" s="705"/>
      <c r="AD156" s="705"/>
      <c r="AE156" s="705"/>
      <c r="AF156" s="705"/>
      <c r="AG156" s="705"/>
      <c r="AH156" s="706"/>
      <c r="AJ156" s="453">
        <f ca="1">IF(AND($D156="Serviço",AJ$12&lt;&gt;0,$H156&gt;0,OR(AUTOEVENTO&lt;&gt;"manual",$M156&lt;&gt;$A$15)),
        IF(Import.TipoArredondamento&lt;&gt;"TransfereGOV",
              ROUND(OFFSET($P156,0,AJ$13),15-13*ORÇAMENTO!$AF$7)/$H156*OFFSET(ORÇAMENTO!$X$15,ROW(AJ156)-ROW(AJ$15),0),
              ROUND(ROUND(OFFSET($P156,0,AJ$13),15-13*ORÇAMENTO!$AF$7)*OFFSET(ORÇAMENTO!$W$15,ROW(AJ156)-ROW(AJ$15),0),15-13*ORÇAMENTO!$AF$11)),
         0)</f>
        <v>0</v>
      </c>
      <c r="AK156" s="453">
        <f ca="1">IF(AND($D156="Serviço",AK$12&lt;&gt;0,$H156&gt;0,OR(AUTOEVENTO&lt;&gt;"manual",$M156&lt;&gt;$A$15)),
        IF(Import.TipoArredondamento&lt;&gt;"TransfereGOV",
              ROUND(OFFSET($P156,0,AK$13),15-13*ORÇAMENTO!$AF$7)/$H156*OFFSET(ORÇAMENTO!$X$15,ROW(AK156)-ROW(AK$15),0),
              ROUND(ROUND(OFFSET($P156,0,AK$13),15-13*ORÇAMENTO!$AF$7)*OFFSET(ORÇAMENTO!$W$15,ROW(AK156)-ROW(AK$15),0),15-13*ORÇAMENTO!$AF$11)),
         0)</f>
        <v>0</v>
      </c>
      <c r="AL156" s="453">
        <f ca="1">IF(AND($D156="Serviço",AL$12&lt;&gt;0,$H156&gt;0,OR(AUTOEVENTO&lt;&gt;"manual",$M156&lt;&gt;$A$15)),
        IF(Import.TipoArredondamento&lt;&gt;"TransfereGOV",
              ROUND(OFFSET($P156,0,AL$13),15-13*ORÇAMENTO!$AF$7)/$H156*OFFSET(ORÇAMENTO!$X$15,ROW(AL156)-ROW(AL$15),0),
              ROUND(ROUND(OFFSET($P156,0,AL$13),15-13*ORÇAMENTO!$AF$7)*OFFSET(ORÇAMENTO!$W$15,ROW(AL156)-ROW(AL$15),0),15-13*ORÇAMENTO!$AF$11)),
         0)</f>
        <v>0</v>
      </c>
      <c r="AM156" s="453">
        <f ca="1">IF(AND($D156="Serviço",AM$12&lt;&gt;0,$H156&gt;0,OR(AUTOEVENTO&lt;&gt;"manual",$M156&lt;&gt;$A$15)),
        IF(Import.TipoArredondamento&lt;&gt;"TransfereGOV",
              ROUND(OFFSET($P156,0,AM$13),15-13*ORÇAMENTO!$AF$7)/$H156*OFFSET(ORÇAMENTO!$X$15,ROW(AM156)-ROW(AM$15),0),
              ROUND(ROUND(OFFSET($P156,0,AM$13),15-13*ORÇAMENTO!$AF$7)*OFFSET(ORÇAMENTO!$W$15,ROW(AM156)-ROW(AM$15),0),15-13*ORÇAMENTO!$AF$11)),
         0)</f>
        <v>0</v>
      </c>
      <c r="AN156" s="453">
        <f ca="1">IF(AND($D156="Serviço",AN$12&lt;&gt;0,$H156&gt;0,OR(AUTOEVENTO&lt;&gt;"manual",$M156&lt;&gt;$A$15)),
        IF(Import.TipoArredondamento&lt;&gt;"TransfereGOV",
              ROUND(OFFSET($P156,0,AN$13),15-13*ORÇAMENTO!$AF$7)/$H156*OFFSET(ORÇAMENTO!$X$15,ROW(AN156)-ROW(AN$15),0),
              ROUND(ROUND(OFFSET($P156,0,AN$13),15-13*ORÇAMENTO!$AF$7)*OFFSET(ORÇAMENTO!$W$15,ROW(AN156)-ROW(AN$15),0),15-13*ORÇAMENTO!$AF$11)),
         0)</f>
        <v>0</v>
      </c>
      <c r="AO156" s="453">
        <f ca="1">IF(AND($D156="Serviço",AO$12&lt;&gt;0,$H156&gt;0,OR(AUTOEVENTO&lt;&gt;"manual",$M156&lt;&gt;$A$15)),
        IF(Import.TipoArredondamento&lt;&gt;"TransfereGOV",
              ROUND(OFFSET($P156,0,AO$13),15-13*ORÇAMENTO!$AF$7)/$H156*OFFSET(ORÇAMENTO!$X$15,ROW(AO156)-ROW(AO$15),0),
              ROUND(ROUND(OFFSET($P156,0,AO$13),15-13*ORÇAMENTO!$AF$7)*OFFSET(ORÇAMENTO!$W$15,ROW(AO156)-ROW(AO$15),0),15-13*ORÇAMENTO!$AF$11)),
         0)</f>
        <v>0</v>
      </c>
      <c r="AP156" s="453">
        <f ca="1">IF(AND($D156="Serviço",AP$12&lt;&gt;0,$H156&gt;0,OR(AUTOEVENTO&lt;&gt;"manual",$M156&lt;&gt;$A$15)),
        IF(Import.TipoArredondamento&lt;&gt;"TransfereGOV",
              ROUND(OFFSET($P156,0,AP$13),15-13*ORÇAMENTO!$AF$7)/$H156*OFFSET(ORÇAMENTO!$X$15,ROW(AP156)-ROW(AP$15),0),
              ROUND(ROUND(OFFSET($P156,0,AP$13),15-13*ORÇAMENTO!$AF$7)*OFFSET(ORÇAMENTO!$W$15,ROW(AP156)-ROW(AP$15),0),15-13*ORÇAMENTO!$AF$11)),
         0)</f>
        <v>0</v>
      </c>
      <c r="AQ156" s="453">
        <f ca="1">IF(AND($D156="Serviço",AQ$12&lt;&gt;0,$H156&gt;0,OR(AUTOEVENTO&lt;&gt;"manual",$M156&lt;&gt;$A$15)),
        IF(Import.TipoArredondamento&lt;&gt;"TransfereGOV",
              ROUND(OFFSET($P156,0,AQ$13),15-13*ORÇAMENTO!$AF$7)/$H156*OFFSET(ORÇAMENTO!$X$15,ROW(AQ156)-ROW(AQ$15),0),
              ROUND(ROUND(OFFSET($P156,0,AQ$13),15-13*ORÇAMENTO!$AF$7)*OFFSET(ORÇAMENTO!$W$15,ROW(AQ156)-ROW(AQ$15),0),15-13*ORÇAMENTO!$AF$11)),
         0)</f>
        <v>0</v>
      </c>
      <c r="AR156" s="453">
        <f ca="1">IF(AND($D156="Serviço",AR$12&lt;&gt;0,$H156&gt;0,OR(AUTOEVENTO&lt;&gt;"manual",$M156&lt;&gt;$A$15)),
        IF(Import.TipoArredondamento&lt;&gt;"TransfereGOV",
              ROUND(OFFSET($P156,0,AR$13),15-13*ORÇAMENTO!$AF$7)/$H156*OFFSET(ORÇAMENTO!$X$15,ROW(AR156)-ROW(AR$15),0),
              ROUND(ROUND(OFFSET($P156,0,AR$13),15-13*ORÇAMENTO!$AF$7)*OFFSET(ORÇAMENTO!$W$15,ROW(AR156)-ROW(AR$15),0),15-13*ORÇAMENTO!$AF$11)),
         0)</f>
        <v>0</v>
      </c>
      <c r="AS156" s="453">
        <f ca="1">IF(AND($D156="Serviço",AS$12&lt;&gt;0,$H156&gt;0,OR(AUTOEVENTO&lt;&gt;"manual",$M156&lt;&gt;$A$15)),
        IF(Import.TipoArredondamento&lt;&gt;"TransfereGOV",
              ROUND(OFFSET($P156,0,AS$13),15-13*ORÇAMENTO!$AF$7)/$H156*OFFSET(ORÇAMENTO!$X$15,ROW(AS156)-ROW(AS$15),0),
              ROUND(ROUND(OFFSET($P156,0,AS$13),15-13*ORÇAMENTO!$AF$7)*OFFSET(ORÇAMENTO!$W$15,ROW(AS156)-ROW(AS$15),0),15-13*ORÇAMENTO!$AF$11)),
         0)</f>
        <v>0</v>
      </c>
      <c r="AT156" s="453">
        <f ca="1">IF(AND($D156="Serviço",AT$12&lt;&gt;0,$H156&gt;0,OR(AUTOEVENTO&lt;&gt;"manual",$M156&lt;&gt;$A$15)),
        IF(Import.TipoArredondamento&lt;&gt;"TransfereGOV",
              ROUND(OFFSET($P156,0,AT$13),15-13*ORÇAMENTO!$AF$7)/$H156*OFFSET(ORÇAMENTO!$X$15,ROW(AT156)-ROW(AT$15),0),
              ROUND(ROUND(OFFSET($P156,0,AT$13),15-13*ORÇAMENTO!$AF$7)*OFFSET(ORÇAMENTO!$W$15,ROW(AT156)-ROW(AT$15),0),15-13*ORÇAMENTO!$AF$11)),
         0)</f>
        <v>0</v>
      </c>
      <c r="AU156" s="453">
        <f ca="1">IF(AND($D156="Serviço",AU$12&lt;&gt;0,$H156&gt;0,OR(AUTOEVENTO&lt;&gt;"manual",$M156&lt;&gt;$A$15)),
        IF(Import.TipoArredondamento&lt;&gt;"TransfereGOV",
              ROUND(OFFSET($P156,0,AU$13),15-13*ORÇAMENTO!$AF$7)/$H156*OFFSET(ORÇAMENTO!$X$15,ROW(AU156)-ROW(AU$15),0),
              ROUND(ROUND(OFFSET($P156,0,AU$13),15-13*ORÇAMENTO!$AF$7)*OFFSET(ORÇAMENTO!$W$15,ROW(AU156)-ROW(AU$15),0),15-13*ORÇAMENTO!$AF$11)),
         0)</f>
        <v>0</v>
      </c>
      <c r="AV156" s="453">
        <f ca="1">IF(AND($D156="Serviço",AV$12&lt;&gt;0,$H156&gt;0,OR(AUTOEVENTO&lt;&gt;"manual",$M156&lt;&gt;$A$15)),
        IF(Import.TipoArredondamento&lt;&gt;"TransfereGOV",
              ROUND(OFFSET($P156,0,AV$13),15-13*ORÇAMENTO!$AF$7)/$H156*OFFSET(ORÇAMENTO!$X$15,ROW(AV156)-ROW(AV$15),0),
              ROUND(ROUND(OFFSET($P156,0,AV$13),15-13*ORÇAMENTO!$AF$7)*OFFSET(ORÇAMENTO!$W$15,ROW(AV156)-ROW(AV$15),0),15-13*ORÇAMENTO!$AF$11)),
         0)</f>
        <v>0</v>
      </c>
      <c r="AW156" s="453">
        <f ca="1">IF(AND($D156="Serviço",AW$12&lt;&gt;0,$H156&gt;0,OR(AUTOEVENTO&lt;&gt;"manual",$M156&lt;&gt;$A$15)),
        IF(Import.TipoArredondamento&lt;&gt;"TransfereGOV",
              ROUND(OFFSET($P156,0,AW$13),15-13*ORÇAMENTO!$AF$7)/$H156*OFFSET(ORÇAMENTO!$X$15,ROW(AW156)-ROW(AW$15),0),
              ROUND(ROUND(OFFSET($P156,0,AW$13),15-13*ORÇAMENTO!$AF$7)*OFFSET(ORÇAMENTO!$W$15,ROW(AW156)-ROW(AW$15),0),15-13*ORÇAMENTO!$AF$11)),
         0)</f>
        <v>0</v>
      </c>
      <c r="AX156" s="453">
        <f ca="1">IF(AND($D156="Serviço",AX$12&lt;&gt;0,$H156&gt;0,OR(AUTOEVENTO&lt;&gt;"manual",$M156&lt;&gt;$A$15)),
        IF(Import.TipoArredondamento&lt;&gt;"TransfereGOV",
              ROUND(OFFSET($P156,0,AX$13),15-13*ORÇAMENTO!$AF$7)/$H156*OFFSET(ORÇAMENTO!$X$15,ROW(AX156)-ROW(AX$15),0),
              ROUND(ROUND(OFFSET($P156,0,AX$13),15-13*ORÇAMENTO!$AF$7)*OFFSET(ORÇAMENTO!$W$15,ROW(AX156)-ROW(AX$15),0),15-13*ORÇAMENTO!$AF$11)),
         0)</f>
        <v>0</v>
      </c>
      <c r="AY156" s="453">
        <f ca="1">IF(AND($D156="Serviço",AY$12&lt;&gt;0,$H156&gt;0,OR(AUTOEVENTO&lt;&gt;"manual",$M156&lt;&gt;$A$15)),
        IF(Import.TipoArredondamento&lt;&gt;"TransfereGOV",
              ROUND(OFFSET($P156,0,AY$13),15-13*ORÇAMENTO!$AF$7)/$H156*OFFSET(ORÇAMENTO!$X$15,ROW(AY156)-ROW(AY$15),0),
              ROUND(ROUND(OFFSET($P156,0,AY$13),15-13*ORÇAMENTO!$AF$7)*OFFSET(ORÇAMENTO!$W$15,ROW(AY156)-ROW(AY$15),0),15-13*ORÇAMENTO!$AF$11)),
         0)</f>
        <v>0</v>
      </c>
      <c r="AZ156" s="453">
        <f ca="1">IF(AND($D156="Serviço",AZ$12&lt;&gt;0,$H156&gt;0,OR(AUTOEVENTO&lt;&gt;"manual",$M156&lt;&gt;$A$15)),
        IF(Import.TipoArredondamento&lt;&gt;"TransfereGOV",
              ROUND(OFFSET($P156,0,AZ$13),15-13*ORÇAMENTO!$AF$7)/$H156*OFFSET(ORÇAMENTO!$X$15,ROW(AZ156)-ROW(AZ$15),0),
              ROUND(ROUND(OFFSET($P156,0,AZ$13),15-13*ORÇAMENTO!$AF$7)*OFFSET(ORÇAMENTO!$W$15,ROW(AZ156)-ROW(AZ$15),0),15-13*ORÇAMENTO!$AF$11)),
         0)</f>
        <v>0</v>
      </c>
      <c r="BA156" s="453">
        <f ca="1">IF(AND($D156="Serviço",BA$12&lt;&gt;0,$H156&gt;0,OR(AUTOEVENTO&lt;&gt;"manual",$M156&lt;&gt;$A$15)),
        IF(Import.TipoArredondamento&lt;&gt;"TransfereGOV",
              ROUND(OFFSET($P156,0,BA$13),15-13*ORÇAMENTO!$AF$7)/$H156*OFFSET(ORÇAMENTO!$X$15,ROW(BA156)-ROW(BA$15),0),
              ROUND(ROUND(OFFSET($P156,0,BA$13),15-13*ORÇAMENTO!$AF$7)*OFFSET(ORÇAMENTO!$W$15,ROW(BA156)-ROW(BA$15),0),15-13*ORÇAMENTO!$AF$11)),
         0)</f>
        <v>0</v>
      </c>
      <c r="BC156" s="171">
        <f ca="1">IF(OR($D156&lt;&gt;"Serviço",AND(AUTOEVENTO="Manual",$M156=$A$15)),0,
         IF(OFFSET(CRONOPLE!$F$15,$M156-$A$15,BC$13)=0,10^12,OFFSET(CRONOPLE!$F$15,$M156-$A$15,BC$13)))</f>
        <v>0</v>
      </c>
      <c r="BD156" s="171">
        <f ca="1">IF(OR($D156&lt;&gt;"Serviço",AND(AUTOEVENTO="Manual",$M156=$A$15)),0,
         IF(OFFSET(CRONOPLE!$F$15,$M156-$A$15,BD$13)=0,10^12,OFFSET(CRONOPLE!$F$15,$M156-$A$15,BD$13)))</f>
        <v>0</v>
      </c>
      <c r="BE156" s="171">
        <f ca="1">IF(OR($D156&lt;&gt;"Serviço",AND(AUTOEVENTO="Manual",$M156=$A$15)),0,
         IF(OFFSET(CRONOPLE!$F$15,$M156-$A$15,BE$13)=0,10^12,OFFSET(CRONOPLE!$F$15,$M156-$A$15,BE$13)))</f>
        <v>0</v>
      </c>
      <c r="BF156" s="171">
        <f ca="1">IF(OR($D156&lt;&gt;"Serviço",AND(AUTOEVENTO="Manual",$M156=$A$15)),0,
         IF(OFFSET(CRONOPLE!$F$15,$M156-$A$15,BF$13)=0,10^12,OFFSET(CRONOPLE!$F$15,$M156-$A$15,BF$13)))</f>
        <v>0</v>
      </c>
      <c r="BG156" s="171">
        <f ca="1">IF(OR($D156&lt;&gt;"Serviço",AND(AUTOEVENTO="Manual",$M156=$A$15)),0,
         IF(OFFSET(CRONOPLE!$F$15,$M156-$A$15,BG$13)=0,10^12,OFFSET(CRONOPLE!$F$15,$M156-$A$15,BG$13)))</f>
        <v>0</v>
      </c>
      <c r="BH156" s="171">
        <f ca="1">IF(OR($D156&lt;&gt;"Serviço",AND(AUTOEVENTO="Manual",$M156=$A$15)),0,
         IF(OFFSET(CRONOPLE!$F$15,$M156-$A$15,BH$13)=0,10^12,OFFSET(CRONOPLE!$F$15,$M156-$A$15,BH$13)))</f>
        <v>0</v>
      </c>
      <c r="BI156" s="171">
        <f ca="1">IF(OR($D156&lt;&gt;"Serviço",AND(AUTOEVENTO="Manual",$M156=$A$15)),0,
         IF(OFFSET(CRONOPLE!$F$15,$M156-$A$15,BI$13)=0,10^12,OFFSET(CRONOPLE!$F$15,$M156-$A$15,BI$13)))</f>
        <v>0</v>
      </c>
      <c r="BJ156" s="171">
        <f ca="1">IF(OR($D156&lt;&gt;"Serviço",AND(AUTOEVENTO="Manual",$M156=$A$15)),0,
         IF(OFFSET(CRONOPLE!$F$15,$M156-$A$15,BJ$13)=0,10^12,OFFSET(CRONOPLE!$F$15,$M156-$A$15,BJ$13)))</f>
        <v>0</v>
      </c>
      <c r="BK156" s="171">
        <f ca="1">IF(OR($D156&lt;&gt;"Serviço",AND(AUTOEVENTO="Manual",$M156=$A$15)),0,
         IF(OFFSET(CRONOPLE!$F$15,$M156-$A$15,BK$13)=0,10^12,OFFSET(CRONOPLE!$F$15,$M156-$A$15,BK$13)))</f>
        <v>0</v>
      </c>
      <c r="BL156" s="171">
        <f ca="1">IF(OR($D156&lt;&gt;"Serviço",AND(AUTOEVENTO="Manual",$M156=$A$15)),0,
         IF(OFFSET(CRONOPLE!$F$15,$M156-$A$15,BL$13)=0,10^12,OFFSET(CRONOPLE!$F$15,$M156-$A$15,BL$13)))</f>
        <v>0</v>
      </c>
      <c r="BM156" s="171">
        <f ca="1">IF(OR($D156&lt;&gt;"Serviço",AND(AUTOEVENTO="Manual",$M156=$A$15)),0,
         IF(OFFSET(CRONOPLE!$F$15,$M156-$A$15,BM$13)=0,10^12,OFFSET(CRONOPLE!$F$15,$M156-$A$15,BM$13)))</f>
        <v>0</v>
      </c>
      <c r="BN156" s="171">
        <f ca="1">IF(OR($D156&lt;&gt;"Serviço",AND(AUTOEVENTO="Manual",$M156=$A$15)),0,
         IF(OFFSET(CRONOPLE!$F$15,$M156-$A$15,BN$13)=0,10^12,OFFSET(CRONOPLE!$F$15,$M156-$A$15,BN$13)))</f>
        <v>0</v>
      </c>
      <c r="BO156" s="171">
        <f ca="1">IF(OR($D156&lt;&gt;"Serviço",AND(AUTOEVENTO="Manual",$M156=$A$15)),0,
         IF(OFFSET(CRONOPLE!$F$15,$M156-$A$15,BO$13)=0,10^12,OFFSET(CRONOPLE!$F$15,$M156-$A$15,BO$13)))</f>
        <v>0</v>
      </c>
      <c r="BP156" s="171">
        <f ca="1">IF(OR($D156&lt;&gt;"Serviço",AND(AUTOEVENTO="Manual",$M156=$A$15)),0,
         IF(OFFSET(CRONOPLE!$F$15,$M156-$A$15,BP$13)=0,10^12,OFFSET(CRONOPLE!$F$15,$M156-$A$15,BP$13)))</f>
        <v>0</v>
      </c>
      <c r="BQ156" s="171">
        <f ca="1">IF(OR($D156&lt;&gt;"Serviço",AND(AUTOEVENTO="Manual",$M156=$A$15)),0,
         IF(OFFSET(CRONOPLE!$F$15,$M156-$A$15,BQ$13)=0,10^12,OFFSET(CRONOPLE!$F$15,$M156-$A$15,BQ$13)))</f>
        <v>0</v>
      </c>
      <c r="BR156" s="171">
        <f ca="1">IF(OR($D156&lt;&gt;"Serviço",AND(AUTOEVENTO="Manual",$M156=$A$15)),0,
         IF(OFFSET(CRONOPLE!$F$15,$M156-$A$15,BR$13)=0,10^12,OFFSET(CRONOPLE!$F$15,$M156-$A$15,BR$13)))</f>
        <v>0</v>
      </c>
      <c r="BS156" s="171">
        <f ca="1">IF(OR($D156&lt;&gt;"Serviço",AND(AUTOEVENTO="Manual",$M156=$A$15)),0,
         IF(OFFSET(CRONOPLE!$F$15,$M156-$A$15,BS$13)=0,10^12,OFFSET(CRONOPLE!$F$15,$M156-$A$15,BS$13)))</f>
        <v>0</v>
      </c>
      <c r="BT156" s="171">
        <f ca="1">IF(OR($D156&lt;&gt;"Serviço",AND(AUTOEVENTO="Manual",$M156=$A$15)),0,
         IF(OFFSET(CRONOPLE!$F$15,$M156-$A$15,BT$13)=0,10^12,OFFSET(CRONOPLE!$F$15,$M156-$A$15,BT$13)))</f>
        <v>0</v>
      </c>
      <c r="BV156" s="172" cm="1">
        <f t="array" aca="1" ref="BV156" ca="1">IF(OR($D156&lt;&gt;"Serviço",AND(AUTOEVENTO="Manual",$M156=$A$15),$M156&gt;(ROW(PLE.lastrow)-ROW(PLE.firstrow))),0,
           IF(OFFSET(PLE!$G$15,$M156-$A$15,BV$13)="",10^12,OFFSET(PLE!$G$15,$M156-$A$15,BV$13)))</f>
        <v>0</v>
      </c>
      <c r="BW156" s="172" cm="1">
        <f t="array" aca="1" ref="BW156" ca="1">IF(OR($D156&lt;&gt;"Serviço",AND(AUTOEVENTO="Manual",$M156=$A$15),$M156&gt;(ROW(PLE.lastrow)-ROW(PLE.firstrow))),0,
           IF(OFFSET(PLE!$G$15,$M156-$A$15,BW$13)="",10^12,OFFSET(PLE!$G$15,$M156-$A$15,BW$13)))</f>
        <v>0</v>
      </c>
      <c r="BX156" s="172" cm="1">
        <f t="array" aca="1" ref="BX156" ca="1">IF(OR($D156&lt;&gt;"Serviço",AND(AUTOEVENTO="Manual",$M156=$A$15),$M156&gt;(ROW(PLE.lastrow)-ROW(PLE.firstrow))),0,
           IF(OFFSET(PLE!$G$15,$M156-$A$15,BX$13)="",10^12,OFFSET(PLE!$G$15,$M156-$A$15,BX$13)))</f>
        <v>0</v>
      </c>
      <c r="BY156" s="172" cm="1">
        <f t="array" aca="1" ref="BY156" ca="1">IF(OR($D156&lt;&gt;"Serviço",AND(AUTOEVENTO="Manual",$M156=$A$15),$M156&gt;(ROW(PLE.lastrow)-ROW(PLE.firstrow))),0,
           IF(OFFSET(PLE!$G$15,$M156-$A$15,BY$13)="",10^12,OFFSET(PLE!$G$15,$M156-$A$15,BY$13)))</f>
        <v>0</v>
      </c>
      <c r="BZ156" s="172" cm="1">
        <f t="array" aca="1" ref="BZ156" ca="1">IF(OR($D156&lt;&gt;"Serviço",AND(AUTOEVENTO="Manual",$M156=$A$15),$M156&gt;(ROW(PLE.lastrow)-ROW(PLE.firstrow))),0,
           IF(OFFSET(PLE!$G$15,$M156-$A$15,BZ$13)="",10^12,OFFSET(PLE!$G$15,$M156-$A$15,BZ$13)))</f>
        <v>0</v>
      </c>
      <c r="CA156" s="172" cm="1">
        <f t="array" aca="1" ref="CA156" ca="1">IF(OR($D156&lt;&gt;"Serviço",AND(AUTOEVENTO="Manual",$M156=$A$15),$M156&gt;(ROW(PLE.lastrow)-ROW(PLE.firstrow))),0,
           IF(OFFSET(PLE!$G$15,$M156-$A$15,CA$13)="",10^12,OFFSET(PLE!$G$15,$M156-$A$15,CA$13)))</f>
        <v>0</v>
      </c>
      <c r="CB156" s="172" cm="1">
        <f t="array" aca="1" ref="CB156" ca="1">IF(OR($D156&lt;&gt;"Serviço",AND(AUTOEVENTO="Manual",$M156=$A$15),$M156&gt;(ROW(PLE.lastrow)-ROW(PLE.firstrow))),0,
           IF(OFFSET(PLE!$G$15,$M156-$A$15,CB$13)="",10^12,OFFSET(PLE!$G$15,$M156-$A$15,CB$13)))</f>
        <v>0</v>
      </c>
      <c r="CC156" s="172" cm="1">
        <f t="array" aca="1" ref="CC156" ca="1">IF(OR($D156&lt;&gt;"Serviço",AND(AUTOEVENTO="Manual",$M156=$A$15),$M156&gt;(ROW(PLE.lastrow)-ROW(PLE.firstrow))),0,
           IF(OFFSET(PLE!$G$15,$M156-$A$15,CC$13)="",10^12,OFFSET(PLE!$G$15,$M156-$A$15,CC$13)))</f>
        <v>0</v>
      </c>
      <c r="CD156" s="172" cm="1">
        <f t="array" aca="1" ref="CD156" ca="1">IF(OR($D156&lt;&gt;"Serviço",AND(AUTOEVENTO="Manual",$M156=$A$15),$M156&gt;(ROW(PLE.lastrow)-ROW(PLE.firstrow))),0,
           IF(OFFSET(PLE!$G$15,$M156-$A$15,CD$13)="",10^12,OFFSET(PLE!$G$15,$M156-$A$15,CD$13)))</f>
        <v>0</v>
      </c>
      <c r="CE156" s="172" cm="1">
        <f t="array" aca="1" ref="CE156" ca="1">IF(OR($D156&lt;&gt;"Serviço",AND(AUTOEVENTO="Manual",$M156=$A$15),$M156&gt;(ROW(PLE.lastrow)-ROW(PLE.firstrow))),0,
           IF(OFFSET(PLE!$G$15,$M156-$A$15,CE$13)="",10^12,OFFSET(PLE!$G$15,$M156-$A$15,CE$13)))</f>
        <v>0</v>
      </c>
      <c r="CF156" s="172" cm="1">
        <f t="array" aca="1" ref="CF156" ca="1">IF(OR($D156&lt;&gt;"Serviço",AND(AUTOEVENTO="Manual",$M156=$A$15),$M156&gt;(ROW(PLE.lastrow)-ROW(PLE.firstrow))),0,
           IF(OFFSET(PLE!$G$15,$M156-$A$15,CF$13)="",10^12,OFFSET(PLE!$G$15,$M156-$A$15,CF$13)))</f>
        <v>0</v>
      </c>
      <c r="CG156" s="172" cm="1">
        <f t="array" aca="1" ref="CG156" ca="1">IF(OR($D156&lt;&gt;"Serviço",AND(AUTOEVENTO="Manual",$M156=$A$15),$M156&gt;(ROW(PLE.lastrow)-ROW(PLE.firstrow))),0,
           IF(OFFSET(PLE!$G$15,$M156-$A$15,CG$13)="",10^12,OFFSET(PLE!$G$15,$M156-$A$15,CG$13)))</f>
        <v>0</v>
      </c>
      <c r="CH156" s="172" cm="1">
        <f t="array" aca="1" ref="CH156" ca="1">IF(OR($D156&lt;&gt;"Serviço",AND(AUTOEVENTO="Manual",$M156=$A$15),$M156&gt;(ROW(PLE.lastrow)-ROW(PLE.firstrow))),0,
           IF(OFFSET(PLE!$G$15,$M156-$A$15,CH$13)="",10^12,OFFSET(PLE!$G$15,$M156-$A$15,CH$13)))</f>
        <v>0</v>
      </c>
      <c r="CI156" s="172" cm="1">
        <f t="array" aca="1" ref="CI156" ca="1">IF(OR($D156&lt;&gt;"Serviço",AND(AUTOEVENTO="Manual",$M156=$A$15),$M156&gt;(ROW(PLE.lastrow)-ROW(PLE.firstrow))),0,
           IF(OFFSET(PLE!$G$15,$M156-$A$15,CI$13)="",10^12,OFFSET(PLE!$G$15,$M156-$A$15,CI$13)))</f>
        <v>0</v>
      </c>
      <c r="CJ156" s="172" cm="1">
        <f t="array" aca="1" ref="CJ156" ca="1">IF(OR($D156&lt;&gt;"Serviço",AND(AUTOEVENTO="Manual",$M156=$A$15),$M156&gt;(ROW(PLE.lastrow)-ROW(PLE.firstrow))),0,
           IF(OFFSET(PLE!$G$15,$M156-$A$15,CJ$13)="",10^12,OFFSET(PLE!$G$15,$M156-$A$15,CJ$13)))</f>
        <v>0</v>
      </c>
      <c r="CK156" s="172" cm="1">
        <f t="array" aca="1" ref="CK156" ca="1">IF(OR($D156&lt;&gt;"Serviço",AND(AUTOEVENTO="Manual",$M156=$A$15),$M156&gt;(ROW(PLE.lastrow)-ROW(PLE.firstrow))),0,
           IF(OFFSET(PLE!$G$15,$M156-$A$15,CK$13)="",10^12,OFFSET(PLE!$G$15,$M156-$A$15,CK$13)))</f>
        <v>0</v>
      </c>
      <c r="CL156" s="172" cm="1">
        <f t="array" aca="1" ref="CL156" ca="1">IF(OR($D156&lt;&gt;"Serviço",AND(AUTOEVENTO="Manual",$M156=$A$15),$M156&gt;(ROW(PLE.lastrow)-ROW(PLE.firstrow))),0,
           IF(OFFSET(PLE!$G$15,$M156-$A$15,CL$13)="",10^12,OFFSET(PLE!$G$15,$M156-$A$15,CL$13)))</f>
        <v>0</v>
      </c>
      <c r="CM156" s="172" cm="1">
        <f t="array" aca="1" ref="CM156" ca="1">IF(OR($D156&lt;&gt;"Serviço",AND(AUTOEVENTO="Manual",$M156=$A$15),$M156&gt;(ROW(PLE.lastrow)-ROW(PLE.firstrow))),0,
           IF(OFFSET(PLE!$G$15,$M156-$A$15,CM$13)="",10^12,OFFSET(PLE!$G$15,$M156-$A$15,CM$13)))</f>
        <v>0</v>
      </c>
    </row>
    <row r="157" spans="1:91" s="670" customFormat="1" ht="12.75" x14ac:dyDescent="0.2">
      <c r="A157" s="668">
        <f t="shared" ca="1" si="14"/>
        <v>24</v>
      </c>
      <c r="B157" s="668" t="str">
        <f ca="1">OFFSET(ORÇAMENTO!C$15,$L157,0)</f>
        <v>S</v>
      </c>
      <c r="C157" s="668" t="str">
        <f ca="1">OFFSET(ORÇAMENTO!L$15,$L157,0)</f>
        <v>F</v>
      </c>
      <c r="D157" s="116" t="str">
        <f ca="1">OFFSET(ORÇAMENTO!N$15,$L157,0)</f>
        <v>Serviço</v>
      </c>
      <c r="E157" s="117" t="str">
        <f ca="1">OFFSET(ORÇAMENTO!O$15,$L157,0)</f>
        <v>1.21.1.</v>
      </c>
      <c r="F157" s="163" t="str">
        <f ca="1">OFFSET(ORÇAMENTO!R$15,$L157,0)</f>
        <v>tubo em ferro fundido, c/ flanges PN 10, diam. =  200mm, L=1,00m</v>
      </c>
      <c r="G157" s="164" t="str">
        <f ca="1">IF($D157&lt;&gt;"Serviço","",OFFSET(ORÇAMENTO!S$15,$L157,0))</f>
        <v>UNIDADE</v>
      </c>
      <c r="H157" s="122" cm="1">
        <f t="array" aca="1" ref="H157" ca="1">IF($D157&lt;&gt;"Serviço",0,IF(ACOMPANHAMENTO="BM",ROUND(OFFSET(ORÇAMENTO!AJ$15,$L157,0),15-13*ORÇAMENTO!$AF$7),IF(IFERROR(CÁLCULO.FrentesPreenchidas,0)=0,0,SUM(ROUND(OFFSET($P157,0,1,1,CÁLCULO.FrentesPreenchidas),15-13*ORÇAMENTO!$AF$7)))))</f>
        <v>2</v>
      </c>
      <c r="I157" s="468" t="s">
        <v>1200</v>
      </c>
      <c r="J157" s="651" t="str" cm="1">
        <f t="array" aca="1" ref="J157" ca="1">IF(OR(B157&lt;&gt;"S",CÁLCULO.FrentesPreenchidas=0),"",IF(AND(ACOMPANHAMENTO="PLE",AUTOEVENTO="Manual",OR(H157&gt;0,ORÇAMENTO!AC157="QUANT."),OR(K157="",M157=0,N157="")),"►E",IF(AND(ACOMPANHAMENTO="PLE",ORÇAMENTO!AC157="QUANT."),"►Q",IF(AND(ACOMPANHAMENTO="PLE",H157&lt;&gt;SUMPRODUCT(($Q$1:$AI$1=1)*ROUND(Q157:AI157,15))),"►S",IF(AND(COUNTIF($P$11:$AI$11,"▼")=0,H157&gt;0,I157=""),"◄M","")))))</f>
        <v/>
      </c>
      <c r="K157" s="652" t="s">
        <v>1344</v>
      </c>
      <c r="L157" s="165">
        <f t="shared" ca="1" si="15"/>
        <v>142</v>
      </c>
      <c r="M157" s="166">
        <f ca="1">IF($D157&lt;&gt;"Serviço","",
          IF(AUTOEVENTO="manual",$A157,
                IF(ISERROR(MATCH($A157,$A$15:OFFSET($A157,-1,0),0)),MAX($M$15:OFFSET(M157,-1,0))+1,
                      INDEX($M$15:OFFSET(M157,-1,0),MATCH($A157,$A$15:OFFSET($A157,-1,0),0)))))</f>
        <v>24</v>
      </c>
      <c r="N157" s="167" t="str">
        <f ca="1">IF($D157&lt;&gt;"Serviço","",
         IF(AUTOEVENTO="Manual",
                IF($A157=0,"&lt;-- defina o número do agrupador",
                       OFFSET(EVENTOS!$D$15,$A157-$A$15,0)),
                OFFSET($F$15,$A157,0)))</f>
        <v>Instalações hidrossanitárias</v>
      </c>
      <c r="O157" s="168"/>
      <c r="Q157" s="168"/>
      <c r="R157" s="169"/>
      <c r="S157" s="169"/>
      <c r="T157" s="169"/>
      <c r="U157" s="169"/>
      <c r="V157" s="169">
        <v>2</v>
      </c>
      <c r="W157" s="169"/>
      <c r="X157" s="169"/>
      <c r="Y157" s="169"/>
      <c r="Z157" s="170"/>
      <c r="AA157" s="705"/>
      <c r="AB157" s="705"/>
      <c r="AC157" s="705"/>
      <c r="AD157" s="705"/>
      <c r="AE157" s="705"/>
      <c r="AF157" s="705"/>
      <c r="AG157" s="705"/>
      <c r="AH157" s="706"/>
      <c r="AJ157" s="453">
        <f ca="1">IF(AND($D157="Serviço",AJ$12&lt;&gt;0,$H157&gt;0,OR(AUTOEVENTO&lt;&gt;"manual",$M157&lt;&gt;$A$15)),
        IF(Import.TipoArredondamento&lt;&gt;"TransfereGOV",
              ROUND(OFFSET($P157,0,AJ$13),15-13*ORÇAMENTO!$AF$7)/$H157*OFFSET(ORÇAMENTO!$X$15,ROW(AJ157)-ROW(AJ$15),0),
              ROUND(ROUND(OFFSET($P157,0,AJ$13),15-13*ORÇAMENTO!$AF$7)*OFFSET(ORÇAMENTO!$W$15,ROW(AJ157)-ROW(AJ$15),0),15-13*ORÇAMENTO!$AF$11)),
         0)</f>
        <v>0</v>
      </c>
      <c r="AK157" s="453">
        <f ca="1">IF(AND($D157="Serviço",AK$12&lt;&gt;0,$H157&gt;0,OR(AUTOEVENTO&lt;&gt;"manual",$M157&lt;&gt;$A$15)),
        IF(Import.TipoArredondamento&lt;&gt;"TransfereGOV",
              ROUND(OFFSET($P157,0,AK$13),15-13*ORÇAMENTO!$AF$7)/$H157*OFFSET(ORÇAMENTO!$X$15,ROW(AK157)-ROW(AK$15),0),
              ROUND(ROUND(OFFSET($P157,0,AK$13),15-13*ORÇAMENTO!$AF$7)*OFFSET(ORÇAMENTO!$W$15,ROW(AK157)-ROW(AK$15),0),15-13*ORÇAMENTO!$AF$11)),
         0)</f>
        <v>0</v>
      </c>
      <c r="AL157" s="453">
        <f ca="1">IF(AND($D157="Serviço",AL$12&lt;&gt;0,$H157&gt;0,OR(AUTOEVENTO&lt;&gt;"manual",$M157&lt;&gt;$A$15)),
        IF(Import.TipoArredondamento&lt;&gt;"TransfereGOV",
              ROUND(OFFSET($P157,0,AL$13),15-13*ORÇAMENTO!$AF$7)/$H157*OFFSET(ORÇAMENTO!$X$15,ROW(AL157)-ROW(AL$15),0),
              ROUND(ROUND(OFFSET($P157,0,AL$13),15-13*ORÇAMENTO!$AF$7)*OFFSET(ORÇAMENTO!$W$15,ROW(AL157)-ROW(AL$15),0),15-13*ORÇAMENTO!$AF$11)),
         0)</f>
        <v>0</v>
      </c>
      <c r="AM157" s="453">
        <f ca="1">IF(AND($D157="Serviço",AM$12&lt;&gt;0,$H157&gt;0,OR(AUTOEVENTO&lt;&gt;"manual",$M157&lt;&gt;$A$15)),
        IF(Import.TipoArredondamento&lt;&gt;"TransfereGOV",
              ROUND(OFFSET($P157,0,AM$13),15-13*ORÇAMENTO!$AF$7)/$H157*OFFSET(ORÇAMENTO!$X$15,ROW(AM157)-ROW(AM$15),0),
              ROUND(ROUND(OFFSET($P157,0,AM$13),15-13*ORÇAMENTO!$AF$7)*OFFSET(ORÇAMENTO!$W$15,ROW(AM157)-ROW(AM$15),0),15-13*ORÇAMENTO!$AF$11)),
         0)</f>
        <v>0</v>
      </c>
      <c r="AN157" s="453">
        <f ca="1">IF(AND($D157="Serviço",AN$12&lt;&gt;0,$H157&gt;0,OR(AUTOEVENTO&lt;&gt;"manual",$M157&lt;&gt;$A$15)),
        IF(Import.TipoArredondamento&lt;&gt;"TransfereGOV",
              ROUND(OFFSET($P157,0,AN$13),15-13*ORÇAMENTO!$AF$7)/$H157*OFFSET(ORÇAMENTO!$X$15,ROW(AN157)-ROW(AN$15),0),
              ROUND(ROUND(OFFSET($P157,0,AN$13),15-13*ORÇAMENTO!$AF$7)*OFFSET(ORÇAMENTO!$W$15,ROW(AN157)-ROW(AN$15),0),15-13*ORÇAMENTO!$AF$11)),
         0)</f>
        <v>0</v>
      </c>
      <c r="AO157" s="453">
        <f ca="1">IF(AND($D157="Serviço",AO$12&lt;&gt;0,$H157&gt;0,OR(AUTOEVENTO&lt;&gt;"manual",$M157&lt;&gt;$A$15)),
        IF(Import.TipoArredondamento&lt;&gt;"TransfereGOV",
              ROUND(OFFSET($P157,0,AO$13),15-13*ORÇAMENTO!$AF$7)/$H157*OFFSET(ORÇAMENTO!$X$15,ROW(AO157)-ROW(AO$15),0),
              ROUND(ROUND(OFFSET($P157,0,AO$13),15-13*ORÇAMENTO!$AF$7)*OFFSET(ORÇAMENTO!$W$15,ROW(AO157)-ROW(AO$15),0),15-13*ORÇAMENTO!$AF$11)),
         0)</f>
        <v>7975.78</v>
      </c>
      <c r="AP157" s="453">
        <f ca="1">IF(AND($D157="Serviço",AP$12&lt;&gt;0,$H157&gt;0,OR(AUTOEVENTO&lt;&gt;"manual",$M157&lt;&gt;$A$15)),
        IF(Import.TipoArredondamento&lt;&gt;"TransfereGOV",
              ROUND(OFFSET($P157,0,AP$13),15-13*ORÇAMENTO!$AF$7)/$H157*OFFSET(ORÇAMENTO!$X$15,ROW(AP157)-ROW(AP$15),0),
              ROUND(ROUND(OFFSET($P157,0,AP$13),15-13*ORÇAMENTO!$AF$7)*OFFSET(ORÇAMENTO!$W$15,ROW(AP157)-ROW(AP$15),0),15-13*ORÇAMENTO!$AF$11)),
         0)</f>
        <v>0</v>
      </c>
      <c r="AQ157" s="453">
        <f ca="1">IF(AND($D157="Serviço",AQ$12&lt;&gt;0,$H157&gt;0,OR(AUTOEVENTO&lt;&gt;"manual",$M157&lt;&gt;$A$15)),
        IF(Import.TipoArredondamento&lt;&gt;"TransfereGOV",
              ROUND(OFFSET($P157,0,AQ$13),15-13*ORÇAMENTO!$AF$7)/$H157*OFFSET(ORÇAMENTO!$X$15,ROW(AQ157)-ROW(AQ$15),0),
              ROUND(ROUND(OFFSET($P157,0,AQ$13),15-13*ORÇAMENTO!$AF$7)*OFFSET(ORÇAMENTO!$W$15,ROW(AQ157)-ROW(AQ$15),0),15-13*ORÇAMENTO!$AF$11)),
         0)</f>
        <v>0</v>
      </c>
      <c r="AR157" s="453">
        <f ca="1">IF(AND($D157="Serviço",AR$12&lt;&gt;0,$H157&gt;0,OR(AUTOEVENTO&lt;&gt;"manual",$M157&lt;&gt;$A$15)),
        IF(Import.TipoArredondamento&lt;&gt;"TransfereGOV",
              ROUND(OFFSET($P157,0,AR$13),15-13*ORÇAMENTO!$AF$7)/$H157*OFFSET(ORÇAMENTO!$X$15,ROW(AR157)-ROW(AR$15),0),
              ROUND(ROUND(OFFSET($P157,0,AR$13),15-13*ORÇAMENTO!$AF$7)*OFFSET(ORÇAMENTO!$W$15,ROW(AR157)-ROW(AR$15),0),15-13*ORÇAMENTO!$AF$11)),
         0)</f>
        <v>0</v>
      </c>
      <c r="AS157" s="453">
        <f ca="1">IF(AND($D157="Serviço",AS$12&lt;&gt;0,$H157&gt;0,OR(AUTOEVENTO&lt;&gt;"manual",$M157&lt;&gt;$A$15)),
        IF(Import.TipoArredondamento&lt;&gt;"TransfereGOV",
              ROUND(OFFSET($P157,0,AS$13),15-13*ORÇAMENTO!$AF$7)/$H157*OFFSET(ORÇAMENTO!$X$15,ROW(AS157)-ROW(AS$15),0),
              ROUND(ROUND(OFFSET($P157,0,AS$13),15-13*ORÇAMENTO!$AF$7)*OFFSET(ORÇAMENTO!$W$15,ROW(AS157)-ROW(AS$15),0),15-13*ORÇAMENTO!$AF$11)),
         0)</f>
        <v>0</v>
      </c>
      <c r="AT157" s="453">
        <f ca="1">IF(AND($D157="Serviço",AT$12&lt;&gt;0,$H157&gt;0,OR(AUTOEVENTO&lt;&gt;"manual",$M157&lt;&gt;$A$15)),
        IF(Import.TipoArredondamento&lt;&gt;"TransfereGOV",
              ROUND(OFFSET($P157,0,AT$13),15-13*ORÇAMENTO!$AF$7)/$H157*OFFSET(ORÇAMENTO!$X$15,ROW(AT157)-ROW(AT$15),0),
              ROUND(ROUND(OFFSET($P157,0,AT$13),15-13*ORÇAMENTO!$AF$7)*OFFSET(ORÇAMENTO!$W$15,ROW(AT157)-ROW(AT$15),0),15-13*ORÇAMENTO!$AF$11)),
         0)</f>
        <v>0</v>
      </c>
      <c r="AU157" s="453">
        <f ca="1">IF(AND($D157="Serviço",AU$12&lt;&gt;0,$H157&gt;0,OR(AUTOEVENTO&lt;&gt;"manual",$M157&lt;&gt;$A$15)),
        IF(Import.TipoArredondamento&lt;&gt;"TransfereGOV",
              ROUND(OFFSET($P157,0,AU$13),15-13*ORÇAMENTO!$AF$7)/$H157*OFFSET(ORÇAMENTO!$X$15,ROW(AU157)-ROW(AU$15),0),
              ROUND(ROUND(OFFSET($P157,0,AU$13),15-13*ORÇAMENTO!$AF$7)*OFFSET(ORÇAMENTO!$W$15,ROW(AU157)-ROW(AU$15),0),15-13*ORÇAMENTO!$AF$11)),
         0)</f>
        <v>0</v>
      </c>
      <c r="AV157" s="453">
        <f ca="1">IF(AND($D157="Serviço",AV$12&lt;&gt;0,$H157&gt;0,OR(AUTOEVENTO&lt;&gt;"manual",$M157&lt;&gt;$A$15)),
        IF(Import.TipoArredondamento&lt;&gt;"TransfereGOV",
              ROUND(OFFSET($P157,0,AV$13),15-13*ORÇAMENTO!$AF$7)/$H157*OFFSET(ORÇAMENTO!$X$15,ROW(AV157)-ROW(AV$15),0),
              ROUND(ROUND(OFFSET($P157,0,AV$13),15-13*ORÇAMENTO!$AF$7)*OFFSET(ORÇAMENTO!$W$15,ROW(AV157)-ROW(AV$15),0),15-13*ORÇAMENTO!$AF$11)),
         0)</f>
        <v>0</v>
      </c>
      <c r="AW157" s="453">
        <f ca="1">IF(AND($D157="Serviço",AW$12&lt;&gt;0,$H157&gt;0,OR(AUTOEVENTO&lt;&gt;"manual",$M157&lt;&gt;$A$15)),
        IF(Import.TipoArredondamento&lt;&gt;"TransfereGOV",
              ROUND(OFFSET($P157,0,AW$13),15-13*ORÇAMENTO!$AF$7)/$H157*OFFSET(ORÇAMENTO!$X$15,ROW(AW157)-ROW(AW$15),0),
              ROUND(ROUND(OFFSET($P157,0,AW$13),15-13*ORÇAMENTO!$AF$7)*OFFSET(ORÇAMENTO!$W$15,ROW(AW157)-ROW(AW$15),0),15-13*ORÇAMENTO!$AF$11)),
         0)</f>
        <v>0</v>
      </c>
      <c r="AX157" s="453">
        <f ca="1">IF(AND($D157="Serviço",AX$12&lt;&gt;0,$H157&gt;0,OR(AUTOEVENTO&lt;&gt;"manual",$M157&lt;&gt;$A$15)),
        IF(Import.TipoArredondamento&lt;&gt;"TransfereGOV",
              ROUND(OFFSET($P157,0,AX$13),15-13*ORÇAMENTO!$AF$7)/$H157*OFFSET(ORÇAMENTO!$X$15,ROW(AX157)-ROW(AX$15),0),
              ROUND(ROUND(OFFSET($P157,0,AX$13),15-13*ORÇAMENTO!$AF$7)*OFFSET(ORÇAMENTO!$W$15,ROW(AX157)-ROW(AX$15),0),15-13*ORÇAMENTO!$AF$11)),
         0)</f>
        <v>0</v>
      </c>
      <c r="AY157" s="453">
        <f ca="1">IF(AND($D157="Serviço",AY$12&lt;&gt;0,$H157&gt;0,OR(AUTOEVENTO&lt;&gt;"manual",$M157&lt;&gt;$A$15)),
        IF(Import.TipoArredondamento&lt;&gt;"TransfereGOV",
              ROUND(OFFSET($P157,0,AY$13),15-13*ORÇAMENTO!$AF$7)/$H157*OFFSET(ORÇAMENTO!$X$15,ROW(AY157)-ROW(AY$15),0),
              ROUND(ROUND(OFFSET($P157,0,AY$13),15-13*ORÇAMENTO!$AF$7)*OFFSET(ORÇAMENTO!$W$15,ROW(AY157)-ROW(AY$15),0),15-13*ORÇAMENTO!$AF$11)),
         0)</f>
        <v>0</v>
      </c>
      <c r="AZ157" s="453">
        <f ca="1">IF(AND($D157="Serviço",AZ$12&lt;&gt;0,$H157&gt;0,OR(AUTOEVENTO&lt;&gt;"manual",$M157&lt;&gt;$A$15)),
        IF(Import.TipoArredondamento&lt;&gt;"TransfereGOV",
              ROUND(OFFSET($P157,0,AZ$13),15-13*ORÇAMENTO!$AF$7)/$H157*OFFSET(ORÇAMENTO!$X$15,ROW(AZ157)-ROW(AZ$15),0),
              ROUND(ROUND(OFFSET($P157,0,AZ$13),15-13*ORÇAMENTO!$AF$7)*OFFSET(ORÇAMENTO!$W$15,ROW(AZ157)-ROW(AZ$15),0),15-13*ORÇAMENTO!$AF$11)),
         0)</f>
        <v>0</v>
      </c>
      <c r="BA157" s="453">
        <f ca="1">IF(AND($D157="Serviço",BA$12&lt;&gt;0,$H157&gt;0,OR(AUTOEVENTO&lt;&gt;"manual",$M157&lt;&gt;$A$15)),
        IF(Import.TipoArredondamento&lt;&gt;"TransfereGOV",
              ROUND(OFFSET($P157,0,BA$13),15-13*ORÇAMENTO!$AF$7)/$H157*OFFSET(ORÇAMENTO!$X$15,ROW(BA157)-ROW(BA$15),0),
              ROUND(ROUND(OFFSET($P157,0,BA$13),15-13*ORÇAMENTO!$AF$7)*OFFSET(ORÇAMENTO!$W$15,ROW(BA157)-ROW(BA$15),0),15-13*ORÇAMENTO!$AF$11)),
         0)</f>
        <v>0</v>
      </c>
      <c r="BC157" s="171">
        <f ca="1">IF(OR($D157&lt;&gt;"Serviço",AND(AUTOEVENTO="Manual",$M157=$A$15)),0,
         IF(OFFSET(CRONOPLE!$F$15,$M157-$A$15,BC$13)=0,10^12,OFFSET(CRONOPLE!$F$15,$M157-$A$15,BC$13)))</f>
        <v>1000000000000</v>
      </c>
      <c r="BD157" s="171">
        <f ca="1">IF(OR($D157&lt;&gt;"Serviço",AND(AUTOEVENTO="Manual",$M157=$A$15)),0,
         IF(OFFSET(CRONOPLE!$F$15,$M157-$A$15,BD$13)=0,10^12,OFFSET(CRONOPLE!$F$15,$M157-$A$15,BD$13)))</f>
        <v>1000000000000</v>
      </c>
      <c r="BE157" s="171">
        <f ca="1">IF(OR($D157&lt;&gt;"Serviço",AND(AUTOEVENTO="Manual",$M157=$A$15)),0,
         IF(OFFSET(CRONOPLE!$F$15,$M157-$A$15,BE$13)=0,10^12,OFFSET(CRONOPLE!$F$15,$M157-$A$15,BE$13)))</f>
        <v>3</v>
      </c>
      <c r="BF157" s="171">
        <f ca="1">IF(OR($D157&lt;&gt;"Serviço",AND(AUTOEVENTO="Manual",$M157=$A$15)),0,
         IF(OFFSET(CRONOPLE!$F$15,$M157-$A$15,BF$13)=0,10^12,OFFSET(CRONOPLE!$F$15,$M157-$A$15,BF$13)))</f>
        <v>1000000000000</v>
      </c>
      <c r="BG157" s="171">
        <f ca="1">IF(OR($D157&lt;&gt;"Serviço",AND(AUTOEVENTO="Manual",$M157=$A$15)),0,
         IF(OFFSET(CRONOPLE!$F$15,$M157-$A$15,BG$13)=0,10^12,OFFSET(CRONOPLE!$F$15,$M157-$A$15,BG$13)))</f>
        <v>1000000000000</v>
      </c>
      <c r="BH157" s="171">
        <f ca="1">IF(OR($D157&lt;&gt;"Serviço",AND(AUTOEVENTO="Manual",$M157=$A$15)),0,
         IF(OFFSET(CRONOPLE!$F$15,$M157-$A$15,BH$13)=0,10^12,OFFSET(CRONOPLE!$F$15,$M157-$A$15,BH$13)))</f>
        <v>9</v>
      </c>
      <c r="BI157" s="171">
        <f ca="1">IF(OR($D157&lt;&gt;"Serviço",AND(AUTOEVENTO="Manual",$M157=$A$15)),0,
         IF(OFFSET(CRONOPLE!$F$15,$M157-$A$15,BI$13)=0,10^12,OFFSET(CRONOPLE!$F$15,$M157-$A$15,BI$13)))</f>
        <v>1000000000000</v>
      </c>
      <c r="BJ157" s="171">
        <f ca="1">IF(OR($D157&lt;&gt;"Serviço",AND(AUTOEVENTO="Manual",$M157=$A$15)),0,
         IF(OFFSET(CRONOPLE!$F$15,$M157-$A$15,BJ$13)=0,10^12,OFFSET(CRONOPLE!$F$15,$M157-$A$15,BJ$13)))</f>
        <v>1000000000000</v>
      </c>
      <c r="BK157" s="171">
        <f ca="1">IF(OR($D157&lt;&gt;"Serviço",AND(AUTOEVENTO="Manual",$M157=$A$15)),0,
         IF(OFFSET(CRONOPLE!$F$15,$M157-$A$15,BK$13)=0,10^12,OFFSET(CRONOPLE!$F$15,$M157-$A$15,BK$13)))</f>
        <v>1000000000000</v>
      </c>
      <c r="BL157" s="171">
        <f ca="1">IF(OR($D157&lt;&gt;"Serviço",AND(AUTOEVENTO="Manual",$M157=$A$15)),0,
         IF(OFFSET(CRONOPLE!$F$15,$M157-$A$15,BL$13)=0,10^12,OFFSET(CRONOPLE!$F$15,$M157-$A$15,BL$13)))</f>
        <v>1000000000000</v>
      </c>
      <c r="BM157" s="171">
        <f ca="1">IF(OR($D157&lt;&gt;"Serviço",AND(AUTOEVENTO="Manual",$M157=$A$15)),0,
         IF(OFFSET(CRONOPLE!$F$15,$M157-$A$15,BM$13)=0,10^12,OFFSET(CRONOPLE!$F$15,$M157-$A$15,BM$13)))</f>
        <v>1000000000000</v>
      </c>
      <c r="BN157" s="171">
        <f ca="1">IF(OR($D157&lt;&gt;"Serviço",AND(AUTOEVENTO="Manual",$M157=$A$15)),0,
         IF(OFFSET(CRONOPLE!$F$15,$M157-$A$15,BN$13)=0,10^12,OFFSET(CRONOPLE!$F$15,$M157-$A$15,BN$13)))</f>
        <v>1000000000000</v>
      </c>
      <c r="BO157" s="171">
        <f ca="1">IF(OR($D157&lt;&gt;"Serviço",AND(AUTOEVENTO="Manual",$M157=$A$15)),0,
         IF(OFFSET(CRONOPLE!$F$15,$M157-$A$15,BO$13)=0,10^12,OFFSET(CRONOPLE!$F$15,$M157-$A$15,BO$13)))</f>
        <v>1000000000000</v>
      </c>
      <c r="BP157" s="171">
        <f ca="1">IF(OR($D157&lt;&gt;"Serviço",AND(AUTOEVENTO="Manual",$M157=$A$15)),0,
         IF(OFFSET(CRONOPLE!$F$15,$M157-$A$15,BP$13)=0,10^12,OFFSET(CRONOPLE!$F$15,$M157-$A$15,BP$13)))</f>
        <v>1000000000000</v>
      </c>
      <c r="BQ157" s="171">
        <f ca="1">IF(OR($D157&lt;&gt;"Serviço",AND(AUTOEVENTO="Manual",$M157=$A$15)),0,
         IF(OFFSET(CRONOPLE!$F$15,$M157-$A$15,BQ$13)=0,10^12,OFFSET(CRONOPLE!$F$15,$M157-$A$15,BQ$13)))</f>
        <v>1000000000000</v>
      </c>
      <c r="BR157" s="171">
        <f ca="1">IF(OR($D157&lt;&gt;"Serviço",AND(AUTOEVENTO="Manual",$M157=$A$15)),0,
         IF(OFFSET(CRONOPLE!$F$15,$M157-$A$15,BR$13)=0,10^12,OFFSET(CRONOPLE!$F$15,$M157-$A$15,BR$13)))</f>
        <v>1000000000000</v>
      </c>
      <c r="BS157" s="171">
        <f ca="1">IF(OR($D157&lt;&gt;"Serviço",AND(AUTOEVENTO="Manual",$M157=$A$15)),0,
         IF(OFFSET(CRONOPLE!$F$15,$M157-$A$15,BS$13)=0,10^12,OFFSET(CRONOPLE!$F$15,$M157-$A$15,BS$13)))</f>
        <v>1000000000000</v>
      </c>
      <c r="BT157" s="171">
        <f ca="1">IF(OR($D157&lt;&gt;"Serviço",AND(AUTOEVENTO="Manual",$M157=$A$15)),0,
         IF(OFFSET(CRONOPLE!$F$15,$M157-$A$15,BT$13)=0,10^12,OFFSET(CRONOPLE!$F$15,$M157-$A$15,BT$13)))</f>
        <v>1000000000000</v>
      </c>
      <c r="BV157" s="172" cm="1">
        <f t="array" aca="1" ref="BV157" ca="1">IF(OR($D157&lt;&gt;"Serviço",AND(AUTOEVENTO="Manual",$M157=$A$15),$M157&gt;(ROW(PLE.lastrow)-ROW(PLE.firstrow))),0,
           IF(OFFSET(PLE!$G$15,$M157-$A$15,BV$13)="",10^12,OFFSET(PLE!$G$15,$M157-$A$15,BV$13)))</f>
        <v>1000000000000</v>
      </c>
      <c r="BW157" s="172" cm="1">
        <f t="array" aca="1" ref="BW157" ca="1">IF(OR($D157&lt;&gt;"Serviço",AND(AUTOEVENTO="Manual",$M157=$A$15),$M157&gt;(ROW(PLE.lastrow)-ROW(PLE.firstrow))),0,
           IF(OFFSET(PLE!$G$15,$M157-$A$15,BW$13)="",10^12,OFFSET(PLE!$G$15,$M157-$A$15,BW$13)))</f>
        <v>1000000000000</v>
      </c>
      <c r="BX157" s="172" cm="1">
        <f t="array" aca="1" ref="BX157" ca="1">IF(OR($D157&lt;&gt;"Serviço",AND(AUTOEVENTO="Manual",$M157=$A$15),$M157&gt;(ROW(PLE.lastrow)-ROW(PLE.firstrow))),0,
           IF(OFFSET(PLE!$G$15,$M157-$A$15,BX$13)="",10^12,OFFSET(PLE!$G$15,$M157-$A$15,BX$13)))</f>
        <v>1000000000000</v>
      </c>
      <c r="BY157" s="172" cm="1">
        <f t="array" aca="1" ref="BY157" ca="1">IF(OR($D157&lt;&gt;"Serviço",AND(AUTOEVENTO="Manual",$M157=$A$15),$M157&gt;(ROW(PLE.lastrow)-ROW(PLE.firstrow))),0,
           IF(OFFSET(PLE!$G$15,$M157-$A$15,BY$13)="",10^12,OFFSET(PLE!$G$15,$M157-$A$15,BY$13)))</f>
        <v>1000000000000</v>
      </c>
      <c r="BZ157" s="172" cm="1">
        <f t="array" aca="1" ref="BZ157" ca="1">IF(OR($D157&lt;&gt;"Serviço",AND(AUTOEVENTO="Manual",$M157=$A$15),$M157&gt;(ROW(PLE.lastrow)-ROW(PLE.firstrow))),0,
           IF(OFFSET(PLE!$G$15,$M157-$A$15,BZ$13)="",10^12,OFFSET(PLE!$G$15,$M157-$A$15,BZ$13)))</f>
        <v>1000000000000</v>
      </c>
      <c r="CA157" s="172" cm="1">
        <f t="array" aca="1" ref="CA157" ca="1">IF(OR($D157&lt;&gt;"Serviço",AND(AUTOEVENTO="Manual",$M157=$A$15),$M157&gt;(ROW(PLE.lastrow)-ROW(PLE.firstrow))),0,
           IF(OFFSET(PLE!$G$15,$M157-$A$15,CA$13)="",10^12,OFFSET(PLE!$G$15,$M157-$A$15,CA$13)))</f>
        <v>1000000000000</v>
      </c>
      <c r="CB157" s="172" cm="1">
        <f t="array" aca="1" ref="CB157" ca="1">IF(OR($D157&lt;&gt;"Serviço",AND(AUTOEVENTO="Manual",$M157=$A$15),$M157&gt;(ROW(PLE.lastrow)-ROW(PLE.firstrow))),0,
           IF(OFFSET(PLE!$G$15,$M157-$A$15,CB$13)="",10^12,OFFSET(PLE!$G$15,$M157-$A$15,CB$13)))</f>
        <v>1000000000000</v>
      </c>
      <c r="CC157" s="172" cm="1">
        <f t="array" aca="1" ref="CC157" ca="1">IF(OR($D157&lt;&gt;"Serviço",AND(AUTOEVENTO="Manual",$M157=$A$15),$M157&gt;(ROW(PLE.lastrow)-ROW(PLE.firstrow))),0,
           IF(OFFSET(PLE!$G$15,$M157-$A$15,CC$13)="",10^12,OFFSET(PLE!$G$15,$M157-$A$15,CC$13)))</f>
        <v>1000000000000</v>
      </c>
      <c r="CD157" s="172" cm="1">
        <f t="array" aca="1" ref="CD157" ca="1">IF(OR($D157&lt;&gt;"Serviço",AND(AUTOEVENTO="Manual",$M157=$A$15),$M157&gt;(ROW(PLE.lastrow)-ROW(PLE.firstrow))),0,
           IF(OFFSET(PLE!$G$15,$M157-$A$15,CD$13)="",10^12,OFFSET(PLE!$G$15,$M157-$A$15,CD$13)))</f>
        <v>1000000000000</v>
      </c>
      <c r="CE157" s="172" cm="1">
        <f t="array" aca="1" ref="CE157" ca="1">IF(OR($D157&lt;&gt;"Serviço",AND(AUTOEVENTO="Manual",$M157=$A$15),$M157&gt;(ROW(PLE.lastrow)-ROW(PLE.firstrow))),0,
           IF(OFFSET(PLE!$G$15,$M157-$A$15,CE$13)="",10^12,OFFSET(PLE!$G$15,$M157-$A$15,CE$13)))</f>
        <v>1000000000000</v>
      </c>
      <c r="CF157" s="172" cm="1">
        <f t="array" aca="1" ref="CF157" ca="1">IF(OR($D157&lt;&gt;"Serviço",AND(AUTOEVENTO="Manual",$M157=$A$15),$M157&gt;(ROW(PLE.lastrow)-ROW(PLE.firstrow))),0,
           IF(OFFSET(PLE!$G$15,$M157-$A$15,CF$13)="",10^12,OFFSET(PLE!$G$15,$M157-$A$15,CF$13)))</f>
        <v>1000000000000</v>
      </c>
      <c r="CG157" s="172" cm="1">
        <f t="array" aca="1" ref="CG157" ca="1">IF(OR($D157&lt;&gt;"Serviço",AND(AUTOEVENTO="Manual",$M157=$A$15),$M157&gt;(ROW(PLE.lastrow)-ROW(PLE.firstrow))),0,
           IF(OFFSET(PLE!$G$15,$M157-$A$15,CG$13)="",10^12,OFFSET(PLE!$G$15,$M157-$A$15,CG$13)))</f>
        <v>1000000000000</v>
      </c>
      <c r="CH157" s="172" cm="1">
        <f t="array" aca="1" ref="CH157" ca="1">IF(OR($D157&lt;&gt;"Serviço",AND(AUTOEVENTO="Manual",$M157=$A$15),$M157&gt;(ROW(PLE.lastrow)-ROW(PLE.firstrow))),0,
           IF(OFFSET(PLE!$G$15,$M157-$A$15,CH$13)="",10^12,OFFSET(PLE!$G$15,$M157-$A$15,CH$13)))</f>
        <v>1000000000000</v>
      </c>
      <c r="CI157" s="172" cm="1">
        <f t="array" aca="1" ref="CI157" ca="1">IF(OR($D157&lt;&gt;"Serviço",AND(AUTOEVENTO="Manual",$M157=$A$15),$M157&gt;(ROW(PLE.lastrow)-ROW(PLE.firstrow))),0,
           IF(OFFSET(PLE!$G$15,$M157-$A$15,CI$13)="",10^12,OFFSET(PLE!$G$15,$M157-$A$15,CI$13)))</f>
        <v>1000000000000</v>
      </c>
      <c r="CJ157" s="172" cm="1">
        <f t="array" aca="1" ref="CJ157" ca="1">IF(OR($D157&lt;&gt;"Serviço",AND(AUTOEVENTO="Manual",$M157=$A$15),$M157&gt;(ROW(PLE.lastrow)-ROW(PLE.firstrow))),0,
           IF(OFFSET(PLE!$G$15,$M157-$A$15,CJ$13)="",10^12,OFFSET(PLE!$G$15,$M157-$A$15,CJ$13)))</f>
        <v>1000000000000</v>
      </c>
      <c r="CK157" s="172" cm="1">
        <f t="array" aca="1" ref="CK157" ca="1">IF(OR($D157&lt;&gt;"Serviço",AND(AUTOEVENTO="Manual",$M157=$A$15),$M157&gt;(ROW(PLE.lastrow)-ROW(PLE.firstrow))),0,
           IF(OFFSET(PLE!$G$15,$M157-$A$15,CK$13)="",10^12,OFFSET(PLE!$G$15,$M157-$A$15,CK$13)))</f>
        <v>1000000000000</v>
      </c>
      <c r="CL157" s="172" cm="1">
        <f t="array" aca="1" ref="CL157" ca="1">IF(OR($D157&lt;&gt;"Serviço",AND(AUTOEVENTO="Manual",$M157=$A$15),$M157&gt;(ROW(PLE.lastrow)-ROW(PLE.firstrow))),0,
           IF(OFFSET(PLE!$G$15,$M157-$A$15,CL$13)="",10^12,OFFSET(PLE!$G$15,$M157-$A$15,CL$13)))</f>
        <v>1000000000000</v>
      </c>
      <c r="CM157" s="172" cm="1">
        <f t="array" aca="1" ref="CM157" ca="1">IF(OR($D157&lt;&gt;"Serviço",AND(AUTOEVENTO="Manual",$M157=$A$15),$M157&gt;(ROW(PLE.lastrow)-ROW(PLE.firstrow))),0,
           IF(OFFSET(PLE!$G$15,$M157-$A$15,CM$13)="",10^12,OFFSET(PLE!$G$15,$M157-$A$15,CM$13)))</f>
        <v>1000000000000</v>
      </c>
    </row>
    <row r="158" spans="1:91" s="670" customFormat="1" ht="12.75" x14ac:dyDescent="0.2">
      <c r="A158" s="668">
        <f t="shared" ca="1" si="14"/>
        <v>24</v>
      </c>
      <c r="B158" s="668" t="str">
        <f ca="1">OFFSET(ORÇAMENTO!C$15,$L158,0)</f>
        <v>S</v>
      </c>
      <c r="C158" s="668" t="str">
        <f ca="1">OFFSET(ORÇAMENTO!L$15,$L158,0)</f>
        <v>F</v>
      </c>
      <c r="D158" s="116" t="str">
        <f ca="1">OFFSET(ORÇAMENTO!N$15,$L158,0)</f>
        <v>Serviço</v>
      </c>
      <c r="E158" s="117" t="str">
        <f ca="1">OFFSET(ORÇAMENTO!O$15,$L158,0)</f>
        <v>1.21.2.</v>
      </c>
      <c r="F158" s="163" t="str">
        <f ca="1">OFFSET(ORÇAMENTO!R$15,$L158,0)</f>
        <v>curva 90º, em ferro fundido, com flanges pn 10, diam. =  200mm</v>
      </c>
      <c r="G158" s="164" t="str">
        <f ca="1">IF($D158&lt;&gt;"Serviço","",OFFSET(ORÇAMENTO!S$15,$L158,0))</f>
        <v>UNIDADE</v>
      </c>
      <c r="H158" s="122" cm="1">
        <f t="array" aca="1" ref="H158" ca="1">IF($D158&lt;&gt;"Serviço",0,IF(ACOMPANHAMENTO="BM",ROUND(OFFSET(ORÇAMENTO!AJ$15,$L158,0),15-13*ORÇAMENTO!$AF$7),IF(IFERROR(CÁLCULO.FrentesPreenchidas,0)=0,0,SUM(ROUND(OFFSET($P158,0,1,1,CÁLCULO.FrentesPreenchidas),15-13*ORÇAMENTO!$AF$7)))))</f>
        <v>3</v>
      </c>
      <c r="I158" s="468" t="s">
        <v>1201</v>
      </c>
      <c r="J158" s="651" t="str" cm="1">
        <f t="array" aca="1" ref="J158" ca="1">IF(OR(B158&lt;&gt;"S",CÁLCULO.FrentesPreenchidas=0),"",IF(AND(ACOMPANHAMENTO="PLE",AUTOEVENTO="Manual",OR(H158&gt;0,ORÇAMENTO!AC158="QUANT."),OR(K158="",M158=0,N158="")),"►E",IF(AND(ACOMPANHAMENTO="PLE",ORÇAMENTO!AC158="QUANT."),"►Q",IF(AND(ACOMPANHAMENTO="PLE",H158&lt;&gt;SUMPRODUCT(($Q$1:$AI$1=1)*ROUND(Q158:AI158,15))),"►S",IF(AND(COUNTIF($P$11:$AI$11,"▼")=0,H158&gt;0,I158=""),"◄M","")))))</f>
        <v/>
      </c>
      <c r="K158" s="652" t="s">
        <v>1344</v>
      </c>
      <c r="L158" s="165">
        <f t="shared" ca="1" si="15"/>
        <v>143</v>
      </c>
      <c r="M158" s="166">
        <f ca="1">IF($D158&lt;&gt;"Serviço","",
          IF(AUTOEVENTO="manual",$A158,
                IF(ISERROR(MATCH($A158,$A$15:OFFSET($A158,-1,0),0)),MAX($M$15:OFFSET(M158,-1,0))+1,
                      INDEX($M$15:OFFSET(M158,-1,0),MATCH($A158,$A$15:OFFSET($A158,-1,0),0)))))</f>
        <v>24</v>
      </c>
      <c r="N158" s="167" t="str">
        <f ca="1">IF($D158&lt;&gt;"Serviço","",
         IF(AUTOEVENTO="Manual",
                IF($A158=0,"&lt;-- defina o número do agrupador",
                       OFFSET(EVENTOS!$D$15,$A158-$A$15,0)),
                OFFSET($F$15,$A158,0)))</f>
        <v>Instalações hidrossanitárias</v>
      </c>
      <c r="O158" s="168"/>
      <c r="Q158" s="168"/>
      <c r="R158" s="169"/>
      <c r="S158" s="169"/>
      <c r="T158" s="169"/>
      <c r="U158" s="169"/>
      <c r="V158" s="169">
        <v>3</v>
      </c>
      <c r="W158" s="169"/>
      <c r="X158" s="169"/>
      <c r="Y158" s="169"/>
      <c r="Z158" s="170"/>
      <c r="AA158" s="705"/>
      <c r="AB158" s="705"/>
      <c r="AC158" s="705"/>
      <c r="AD158" s="705"/>
      <c r="AE158" s="705"/>
      <c r="AF158" s="705"/>
      <c r="AG158" s="705"/>
      <c r="AH158" s="706"/>
      <c r="AJ158" s="453">
        <f ca="1">IF(AND($D158="Serviço",AJ$12&lt;&gt;0,$H158&gt;0,OR(AUTOEVENTO&lt;&gt;"manual",$M158&lt;&gt;$A$15)),
        IF(Import.TipoArredondamento&lt;&gt;"TransfereGOV",
              ROUND(OFFSET($P158,0,AJ$13),15-13*ORÇAMENTO!$AF$7)/$H158*OFFSET(ORÇAMENTO!$X$15,ROW(AJ158)-ROW(AJ$15),0),
              ROUND(ROUND(OFFSET($P158,0,AJ$13),15-13*ORÇAMENTO!$AF$7)*OFFSET(ORÇAMENTO!$W$15,ROW(AJ158)-ROW(AJ$15),0),15-13*ORÇAMENTO!$AF$11)),
         0)</f>
        <v>0</v>
      </c>
      <c r="AK158" s="453">
        <f ca="1">IF(AND($D158="Serviço",AK$12&lt;&gt;0,$H158&gt;0,OR(AUTOEVENTO&lt;&gt;"manual",$M158&lt;&gt;$A$15)),
        IF(Import.TipoArredondamento&lt;&gt;"TransfereGOV",
              ROUND(OFFSET($P158,0,AK$13),15-13*ORÇAMENTO!$AF$7)/$H158*OFFSET(ORÇAMENTO!$X$15,ROW(AK158)-ROW(AK$15),0),
              ROUND(ROUND(OFFSET($P158,0,AK$13),15-13*ORÇAMENTO!$AF$7)*OFFSET(ORÇAMENTO!$W$15,ROW(AK158)-ROW(AK$15),0),15-13*ORÇAMENTO!$AF$11)),
         0)</f>
        <v>0</v>
      </c>
      <c r="AL158" s="453">
        <f ca="1">IF(AND($D158="Serviço",AL$12&lt;&gt;0,$H158&gt;0,OR(AUTOEVENTO&lt;&gt;"manual",$M158&lt;&gt;$A$15)),
        IF(Import.TipoArredondamento&lt;&gt;"TransfereGOV",
              ROUND(OFFSET($P158,0,AL$13),15-13*ORÇAMENTO!$AF$7)/$H158*OFFSET(ORÇAMENTO!$X$15,ROW(AL158)-ROW(AL$15),0),
              ROUND(ROUND(OFFSET($P158,0,AL$13),15-13*ORÇAMENTO!$AF$7)*OFFSET(ORÇAMENTO!$W$15,ROW(AL158)-ROW(AL$15),0),15-13*ORÇAMENTO!$AF$11)),
         0)</f>
        <v>0</v>
      </c>
      <c r="AM158" s="453">
        <f ca="1">IF(AND($D158="Serviço",AM$12&lt;&gt;0,$H158&gt;0,OR(AUTOEVENTO&lt;&gt;"manual",$M158&lt;&gt;$A$15)),
        IF(Import.TipoArredondamento&lt;&gt;"TransfereGOV",
              ROUND(OFFSET($P158,0,AM$13),15-13*ORÇAMENTO!$AF$7)/$H158*OFFSET(ORÇAMENTO!$X$15,ROW(AM158)-ROW(AM$15),0),
              ROUND(ROUND(OFFSET($P158,0,AM$13),15-13*ORÇAMENTO!$AF$7)*OFFSET(ORÇAMENTO!$W$15,ROW(AM158)-ROW(AM$15),0),15-13*ORÇAMENTO!$AF$11)),
         0)</f>
        <v>0</v>
      </c>
      <c r="AN158" s="453">
        <f ca="1">IF(AND($D158="Serviço",AN$12&lt;&gt;0,$H158&gt;0,OR(AUTOEVENTO&lt;&gt;"manual",$M158&lt;&gt;$A$15)),
        IF(Import.TipoArredondamento&lt;&gt;"TransfereGOV",
              ROUND(OFFSET($P158,0,AN$13),15-13*ORÇAMENTO!$AF$7)/$H158*OFFSET(ORÇAMENTO!$X$15,ROW(AN158)-ROW(AN$15),0),
              ROUND(ROUND(OFFSET($P158,0,AN$13),15-13*ORÇAMENTO!$AF$7)*OFFSET(ORÇAMENTO!$W$15,ROW(AN158)-ROW(AN$15),0),15-13*ORÇAMENTO!$AF$11)),
         0)</f>
        <v>0</v>
      </c>
      <c r="AO158" s="453">
        <f ca="1">IF(AND($D158="Serviço",AO$12&lt;&gt;0,$H158&gt;0,OR(AUTOEVENTO&lt;&gt;"manual",$M158&lt;&gt;$A$15)),
        IF(Import.TipoArredondamento&lt;&gt;"TransfereGOV",
              ROUND(OFFSET($P158,0,AO$13),15-13*ORÇAMENTO!$AF$7)/$H158*OFFSET(ORÇAMENTO!$X$15,ROW(AO158)-ROW(AO$15),0),
              ROUND(ROUND(OFFSET($P158,0,AO$13),15-13*ORÇAMENTO!$AF$7)*OFFSET(ORÇAMENTO!$W$15,ROW(AO158)-ROW(AO$15),0),15-13*ORÇAMENTO!$AF$11)),
         0)</f>
        <v>3975.03</v>
      </c>
      <c r="AP158" s="453">
        <f ca="1">IF(AND($D158="Serviço",AP$12&lt;&gt;0,$H158&gt;0,OR(AUTOEVENTO&lt;&gt;"manual",$M158&lt;&gt;$A$15)),
        IF(Import.TipoArredondamento&lt;&gt;"TransfereGOV",
              ROUND(OFFSET($P158,0,AP$13),15-13*ORÇAMENTO!$AF$7)/$H158*OFFSET(ORÇAMENTO!$X$15,ROW(AP158)-ROW(AP$15),0),
              ROUND(ROUND(OFFSET($P158,0,AP$13),15-13*ORÇAMENTO!$AF$7)*OFFSET(ORÇAMENTO!$W$15,ROW(AP158)-ROW(AP$15),0),15-13*ORÇAMENTO!$AF$11)),
         0)</f>
        <v>0</v>
      </c>
      <c r="AQ158" s="453">
        <f ca="1">IF(AND($D158="Serviço",AQ$12&lt;&gt;0,$H158&gt;0,OR(AUTOEVENTO&lt;&gt;"manual",$M158&lt;&gt;$A$15)),
        IF(Import.TipoArredondamento&lt;&gt;"TransfereGOV",
              ROUND(OFFSET($P158,0,AQ$13),15-13*ORÇAMENTO!$AF$7)/$H158*OFFSET(ORÇAMENTO!$X$15,ROW(AQ158)-ROW(AQ$15),0),
              ROUND(ROUND(OFFSET($P158,0,AQ$13),15-13*ORÇAMENTO!$AF$7)*OFFSET(ORÇAMENTO!$W$15,ROW(AQ158)-ROW(AQ$15),0),15-13*ORÇAMENTO!$AF$11)),
         0)</f>
        <v>0</v>
      </c>
      <c r="AR158" s="453">
        <f ca="1">IF(AND($D158="Serviço",AR$12&lt;&gt;0,$H158&gt;0,OR(AUTOEVENTO&lt;&gt;"manual",$M158&lt;&gt;$A$15)),
        IF(Import.TipoArredondamento&lt;&gt;"TransfereGOV",
              ROUND(OFFSET($P158,0,AR$13),15-13*ORÇAMENTO!$AF$7)/$H158*OFFSET(ORÇAMENTO!$X$15,ROW(AR158)-ROW(AR$15),0),
              ROUND(ROUND(OFFSET($P158,0,AR$13),15-13*ORÇAMENTO!$AF$7)*OFFSET(ORÇAMENTO!$W$15,ROW(AR158)-ROW(AR$15),0),15-13*ORÇAMENTO!$AF$11)),
         0)</f>
        <v>0</v>
      </c>
      <c r="AS158" s="453">
        <f ca="1">IF(AND($D158="Serviço",AS$12&lt;&gt;0,$H158&gt;0,OR(AUTOEVENTO&lt;&gt;"manual",$M158&lt;&gt;$A$15)),
        IF(Import.TipoArredondamento&lt;&gt;"TransfereGOV",
              ROUND(OFFSET($P158,0,AS$13),15-13*ORÇAMENTO!$AF$7)/$H158*OFFSET(ORÇAMENTO!$X$15,ROW(AS158)-ROW(AS$15),0),
              ROUND(ROUND(OFFSET($P158,0,AS$13),15-13*ORÇAMENTO!$AF$7)*OFFSET(ORÇAMENTO!$W$15,ROW(AS158)-ROW(AS$15),0),15-13*ORÇAMENTO!$AF$11)),
         0)</f>
        <v>0</v>
      </c>
      <c r="AT158" s="453">
        <f ca="1">IF(AND($D158="Serviço",AT$12&lt;&gt;0,$H158&gt;0,OR(AUTOEVENTO&lt;&gt;"manual",$M158&lt;&gt;$A$15)),
        IF(Import.TipoArredondamento&lt;&gt;"TransfereGOV",
              ROUND(OFFSET($P158,0,AT$13),15-13*ORÇAMENTO!$AF$7)/$H158*OFFSET(ORÇAMENTO!$X$15,ROW(AT158)-ROW(AT$15),0),
              ROUND(ROUND(OFFSET($P158,0,AT$13),15-13*ORÇAMENTO!$AF$7)*OFFSET(ORÇAMENTO!$W$15,ROW(AT158)-ROW(AT$15),0),15-13*ORÇAMENTO!$AF$11)),
         0)</f>
        <v>0</v>
      </c>
      <c r="AU158" s="453">
        <f ca="1">IF(AND($D158="Serviço",AU$12&lt;&gt;0,$H158&gt;0,OR(AUTOEVENTO&lt;&gt;"manual",$M158&lt;&gt;$A$15)),
        IF(Import.TipoArredondamento&lt;&gt;"TransfereGOV",
              ROUND(OFFSET($P158,0,AU$13),15-13*ORÇAMENTO!$AF$7)/$H158*OFFSET(ORÇAMENTO!$X$15,ROW(AU158)-ROW(AU$15),0),
              ROUND(ROUND(OFFSET($P158,0,AU$13),15-13*ORÇAMENTO!$AF$7)*OFFSET(ORÇAMENTO!$W$15,ROW(AU158)-ROW(AU$15),0),15-13*ORÇAMENTO!$AF$11)),
         0)</f>
        <v>0</v>
      </c>
      <c r="AV158" s="453">
        <f ca="1">IF(AND($D158="Serviço",AV$12&lt;&gt;0,$H158&gt;0,OR(AUTOEVENTO&lt;&gt;"manual",$M158&lt;&gt;$A$15)),
        IF(Import.TipoArredondamento&lt;&gt;"TransfereGOV",
              ROUND(OFFSET($P158,0,AV$13),15-13*ORÇAMENTO!$AF$7)/$H158*OFFSET(ORÇAMENTO!$X$15,ROW(AV158)-ROW(AV$15),0),
              ROUND(ROUND(OFFSET($P158,0,AV$13),15-13*ORÇAMENTO!$AF$7)*OFFSET(ORÇAMENTO!$W$15,ROW(AV158)-ROW(AV$15),0),15-13*ORÇAMENTO!$AF$11)),
         0)</f>
        <v>0</v>
      </c>
      <c r="AW158" s="453">
        <f ca="1">IF(AND($D158="Serviço",AW$12&lt;&gt;0,$H158&gt;0,OR(AUTOEVENTO&lt;&gt;"manual",$M158&lt;&gt;$A$15)),
        IF(Import.TipoArredondamento&lt;&gt;"TransfereGOV",
              ROUND(OFFSET($P158,0,AW$13),15-13*ORÇAMENTO!$AF$7)/$H158*OFFSET(ORÇAMENTO!$X$15,ROW(AW158)-ROW(AW$15),0),
              ROUND(ROUND(OFFSET($P158,0,AW$13),15-13*ORÇAMENTO!$AF$7)*OFFSET(ORÇAMENTO!$W$15,ROW(AW158)-ROW(AW$15),0),15-13*ORÇAMENTO!$AF$11)),
         0)</f>
        <v>0</v>
      </c>
      <c r="AX158" s="453">
        <f ca="1">IF(AND($D158="Serviço",AX$12&lt;&gt;0,$H158&gt;0,OR(AUTOEVENTO&lt;&gt;"manual",$M158&lt;&gt;$A$15)),
        IF(Import.TipoArredondamento&lt;&gt;"TransfereGOV",
              ROUND(OFFSET($P158,0,AX$13),15-13*ORÇAMENTO!$AF$7)/$H158*OFFSET(ORÇAMENTO!$X$15,ROW(AX158)-ROW(AX$15),0),
              ROUND(ROUND(OFFSET($P158,0,AX$13),15-13*ORÇAMENTO!$AF$7)*OFFSET(ORÇAMENTO!$W$15,ROW(AX158)-ROW(AX$15),0),15-13*ORÇAMENTO!$AF$11)),
         0)</f>
        <v>0</v>
      </c>
      <c r="AY158" s="453">
        <f ca="1">IF(AND($D158="Serviço",AY$12&lt;&gt;0,$H158&gt;0,OR(AUTOEVENTO&lt;&gt;"manual",$M158&lt;&gt;$A$15)),
        IF(Import.TipoArredondamento&lt;&gt;"TransfereGOV",
              ROUND(OFFSET($P158,0,AY$13),15-13*ORÇAMENTO!$AF$7)/$H158*OFFSET(ORÇAMENTO!$X$15,ROW(AY158)-ROW(AY$15),0),
              ROUND(ROUND(OFFSET($P158,0,AY$13),15-13*ORÇAMENTO!$AF$7)*OFFSET(ORÇAMENTO!$W$15,ROW(AY158)-ROW(AY$15),0),15-13*ORÇAMENTO!$AF$11)),
         0)</f>
        <v>0</v>
      </c>
      <c r="AZ158" s="453">
        <f ca="1">IF(AND($D158="Serviço",AZ$12&lt;&gt;0,$H158&gt;0,OR(AUTOEVENTO&lt;&gt;"manual",$M158&lt;&gt;$A$15)),
        IF(Import.TipoArredondamento&lt;&gt;"TransfereGOV",
              ROUND(OFFSET($P158,0,AZ$13),15-13*ORÇAMENTO!$AF$7)/$H158*OFFSET(ORÇAMENTO!$X$15,ROW(AZ158)-ROW(AZ$15),0),
              ROUND(ROUND(OFFSET($P158,0,AZ$13),15-13*ORÇAMENTO!$AF$7)*OFFSET(ORÇAMENTO!$W$15,ROW(AZ158)-ROW(AZ$15),0),15-13*ORÇAMENTO!$AF$11)),
         0)</f>
        <v>0</v>
      </c>
      <c r="BA158" s="453">
        <f ca="1">IF(AND($D158="Serviço",BA$12&lt;&gt;0,$H158&gt;0,OR(AUTOEVENTO&lt;&gt;"manual",$M158&lt;&gt;$A$15)),
        IF(Import.TipoArredondamento&lt;&gt;"TransfereGOV",
              ROUND(OFFSET($P158,0,BA$13),15-13*ORÇAMENTO!$AF$7)/$H158*OFFSET(ORÇAMENTO!$X$15,ROW(BA158)-ROW(BA$15),0),
              ROUND(ROUND(OFFSET($P158,0,BA$13),15-13*ORÇAMENTO!$AF$7)*OFFSET(ORÇAMENTO!$W$15,ROW(BA158)-ROW(BA$15),0),15-13*ORÇAMENTO!$AF$11)),
         0)</f>
        <v>0</v>
      </c>
      <c r="BC158" s="171">
        <f ca="1">IF(OR($D158&lt;&gt;"Serviço",AND(AUTOEVENTO="Manual",$M158=$A$15)),0,
         IF(OFFSET(CRONOPLE!$F$15,$M158-$A$15,BC$13)=0,10^12,OFFSET(CRONOPLE!$F$15,$M158-$A$15,BC$13)))</f>
        <v>1000000000000</v>
      </c>
      <c r="BD158" s="171">
        <f ca="1">IF(OR($D158&lt;&gt;"Serviço",AND(AUTOEVENTO="Manual",$M158=$A$15)),0,
         IF(OFFSET(CRONOPLE!$F$15,$M158-$A$15,BD$13)=0,10^12,OFFSET(CRONOPLE!$F$15,$M158-$A$15,BD$13)))</f>
        <v>1000000000000</v>
      </c>
      <c r="BE158" s="171">
        <f ca="1">IF(OR($D158&lt;&gt;"Serviço",AND(AUTOEVENTO="Manual",$M158=$A$15)),0,
         IF(OFFSET(CRONOPLE!$F$15,$M158-$A$15,BE$13)=0,10^12,OFFSET(CRONOPLE!$F$15,$M158-$A$15,BE$13)))</f>
        <v>3</v>
      </c>
      <c r="BF158" s="171">
        <f ca="1">IF(OR($D158&lt;&gt;"Serviço",AND(AUTOEVENTO="Manual",$M158=$A$15)),0,
         IF(OFFSET(CRONOPLE!$F$15,$M158-$A$15,BF$13)=0,10^12,OFFSET(CRONOPLE!$F$15,$M158-$A$15,BF$13)))</f>
        <v>1000000000000</v>
      </c>
      <c r="BG158" s="171">
        <f ca="1">IF(OR($D158&lt;&gt;"Serviço",AND(AUTOEVENTO="Manual",$M158=$A$15)),0,
         IF(OFFSET(CRONOPLE!$F$15,$M158-$A$15,BG$13)=0,10^12,OFFSET(CRONOPLE!$F$15,$M158-$A$15,BG$13)))</f>
        <v>1000000000000</v>
      </c>
      <c r="BH158" s="171">
        <f ca="1">IF(OR($D158&lt;&gt;"Serviço",AND(AUTOEVENTO="Manual",$M158=$A$15)),0,
         IF(OFFSET(CRONOPLE!$F$15,$M158-$A$15,BH$13)=0,10^12,OFFSET(CRONOPLE!$F$15,$M158-$A$15,BH$13)))</f>
        <v>9</v>
      </c>
      <c r="BI158" s="171">
        <f ca="1">IF(OR($D158&lt;&gt;"Serviço",AND(AUTOEVENTO="Manual",$M158=$A$15)),0,
         IF(OFFSET(CRONOPLE!$F$15,$M158-$A$15,BI$13)=0,10^12,OFFSET(CRONOPLE!$F$15,$M158-$A$15,BI$13)))</f>
        <v>1000000000000</v>
      </c>
      <c r="BJ158" s="171">
        <f ca="1">IF(OR($D158&lt;&gt;"Serviço",AND(AUTOEVENTO="Manual",$M158=$A$15)),0,
         IF(OFFSET(CRONOPLE!$F$15,$M158-$A$15,BJ$13)=0,10^12,OFFSET(CRONOPLE!$F$15,$M158-$A$15,BJ$13)))</f>
        <v>1000000000000</v>
      </c>
      <c r="BK158" s="171">
        <f ca="1">IF(OR($D158&lt;&gt;"Serviço",AND(AUTOEVENTO="Manual",$M158=$A$15)),0,
         IF(OFFSET(CRONOPLE!$F$15,$M158-$A$15,BK$13)=0,10^12,OFFSET(CRONOPLE!$F$15,$M158-$A$15,BK$13)))</f>
        <v>1000000000000</v>
      </c>
      <c r="BL158" s="171">
        <f ca="1">IF(OR($D158&lt;&gt;"Serviço",AND(AUTOEVENTO="Manual",$M158=$A$15)),0,
         IF(OFFSET(CRONOPLE!$F$15,$M158-$A$15,BL$13)=0,10^12,OFFSET(CRONOPLE!$F$15,$M158-$A$15,BL$13)))</f>
        <v>1000000000000</v>
      </c>
      <c r="BM158" s="171">
        <f ca="1">IF(OR($D158&lt;&gt;"Serviço",AND(AUTOEVENTO="Manual",$M158=$A$15)),0,
         IF(OFFSET(CRONOPLE!$F$15,$M158-$A$15,BM$13)=0,10^12,OFFSET(CRONOPLE!$F$15,$M158-$A$15,BM$13)))</f>
        <v>1000000000000</v>
      </c>
      <c r="BN158" s="171">
        <f ca="1">IF(OR($D158&lt;&gt;"Serviço",AND(AUTOEVENTO="Manual",$M158=$A$15)),0,
         IF(OFFSET(CRONOPLE!$F$15,$M158-$A$15,BN$13)=0,10^12,OFFSET(CRONOPLE!$F$15,$M158-$A$15,BN$13)))</f>
        <v>1000000000000</v>
      </c>
      <c r="BO158" s="171">
        <f ca="1">IF(OR($D158&lt;&gt;"Serviço",AND(AUTOEVENTO="Manual",$M158=$A$15)),0,
         IF(OFFSET(CRONOPLE!$F$15,$M158-$A$15,BO$13)=0,10^12,OFFSET(CRONOPLE!$F$15,$M158-$A$15,BO$13)))</f>
        <v>1000000000000</v>
      </c>
      <c r="BP158" s="171">
        <f ca="1">IF(OR($D158&lt;&gt;"Serviço",AND(AUTOEVENTO="Manual",$M158=$A$15)),0,
         IF(OFFSET(CRONOPLE!$F$15,$M158-$A$15,BP$13)=0,10^12,OFFSET(CRONOPLE!$F$15,$M158-$A$15,BP$13)))</f>
        <v>1000000000000</v>
      </c>
      <c r="BQ158" s="171">
        <f ca="1">IF(OR($D158&lt;&gt;"Serviço",AND(AUTOEVENTO="Manual",$M158=$A$15)),0,
         IF(OFFSET(CRONOPLE!$F$15,$M158-$A$15,BQ$13)=0,10^12,OFFSET(CRONOPLE!$F$15,$M158-$A$15,BQ$13)))</f>
        <v>1000000000000</v>
      </c>
      <c r="BR158" s="171">
        <f ca="1">IF(OR($D158&lt;&gt;"Serviço",AND(AUTOEVENTO="Manual",$M158=$A$15)),0,
         IF(OFFSET(CRONOPLE!$F$15,$M158-$A$15,BR$13)=0,10^12,OFFSET(CRONOPLE!$F$15,$M158-$A$15,BR$13)))</f>
        <v>1000000000000</v>
      </c>
      <c r="BS158" s="171">
        <f ca="1">IF(OR($D158&lt;&gt;"Serviço",AND(AUTOEVENTO="Manual",$M158=$A$15)),0,
         IF(OFFSET(CRONOPLE!$F$15,$M158-$A$15,BS$13)=0,10^12,OFFSET(CRONOPLE!$F$15,$M158-$A$15,BS$13)))</f>
        <v>1000000000000</v>
      </c>
      <c r="BT158" s="171">
        <f ca="1">IF(OR($D158&lt;&gt;"Serviço",AND(AUTOEVENTO="Manual",$M158=$A$15)),0,
         IF(OFFSET(CRONOPLE!$F$15,$M158-$A$15,BT$13)=0,10^12,OFFSET(CRONOPLE!$F$15,$M158-$A$15,BT$13)))</f>
        <v>1000000000000</v>
      </c>
      <c r="BV158" s="172" cm="1">
        <f t="array" aca="1" ref="BV158" ca="1">IF(OR($D158&lt;&gt;"Serviço",AND(AUTOEVENTO="Manual",$M158=$A$15),$M158&gt;(ROW(PLE.lastrow)-ROW(PLE.firstrow))),0,
           IF(OFFSET(PLE!$G$15,$M158-$A$15,BV$13)="",10^12,OFFSET(PLE!$G$15,$M158-$A$15,BV$13)))</f>
        <v>1000000000000</v>
      </c>
      <c r="BW158" s="172" cm="1">
        <f t="array" aca="1" ref="BW158" ca="1">IF(OR($D158&lt;&gt;"Serviço",AND(AUTOEVENTO="Manual",$M158=$A$15),$M158&gt;(ROW(PLE.lastrow)-ROW(PLE.firstrow))),0,
           IF(OFFSET(PLE!$G$15,$M158-$A$15,BW$13)="",10^12,OFFSET(PLE!$G$15,$M158-$A$15,BW$13)))</f>
        <v>1000000000000</v>
      </c>
      <c r="BX158" s="172" cm="1">
        <f t="array" aca="1" ref="BX158" ca="1">IF(OR($D158&lt;&gt;"Serviço",AND(AUTOEVENTO="Manual",$M158=$A$15),$M158&gt;(ROW(PLE.lastrow)-ROW(PLE.firstrow))),0,
           IF(OFFSET(PLE!$G$15,$M158-$A$15,BX$13)="",10^12,OFFSET(PLE!$G$15,$M158-$A$15,BX$13)))</f>
        <v>1000000000000</v>
      </c>
      <c r="BY158" s="172" cm="1">
        <f t="array" aca="1" ref="BY158" ca="1">IF(OR($D158&lt;&gt;"Serviço",AND(AUTOEVENTO="Manual",$M158=$A$15),$M158&gt;(ROW(PLE.lastrow)-ROW(PLE.firstrow))),0,
           IF(OFFSET(PLE!$G$15,$M158-$A$15,BY$13)="",10^12,OFFSET(PLE!$G$15,$M158-$A$15,BY$13)))</f>
        <v>1000000000000</v>
      </c>
      <c r="BZ158" s="172" cm="1">
        <f t="array" aca="1" ref="BZ158" ca="1">IF(OR($D158&lt;&gt;"Serviço",AND(AUTOEVENTO="Manual",$M158=$A$15),$M158&gt;(ROW(PLE.lastrow)-ROW(PLE.firstrow))),0,
           IF(OFFSET(PLE!$G$15,$M158-$A$15,BZ$13)="",10^12,OFFSET(PLE!$G$15,$M158-$A$15,BZ$13)))</f>
        <v>1000000000000</v>
      </c>
      <c r="CA158" s="172" cm="1">
        <f t="array" aca="1" ref="CA158" ca="1">IF(OR($D158&lt;&gt;"Serviço",AND(AUTOEVENTO="Manual",$M158=$A$15),$M158&gt;(ROW(PLE.lastrow)-ROW(PLE.firstrow))),0,
           IF(OFFSET(PLE!$G$15,$M158-$A$15,CA$13)="",10^12,OFFSET(PLE!$G$15,$M158-$A$15,CA$13)))</f>
        <v>1000000000000</v>
      </c>
      <c r="CB158" s="172" cm="1">
        <f t="array" aca="1" ref="CB158" ca="1">IF(OR($D158&lt;&gt;"Serviço",AND(AUTOEVENTO="Manual",$M158=$A$15),$M158&gt;(ROW(PLE.lastrow)-ROW(PLE.firstrow))),0,
           IF(OFFSET(PLE!$G$15,$M158-$A$15,CB$13)="",10^12,OFFSET(PLE!$G$15,$M158-$A$15,CB$13)))</f>
        <v>1000000000000</v>
      </c>
      <c r="CC158" s="172" cm="1">
        <f t="array" aca="1" ref="CC158" ca="1">IF(OR($D158&lt;&gt;"Serviço",AND(AUTOEVENTO="Manual",$M158=$A$15),$M158&gt;(ROW(PLE.lastrow)-ROW(PLE.firstrow))),0,
           IF(OFFSET(PLE!$G$15,$M158-$A$15,CC$13)="",10^12,OFFSET(PLE!$G$15,$M158-$A$15,CC$13)))</f>
        <v>1000000000000</v>
      </c>
      <c r="CD158" s="172" cm="1">
        <f t="array" aca="1" ref="CD158" ca="1">IF(OR($D158&lt;&gt;"Serviço",AND(AUTOEVENTO="Manual",$M158=$A$15),$M158&gt;(ROW(PLE.lastrow)-ROW(PLE.firstrow))),0,
           IF(OFFSET(PLE!$G$15,$M158-$A$15,CD$13)="",10^12,OFFSET(PLE!$G$15,$M158-$A$15,CD$13)))</f>
        <v>1000000000000</v>
      </c>
      <c r="CE158" s="172" cm="1">
        <f t="array" aca="1" ref="CE158" ca="1">IF(OR($D158&lt;&gt;"Serviço",AND(AUTOEVENTO="Manual",$M158=$A$15),$M158&gt;(ROW(PLE.lastrow)-ROW(PLE.firstrow))),0,
           IF(OFFSET(PLE!$G$15,$M158-$A$15,CE$13)="",10^12,OFFSET(PLE!$G$15,$M158-$A$15,CE$13)))</f>
        <v>1000000000000</v>
      </c>
      <c r="CF158" s="172" cm="1">
        <f t="array" aca="1" ref="CF158" ca="1">IF(OR($D158&lt;&gt;"Serviço",AND(AUTOEVENTO="Manual",$M158=$A$15),$M158&gt;(ROW(PLE.lastrow)-ROW(PLE.firstrow))),0,
           IF(OFFSET(PLE!$G$15,$M158-$A$15,CF$13)="",10^12,OFFSET(PLE!$G$15,$M158-$A$15,CF$13)))</f>
        <v>1000000000000</v>
      </c>
      <c r="CG158" s="172" cm="1">
        <f t="array" aca="1" ref="CG158" ca="1">IF(OR($D158&lt;&gt;"Serviço",AND(AUTOEVENTO="Manual",$M158=$A$15),$M158&gt;(ROW(PLE.lastrow)-ROW(PLE.firstrow))),0,
           IF(OFFSET(PLE!$G$15,$M158-$A$15,CG$13)="",10^12,OFFSET(PLE!$G$15,$M158-$A$15,CG$13)))</f>
        <v>1000000000000</v>
      </c>
      <c r="CH158" s="172" cm="1">
        <f t="array" aca="1" ref="CH158" ca="1">IF(OR($D158&lt;&gt;"Serviço",AND(AUTOEVENTO="Manual",$M158=$A$15),$M158&gt;(ROW(PLE.lastrow)-ROW(PLE.firstrow))),0,
           IF(OFFSET(PLE!$G$15,$M158-$A$15,CH$13)="",10^12,OFFSET(PLE!$G$15,$M158-$A$15,CH$13)))</f>
        <v>1000000000000</v>
      </c>
      <c r="CI158" s="172" cm="1">
        <f t="array" aca="1" ref="CI158" ca="1">IF(OR($D158&lt;&gt;"Serviço",AND(AUTOEVENTO="Manual",$M158=$A$15),$M158&gt;(ROW(PLE.lastrow)-ROW(PLE.firstrow))),0,
           IF(OFFSET(PLE!$G$15,$M158-$A$15,CI$13)="",10^12,OFFSET(PLE!$G$15,$M158-$A$15,CI$13)))</f>
        <v>1000000000000</v>
      </c>
      <c r="CJ158" s="172" cm="1">
        <f t="array" aca="1" ref="CJ158" ca="1">IF(OR($D158&lt;&gt;"Serviço",AND(AUTOEVENTO="Manual",$M158=$A$15),$M158&gt;(ROW(PLE.lastrow)-ROW(PLE.firstrow))),0,
           IF(OFFSET(PLE!$G$15,$M158-$A$15,CJ$13)="",10^12,OFFSET(PLE!$G$15,$M158-$A$15,CJ$13)))</f>
        <v>1000000000000</v>
      </c>
      <c r="CK158" s="172" cm="1">
        <f t="array" aca="1" ref="CK158" ca="1">IF(OR($D158&lt;&gt;"Serviço",AND(AUTOEVENTO="Manual",$M158=$A$15),$M158&gt;(ROW(PLE.lastrow)-ROW(PLE.firstrow))),0,
           IF(OFFSET(PLE!$G$15,$M158-$A$15,CK$13)="",10^12,OFFSET(PLE!$G$15,$M158-$A$15,CK$13)))</f>
        <v>1000000000000</v>
      </c>
      <c r="CL158" s="172" cm="1">
        <f t="array" aca="1" ref="CL158" ca="1">IF(OR($D158&lt;&gt;"Serviço",AND(AUTOEVENTO="Manual",$M158=$A$15),$M158&gt;(ROW(PLE.lastrow)-ROW(PLE.firstrow))),0,
           IF(OFFSET(PLE!$G$15,$M158-$A$15,CL$13)="",10^12,OFFSET(PLE!$G$15,$M158-$A$15,CL$13)))</f>
        <v>1000000000000</v>
      </c>
      <c r="CM158" s="172" cm="1">
        <f t="array" aca="1" ref="CM158" ca="1">IF(OR($D158&lt;&gt;"Serviço",AND(AUTOEVENTO="Manual",$M158=$A$15),$M158&gt;(ROW(PLE.lastrow)-ROW(PLE.firstrow))),0,
           IF(OFFSET(PLE!$G$15,$M158-$A$15,CM$13)="",10^12,OFFSET(PLE!$G$15,$M158-$A$15,CM$13)))</f>
        <v>1000000000000</v>
      </c>
    </row>
    <row r="159" spans="1:91" s="670" customFormat="1" ht="12.75" x14ac:dyDescent="0.2">
      <c r="A159" s="668">
        <f t="shared" ca="1" si="14"/>
        <v>24</v>
      </c>
      <c r="B159" s="668" t="str">
        <f ca="1">OFFSET(ORÇAMENTO!C$15,$L159,0)</f>
        <v>S</v>
      </c>
      <c r="C159" s="668" t="str">
        <f ca="1">OFFSET(ORÇAMENTO!L$15,$L159,0)</f>
        <v>F</v>
      </c>
      <c r="D159" s="116" t="str">
        <f ca="1">OFFSET(ORÇAMENTO!N$15,$L159,0)</f>
        <v>Serviço</v>
      </c>
      <c r="E159" s="117" t="str">
        <f ca="1">OFFSET(ORÇAMENTO!O$15,$L159,0)</f>
        <v>1.21.3.</v>
      </c>
      <c r="F159" s="163" t="str">
        <f ca="1">OFFSET(ORÇAMENTO!R$15,$L159,0)</f>
        <v xml:space="preserve">JUNÇÃO 45° EM FERRO FUNDIDO, PREDIAL SMU, DN= 200 X 100 MM </v>
      </c>
      <c r="G159" s="164" t="str">
        <f ca="1">IF($D159&lt;&gt;"Serviço","",OFFSET(ORÇAMENTO!S$15,$L159,0))</f>
        <v>UNIDADE</v>
      </c>
      <c r="H159" s="122" cm="1">
        <f t="array" aca="1" ref="H159" ca="1">IF($D159&lt;&gt;"Serviço",0,IF(ACOMPANHAMENTO="BM",ROUND(OFFSET(ORÇAMENTO!AJ$15,$L159,0),15-13*ORÇAMENTO!$AF$7),IF(IFERROR(CÁLCULO.FrentesPreenchidas,0)=0,0,SUM(ROUND(OFFSET($P159,0,1,1,CÁLCULO.FrentesPreenchidas),15-13*ORÇAMENTO!$AF$7)))))</f>
        <v>2</v>
      </c>
      <c r="I159" s="468" t="s">
        <v>1202</v>
      </c>
      <c r="J159" s="651" t="str" cm="1">
        <f t="array" aca="1" ref="J159" ca="1">IF(OR(B159&lt;&gt;"S",CÁLCULO.FrentesPreenchidas=0),"",IF(AND(ACOMPANHAMENTO="PLE",AUTOEVENTO="Manual",OR(H159&gt;0,ORÇAMENTO!AC159="QUANT."),OR(K159="",M159=0,N159="")),"►E",IF(AND(ACOMPANHAMENTO="PLE",ORÇAMENTO!AC159="QUANT."),"►Q",IF(AND(ACOMPANHAMENTO="PLE",H159&lt;&gt;SUMPRODUCT(($Q$1:$AI$1=1)*ROUND(Q159:AI159,15))),"►S",IF(AND(COUNTIF($P$11:$AI$11,"▼")=0,H159&gt;0,I159=""),"◄M","")))))</f>
        <v/>
      </c>
      <c r="K159" s="652" t="s">
        <v>1344</v>
      </c>
      <c r="L159" s="165">
        <f t="shared" ca="1" si="15"/>
        <v>144</v>
      </c>
      <c r="M159" s="166">
        <f ca="1">IF($D159&lt;&gt;"Serviço","",
          IF(AUTOEVENTO="manual",$A159,
                IF(ISERROR(MATCH($A159,$A$15:OFFSET($A159,-1,0),0)),MAX($M$15:OFFSET(M159,-1,0))+1,
                      INDEX($M$15:OFFSET(M159,-1,0),MATCH($A159,$A$15:OFFSET($A159,-1,0),0)))))</f>
        <v>24</v>
      </c>
      <c r="N159" s="167" t="str">
        <f ca="1">IF($D159&lt;&gt;"Serviço","",
         IF(AUTOEVENTO="Manual",
                IF($A159=0,"&lt;-- defina o número do agrupador",
                       OFFSET(EVENTOS!$D$15,$A159-$A$15,0)),
                OFFSET($F$15,$A159,0)))</f>
        <v>Instalações hidrossanitárias</v>
      </c>
      <c r="O159" s="168"/>
      <c r="Q159" s="168"/>
      <c r="R159" s="169"/>
      <c r="S159" s="169"/>
      <c r="T159" s="169"/>
      <c r="U159" s="169"/>
      <c r="V159" s="169">
        <v>2</v>
      </c>
      <c r="W159" s="169"/>
      <c r="X159" s="169"/>
      <c r="Y159" s="169"/>
      <c r="Z159" s="170"/>
      <c r="AA159" s="705"/>
      <c r="AB159" s="705"/>
      <c r="AC159" s="705"/>
      <c r="AD159" s="705"/>
      <c r="AE159" s="705"/>
      <c r="AF159" s="705"/>
      <c r="AG159" s="705"/>
      <c r="AH159" s="706"/>
      <c r="AJ159" s="453">
        <f ca="1">IF(AND($D159="Serviço",AJ$12&lt;&gt;0,$H159&gt;0,OR(AUTOEVENTO&lt;&gt;"manual",$M159&lt;&gt;$A$15)),
        IF(Import.TipoArredondamento&lt;&gt;"TransfereGOV",
              ROUND(OFFSET($P159,0,AJ$13),15-13*ORÇAMENTO!$AF$7)/$H159*OFFSET(ORÇAMENTO!$X$15,ROW(AJ159)-ROW(AJ$15),0),
              ROUND(ROUND(OFFSET($P159,0,AJ$13),15-13*ORÇAMENTO!$AF$7)*OFFSET(ORÇAMENTO!$W$15,ROW(AJ159)-ROW(AJ$15),0),15-13*ORÇAMENTO!$AF$11)),
         0)</f>
        <v>0</v>
      </c>
      <c r="AK159" s="453">
        <f ca="1">IF(AND($D159="Serviço",AK$12&lt;&gt;0,$H159&gt;0,OR(AUTOEVENTO&lt;&gt;"manual",$M159&lt;&gt;$A$15)),
        IF(Import.TipoArredondamento&lt;&gt;"TransfereGOV",
              ROUND(OFFSET($P159,0,AK$13),15-13*ORÇAMENTO!$AF$7)/$H159*OFFSET(ORÇAMENTO!$X$15,ROW(AK159)-ROW(AK$15),0),
              ROUND(ROUND(OFFSET($P159,0,AK$13),15-13*ORÇAMENTO!$AF$7)*OFFSET(ORÇAMENTO!$W$15,ROW(AK159)-ROW(AK$15),0),15-13*ORÇAMENTO!$AF$11)),
         0)</f>
        <v>0</v>
      </c>
      <c r="AL159" s="453">
        <f ca="1">IF(AND($D159="Serviço",AL$12&lt;&gt;0,$H159&gt;0,OR(AUTOEVENTO&lt;&gt;"manual",$M159&lt;&gt;$A$15)),
        IF(Import.TipoArredondamento&lt;&gt;"TransfereGOV",
              ROUND(OFFSET($P159,0,AL$13),15-13*ORÇAMENTO!$AF$7)/$H159*OFFSET(ORÇAMENTO!$X$15,ROW(AL159)-ROW(AL$15),0),
              ROUND(ROUND(OFFSET($P159,0,AL$13),15-13*ORÇAMENTO!$AF$7)*OFFSET(ORÇAMENTO!$W$15,ROW(AL159)-ROW(AL$15),0),15-13*ORÇAMENTO!$AF$11)),
         0)</f>
        <v>0</v>
      </c>
      <c r="AM159" s="453">
        <f ca="1">IF(AND($D159="Serviço",AM$12&lt;&gt;0,$H159&gt;0,OR(AUTOEVENTO&lt;&gt;"manual",$M159&lt;&gt;$A$15)),
        IF(Import.TipoArredondamento&lt;&gt;"TransfereGOV",
              ROUND(OFFSET($P159,0,AM$13),15-13*ORÇAMENTO!$AF$7)/$H159*OFFSET(ORÇAMENTO!$X$15,ROW(AM159)-ROW(AM$15),0),
              ROUND(ROUND(OFFSET($P159,0,AM$13),15-13*ORÇAMENTO!$AF$7)*OFFSET(ORÇAMENTO!$W$15,ROW(AM159)-ROW(AM$15),0),15-13*ORÇAMENTO!$AF$11)),
         0)</f>
        <v>0</v>
      </c>
      <c r="AN159" s="453">
        <f ca="1">IF(AND($D159="Serviço",AN$12&lt;&gt;0,$H159&gt;0,OR(AUTOEVENTO&lt;&gt;"manual",$M159&lt;&gt;$A$15)),
        IF(Import.TipoArredondamento&lt;&gt;"TransfereGOV",
              ROUND(OFFSET($P159,0,AN$13),15-13*ORÇAMENTO!$AF$7)/$H159*OFFSET(ORÇAMENTO!$X$15,ROW(AN159)-ROW(AN$15),0),
              ROUND(ROUND(OFFSET($P159,0,AN$13),15-13*ORÇAMENTO!$AF$7)*OFFSET(ORÇAMENTO!$W$15,ROW(AN159)-ROW(AN$15),0),15-13*ORÇAMENTO!$AF$11)),
         0)</f>
        <v>0</v>
      </c>
      <c r="AO159" s="453">
        <f ca="1">IF(AND($D159="Serviço",AO$12&lt;&gt;0,$H159&gt;0,OR(AUTOEVENTO&lt;&gt;"manual",$M159&lt;&gt;$A$15)),
        IF(Import.TipoArredondamento&lt;&gt;"TransfereGOV",
              ROUND(OFFSET($P159,0,AO$13),15-13*ORÇAMENTO!$AF$7)/$H159*OFFSET(ORÇAMENTO!$X$15,ROW(AO159)-ROW(AO$15),0),
              ROUND(ROUND(OFFSET($P159,0,AO$13),15-13*ORÇAMENTO!$AF$7)*OFFSET(ORÇAMENTO!$W$15,ROW(AO159)-ROW(AO$15),0),15-13*ORÇAMENTO!$AF$11)),
         0)</f>
        <v>3306.42</v>
      </c>
      <c r="AP159" s="453">
        <f ca="1">IF(AND($D159="Serviço",AP$12&lt;&gt;0,$H159&gt;0,OR(AUTOEVENTO&lt;&gt;"manual",$M159&lt;&gt;$A$15)),
        IF(Import.TipoArredondamento&lt;&gt;"TransfereGOV",
              ROUND(OFFSET($P159,0,AP$13),15-13*ORÇAMENTO!$AF$7)/$H159*OFFSET(ORÇAMENTO!$X$15,ROW(AP159)-ROW(AP$15),0),
              ROUND(ROUND(OFFSET($P159,0,AP$13),15-13*ORÇAMENTO!$AF$7)*OFFSET(ORÇAMENTO!$W$15,ROW(AP159)-ROW(AP$15),0),15-13*ORÇAMENTO!$AF$11)),
         0)</f>
        <v>0</v>
      </c>
      <c r="AQ159" s="453">
        <f ca="1">IF(AND($D159="Serviço",AQ$12&lt;&gt;0,$H159&gt;0,OR(AUTOEVENTO&lt;&gt;"manual",$M159&lt;&gt;$A$15)),
        IF(Import.TipoArredondamento&lt;&gt;"TransfereGOV",
              ROUND(OFFSET($P159,0,AQ$13),15-13*ORÇAMENTO!$AF$7)/$H159*OFFSET(ORÇAMENTO!$X$15,ROW(AQ159)-ROW(AQ$15),0),
              ROUND(ROUND(OFFSET($P159,0,AQ$13),15-13*ORÇAMENTO!$AF$7)*OFFSET(ORÇAMENTO!$W$15,ROW(AQ159)-ROW(AQ$15),0),15-13*ORÇAMENTO!$AF$11)),
         0)</f>
        <v>0</v>
      </c>
      <c r="AR159" s="453">
        <f ca="1">IF(AND($D159="Serviço",AR$12&lt;&gt;0,$H159&gt;0,OR(AUTOEVENTO&lt;&gt;"manual",$M159&lt;&gt;$A$15)),
        IF(Import.TipoArredondamento&lt;&gt;"TransfereGOV",
              ROUND(OFFSET($P159,0,AR$13),15-13*ORÇAMENTO!$AF$7)/$H159*OFFSET(ORÇAMENTO!$X$15,ROW(AR159)-ROW(AR$15),0),
              ROUND(ROUND(OFFSET($P159,0,AR$13),15-13*ORÇAMENTO!$AF$7)*OFFSET(ORÇAMENTO!$W$15,ROW(AR159)-ROW(AR$15),0),15-13*ORÇAMENTO!$AF$11)),
         0)</f>
        <v>0</v>
      </c>
      <c r="AS159" s="453">
        <f ca="1">IF(AND($D159="Serviço",AS$12&lt;&gt;0,$H159&gt;0,OR(AUTOEVENTO&lt;&gt;"manual",$M159&lt;&gt;$A$15)),
        IF(Import.TipoArredondamento&lt;&gt;"TransfereGOV",
              ROUND(OFFSET($P159,0,AS$13),15-13*ORÇAMENTO!$AF$7)/$H159*OFFSET(ORÇAMENTO!$X$15,ROW(AS159)-ROW(AS$15),0),
              ROUND(ROUND(OFFSET($P159,0,AS$13),15-13*ORÇAMENTO!$AF$7)*OFFSET(ORÇAMENTO!$W$15,ROW(AS159)-ROW(AS$15),0),15-13*ORÇAMENTO!$AF$11)),
         0)</f>
        <v>0</v>
      </c>
      <c r="AT159" s="453">
        <f ca="1">IF(AND($D159="Serviço",AT$12&lt;&gt;0,$H159&gt;0,OR(AUTOEVENTO&lt;&gt;"manual",$M159&lt;&gt;$A$15)),
        IF(Import.TipoArredondamento&lt;&gt;"TransfereGOV",
              ROUND(OFFSET($P159,0,AT$13),15-13*ORÇAMENTO!$AF$7)/$H159*OFFSET(ORÇAMENTO!$X$15,ROW(AT159)-ROW(AT$15),0),
              ROUND(ROUND(OFFSET($P159,0,AT$13),15-13*ORÇAMENTO!$AF$7)*OFFSET(ORÇAMENTO!$W$15,ROW(AT159)-ROW(AT$15),0),15-13*ORÇAMENTO!$AF$11)),
         0)</f>
        <v>0</v>
      </c>
      <c r="AU159" s="453">
        <f ca="1">IF(AND($D159="Serviço",AU$12&lt;&gt;0,$H159&gt;0,OR(AUTOEVENTO&lt;&gt;"manual",$M159&lt;&gt;$A$15)),
        IF(Import.TipoArredondamento&lt;&gt;"TransfereGOV",
              ROUND(OFFSET($P159,0,AU$13),15-13*ORÇAMENTO!$AF$7)/$H159*OFFSET(ORÇAMENTO!$X$15,ROW(AU159)-ROW(AU$15),0),
              ROUND(ROUND(OFFSET($P159,0,AU$13),15-13*ORÇAMENTO!$AF$7)*OFFSET(ORÇAMENTO!$W$15,ROW(AU159)-ROW(AU$15),0),15-13*ORÇAMENTO!$AF$11)),
         0)</f>
        <v>0</v>
      </c>
      <c r="AV159" s="453">
        <f ca="1">IF(AND($D159="Serviço",AV$12&lt;&gt;0,$H159&gt;0,OR(AUTOEVENTO&lt;&gt;"manual",$M159&lt;&gt;$A$15)),
        IF(Import.TipoArredondamento&lt;&gt;"TransfereGOV",
              ROUND(OFFSET($P159,0,AV$13),15-13*ORÇAMENTO!$AF$7)/$H159*OFFSET(ORÇAMENTO!$X$15,ROW(AV159)-ROW(AV$15),0),
              ROUND(ROUND(OFFSET($P159,0,AV$13),15-13*ORÇAMENTO!$AF$7)*OFFSET(ORÇAMENTO!$W$15,ROW(AV159)-ROW(AV$15),0),15-13*ORÇAMENTO!$AF$11)),
         0)</f>
        <v>0</v>
      </c>
      <c r="AW159" s="453">
        <f ca="1">IF(AND($D159="Serviço",AW$12&lt;&gt;0,$H159&gt;0,OR(AUTOEVENTO&lt;&gt;"manual",$M159&lt;&gt;$A$15)),
        IF(Import.TipoArredondamento&lt;&gt;"TransfereGOV",
              ROUND(OFFSET($P159,0,AW$13),15-13*ORÇAMENTO!$AF$7)/$H159*OFFSET(ORÇAMENTO!$X$15,ROW(AW159)-ROW(AW$15),0),
              ROUND(ROUND(OFFSET($P159,0,AW$13),15-13*ORÇAMENTO!$AF$7)*OFFSET(ORÇAMENTO!$W$15,ROW(AW159)-ROW(AW$15),0),15-13*ORÇAMENTO!$AF$11)),
         0)</f>
        <v>0</v>
      </c>
      <c r="AX159" s="453">
        <f ca="1">IF(AND($D159="Serviço",AX$12&lt;&gt;0,$H159&gt;0,OR(AUTOEVENTO&lt;&gt;"manual",$M159&lt;&gt;$A$15)),
        IF(Import.TipoArredondamento&lt;&gt;"TransfereGOV",
              ROUND(OFFSET($P159,0,AX$13),15-13*ORÇAMENTO!$AF$7)/$H159*OFFSET(ORÇAMENTO!$X$15,ROW(AX159)-ROW(AX$15),0),
              ROUND(ROUND(OFFSET($P159,0,AX$13),15-13*ORÇAMENTO!$AF$7)*OFFSET(ORÇAMENTO!$W$15,ROW(AX159)-ROW(AX$15),0),15-13*ORÇAMENTO!$AF$11)),
         0)</f>
        <v>0</v>
      </c>
      <c r="AY159" s="453">
        <f ca="1">IF(AND($D159="Serviço",AY$12&lt;&gt;0,$H159&gt;0,OR(AUTOEVENTO&lt;&gt;"manual",$M159&lt;&gt;$A$15)),
        IF(Import.TipoArredondamento&lt;&gt;"TransfereGOV",
              ROUND(OFFSET($P159,0,AY$13),15-13*ORÇAMENTO!$AF$7)/$H159*OFFSET(ORÇAMENTO!$X$15,ROW(AY159)-ROW(AY$15),0),
              ROUND(ROUND(OFFSET($P159,0,AY$13),15-13*ORÇAMENTO!$AF$7)*OFFSET(ORÇAMENTO!$W$15,ROW(AY159)-ROW(AY$15),0),15-13*ORÇAMENTO!$AF$11)),
         0)</f>
        <v>0</v>
      </c>
      <c r="AZ159" s="453">
        <f ca="1">IF(AND($D159="Serviço",AZ$12&lt;&gt;0,$H159&gt;0,OR(AUTOEVENTO&lt;&gt;"manual",$M159&lt;&gt;$A$15)),
        IF(Import.TipoArredondamento&lt;&gt;"TransfereGOV",
              ROUND(OFFSET($P159,0,AZ$13),15-13*ORÇAMENTO!$AF$7)/$H159*OFFSET(ORÇAMENTO!$X$15,ROW(AZ159)-ROW(AZ$15),0),
              ROUND(ROUND(OFFSET($P159,0,AZ$13),15-13*ORÇAMENTO!$AF$7)*OFFSET(ORÇAMENTO!$W$15,ROW(AZ159)-ROW(AZ$15),0),15-13*ORÇAMENTO!$AF$11)),
         0)</f>
        <v>0</v>
      </c>
      <c r="BA159" s="453">
        <f ca="1">IF(AND($D159="Serviço",BA$12&lt;&gt;0,$H159&gt;0,OR(AUTOEVENTO&lt;&gt;"manual",$M159&lt;&gt;$A$15)),
        IF(Import.TipoArredondamento&lt;&gt;"TransfereGOV",
              ROUND(OFFSET($P159,0,BA$13),15-13*ORÇAMENTO!$AF$7)/$H159*OFFSET(ORÇAMENTO!$X$15,ROW(BA159)-ROW(BA$15),0),
              ROUND(ROUND(OFFSET($P159,0,BA$13),15-13*ORÇAMENTO!$AF$7)*OFFSET(ORÇAMENTO!$W$15,ROW(BA159)-ROW(BA$15),0),15-13*ORÇAMENTO!$AF$11)),
         0)</f>
        <v>0</v>
      </c>
      <c r="BC159" s="171">
        <f ca="1">IF(OR($D159&lt;&gt;"Serviço",AND(AUTOEVENTO="Manual",$M159=$A$15)),0,
         IF(OFFSET(CRONOPLE!$F$15,$M159-$A$15,BC$13)=0,10^12,OFFSET(CRONOPLE!$F$15,$M159-$A$15,BC$13)))</f>
        <v>1000000000000</v>
      </c>
      <c r="BD159" s="171">
        <f ca="1">IF(OR($D159&lt;&gt;"Serviço",AND(AUTOEVENTO="Manual",$M159=$A$15)),0,
         IF(OFFSET(CRONOPLE!$F$15,$M159-$A$15,BD$13)=0,10^12,OFFSET(CRONOPLE!$F$15,$M159-$A$15,BD$13)))</f>
        <v>1000000000000</v>
      </c>
      <c r="BE159" s="171">
        <f ca="1">IF(OR($D159&lt;&gt;"Serviço",AND(AUTOEVENTO="Manual",$M159=$A$15)),0,
         IF(OFFSET(CRONOPLE!$F$15,$M159-$A$15,BE$13)=0,10^12,OFFSET(CRONOPLE!$F$15,$M159-$A$15,BE$13)))</f>
        <v>3</v>
      </c>
      <c r="BF159" s="171">
        <f ca="1">IF(OR($D159&lt;&gt;"Serviço",AND(AUTOEVENTO="Manual",$M159=$A$15)),0,
         IF(OFFSET(CRONOPLE!$F$15,$M159-$A$15,BF$13)=0,10^12,OFFSET(CRONOPLE!$F$15,$M159-$A$15,BF$13)))</f>
        <v>1000000000000</v>
      </c>
      <c r="BG159" s="171">
        <f ca="1">IF(OR($D159&lt;&gt;"Serviço",AND(AUTOEVENTO="Manual",$M159=$A$15)),0,
         IF(OFFSET(CRONOPLE!$F$15,$M159-$A$15,BG$13)=0,10^12,OFFSET(CRONOPLE!$F$15,$M159-$A$15,BG$13)))</f>
        <v>1000000000000</v>
      </c>
      <c r="BH159" s="171">
        <f ca="1">IF(OR($D159&lt;&gt;"Serviço",AND(AUTOEVENTO="Manual",$M159=$A$15)),0,
         IF(OFFSET(CRONOPLE!$F$15,$M159-$A$15,BH$13)=0,10^12,OFFSET(CRONOPLE!$F$15,$M159-$A$15,BH$13)))</f>
        <v>9</v>
      </c>
      <c r="BI159" s="171">
        <f ca="1">IF(OR($D159&lt;&gt;"Serviço",AND(AUTOEVENTO="Manual",$M159=$A$15)),0,
         IF(OFFSET(CRONOPLE!$F$15,$M159-$A$15,BI$13)=0,10^12,OFFSET(CRONOPLE!$F$15,$M159-$A$15,BI$13)))</f>
        <v>1000000000000</v>
      </c>
      <c r="BJ159" s="171">
        <f ca="1">IF(OR($D159&lt;&gt;"Serviço",AND(AUTOEVENTO="Manual",$M159=$A$15)),0,
         IF(OFFSET(CRONOPLE!$F$15,$M159-$A$15,BJ$13)=0,10^12,OFFSET(CRONOPLE!$F$15,$M159-$A$15,BJ$13)))</f>
        <v>1000000000000</v>
      </c>
      <c r="BK159" s="171">
        <f ca="1">IF(OR($D159&lt;&gt;"Serviço",AND(AUTOEVENTO="Manual",$M159=$A$15)),0,
         IF(OFFSET(CRONOPLE!$F$15,$M159-$A$15,BK$13)=0,10^12,OFFSET(CRONOPLE!$F$15,$M159-$A$15,BK$13)))</f>
        <v>1000000000000</v>
      </c>
      <c r="BL159" s="171">
        <f ca="1">IF(OR($D159&lt;&gt;"Serviço",AND(AUTOEVENTO="Manual",$M159=$A$15)),0,
         IF(OFFSET(CRONOPLE!$F$15,$M159-$A$15,BL$13)=0,10^12,OFFSET(CRONOPLE!$F$15,$M159-$A$15,BL$13)))</f>
        <v>1000000000000</v>
      </c>
      <c r="BM159" s="171">
        <f ca="1">IF(OR($D159&lt;&gt;"Serviço",AND(AUTOEVENTO="Manual",$M159=$A$15)),0,
         IF(OFFSET(CRONOPLE!$F$15,$M159-$A$15,BM$13)=0,10^12,OFFSET(CRONOPLE!$F$15,$M159-$A$15,BM$13)))</f>
        <v>1000000000000</v>
      </c>
      <c r="BN159" s="171">
        <f ca="1">IF(OR($D159&lt;&gt;"Serviço",AND(AUTOEVENTO="Manual",$M159=$A$15)),0,
         IF(OFFSET(CRONOPLE!$F$15,$M159-$A$15,BN$13)=0,10^12,OFFSET(CRONOPLE!$F$15,$M159-$A$15,BN$13)))</f>
        <v>1000000000000</v>
      </c>
      <c r="BO159" s="171">
        <f ca="1">IF(OR($D159&lt;&gt;"Serviço",AND(AUTOEVENTO="Manual",$M159=$A$15)),0,
         IF(OFFSET(CRONOPLE!$F$15,$M159-$A$15,BO$13)=0,10^12,OFFSET(CRONOPLE!$F$15,$M159-$A$15,BO$13)))</f>
        <v>1000000000000</v>
      </c>
      <c r="BP159" s="171">
        <f ca="1">IF(OR($D159&lt;&gt;"Serviço",AND(AUTOEVENTO="Manual",$M159=$A$15)),0,
         IF(OFFSET(CRONOPLE!$F$15,$M159-$A$15,BP$13)=0,10^12,OFFSET(CRONOPLE!$F$15,$M159-$A$15,BP$13)))</f>
        <v>1000000000000</v>
      </c>
      <c r="BQ159" s="171">
        <f ca="1">IF(OR($D159&lt;&gt;"Serviço",AND(AUTOEVENTO="Manual",$M159=$A$15)),0,
         IF(OFFSET(CRONOPLE!$F$15,$M159-$A$15,BQ$13)=0,10^12,OFFSET(CRONOPLE!$F$15,$M159-$A$15,BQ$13)))</f>
        <v>1000000000000</v>
      </c>
      <c r="BR159" s="171">
        <f ca="1">IF(OR($D159&lt;&gt;"Serviço",AND(AUTOEVENTO="Manual",$M159=$A$15)),0,
         IF(OFFSET(CRONOPLE!$F$15,$M159-$A$15,BR$13)=0,10^12,OFFSET(CRONOPLE!$F$15,$M159-$A$15,BR$13)))</f>
        <v>1000000000000</v>
      </c>
      <c r="BS159" s="171">
        <f ca="1">IF(OR($D159&lt;&gt;"Serviço",AND(AUTOEVENTO="Manual",$M159=$A$15)),0,
         IF(OFFSET(CRONOPLE!$F$15,$M159-$A$15,BS$13)=0,10^12,OFFSET(CRONOPLE!$F$15,$M159-$A$15,BS$13)))</f>
        <v>1000000000000</v>
      </c>
      <c r="BT159" s="171">
        <f ca="1">IF(OR($D159&lt;&gt;"Serviço",AND(AUTOEVENTO="Manual",$M159=$A$15)),0,
         IF(OFFSET(CRONOPLE!$F$15,$M159-$A$15,BT$13)=0,10^12,OFFSET(CRONOPLE!$F$15,$M159-$A$15,BT$13)))</f>
        <v>1000000000000</v>
      </c>
      <c r="BV159" s="172" cm="1">
        <f t="array" aca="1" ref="BV159" ca="1">IF(OR($D159&lt;&gt;"Serviço",AND(AUTOEVENTO="Manual",$M159=$A$15),$M159&gt;(ROW(PLE.lastrow)-ROW(PLE.firstrow))),0,
           IF(OFFSET(PLE!$G$15,$M159-$A$15,BV$13)="",10^12,OFFSET(PLE!$G$15,$M159-$A$15,BV$13)))</f>
        <v>1000000000000</v>
      </c>
      <c r="BW159" s="172" cm="1">
        <f t="array" aca="1" ref="BW159" ca="1">IF(OR($D159&lt;&gt;"Serviço",AND(AUTOEVENTO="Manual",$M159=$A$15),$M159&gt;(ROW(PLE.lastrow)-ROW(PLE.firstrow))),0,
           IF(OFFSET(PLE!$G$15,$M159-$A$15,BW$13)="",10^12,OFFSET(PLE!$G$15,$M159-$A$15,BW$13)))</f>
        <v>1000000000000</v>
      </c>
      <c r="BX159" s="172" cm="1">
        <f t="array" aca="1" ref="BX159" ca="1">IF(OR($D159&lt;&gt;"Serviço",AND(AUTOEVENTO="Manual",$M159=$A$15),$M159&gt;(ROW(PLE.lastrow)-ROW(PLE.firstrow))),0,
           IF(OFFSET(PLE!$G$15,$M159-$A$15,BX$13)="",10^12,OFFSET(PLE!$G$15,$M159-$A$15,BX$13)))</f>
        <v>1000000000000</v>
      </c>
      <c r="BY159" s="172" cm="1">
        <f t="array" aca="1" ref="BY159" ca="1">IF(OR($D159&lt;&gt;"Serviço",AND(AUTOEVENTO="Manual",$M159=$A$15),$M159&gt;(ROW(PLE.lastrow)-ROW(PLE.firstrow))),0,
           IF(OFFSET(PLE!$G$15,$M159-$A$15,BY$13)="",10^12,OFFSET(PLE!$G$15,$M159-$A$15,BY$13)))</f>
        <v>1000000000000</v>
      </c>
      <c r="BZ159" s="172" cm="1">
        <f t="array" aca="1" ref="BZ159" ca="1">IF(OR($D159&lt;&gt;"Serviço",AND(AUTOEVENTO="Manual",$M159=$A$15),$M159&gt;(ROW(PLE.lastrow)-ROW(PLE.firstrow))),0,
           IF(OFFSET(PLE!$G$15,$M159-$A$15,BZ$13)="",10^12,OFFSET(PLE!$G$15,$M159-$A$15,BZ$13)))</f>
        <v>1000000000000</v>
      </c>
      <c r="CA159" s="172" cm="1">
        <f t="array" aca="1" ref="CA159" ca="1">IF(OR($D159&lt;&gt;"Serviço",AND(AUTOEVENTO="Manual",$M159=$A$15),$M159&gt;(ROW(PLE.lastrow)-ROW(PLE.firstrow))),0,
           IF(OFFSET(PLE!$G$15,$M159-$A$15,CA$13)="",10^12,OFFSET(PLE!$G$15,$M159-$A$15,CA$13)))</f>
        <v>1000000000000</v>
      </c>
      <c r="CB159" s="172" cm="1">
        <f t="array" aca="1" ref="CB159" ca="1">IF(OR($D159&lt;&gt;"Serviço",AND(AUTOEVENTO="Manual",$M159=$A$15),$M159&gt;(ROW(PLE.lastrow)-ROW(PLE.firstrow))),0,
           IF(OFFSET(PLE!$G$15,$M159-$A$15,CB$13)="",10^12,OFFSET(PLE!$G$15,$M159-$A$15,CB$13)))</f>
        <v>1000000000000</v>
      </c>
      <c r="CC159" s="172" cm="1">
        <f t="array" aca="1" ref="CC159" ca="1">IF(OR($D159&lt;&gt;"Serviço",AND(AUTOEVENTO="Manual",$M159=$A$15),$M159&gt;(ROW(PLE.lastrow)-ROW(PLE.firstrow))),0,
           IF(OFFSET(PLE!$G$15,$M159-$A$15,CC$13)="",10^12,OFFSET(PLE!$G$15,$M159-$A$15,CC$13)))</f>
        <v>1000000000000</v>
      </c>
      <c r="CD159" s="172" cm="1">
        <f t="array" aca="1" ref="CD159" ca="1">IF(OR($D159&lt;&gt;"Serviço",AND(AUTOEVENTO="Manual",$M159=$A$15),$M159&gt;(ROW(PLE.lastrow)-ROW(PLE.firstrow))),0,
           IF(OFFSET(PLE!$G$15,$M159-$A$15,CD$13)="",10^12,OFFSET(PLE!$G$15,$M159-$A$15,CD$13)))</f>
        <v>1000000000000</v>
      </c>
      <c r="CE159" s="172" cm="1">
        <f t="array" aca="1" ref="CE159" ca="1">IF(OR($D159&lt;&gt;"Serviço",AND(AUTOEVENTO="Manual",$M159=$A$15),$M159&gt;(ROW(PLE.lastrow)-ROW(PLE.firstrow))),0,
           IF(OFFSET(PLE!$G$15,$M159-$A$15,CE$13)="",10^12,OFFSET(PLE!$G$15,$M159-$A$15,CE$13)))</f>
        <v>1000000000000</v>
      </c>
      <c r="CF159" s="172" cm="1">
        <f t="array" aca="1" ref="CF159" ca="1">IF(OR($D159&lt;&gt;"Serviço",AND(AUTOEVENTO="Manual",$M159=$A$15),$M159&gt;(ROW(PLE.lastrow)-ROW(PLE.firstrow))),0,
           IF(OFFSET(PLE!$G$15,$M159-$A$15,CF$13)="",10^12,OFFSET(PLE!$G$15,$M159-$A$15,CF$13)))</f>
        <v>1000000000000</v>
      </c>
      <c r="CG159" s="172" cm="1">
        <f t="array" aca="1" ref="CG159" ca="1">IF(OR($D159&lt;&gt;"Serviço",AND(AUTOEVENTO="Manual",$M159=$A$15),$M159&gt;(ROW(PLE.lastrow)-ROW(PLE.firstrow))),0,
           IF(OFFSET(PLE!$G$15,$M159-$A$15,CG$13)="",10^12,OFFSET(PLE!$G$15,$M159-$A$15,CG$13)))</f>
        <v>1000000000000</v>
      </c>
      <c r="CH159" s="172" cm="1">
        <f t="array" aca="1" ref="CH159" ca="1">IF(OR($D159&lt;&gt;"Serviço",AND(AUTOEVENTO="Manual",$M159=$A$15),$M159&gt;(ROW(PLE.lastrow)-ROW(PLE.firstrow))),0,
           IF(OFFSET(PLE!$G$15,$M159-$A$15,CH$13)="",10^12,OFFSET(PLE!$G$15,$M159-$A$15,CH$13)))</f>
        <v>1000000000000</v>
      </c>
      <c r="CI159" s="172" cm="1">
        <f t="array" aca="1" ref="CI159" ca="1">IF(OR($D159&lt;&gt;"Serviço",AND(AUTOEVENTO="Manual",$M159=$A$15),$M159&gt;(ROW(PLE.lastrow)-ROW(PLE.firstrow))),0,
           IF(OFFSET(PLE!$G$15,$M159-$A$15,CI$13)="",10^12,OFFSET(PLE!$G$15,$M159-$A$15,CI$13)))</f>
        <v>1000000000000</v>
      </c>
      <c r="CJ159" s="172" cm="1">
        <f t="array" aca="1" ref="CJ159" ca="1">IF(OR($D159&lt;&gt;"Serviço",AND(AUTOEVENTO="Manual",$M159=$A$15),$M159&gt;(ROW(PLE.lastrow)-ROW(PLE.firstrow))),0,
           IF(OFFSET(PLE!$G$15,$M159-$A$15,CJ$13)="",10^12,OFFSET(PLE!$G$15,$M159-$A$15,CJ$13)))</f>
        <v>1000000000000</v>
      </c>
      <c r="CK159" s="172" cm="1">
        <f t="array" aca="1" ref="CK159" ca="1">IF(OR($D159&lt;&gt;"Serviço",AND(AUTOEVENTO="Manual",$M159=$A$15),$M159&gt;(ROW(PLE.lastrow)-ROW(PLE.firstrow))),0,
           IF(OFFSET(PLE!$G$15,$M159-$A$15,CK$13)="",10^12,OFFSET(PLE!$G$15,$M159-$A$15,CK$13)))</f>
        <v>1000000000000</v>
      </c>
      <c r="CL159" s="172" cm="1">
        <f t="array" aca="1" ref="CL159" ca="1">IF(OR($D159&lt;&gt;"Serviço",AND(AUTOEVENTO="Manual",$M159=$A$15),$M159&gt;(ROW(PLE.lastrow)-ROW(PLE.firstrow))),0,
           IF(OFFSET(PLE!$G$15,$M159-$A$15,CL$13)="",10^12,OFFSET(PLE!$G$15,$M159-$A$15,CL$13)))</f>
        <v>1000000000000</v>
      </c>
      <c r="CM159" s="172" cm="1">
        <f t="array" aca="1" ref="CM159" ca="1">IF(OR($D159&lt;&gt;"Serviço",AND(AUTOEVENTO="Manual",$M159=$A$15),$M159&gt;(ROW(PLE.lastrow)-ROW(PLE.firstrow))),0,
           IF(OFFSET(PLE!$G$15,$M159-$A$15,CM$13)="",10^12,OFFSET(PLE!$G$15,$M159-$A$15,CM$13)))</f>
        <v>1000000000000</v>
      </c>
    </row>
    <row r="160" spans="1:91" s="670" customFormat="1" ht="12.75" x14ac:dyDescent="0.2">
      <c r="A160" s="668">
        <f t="shared" ca="1" si="14"/>
        <v>24</v>
      </c>
      <c r="B160" s="668" t="str">
        <f ca="1">OFFSET(ORÇAMENTO!C$15,$L160,0)</f>
        <v>S</v>
      </c>
      <c r="C160" s="668" t="str">
        <f ca="1">OFFSET(ORÇAMENTO!L$15,$L160,0)</f>
        <v>F</v>
      </c>
      <c r="D160" s="116" t="str">
        <f ca="1">OFFSET(ORÇAMENTO!N$15,$L160,0)</f>
        <v>Serviço</v>
      </c>
      <c r="E160" s="117" t="str">
        <f ca="1">OFFSET(ORÇAMENTO!O$15,$L160,0)</f>
        <v>1.21.4.</v>
      </c>
      <c r="F160" s="163" t="str">
        <f ca="1">OFFSET(ORÇAMENTO!R$15,$L160,0)</f>
        <v>FLANGE AVULSO EM FERRO FUNDIDO, CLASSE PN-10, DN= 200MM</v>
      </c>
      <c r="G160" s="164" t="str">
        <f ca="1">IF($D160&lt;&gt;"Serviço","",OFFSET(ORÇAMENTO!S$15,$L160,0))</f>
        <v>UNIDADE</v>
      </c>
      <c r="H160" s="122" cm="1">
        <f t="array" aca="1" ref="H160" ca="1">IF($D160&lt;&gt;"Serviço",0,IF(ACOMPANHAMENTO="BM",ROUND(OFFSET(ORÇAMENTO!AJ$15,$L160,0),15-13*ORÇAMENTO!$AF$7),IF(IFERROR(CÁLCULO.FrentesPreenchidas,0)=0,0,SUM(ROUND(OFFSET($P160,0,1,1,CÁLCULO.FrentesPreenchidas),15-13*ORÇAMENTO!$AF$7)))))</f>
        <v>8</v>
      </c>
      <c r="I160" s="468" t="s">
        <v>1203</v>
      </c>
      <c r="J160" s="651" t="str" cm="1">
        <f t="array" aca="1" ref="J160" ca="1">IF(OR(B160&lt;&gt;"S",CÁLCULO.FrentesPreenchidas=0),"",IF(AND(ACOMPANHAMENTO="PLE",AUTOEVENTO="Manual",OR(H160&gt;0,ORÇAMENTO!AC160="QUANT."),OR(K160="",M160=0,N160="")),"►E",IF(AND(ACOMPANHAMENTO="PLE",ORÇAMENTO!AC160="QUANT."),"►Q",IF(AND(ACOMPANHAMENTO="PLE",H160&lt;&gt;SUMPRODUCT(($Q$1:$AI$1=1)*ROUND(Q160:AI160,15))),"►S",IF(AND(COUNTIF($P$11:$AI$11,"▼")=0,H160&gt;0,I160=""),"◄M","")))))</f>
        <v/>
      </c>
      <c r="K160" s="652" t="s">
        <v>1344</v>
      </c>
      <c r="L160" s="165">
        <f t="shared" ca="1" si="15"/>
        <v>145</v>
      </c>
      <c r="M160" s="166">
        <f ca="1">IF($D160&lt;&gt;"Serviço","",
          IF(AUTOEVENTO="manual",$A160,
                IF(ISERROR(MATCH($A160,$A$15:OFFSET($A160,-1,0),0)),MAX($M$15:OFFSET(M160,-1,0))+1,
                      INDEX($M$15:OFFSET(M160,-1,0),MATCH($A160,$A$15:OFFSET($A160,-1,0),0)))))</f>
        <v>24</v>
      </c>
      <c r="N160" s="167" t="str">
        <f ca="1">IF($D160&lt;&gt;"Serviço","",
         IF(AUTOEVENTO="Manual",
                IF($A160=0,"&lt;-- defina o número do agrupador",
                       OFFSET(EVENTOS!$D$15,$A160-$A$15,0)),
                OFFSET($F$15,$A160,0)))</f>
        <v>Instalações hidrossanitárias</v>
      </c>
      <c r="O160" s="168"/>
      <c r="Q160" s="168"/>
      <c r="R160" s="169"/>
      <c r="S160" s="169"/>
      <c r="T160" s="169"/>
      <c r="U160" s="169"/>
      <c r="V160" s="169">
        <v>8</v>
      </c>
      <c r="W160" s="169"/>
      <c r="X160" s="169"/>
      <c r="Y160" s="169"/>
      <c r="Z160" s="170"/>
      <c r="AA160" s="705"/>
      <c r="AB160" s="705"/>
      <c r="AC160" s="705"/>
      <c r="AD160" s="705"/>
      <c r="AE160" s="705"/>
      <c r="AF160" s="705"/>
      <c r="AG160" s="705"/>
      <c r="AH160" s="706"/>
      <c r="AJ160" s="453">
        <f ca="1">IF(AND($D160="Serviço",AJ$12&lt;&gt;0,$H160&gt;0,OR(AUTOEVENTO&lt;&gt;"manual",$M160&lt;&gt;$A$15)),
        IF(Import.TipoArredondamento&lt;&gt;"TransfereGOV",
              ROUND(OFFSET($P160,0,AJ$13),15-13*ORÇAMENTO!$AF$7)/$H160*OFFSET(ORÇAMENTO!$X$15,ROW(AJ160)-ROW(AJ$15),0),
              ROUND(ROUND(OFFSET($P160,0,AJ$13),15-13*ORÇAMENTO!$AF$7)*OFFSET(ORÇAMENTO!$W$15,ROW(AJ160)-ROW(AJ$15),0),15-13*ORÇAMENTO!$AF$11)),
         0)</f>
        <v>0</v>
      </c>
      <c r="AK160" s="453">
        <f ca="1">IF(AND($D160="Serviço",AK$12&lt;&gt;0,$H160&gt;0,OR(AUTOEVENTO&lt;&gt;"manual",$M160&lt;&gt;$A$15)),
        IF(Import.TipoArredondamento&lt;&gt;"TransfereGOV",
              ROUND(OFFSET($P160,0,AK$13),15-13*ORÇAMENTO!$AF$7)/$H160*OFFSET(ORÇAMENTO!$X$15,ROW(AK160)-ROW(AK$15),0),
              ROUND(ROUND(OFFSET($P160,0,AK$13),15-13*ORÇAMENTO!$AF$7)*OFFSET(ORÇAMENTO!$W$15,ROW(AK160)-ROW(AK$15),0),15-13*ORÇAMENTO!$AF$11)),
         0)</f>
        <v>0</v>
      </c>
      <c r="AL160" s="453">
        <f ca="1">IF(AND($D160="Serviço",AL$12&lt;&gt;0,$H160&gt;0,OR(AUTOEVENTO&lt;&gt;"manual",$M160&lt;&gt;$A$15)),
        IF(Import.TipoArredondamento&lt;&gt;"TransfereGOV",
              ROUND(OFFSET($P160,0,AL$13),15-13*ORÇAMENTO!$AF$7)/$H160*OFFSET(ORÇAMENTO!$X$15,ROW(AL160)-ROW(AL$15),0),
              ROUND(ROUND(OFFSET($P160,0,AL$13),15-13*ORÇAMENTO!$AF$7)*OFFSET(ORÇAMENTO!$W$15,ROW(AL160)-ROW(AL$15),0),15-13*ORÇAMENTO!$AF$11)),
         0)</f>
        <v>0</v>
      </c>
      <c r="AM160" s="453">
        <f ca="1">IF(AND($D160="Serviço",AM$12&lt;&gt;0,$H160&gt;0,OR(AUTOEVENTO&lt;&gt;"manual",$M160&lt;&gt;$A$15)),
        IF(Import.TipoArredondamento&lt;&gt;"TransfereGOV",
              ROUND(OFFSET($P160,0,AM$13),15-13*ORÇAMENTO!$AF$7)/$H160*OFFSET(ORÇAMENTO!$X$15,ROW(AM160)-ROW(AM$15),0),
              ROUND(ROUND(OFFSET($P160,0,AM$13),15-13*ORÇAMENTO!$AF$7)*OFFSET(ORÇAMENTO!$W$15,ROW(AM160)-ROW(AM$15),0),15-13*ORÇAMENTO!$AF$11)),
         0)</f>
        <v>0</v>
      </c>
      <c r="AN160" s="453">
        <f ca="1">IF(AND($D160="Serviço",AN$12&lt;&gt;0,$H160&gt;0,OR(AUTOEVENTO&lt;&gt;"manual",$M160&lt;&gt;$A$15)),
        IF(Import.TipoArredondamento&lt;&gt;"TransfereGOV",
              ROUND(OFFSET($P160,0,AN$13),15-13*ORÇAMENTO!$AF$7)/$H160*OFFSET(ORÇAMENTO!$X$15,ROW(AN160)-ROW(AN$15),0),
              ROUND(ROUND(OFFSET($P160,0,AN$13),15-13*ORÇAMENTO!$AF$7)*OFFSET(ORÇAMENTO!$W$15,ROW(AN160)-ROW(AN$15),0),15-13*ORÇAMENTO!$AF$11)),
         0)</f>
        <v>0</v>
      </c>
      <c r="AO160" s="453">
        <f ca="1">IF(AND($D160="Serviço",AO$12&lt;&gt;0,$H160&gt;0,OR(AUTOEVENTO&lt;&gt;"manual",$M160&lt;&gt;$A$15)),
        IF(Import.TipoArredondamento&lt;&gt;"TransfereGOV",
              ROUND(OFFSET($P160,0,AO$13),15-13*ORÇAMENTO!$AF$7)/$H160*OFFSET(ORÇAMENTO!$X$15,ROW(AO160)-ROW(AO$15),0),
              ROUND(ROUND(OFFSET($P160,0,AO$13),15-13*ORÇAMENTO!$AF$7)*OFFSET(ORÇAMENTO!$W$15,ROW(AO160)-ROW(AO$15),0),15-13*ORÇAMENTO!$AF$11)),
         0)</f>
        <v>4353.3599999999997</v>
      </c>
      <c r="AP160" s="453">
        <f ca="1">IF(AND($D160="Serviço",AP$12&lt;&gt;0,$H160&gt;0,OR(AUTOEVENTO&lt;&gt;"manual",$M160&lt;&gt;$A$15)),
        IF(Import.TipoArredondamento&lt;&gt;"TransfereGOV",
              ROUND(OFFSET($P160,0,AP$13),15-13*ORÇAMENTO!$AF$7)/$H160*OFFSET(ORÇAMENTO!$X$15,ROW(AP160)-ROW(AP$15),0),
              ROUND(ROUND(OFFSET($P160,0,AP$13),15-13*ORÇAMENTO!$AF$7)*OFFSET(ORÇAMENTO!$W$15,ROW(AP160)-ROW(AP$15),0),15-13*ORÇAMENTO!$AF$11)),
         0)</f>
        <v>0</v>
      </c>
      <c r="AQ160" s="453">
        <f ca="1">IF(AND($D160="Serviço",AQ$12&lt;&gt;0,$H160&gt;0,OR(AUTOEVENTO&lt;&gt;"manual",$M160&lt;&gt;$A$15)),
        IF(Import.TipoArredondamento&lt;&gt;"TransfereGOV",
              ROUND(OFFSET($P160,0,AQ$13),15-13*ORÇAMENTO!$AF$7)/$H160*OFFSET(ORÇAMENTO!$X$15,ROW(AQ160)-ROW(AQ$15),0),
              ROUND(ROUND(OFFSET($P160,0,AQ$13),15-13*ORÇAMENTO!$AF$7)*OFFSET(ORÇAMENTO!$W$15,ROW(AQ160)-ROW(AQ$15),0),15-13*ORÇAMENTO!$AF$11)),
         0)</f>
        <v>0</v>
      </c>
      <c r="AR160" s="453">
        <f ca="1">IF(AND($D160="Serviço",AR$12&lt;&gt;0,$H160&gt;0,OR(AUTOEVENTO&lt;&gt;"manual",$M160&lt;&gt;$A$15)),
        IF(Import.TipoArredondamento&lt;&gt;"TransfereGOV",
              ROUND(OFFSET($P160,0,AR$13),15-13*ORÇAMENTO!$AF$7)/$H160*OFFSET(ORÇAMENTO!$X$15,ROW(AR160)-ROW(AR$15),0),
              ROUND(ROUND(OFFSET($P160,0,AR$13),15-13*ORÇAMENTO!$AF$7)*OFFSET(ORÇAMENTO!$W$15,ROW(AR160)-ROW(AR$15),0),15-13*ORÇAMENTO!$AF$11)),
         0)</f>
        <v>0</v>
      </c>
      <c r="AS160" s="453">
        <f ca="1">IF(AND($D160="Serviço",AS$12&lt;&gt;0,$H160&gt;0,OR(AUTOEVENTO&lt;&gt;"manual",$M160&lt;&gt;$A$15)),
        IF(Import.TipoArredondamento&lt;&gt;"TransfereGOV",
              ROUND(OFFSET($P160,0,AS$13),15-13*ORÇAMENTO!$AF$7)/$H160*OFFSET(ORÇAMENTO!$X$15,ROW(AS160)-ROW(AS$15),0),
              ROUND(ROUND(OFFSET($P160,0,AS$13),15-13*ORÇAMENTO!$AF$7)*OFFSET(ORÇAMENTO!$W$15,ROW(AS160)-ROW(AS$15),0),15-13*ORÇAMENTO!$AF$11)),
         0)</f>
        <v>0</v>
      </c>
      <c r="AT160" s="453">
        <f ca="1">IF(AND($D160="Serviço",AT$12&lt;&gt;0,$H160&gt;0,OR(AUTOEVENTO&lt;&gt;"manual",$M160&lt;&gt;$A$15)),
        IF(Import.TipoArredondamento&lt;&gt;"TransfereGOV",
              ROUND(OFFSET($P160,0,AT$13),15-13*ORÇAMENTO!$AF$7)/$H160*OFFSET(ORÇAMENTO!$X$15,ROW(AT160)-ROW(AT$15),0),
              ROUND(ROUND(OFFSET($P160,0,AT$13),15-13*ORÇAMENTO!$AF$7)*OFFSET(ORÇAMENTO!$W$15,ROW(AT160)-ROW(AT$15),0),15-13*ORÇAMENTO!$AF$11)),
         0)</f>
        <v>0</v>
      </c>
      <c r="AU160" s="453">
        <f ca="1">IF(AND($D160="Serviço",AU$12&lt;&gt;0,$H160&gt;0,OR(AUTOEVENTO&lt;&gt;"manual",$M160&lt;&gt;$A$15)),
        IF(Import.TipoArredondamento&lt;&gt;"TransfereGOV",
              ROUND(OFFSET($P160,0,AU$13),15-13*ORÇAMENTO!$AF$7)/$H160*OFFSET(ORÇAMENTO!$X$15,ROW(AU160)-ROW(AU$15),0),
              ROUND(ROUND(OFFSET($P160,0,AU$13),15-13*ORÇAMENTO!$AF$7)*OFFSET(ORÇAMENTO!$W$15,ROW(AU160)-ROW(AU$15),0),15-13*ORÇAMENTO!$AF$11)),
         0)</f>
        <v>0</v>
      </c>
      <c r="AV160" s="453">
        <f ca="1">IF(AND($D160="Serviço",AV$12&lt;&gt;0,$H160&gt;0,OR(AUTOEVENTO&lt;&gt;"manual",$M160&lt;&gt;$A$15)),
        IF(Import.TipoArredondamento&lt;&gt;"TransfereGOV",
              ROUND(OFFSET($P160,0,AV$13),15-13*ORÇAMENTO!$AF$7)/$H160*OFFSET(ORÇAMENTO!$X$15,ROW(AV160)-ROW(AV$15),0),
              ROUND(ROUND(OFFSET($P160,0,AV$13),15-13*ORÇAMENTO!$AF$7)*OFFSET(ORÇAMENTO!$W$15,ROW(AV160)-ROW(AV$15),0),15-13*ORÇAMENTO!$AF$11)),
         0)</f>
        <v>0</v>
      </c>
      <c r="AW160" s="453">
        <f ca="1">IF(AND($D160="Serviço",AW$12&lt;&gt;0,$H160&gt;0,OR(AUTOEVENTO&lt;&gt;"manual",$M160&lt;&gt;$A$15)),
        IF(Import.TipoArredondamento&lt;&gt;"TransfereGOV",
              ROUND(OFFSET($P160,0,AW$13),15-13*ORÇAMENTO!$AF$7)/$H160*OFFSET(ORÇAMENTO!$X$15,ROW(AW160)-ROW(AW$15),0),
              ROUND(ROUND(OFFSET($P160,0,AW$13),15-13*ORÇAMENTO!$AF$7)*OFFSET(ORÇAMENTO!$W$15,ROW(AW160)-ROW(AW$15),0),15-13*ORÇAMENTO!$AF$11)),
         0)</f>
        <v>0</v>
      </c>
      <c r="AX160" s="453">
        <f ca="1">IF(AND($D160="Serviço",AX$12&lt;&gt;0,$H160&gt;0,OR(AUTOEVENTO&lt;&gt;"manual",$M160&lt;&gt;$A$15)),
        IF(Import.TipoArredondamento&lt;&gt;"TransfereGOV",
              ROUND(OFFSET($P160,0,AX$13),15-13*ORÇAMENTO!$AF$7)/$H160*OFFSET(ORÇAMENTO!$X$15,ROW(AX160)-ROW(AX$15),0),
              ROUND(ROUND(OFFSET($P160,0,AX$13),15-13*ORÇAMENTO!$AF$7)*OFFSET(ORÇAMENTO!$W$15,ROW(AX160)-ROW(AX$15),0),15-13*ORÇAMENTO!$AF$11)),
         0)</f>
        <v>0</v>
      </c>
      <c r="AY160" s="453">
        <f ca="1">IF(AND($D160="Serviço",AY$12&lt;&gt;0,$H160&gt;0,OR(AUTOEVENTO&lt;&gt;"manual",$M160&lt;&gt;$A$15)),
        IF(Import.TipoArredondamento&lt;&gt;"TransfereGOV",
              ROUND(OFFSET($P160,0,AY$13),15-13*ORÇAMENTO!$AF$7)/$H160*OFFSET(ORÇAMENTO!$X$15,ROW(AY160)-ROW(AY$15),0),
              ROUND(ROUND(OFFSET($P160,0,AY$13),15-13*ORÇAMENTO!$AF$7)*OFFSET(ORÇAMENTO!$W$15,ROW(AY160)-ROW(AY$15),0),15-13*ORÇAMENTO!$AF$11)),
         0)</f>
        <v>0</v>
      </c>
      <c r="AZ160" s="453">
        <f ca="1">IF(AND($D160="Serviço",AZ$12&lt;&gt;0,$H160&gt;0,OR(AUTOEVENTO&lt;&gt;"manual",$M160&lt;&gt;$A$15)),
        IF(Import.TipoArredondamento&lt;&gt;"TransfereGOV",
              ROUND(OFFSET($P160,0,AZ$13),15-13*ORÇAMENTO!$AF$7)/$H160*OFFSET(ORÇAMENTO!$X$15,ROW(AZ160)-ROW(AZ$15),0),
              ROUND(ROUND(OFFSET($P160,0,AZ$13),15-13*ORÇAMENTO!$AF$7)*OFFSET(ORÇAMENTO!$W$15,ROW(AZ160)-ROW(AZ$15),0),15-13*ORÇAMENTO!$AF$11)),
         0)</f>
        <v>0</v>
      </c>
      <c r="BA160" s="453">
        <f ca="1">IF(AND($D160="Serviço",BA$12&lt;&gt;0,$H160&gt;0,OR(AUTOEVENTO&lt;&gt;"manual",$M160&lt;&gt;$A$15)),
        IF(Import.TipoArredondamento&lt;&gt;"TransfereGOV",
              ROUND(OFFSET($P160,0,BA$13),15-13*ORÇAMENTO!$AF$7)/$H160*OFFSET(ORÇAMENTO!$X$15,ROW(BA160)-ROW(BA$15),0),
              ROUND(ROUND(OFFSET($P160,0,BA$13),15-13*ORÇAMENTO!$AF$7)*OFFSET(ORÇAMENTO!$W$15,ROW(BA160)-ROW(BA$15),0),15-13*ORÇAMENTO!$AF$11)),
         0)</f>
        <v>0</v>
      </c>
      <c r="BC160" s="171">
        <f ca="1">IF(OR($D160&lt;&gt;"Serviço",AND(AUTOEVENTO="Manual",$M160=$A$15)),0,
         IF(OFFSET(CRONOPLE!$F$15,$M160-$A$15,BC$13)=0,10^12,OFFSET(CRONOPLE!$F$15,$M160-$A$15,BC$13)))</f>
        <v>1000000000000</v>
      </c>
      <c r="BD160" s="171">
        <f ca="1">IF(OR($D160&lt;&gt;"Serviço",AND(AUTOEVENTO="Manual",$M160=$A$15)),0,
         IF(OFFSET(CRONOPLE!$F$15,$M160-$A$15,BD$13)=0,10^12,OFFSET(CRONOPLE!$F$15,$M160-$A$15,BD$13)))</f>
        <v>1000000000000</v>
      </c>
      <c r="BE160" s="171">
        <f ca="1">IF(OR($D160&lt;&gt;"Serviço",AND(AUTOEVENTO="Manual",$M160=$A$15)),0,
         IF(OFFSET(CRONOPLE!$F$15,$M160-$A$15,BE$13)=0,10^12,OFFSET(CRONOPLE!$F$15,$M160-$A$15,BE$13)))</f>
        <v>3</v>
      </c>
      <c r="BF160" s="171">
        <f ca="1">IF(OR($D160&lt;&gt;"Serviço",AND(AUTOEVENTO="Manual",$M160=$A$15)),0,
         IF(OFFSET(CRONOPLE!$F$15,$M160-$A$15,BF$13)=0,10^12,OFFSET(CRONOPLE!$F$15,$M160-$A$15,BF$13)))</f>
        <v>1000000000000</v>
      </c>
      <c r="BG160" s="171">
        <f ca="1">IF(OR($D160&lt;&gt;"Serviço",AND(AUTOEVENTO="Manual",$M160=$A$15)),0,
         IF(OFFSET(CRONOPLE!$F$15,$M160-$A$15,BG$13)=0,10^12,OFFSET(CRONOPLE!$F$15,$M160-$A$15,BG$13)))</f>
        <v>1000000000000</v>
      </c>
      <c r="BH160" s="171">
        <f ca="1">IF(OR($D160&lt;&gt;"Serviço",AND(AUTOEVENTO="Manual",$M160=$A$15)),0,
         IF(OFFSET(CRONOPLE!$F$15,$M160-$A$15,BH$13)=0,10^12,OFFSET(CRONOPLE!$F$15,$M160-$A$15,BH$13)))</f>
        <v>9</v>
      </c>
      <c r="BI160" s="171">
        <f ca="1">IF(OR($D160&lt;&gt;"Serviço",AND(AUTOEVENTO="Manual",$M160=$A$15)),0,
         IF(OFFSET(CRONOPLE!$F$15,$M160-$A$15,BI$13)=0,10^12,OFFSET(CRONOPLE!$F$15,$M160-$A$15,BI$13)))</f>
        <v>1000000000000</v>
      </c>
      <c r="BJ160" s="171">
        <f ca="1">IF(OR($D160&lt;&gt;"Serviço",AND(AUTOEVENTO="Manual",$M160=$A$15)),0,
         IF(OFFSET(CRONOPLE!$F$15,$M160-$A$15,BJ$13)=0,10^12,OFFSET(CRONOPLE!$F$15,$M160-$A$15,BJ$13)))</f>
        <v>1000000000000</v>
      </c>
      <c r="BK160" s="171">
        <f ca="1">IF(OR($D160&lt;&gt;"Serviço",AND(AUTOEVENTO="Manual",$M160=$A$15)),0,
         IF(OFFSET(CRONOPLE!$F$15,$M160-$A$15,BK$13)=0,10^12,OFFSET(CRONOPLE!$F$15,$M160-$A$15,BK$13)))</f>
        <v>1000000000000</v>
      </c>
      <c r="BL160" s="171">
        <f ca="1">IF(OR($D160&lt;&gt;"Serviço",AND(AUTOEVENTO="Manual",$M160=$A$15)),0,
         IF(OFFSET(CRONOPLE!$F$15,$M160-$A$15,BL$13)=0,10^12,OFFSET(CRONOPLE!$F$15,$M160-$A$15,BL$13)))</f>
        <v>1000000000000</v>
      </c>
      <c r="BM160" s="171">
        <f ca="1">IF(OR($D160&lt;&gt;"Serviço",AND(AUTOEVENTO="Manual",$M160=$A$15)),0,
         IF(OFFSET(CRONOPLE!$F$15,$M160-$A$15,BM$13)=0,10^12,OFFSET(CRONOPLE!$F$15,$M160-$A$15,BM$13)))</f>
        <v>1000000000000</v>
      </c>
      <c r="BN160" s="171">
        <f ca="1">IF(OR($D160&lt;&gt;"Serviço",AND(AUTOEVENTO="Manual",$M160=$A$15)),0,
         IF(OFFSET(CRONOPLE!$F$15,$M160-$A$15,BN$13)=0,10^12,OFFSET(CRONOPLE!$F$15,$M160-$A$15,BN$13)))</f>
        <v>1000000000000</v>
      </c>
      <c r="BO160" s="171">
        <f ca="1">IF(OR($D160&lt;&gt;"Serviço",AND(AUTOEVENTO="Manual",$M160=$A$15)),0,
         IF(OFFSET(CRONOPLE!$F$15,$M160-$A$15,BO$13)=0,10^12,OFFSET(CRONOPLE!$F$15,$M160-$A$15,BO$13)))</f>
        <v>1000000000000</v>
      </c>
      <c r="BP160" s="171">
        <f ca="1">IF(OR($D160&lt;&gt;"Serviço",AND(AUTOEVENTO="Manual",$M160=$A$15)),0,
         IF(OFFSET(CRONOPLE!$F$15,$M160-$A$15,BP$13)=0,10^12,OFFSET(CRONOPLE!$F$15,$M160-$A$15,BP$13)))</f>
        <v>1000000000000</v>
      </c>
      <c r="BQ160" s="171">
        <f ca="1">IF(OR($D160&lt;&gt;"Serviço",AND(AUTOEVENTO="Manual",$M160=$A$15)),0,
         IF(OFFSET(CRONOPLE!$F$15,$M160-$A$15,BQ$13)=0,10^12,OFFSET(CRONOPLE!$F$15,$M160-$A$15,BQ$13)))</f>
        <v>1000000000000</v>
      </c>
      <c r="BR160" s="171">
        <f ca="1">IF(OR($D160&lt;&gt;"Serviço",AND(AUTOEVENTO="Manual",$M160=$A$15)),0,
         IF(OFFSET(CRONOPLE!$F$15,$M160-$A$15,BR$13)=0,10^12,OFFSET(CRONOPLE!$F$15,$M160-$A$15,BR$13)))</f>
        <v>1000000000000</v>
      </c>
      <c r="BS160" s="171">
        <f ca="1">IF(OR($D160&lt;&gt;"Serviço",AND(AUTOEVENTO="Manual",$M160=$A$15)),0,
         IF(OFFSET(CRONOPLE!$F$15,$M160-$A$15,BS$13)=0,10^12,OFFSET(CRONOPLE!$F$15,$M160-$A$15,BS$13)))</f>
        <v>1000000000000</v>
      </c>
      <c r="BT160" s="171">
        <f ca="1">IF(OR($D160&lt;&gt;"Serviço",AND(AUTOEVENTO="Manual",$M160=$A$15)),0,
         IF(OFFSET(CRONOPLE!$F$15,$M160-$A$15,BT$13)=0,10^12,OFFSET(CRONOPLE!$F$15,$M160-$A$15,BT$13)))</f>
        <v>1000000000000</v>
      </c>
      <c r="BV160" s="172" cm="1">
        <f t="array" aca="1" ref="BV160" ca="1">IF(OR($D160&lt;&gt;"Serviço",AND(AUTOEVENTO="Manual",$M160=$A$15),$M160&gt;(ROW(PLE.lastrow)-ROW(PLE.firstrow))),0,
           IF(OFFSET(PLE!$G$15,$M160-$A$15,BV$13)="",10^12,OFFSET(PLE!$G$15,$M160-$A$15,BV$13)))</f>
        <v>1000000000000</v>
      </c>
      <c r="BW160" s="172" cm="1">
        <f t="array" aca="1" ref="BW160" ca="1">IF(OR($D160&lt;&gt;"Serviço",AND(AUTOEVENTO="Manual",$M160=$A$15),$M160&gt;(ROW(PLE.lastrow)-ROW(PLE.firstrow))),0,
           IF(OFFSET(PLE!$G$15,$M160-$A$15,BW$13)="",10^12,OFFSET(PLE!$G$15,$M160-$A$15,BW$13)))</f>
        <v>1000000000000</v>
      </c>
      <c r="BX160" s="172" cm="1">
        <f t="array" aca="1" ref="BX160" ca="1">IF(OR($D160&lt;&gt;"Serviço",AND(AUTOEVENTO="Manual",$M160=$A$15),$M160&gt;(ROW(PLE.lastrow)-ROW(PLE.firstrow))),0,
           IF(OFFSET(PLE!$G$15,$M160-$A$15,BX$13)="",10^12,OFFSET(PLE!$G$15,$M160-$A$15,BX$13)))</f>
        <v>1000000000000</v>
      </c>
      <c r="BY160" s="172" cm="1">
        <f t="array" aca="1" ref="BY160" ca="1">IF(OR($D160&lt;&gt;"Serviço",AND(AUTOEVENTO="Manual",$M160=$A$15),$M160&gt;(ROW(PLE.lastrow)-ROW(PLE.firstrow))),0,
           IF(OFFSET(PLE!$G$15,$M160-$A$15,BY$13)="",10^12,OFFSET(PLE!$G$15,$M160-$A$15,BY$13)))</f>
        <v>1000000000000</v>
      </c>
      <c r="BZ160" s="172" cm="1">
        <f t="array" aca="1" ref="BZ160" ca="1">IF(OR($D160&lt;&gt;"Serviço",AND(AUTOEVENTO="Manual",$M160=$A$15),$M160&gt;(ROW(PLE.lastrow)-ROW(PLE.firstrow))),0,
           IF(OFFSET(PLE!$G$15,$M160-$A$15,BZ$13)="",10^12,OFFSET(PLE!$G$15,$M160-$A$15,BZ$13)))</f>
        <v>1000000000000</v>
      </c>
      <c r="CA160" s="172" cm="1">
        <f t="array" aca="1" ref="CA160" ca="1">IF(OR($D160&lt;&gt;"Serviço",AND(AUTOEVENTO="Manual",$M160=$A$15),$M160&gt;(ROW(PLE.lastrow)-ROW(PLE.firstrow))),0,
           IF(OFFSET(PLE!$G$15,$M160-$A$15,CA$13)="",10^12,OFFSET(PLE!$G$15,$M160-$A$15,CA$13)))</f>
        <v>1000000000000</v>
      </c>
      <c r="CB160" s="172" cm="1">
        <f t="array" aca="1" ref="CB160" ca="1">IF(OR($D160&lt;&gt;"Serviço",AND(AUTOEVENTO="Manual",$M160=$A$15),$M160&gt;(ROW(PLE.lastrow)-ROW(PLE.firstrow))),0,
           IF(OFFSET(PLE!$G$15,$M160-$A$15,CB$13)="",10^12,OFFSET(PLE!$G$15,$M160-$A$15,CB$13)))</f>
        <v>1000000000000</v>
      </c>
      <c r="CC160" s="172" cm="1">
        <f t="array" aca="1" ref="CC160" ca="1">IF(OR($D160&lt;&gt;"Serviço",AND(AUTOEVENTO="Manual",$M160=$A$15),$M160&gt;(ROW(PLE.lastrow)-ROW(PLE.firstrow))),0,
           IF(OFFSET(PLE!$G$15,$M160-$A$15,CC$13)="",10^12,OFFSET(PLE!$G$15,$M160-$A$15,CC$13)))</f>
        <v>1000000000000</v>
      </c>
      <c r="CD160" s="172" cm="1">
        <f t="array" aca="1" ref="CD160" ca="1">IF(OR($D160&lt;&gt;"Serviço",AND(AUTOEVENTO="Manual",$M160=$A$15),$M160&gt;(ROW(PLE.lastrow)-ROW(PLE.firstrow))),0,
           IF(OFFSET(PLE!$G$15,$M160-$A$15,CD$13)="",10^12,OFFSET(PLE!$G$15,$M160-$A$15,CD$13)))</f>
        <v>1000000000000</v>
      </c>
      <c r="CE160" s="172" cm="1">
        <f t="array" aca="1" ref="CE160" ca="1">IF(OR($D160&lt;&gt;"Serviço",AND(AUTOEVENTO="Manual",$M160=$A$15),$M160&gt;(ROW(PLE.lastrow)-ROW(PLE.firstrow))),0,
           IF(OFFSET(PLE!$G$15,$M160-$A$15,CE$13)="",10^12,OFFSET(PLE!$G$15,$M160-$A$15,CE$13)))</f>
        <v>1000000000000</v>
      </c>
      <c r="CF160" s="172" cm="1">
        <f t="array" aca="1" ref="CF160" ca="1">IF(OR($D160&lt;&gt;"Serviço",AND(AUTOEVENTO="Manual",$M160=$A$15),$M160&gt;(ROW(PLE.lastrow)-ROW(PLE.firstrow))),0,
           IF(OFFSET(PLE!$G$15,$M160-$A$15,CF$13)="",10^12,OFFSET(PLE!$G$15,$M160-$A$15,CF$13)))</f>
        <v>1000000000000</v>
      </c>
      <c r="CG160" s="172" cm="1">
        <f t="array" aca="1" ref="CG160" ca="1">IF(OR($D160&lt;&gt;"Serviço",AND(AUTOEVENTO="Manual",$M160=$A$15),$M160&gt;(ROW(PLE.lastrow)-ROW(PLE.firstrow))),0,
           IF(OFFSET(PLE!$G$15,$M160-$A$15,CG$13)="",10^12,OFFSET(PLE!$G$15,$M160-$A$15,CG$13)))</f>
        <v>1000000000000</v>
      </c>
      <c r="CH160" s="172" cm="1">
        <f t="array" aca="1" ref="CH160" ca="1">IF(OR($D160&lt;&gt;"Serviço",AND(AUTOEVENTO="Manual",$M160=$A$15),$M160&gt;(ROW(PLE.lastrow)-ROW(PLE.firstrow))),0,
           IF(OFFSET(PLE!$G$15,$M160-$A$15,CH$13)="",10^12,OFFSET(PLE!$G$15,$M160-$A$15,CH$13)))</f>
        <v>1000000000000</v>
      </c>
      <c r="CI160" s="172" cm="1">
        <f t="array" aca="1" ref="CI160" ca="1">IF(OR($D160&lt;&gt;"Serviço",AND(AUTOEVENTO="Manual",$M160=$A$15),$M160&gt;(ROW(PLE.lastrow)-ROW(PLE.firstrow))),0,
           IF(OFFSET(PLE!$G$15,$M160-$A$15,CI$13)="",10^12,OFFSET(PLE!$G$15,$M160-$A$15,CI$13)))</f>
        <v>1000000000000</v>
      </c>
      <c r="CJ160" s="172" cm="1">
        <f t="array" aca="1" ref="CJ160" ca="1">IF(OR($D160&lt;&gt;"Serviço",AND(AUTOEVENTO="Manual",$M160=$A$15),$M160&gt;(ROW(PLE.lastrow)-ROW(PLE.firstrow))),0,
           IF(OFFSET(PLE!$G$15,$M160-$A$15,CJ$13)="",10^12,OFFSET(PLE!$G$15,$M160-$A$15,CJ$13)))</f>
        <v>1000000000000</v>
      </c>
      <c r="CK160" s="172" cm="1">
        <f t="array" aca="1" ref="CK160" ca="1">IF(OR($D160&lt;&gt;"Serviço",AND(AUTOEVENTO="Manual",$M160=$A$15),$M160&gt;(ROW(PLE.lastrow)-ROW(PLE.firstrow))),0,
           IF(OFFSET(PLE!$G$15,$M160-$A$15,CK$13)="",10^12,OFFSET(PLE!$G$15,$M160-$A$15,CK$13)))</f>
        <v>1000000000000</v>
      </c>
      <c r="CL160" s="172" cm="1">
        <f t="array" aca="1" ref="CL160" ca="1">IF(OR($D160&lt;&gt;"Serviço",AND(AUTOEVENTO="Manual",$M160=$A$15),$M160&gt;(ROW(PLE.lastrow)-ROW(PLE.firstrow))),0,
           IF(OFFSET(PLE!$G$15,$M160-$A$15,CL$13)="",10^12,OFFSET(PLE!$G$15,$M160-$A$15,CL$13)))</f>
        <v>1000000000000</v>
      </c>
      <c r="CM160" s="172" cm="1">
        <f t="array" aca="1" ref="CM160" ca="1">IF(OR($D160&lt;&gt;"Serviço",AND(AUTOEVENTO="Manual",$M160=$A$15),$M160&gt;(ROW(PLE.lastrow)-ROW(PLE.firstrow))),0,
           IF(OFFSET(PLE!$G$15,$M160-$A$15,CM$13)="",10^12,OFFSET(PLE!$G$15,$M160-$A$15,CM$13)))</f>
        <v>1000000000000</v>
      </c>
    </row>
    <row r="161" spans="1:91" s="670" customFormat="1" ht="12.75" x14ac:dyDescent="0.2">
      <c r="A161" s="668">
        <f t="shared" ca="1" si="14"/>
        <v>24</v>
      </c>
      <c r="B161" s="668" t="str">
        <f ca="1">OFFSET(ORÇAMENTO!C$15,$L161,0)</f>
        <v>S</v>
      </c>
      <c r="C161" s="668" t="str">
        <f ca="1">OFFSET(ORÇAMENTO!L$15,$L161,0)</f>
        <v>F</v>
      </c>
      <c r="D161" s="116" t="str">
        <f ca="1">OFFSET(ORÇAMENTO!N$15,$L161,0)</f>
        <v>Serviço</v>
      </c>
      <c r="E161" s="117" t="str">
        <f ca="1">OFFSET(ORÇAMENTO!O$15,$L161,0)</f>
        <v>1.21.5.</v>
      </c>
      <c r="F161" s="163" t="str">
        <f ca="1">OFFSET(ORÇAMENTO!R$15,$L161,0)</f>
        <v>flange cego, em ferro fundido, pn 10, diam. =  200mm</v>
      </c>
      <c r="G161" s="164" t="str">
        <f ca="1">IF($D161&lt;&gt;"Serviço","",OFFSET(ORÇAMENTO!S$15,$L161,0))</f>
        <v>UNIDADE</v>
      </c>
      <c r="H161" s="122" cm="1">
        <f t="array" aca="1" ref="H161" ca="1">IF($D161&lt;&gt;"Serviço",0,IF(ACOMPANHAMENTO="BM",ROUND(OFFSET(ORÇAMENTO!AJ$15,$L161,0),15-13*ORÇAMENTO!$AF$7),IF(IFERROR(CÁLCULO.FrentesPreenchidas,0)=0,0,SUM(ROUND(OFFSET($P161,0,1,1,CÁLCULO.FrentesPreenchidas),15-13*ORÇAMENTO!$AF$7)))))</f>
        <v>2</v>
      </c>
      <c r="I161" s="468" t="s">
        <v>1204</v>
      </c>
      <c r="J161" s="651" t="str" cm="1">
        <f t="array" aca="1" ref="J161" ca="1">IF(OR(B161&lt;&gt;"S",CÁLCULO.FrentesPreenchidas=0),"",IF(AND(ACOMPANHAMENTO="PLE",AUTOEVENTO="Manual",OR(H161&gt;0,ORÇAMENTO!AC161="QUANT."),OR(K161="",M161=0,N161="")),"►E",IF(AND(ACOMPANHAMENTO="PLE",ORÇAMENTO!AC161="QUANT."),"►Q",IF(AND(ACOMPANHAMENTO="PLE",H161&lt;&gt;SUMPRODUCT(($Q$1:$AI$1=1)*ROUND(Q161:AI161,15))),"►S",IF(AND(COUNTIF($P$11:$AI$11,"▼")=0,H161&gt;0,I161=""),"◄M","")))))</f>
        <v/>
      </c>
      <c r="K161" s="652" t="s">
        <v>1344</v>
      </c>
      <c r="L161" s="165">
        <f t="shared" ca="1" si="15"/>
        <v>146</v>
      </c>
      <c r="M161" s="166">
        <f ca="1">IF($D161&lt;&gt;"Serviço","",
          IF(AUTOEVENTO="manual",$A161,
                IF(ISERROR(MATCH($A161,$A$15:OFFSET($A161,-1,0),0)),MAX($M$15:OFFSET(M161,-1,0))+1,
                      INDEX($M$15:OFFSET(M161,-1,0),MATCH($A161,$A$15:OFFSET($A161,-1,0),0)))))</f>
        <v>24</v>
      </c>
      <c r="N161" s="167" t="str">
        <f ca="1">IF($D161&lt;&gt;"Serviço","",
         IF(AUTOEVENTO="Manual",
                IF($A161=0,"&lt;-- defina o número do agrupador",
                       OFFSET(EVENTOS!$D$15,$A161-$A$15,0)),
                OFFSET($F$15,$A161,0)))</f>
        <v>Instalações hidrossanitárias</v>
      </c>
      <c r="O161" s="168"/>
      <c r="Q161" s="168"/>
      <c r="R161" s="169"/>
      <c r="S161" s="169"/>
      <c r="T161" s="169"/>
      <c r="U161" s="169"/>
      <c r="V161" s="169">
        <v>2</v>
      </c>
      <c r="W161" s="169"/>
      <c r="X161" s="169"/>
      <c r="Y161" s="169"/>
      <c r="Z161" s="170"/>
      <c r="AA161" s="705"/>
      <c r="AB161" s="705"/>
      <c r="AC161" s="705"/>
      <c r="AD161" s="705"/>
      <c r="AE161" s="705"/>
      <c r="AF161" s="705"/>
      <c r="AG161" s="705"/>
      <c r="AH161" s="706"/>
      <c r="AJ161" s="453">
        <f ca="1">IF(AND($D161="Serviço",AJ$12&lt;&gt;0,$H161&gt;0,OR(AUTOEVENTO&lt;&gt;"manual",$M161&lt;&gt;$A$15)),
        IF(Import.TipoArredondamento&lt;&gt;"TransfereGOV",
              ROUND(OFFSET($P161,0,AJ$13),15-13*ORÇAMENTO!$AF$7)/$H161*OFFSET(ORÇAMENTO!$X$15,ROW(AJ161)-ROW(AJ$15),0),
              ROUND(ROUND(OFFSET($P161,0,AJ$13),15-13*ORÇAMENTO!$AF$7)*OFFSET(ORÇAMENTO!$W$15,ROW(AJ161)-ROW(AJ$15),0),15-13*ORÇAMENTO!$AF$11)),
         0)</f>
        <v>0</v>
      </c>
      <c r="AK161" s="453">
        <f ca="1">IF(AND($D161="Serviço",AK$12&lt;&gt;0,$H161&gt;0,OR(AUTOEVENTO&lt;&gt;"manual",$M161&lt;&gt;$A$15)),
        IF(Import.TipoArredondamento&lt;&gt;"TransfereGOV",
              ROUND(OFFSET($P161,0,AK$13),15-13*ORÇAMENTO!$AF$7)/$H161*OFFSET(ORÇAMENTO!$X$15,ROW(AK161)-ROW(AK$15),0),
              ROUND(ROUND(OFFSET($P161,0,AK$13),15-13*ORÇAMENTO!$AF$7)*OFFSET(ORÇAMENTO!$W$15,ROW(AK161)-ROW(AK$15),0),15-13*ORÇAMENTO!$AF$11)),
         0)</f>
        <v>0</v>
      </c>
      <c r="AL161" s="453">
        <f ca="1">IF(AND($D161="Serviço",AL$12&lt;&gt;0,$H161&gt;0,OR(AUTOEVENTO&lt;&gt;"manual",$M161&lt;&gt;$A$15)),
        IF(Import.TipoArredondamento&lt;&gt;"TransfereGOV",
              ROUND(OFFSET($P161,0,AL$13),15-13*ORÇAMENTO!$AF$7)/$H161*OFFSET(ORÇAMENTO!$X$15,ROW(AL161)-ROW(AL$15),0),
              ROUND(ROUND(OFFSET($P161,0,AL$13),15-13*ORÇAMENTO!$AF$7)*OFFSET(ORÇAMENTO!$W$15,ROW(AL161)-ROW(AL$15),0),15-13*ORÇAMENTO!$AF$11)),
         0)</f>
        <v>0</v>
      </c>
      <c r="AM161" s="453">
        <f ca="1">IF(AND($D161="Serviço",AM$12&lt;&gt;0,$H161&gt;0,OR(AUTOEVENTO&lt;&gt;"manual",$M161&lt;&gt;$A$15)),
        IF(Import.TipoArredondamento&lt;&gt;"TransfereGOV",
              ROUND(OFFSET($P161,0,AM$13),15-13*ORÇAMENTO!$AF$7)/$H161*OFFSET(ORÇAMENTO!$X$15,ROW(AM161)-ROW(AM$15),0),
              ROUND(ROUND(OFFSET($P161,0,AM$13),15-13*ORÇAMENTO!$AF$7)*OFFSET(ORÇAMENTO!$W$15,ROW(AM161)-ROW(AM$15),0),15-13*ORÇAMENTO!$AF$11)),
         0)</f>
        <v>0</v>
      </c>
      <c r="AN161" s="453">
        <f ca="1">IF(AND($D161="Serviço",AN$12&lt;&gt;0,$H161&gt;0,OR(AUTOEVENTO&lt;&gt;"manual",$M161&lt;&gt;$A$15)),
        IF(Import.TipoArredondamento&lt;&gt;"TransfereGOV",
              ROUND(OFFSET($P161,0,AN$13),15-13*ORÇAMENTO!$AF$7)/$H161*OFFSET(ORÇAMENTO!$X$15,ROW(AN161)-ROW(AN$15),0),
              ROUND(ROUND(OFFSET($P161,0,AN$13),15-13*ORÇAMENTO!$AF$7)*OFFSET(ORÇAMENTO!$W$15,ROW(AN161)-ROW(AN$15),0),15-13*ORÇAMENTO!$AF$11)),
         0)</f>
        <v>0</v>
      </c>
      <c r="AO161" s="453">
        <f ca="1">IF(AND($D161="Serviço",AO$12&lt;&gt;0,$H161&gt;0,OR(AUTOEVENTO&lt;&gt;"manual",$M161&lt;&gt;$A$15)),
        IF(Import.TipoArredondamento&lt;&gt;"TransfereGOV",
              ROUND(OFFSET($P161,0,AO$13),15-13*ORÇAMENTO!$AF$7)/$H161*OFFSET(ORÇAMENTO!$X$15,ROW(AO161)-ROW(AO$15),0),
              ROUND(ROUND(OFFSET($P161,0,AO$13),15-13*ORÇAMENTO!$AF$7)*OFFSET(ORÇAMENTO!$W$15,ROW(AO161)-ROW(AO$15),0),15-13*ORÇAMENTO!$AF$11)),
         0)</f>
        <v>1091.8</v>
      </c>
      <c r="AP161" s="453">
        <f ca="1">IF(AND($D161="Serviço",AP$12&lt;&gt;0,$H161&gt;0,OR(AUTOEVENTO&lt;&gt;"manual",$M161&lt;&gt;$A$15)),
        IF(Import.TipoArredondamento&lt;&gt;"TransfereGOV",
              ROUND(OFFSET($P161,0,AP$13),15-13*ORÇAMENTO!$AF$7)/$H161*OFFSET(ORÇAMENTO!$X$15,ROW(AP161)-ROW(AP$15),0),
              ROUND(ROUND(OFFSET($P161,0,AP$13),15-13*ORÇAMENTO!$AF$7)*OFFSET(ORÇAMENTO!$W$15,ROW(AP161)-ROW(AP$15),0),15-13*ORÇAMENTO!$AF$11)),
         0)</f>
        <v>0</v>
      </c>
      <c r="AQ161" s="453">
        <f ca="1">IF(AND($D161="Serviço",AQ$12&lt;&gt;0,$H161&gt;0,OR(AUTOEVENTO&lt;&gt;"manual",$M161&lt;&gt;$A$15)),
        IF(Import.TipoArredondamento&lt;&gt;"TransfereGOV",
              ROUND(OFFSET($P161,0,AQ$13),15-13*ORÇAMENTO!$AF$7)/$H161*OFFSET(ORÇAMENTO!$X$15,ROW(AQ161)-ROW(AQ$15),0),
              ROUND(ROUND(OFFSET($P161,0,AQ$13),15-13*ORÇAMENTO!$AF$7)*OFFSET(ORÇAMENTO!$W$15,ROW(AQ161)-ROW(AQ$15),0),15-13*ORÇAMENTO!$AF$11)),
         0)</f>
        <v>0</v>
      </c>
      <c r="AR161" s="453">
        <f ca="1">IF(AND($D161="Serviço",AR$12&lt;&gt;0,$H161&gt;0,OR(AUTOEVENTO&lt;&gt;"manual",$M161&lt;&gt;$A$15)),
        IF(Import.TipoArredondamento&lt;&gt;"TransfereGOV",
              ROUND(OFFSET($P161,0,AR$13),15-13*ORÇAMENTO!$AF$7)/$H161*OFFSET(ORÇAMENTO!$X$15,ROW(AR161)-ROW(AR$15),0),
              ROUND(ROUND(OFFSET($P161,0,AR$13),15-13*ORÇAMENTO!$AF$7)*OFFSET(ORÇAMENTO!$W$15,ROW(AR161)-ROW(AR$15),0),15-13*ORÇAMENTO!$AF$11)),
         0)</f>
        <v>0</v>
      </c>
      <c r="AS161" s="453">
        <f ca="1">IF(AND($D161="Serviço",AS$12&lt;&gt;0,$H161&gt;0,OR(AUTOEVENTO&lt;&gt;"manual",$M161&lt;&gt;$A$15)),
        IF(Import.TipoArredondamento&lt;&gt;"TransfereGOV",
              ROUND(OFFSET($P161,0,AS$13),15-13*ORÇAMENTO!$AF$7)/$H161*OFFSET(ORÇAMENTO!$X$15,ROW(AS161)-ROW(AS$15),0),
              ROUND(ROUND(OFFSET($P161,0,AS$13),15-13*ORÇAMENTO!$AF$7)*OFFSET(ORÇAMENTO!$W$15,ROW(AS161)-ROW(AS$15),0),15-13*ORÇAMENTO!$AF$11)),
         0)</f>
        <v>0</v>
      </c>
      <c r="AT161" s="453">
        <f ca="1">IF(AND($D161="Serviço",AT$12&lt;&gt;0,$H161&gt;0,OR(AUTOEVENTO&lt;&gt;"manual",$M161&lt;&gt;$A$15)),
        IF(Import.TipoArredondamento&lt;&gt;"TransfereGOV",
              ROUND(OFFSET($P161,0,AT$13),15-13*ORÇAMENTO!$AF$7)/$H161*OFFSET(ORÇAMENTO!$X$15,ROW(AT161)-ROW(AT$15),0),
              ROUND(ROUND(OFFSET($P161,0,AT$13),15-13*ORÇAMENTO!$AF$7)*OFFSET(ORÇAMENTO!$W$15,ROW(AT161)-ROW(AT$15),0),15-13*ORÇAMENTO!$AF$11)),
         0)</f>
        <v>0</v>
      </c>
      <c r="AU161" s="453">
        <f ca="1">IF(AND($D161="Serviço",AU$12&lt;&gt;0,$H161&gt;0,OR(AUTOEVENTO&lt;&gt;"manual",$M161&lt;&gt;$A$15)),
        IF(Import.TipoArredondamento&lt;&gt;"TransfereGOV",
              ROUND(OFFSET($P161,0,AU$13),15-13*ORÇAMENTO!$AF$7)/$H161*OFFSET(ORÇAMENTO!$X$15,ROW(AU161)-ROW(AU$15),0),
              ROUND(ROUND(OFFSET($P161,0,AU$13),15-13*ORÇAMENTO!$AF$7)*OFFSET(ORÇAMENTO!$W$15,ROW(AU161)-ROW(AU$15),0),15-13*ORÇAMENTO!$AF$11)),
         0)</f>
        <v>0</v>
      </c>
      <c r="AV161" s="453">
        <f ca="1">IF(AND($D161="Serviço",AV$12&lt;&gt;0,$H161&gt;0,OR(AUTOEVENTO&lt;&gt;"manual",$M161&lt;&gt;$A$15)),
        IF(Import.TipoArredondamento&lt;&gt;"TransfereGOV",
              ROUND(OFFSET($P161,0,AV$13),15-13*ORÇAMENTO!$AF$7)/$H161*OFFSET(ORÇAMENTO!$X$15,ROW(AV161)-ROW(AV$15),0),
              ROUND(ROUND(OFFSET($P161,0,AV$13),15-13*ORÇAMENTO!$AF$7)*OFFSET(ORÇAMENTO!$W$15,ROW(AV161)-ROW(AV$15),0),15-13*ORÇAMENTO!$AF$11)),
         0)</f>
        <v>0</v>
      </c>
      <c r="AW161" s="453">
        <f ca="1">IF(AND($D161="Serviço",AW$12&lt;&gt;0,$H161&gt;0,OR(AUTOEVENTO&lt;&gt;"manual",$M161&lt;&gt;$A$15)),
        IF(Import.TipoArredondamento&lt;&gt;"TransfereGOV",
              ROUND(OFFSET($P161,0,AW$13),15-13*ORÇAMENTO!$AF$7)/$H161*OFFSET(ORÇAMENTO!$X$15,ROW(AW161)-ROW(AW$15),0),
              ROUND(ROUND(OFFSET($P161,0,AW$13),15-13*ORÇAMENTO!$AF$7)*OFFSET(ORÇAMENTO!$W$15,ROW(AW161)-ROW(AW$15),0),15-13*ORÇAMENTO!$AF$11)),
         0)</f>
        <v>0</v>
      </c>
      <c r="AX161" s="453">
        <f ca="1">IF(AND($D161="Serviço",AX$12&lt;&gt;0,$H161&gt;0,OR(AUTOEVENTO&lt;&gt;"manual",$M161&lt;&gt;$A$15)),
        IF(Import.TipoArredondamento&lt;&gt;"TransfereGOV",
              ROUND(OFFSET($P161,0,AX$13),15-13*ORÇAMENTO!$AF$7)/$H161*OFFSET(ORÇAMENTO!$X$15,ROW(AX161)-ROW(AX$15),0),
              ROUND(ROUND(OFFSET($P161,0,AX$13),15-13*ORÇAMENTO!$AF$7)*OFFSET(ORÇAMENTO!$W$15,ROW(AX161)-ROW(AX$15),0),15-13*ORÇAMENTO!$AF$11)),
         0)</f>
        <v>0</v>
      </c>
      <c r="AY161" s="453">
        <f ca="1">IF(AND($D161="Serviço",AY$12&lt;&gt;0,$H161&gt;0,OR(AUTOEVENTO&lt;&gt;"manual",$M161&lt;&gt;$A$15)),
        IF(Import.TipoArredondamento&lt;&gt;"TransfereGOV",
              ROUND(OFFSET($P161,0,AY$13),15-13*ORÇAMENTO!$AF$7)/$H161*OFFSET(ORÇAMENTO!$X$15,ROW(AY161)-ROW(AY$15),0),
              ROUND(ROUND(OFFSET($P161,0,AY$13),15-13*ORÇAMENTO!$AF$7)*OFFSET(ORÇAMENTO!$W$15,ROW(AY161)-ROW(AY$15),0),15-13*ORÇAMENTO!$AF$11)),
         0)</f>
        <v>0</v>
      </c>
      <c r="AZ161" s="453">
        <f ca="1">IF(AND($D161="Serviço",AZ$12&lt;&gt;0,$H161&gt;0,OR(AUTOEVENTO&lt;&gt;"manual",$M161&lt;&gt;$A$15)),
        IF(Import.TipoArredondamento&lt;&gt;"TransfereGOV",
              ROUND(OFFSET($P161,0,AZ$13),15-13*ORÇAMENTO!$AF$7)/$H161*OFFSET(ORÇAMENTO!$X$15,ROW(AZ161)-ROW(AZ$15),0),
              ROUND(ROUND(OFFSET($P161,0,AZ$13),15-13*ORÇAMENTO!$AF$7)*OFFSET(ORÇAMENTO!$W$15,ROW(AZ161)-ROW(AZ$15),0),15-13*ORÇAMENTO!$AF$11)),
         0)</f>
        <v>0</v>
      </c>
      <c r="BA161" s="453">
        <f ca="1">IF(AND($D161="Serviço",BA$12&lt;&gt;0,$H161&gt;0,OR(AUTOEVENTO&lt;&gt;"manual",$M161&lt;&gt;$A$15)),
        IF(Import.TipoArredondamento&lt;&gt;"TransfereGOV",
              ROUND(OFFSET($P161,0,BA$13),15-13*ORÇAMENTO!$AF$7)/$H161*OFFSET(ORÇAMENTO!$X$15,ROW(BA161)-ROW(BA$15),0),
              ROUND(ROUND(OFFSET($P161,0,BA$13),15-13*ORÇAMENTO!$AF$7)*OFFSET(ORÇAMENTO!$W$15,ROW(BA161)-ROW(BA$15),0),15-13*ORÇAMENTO!$AF$11)),
         0)</f>
        <v>0</v>
      </c>
      <c r="BC161" s="171">
        <f ca="1">IF(OR($D161&lt;&gt;"Serviço",AND(AUTOEVENTO="Manual",$M161=$A$15)),0,
         IF(OFFSET(CRONOPLE!$F$15,$M161-$A$15,BC$13)=0,10^12,OFFSET(CRONOPLE!$F$15,$M161-$A$15,BC$13)))</f>
        <v>1000000000000</v>
      </c>
      <c r="BD161" s="171">
        <f ca="1">IF(OR($D161&lt;&gt;"Serviço",AND(AUTOEVENTO="Manual",$M161=$A$15)),0,
         IF(OFFSET(CRONOPLE!$F$15,$M161-$A$15,BD$13)=0,10^12,OFFSET(CRONOPLE!$F$15,$M161-$A$15,BD$13)))</f>
        <v>1000000000000</v>
      </c>
      <c r="BE161" s="171">
        <f ca="1">IF(OR($D161&lt;&gt;"Serviço",AND(AUTOEVENTO="Manual",$M161=$A$15)),0,
         IF(OFFSET(CRONOPLE!$F$15,$M161-$A$15,BE$13)=0,10^12,OFFSET(CRONOPLE!$F$15,$M161-$A$15,BE$13)))</f>
        <v>3</v>
      </c>
      <c r="BF161" s="171">
        <f ca="1">IF(OR($D161&lt;&gt;"Serviço",AND(AUTOEVENTO="Manual",$M161=$A$15)),0,
         IF(OFFSET(CRONOPLE!$F$15,$M161-$A$15,BF$13)=0,10^12,OFFSET(CRONOPLE!$F$15,$M161-$A$15,BF$13)))</f>
        <v>1000000000000</v>
      </c>
      <c r="BG161" s="171">
        <f ca="1">IF(OR($D161&lt;&gt;"Serviço",AND(AUTOEVENTO="Manual",$M161=$A$15)),0,
         IF(OFFSET(CRONOPLE!$F$15,$M161-$A$15,BG$13)=0,10^12,OFFSET(CRONOPLE!$F$15,$M161-$A$15,BG$13)))</f>
        <v>1000000000000</v>
      </c>
      <c r="BH161" s="171">
        <f ca="1">IF(OR($D161&lt;&gt;"Serviço",AND(AUTOEVENTO="Manual",$M161=$A$15)),0,
         IF(OFFSET(CRONOPLE!$F$15,$M161-$A$15,BH$13)=0,10^12,OFFSET(CRONOPLE!$F$15,$M161-$A$15,BH$13)))</f>
        <v>9</v>
      </c>
      <c r="BI161" s="171">
        <f ca="1">IF(OR($D161&lt;&gt;"Serviço",AND(AUTOEVENTO="Manual",$M161=$A$15)),0,
         IF(OFFSET(CRONOPLE!$F$15,$M161-$A$15,BI$13)=0,10^12,OFFSET(CRONOPLE!$F$15,$M161-$A$15,BI$13)))</f>
        <v>1000000000000</v>
      </c>
      <c r="BJ161" s="171">
        <f ca="1">IF(OR($D161&lt;&gt;"Serviço",AND(AUTOEVENTO="Manual",$M161=$A$15)),0,
         IF(OFFSET(CRONOPLE!$F$15,$M161-$A$15,BJ$13)=0,10^12,OFFSET(CRONOPLE!$F$15,$M161-$A$15,BJ$13)))</f>
        <v>1000000000000</v>
      </c>
      <c r="BK161" s="171">
        <f ca="1">IF(OR($D161&lt;&gt;"Serviço",AND(AUTOEVENTO="Manual",$M161=$A$15)),0,
         IF(OFFSET(CRONOPLE!$F$15,$M161-$A$15,BK$13)=0,10^12,OFFSET(CRONOPLE!$F$15,$M161-$A$15,BK$13)))</f>
        <v>1000000000000</v>
      </c>
      <c r="BL161" s="171">
        <f ca="1">IF(OR($D161&lt;&gt;"Serviço",AND(AUTOEVENTO="Manual",$M161=$A$15)),0,
         IF(OFFSET(CRONOPLE!$F$15,$M161-$A$15,BL$13)=0,10^12,OFFSET(CRONOPLE!$F$15,$M161-$A$15,BL$13)))</f>
        <v>1000000000000</v>
      </c>
      <c r="BM161" s="171">
        <f ca="1">IF(OR($D161&lt;&gt;"Serviço",AND(AUTOEVENTO="Manual",$M161=$A$15)),0,
         IF(OFFSET(CRONOPLE!$F$15,$M161-$A$15,BM$13)=0,10^12,OFFSET(CRONOPLE!$F$15,$M161-$A$15,BM$13)))</f>
        <v>1000000000000</v>
      </c>
      <c r="BN161" s="171">
        <f ca="1">IF(OR($D161&lt;&gt;"Serviço",AND(AUTOEVENTO="Manual",$M161=$A$15)),0,
         IF(OFFSET(CRONOPLE!$F$15,$M161-$A$15,BN$13)=0,10^12,OFFSET(CRONOPLE!$F$15,$M161-$A$15,BN$13)))</f>
        <v>1000000000000</v>
      </c>
      <c r="BO161" s="171">
        <f ca="1">IF(OR($D161&lt;&gt;"Serviço",AND(AUTOEVENTO="Manual",$M161=$A$15)),0,
         IF(OFFSET(CRONOPLE!$F$15,$M161-$A$15,BO$13)=0,10^12,OFFSET(CRONOPLE!$F$15,$M161-$A$15,BO$13)))</f>
        <v>1000000000000</v>
      </c>
      <c r="BP161" s="171">
        <f ca="1">IF(OR($D161&lt;&gt;"Serviço",AND(AUTOEVENTO="Manual",$M161=$A$15)),0,
         IF(OFFSET(CRONOPLE!$F$15,$M161-$A$15,BP$13)=0,10^12,OFFSET(CRONOPLE!$F$15,$M161-$A$15,BP$13)))</f>
        <v>1000000000000</v>
      </c>
      <c r="BQ161" s="171">
        <f ca="1">IF(OR($D161&lt;&gt;"Serviço",AND(AUTOEVENTO="Manual",$M161=$A$15)),0,
         IF(OFFSET(CRONOPLE!$F$15,$M161-$A$15,BQ$13)=0,10^12,OFFSET(CRONOPLE!$F$15,$M161-$A$15,BQ$13)))</f>
        <v>1000000000000</v>
      </c>
      <c r="BR161" s="171">
        <f ca="1">IF(OR($D161&lt;&gt;"Serviço",AND(AUTOEVENTO="Manual",$M161=$A$15)),0,
         IF(OFFSET(CRONOPLE!$F$15,$M161-$A$15,BR$13)=0,10^12,OFFSET(CRONOPLE!$F$15,$M161-$A$15,BR$13)))</f>
        <v>1000000000000</v>
      </c>
      <c r="BS161" s="171">
        <f ca="1">IF(OR($D161&lt;&gt;"Serviço",AND(AUTOEVENTO="Manual",$M161=$A$15)),0,
         IF(OFFSET(CRONOPLE!$F$15,$M161-$A$15,BS$13)=0,10^12,OFFSET(CRONOPLE!$F$15,$M161-$A$15,BS$13)))</f>
        <v>1000000000000</v>
      </c>
      <c r="BT161" s="171">
        <f ca="1">IF(OR($D161&lt;&gt;"Serviço",AND(AUTOEVENTO="Manual",$M161=$A$15)),0,
         IF(OFFSET(CRONOPLE!$F$15,$M161-$A$15,BT$13)=0,10^12,OFFSET(CRONOPLE!$F$15,$M161-$A$15,BT$13)))</f>
        <v>1000000000000</v>
      </c>
      <c r="BV161" s="172" cm="1">
        <f t="array" aca="1" ref="BV161" ca="1">IF(OR($D161&lt;&gt;"Serviço",AND(AUTOEVENTO="Manual",$M161=$A$15),$M161&gt;(ROW(PLE.lastrow)-ROW(PLE.firstrow))),0,
           IF(OFFSET(PLE!$G$15,$M161-$A$15,BV$13)="",10^12,OFFSET(PLE!$G$15,$M161-$A$15,BV$13)))</f>
        <v>1000000000000</v>
      </c>
      <c r="BW161" s="172" cm="1">
        <f t="array" aca="1" ref="BW161" ca="1">IF(OR($D161&lt;&gt;"Serviço",AND(AUTOEVENTO="Manual",$M161=$A$15),$M161&gt;(ROW(PLE.lastrow)-ROW(PLE.firstrow))),0,
           IF(OFFSET(PLE!$G$15,$M161-$A$15,BW$13)="",10^12,OFFSET(PLE!$G$15,$M161-$A$15,BW$13)))</f>
        <v>1000000000000</v>
      </c>
      <c r="BX161" s="172" cm="1">
        <f t="array" aca="1" ref="BX161" ca="1">IF(OR($D161&lt;&gt;"Serviço",AND(AUTOEVENTO="Manual",$M161=$A$15),$M161&gt;(ROW(PLE.lastrow)-ROW(PLE.firstrow))),0,
           IF(OFFSET(PLE!$G$15,$M161-$A$15,BX$13)="",10^12,OFFSET(PLE!$G$15,$M161-$A$15,BX$13)))</f>
        <v>1000000000000</v>
      </c>
      <c r="BY161" s="172" cm="1">
        <f t="array" aca="1" ref="BY161" ca="1">IF(OR($D161&lt;&gt;"Serviço",AND(AUTOEVENTO="Manual",$M161=$A$15),$M161&gt;(ROW(PLE.lastrow)-ROW(PLE.firstrow))),0,
           IF(OFFSET(PLE!$G$15,$M161-$A$15,BY$13)="",10^12,OFFSET(PLE!$G$15,$M161-$A$15,BY$13)))</f>
        <v>1000000000000</v>
      </c>
      <c r="BZ161" s="172" cm="1">
        <f t="array" aca="1" ref="BZ161" ca="1">IF(OR($D161&lt;&gt;"Serviço",AND(AUTOEVENTO="Manual",$M161=$A$15),$M161&gt;(ROW(PLE.lastrow)-ROW(PLE.firstrow))),0,
           IF(OFFSET(PLE!$G$15,$M161-$A$15,BZ$13)="",10^12,OFFSET(PLE!$G$15,$M161-$A$15,BZ$13)))</f>
        <v>1000000000000</v>
      </c>
      <c r="CA161" s="172" cm="1">
        <f t="array" aca="1" ref="CA161" ca="1">IF(OR($D161&lt;&gt;"Serviço",AND(AUTOEVENTO="Manual",$M161=$A$15),$M161&gt;(ROW(PLE.lastrow)-ROW(PLE.firstrow))),0,
           IF(OFFSET(PLE!$G$15,$M161-$A$15,CA$13)="",10^12,OFFSET(PLE!$G$15,$M161-$A$15,CA$13)))</f>
        <v>1000000000000</v>
      </c>
      <c r="CB161" s="172" cm="1">
        <f t="array" aca="1" ref="CB161" ca="1">IF(OR($D161&lt;&gt;"Serviço",AND(AUTOEVENTO="Manual",$M161=$A$15),$M161&gt;(ROW(PLE.lastrow)-ROW(PLE.firstrow))),0,
           IF(OFFSET(PLE!$G$15,$M161-$A$15,CB$13)="",10^12,OFFSET(PLE!$G$15,$M161-$A$15,CB$13)))</f>
        <v>1000000000000</v>
      </c>
      <c r="CC161" s="172" cm="1">
        <f t="array" aca="1" ref="CC161" ca="1">IF(OR($D161&lt;&gt;"Serviço",AND(AUTOEVENTO="Manual",$M161=$A$15),$M161&gt;(ROW(PLE.lastrow)-ROW(PLE.firstrow))),0,
           IF(OFFSET(PLE!$G$15,$M161-$A$15,CC$13)="",10^12,OFFSET(PLE!$G$15,$M161-$A$15,CC$13)))</f>
        <v>1000000000000</v>
      </c>
      <c r="CD161" s="172" cm="1">
        <f t="array" aca="1" ref="CD161" ca="1">IF(OR($D161&lt;&gt;"Serviço",AND(AUTOEVENTO="Manual",$M161=$A$15),$M161&gt;(ROW(PLE.lastrow)-ROW(PLE.firstrow))),0,
           IF(OFFSET(PLE!$G$15,$M161-$A$15,CD$13)="",10^12,OFFSET(PLE!$G$15,$M161-$A$15,CD$13)))</f>
        <v>1000000000000</v>
      </c>
      <c r="CE161" s="172" cm="1">
        <f t="array" aca="1" ref="CE161" ca="1">IF(OR($D161&lt;&gt;"Serviço",AND(AUTOEVENTO="Manual",$M161=$A$15),$M161&gt;(ROW(PLE.lastrow)-ROW(PLE.firstrow))),0,
           IF(OFFSET(PLE!$G$15,$M161-$A$15,CE$13)="",10^12,OFFSET(PLE!$G$15,$M161-$A$15,CE$13)))</f>
        <v>1000000000000</v>
      </c>
      <c r="CF161" s="172" cm="1">
        <f t="array" aca="1" ref="CF161" ca="1">IF(OR($D161&lt;&gt;"Serviço",AND(AUTOEVENTO="Manual",$M161=$A$15),$M161&gt;(ROW(PLE.lastrow)-ROW(PLE.firstrow))),0,
           IF(OFFSET(PLE!$G$15,$M161-$A$15,CF$13)="",10^12,OFFSET(PLE!$G$15,$M161-$A$15,CF$13)))</f>
        <v>1000000000000</v>
      </c>
      <c r="CG161" s="172" cm="1">
        <f t="array" aca="1" ref="CG161" ca="1">IF(OR($D161&lt;&gt;"Serviço",AND(AUTOEVENTO="Manual",$M161=$A$15),$M161&gt;(ROW(PLE.lastrow)-ROW(PLE.firstrow))),0,
           IF(OFFSET(PLE!$G$15,$M161-$A$15,CG$13)="",10^12,OFFSET(PLE!$G$15,$M161-$A$15,CG$13)))</f>
        <v>1000000000000</v>
      </c>
      <c r="CH161" s="172" cm="1">
        <f t="array" aca="1" ref="CH161" ca="1">IF(OR($D161&lt;&gt;"Serviço",AND(AUTOEVENTO="Manual",$M161=$A$15),$M161&gt;(ROW(PLE.lastrow)-ROW(PLE.firstrow))),0,
           IF(OFFSET(PLE!$G$15,$M161-$A$15,CH$13)="",10^12,OFFSET(PLE!$G$15,$M161-$A$15,CH$13)))</f>
        <v>1000000000000</v>
      </c>
      <c r="CI161" s="172" cm="1">
        <f t="array" aca="1" ref="CI161" ca="1">IF(OR($D161&lt;&gt;"Serviço",AND(AUTOEVENTO="Manual",$M161=$A$15),$M161&gt;(ROW(PLE.lastrow)-ROW(PLE.firstrow))),0,
           IF(OFFSET(PLE!$G$15,$M161-$A$15,CI$13)="",10^12,OFFSET(PLE!$G$15,$M161-$A$15,CI$13)))</f>
        <v>1000000000000</v>
      </c>
      <c r="CJ161" s="172" cm="1">
        <f t="array" aca="1" ref="CJ161" ca="1">IF(OR($D161&lt;&gt;"Serviço",AND(AUTOEVENTO="Manual",$M161=$A$15),$M161&gt;(ROW(PLE.lastrow)-ROW(PLE.firstrow))),0,
           IF(OFFSET(PLE!$G$15,$M161-$A$15,CJ$13)="",10^12,OFFSET(PLE!$G$15,$M161-$A$15,CJ$13)))</f>
        <v>1000000000000</v>
      </c>
      <c r="CK161" s="172" cm="1">
        <f t="array" aca="1" ref="CK161" ca="1">IF(OR($D161&lt;&gt;"Serviço",AND(AUTOEVENTO="Manual",$M161=$A$15),$M161&gt;(ROW(PLE.lastrow)-ROW(PLE.firstrow))),0,
           IF(OFFSET(PLE!$G$15,$M161-$A$15,CK$13)="",10^12,OFFSET(PLE!$G$15,$M161-$A$15,CK$13)))</f>
        <v>1000000000000</v>
      </c>
      <c r="CL161" s="172" cm="1">
        <f t="array" aca="1" ref="CL161" ca="1">IF(OR($D161&lt;&gt;"Serviço",AND(AUTOEVENTO="Manual",$M161=$A$15),$M161&gt;(ROW(PLE.lastrow)-ROW(PLE.firstrow))),0,
           IF(OFFSET(PLE!$G$15,$M161-$A$15,CL$13)="",10^12,OFFSET(PLE!$G$15,$M161-$A$15,CL$13)))</f>
        <v>1000000000000</v>
      </c>
      <c r="CM161" s="172" cm="1">
        <f t="array" aca="1" ref="CM161" ca="1">IF(OR($D161&lt;&gt;"Serviço",AND(AUTOEVENTO="Manual",$M161=$A$15),$M161&gt;(ROW(PLE.lastrow)-ROW(PLE.firstrow))),0,
           IF(OFFSET(PLE!$G$15,$M161-$A$15,CM$13)="",10^12,OFFSET(PLE!$G$15,$M161-$A$15,CM$13)))</f>
        <v>1000000000000</v>
      </c>
    </row>
    <row r="162" spans="1:91" s="670" customFormat="1" ht="12.75" x14ac:dyDescent="0.2">
      <c r="A162" s="668">
        <f t="shared" ca="1" si="14"/>
        <v>24</v>
      </c>
      <c r="B162" s="668" t="str">
        <f ca="1">OFFSET(ORÇAMENTO!C$15,$L162,0)</f>
        <v>S</v>
      </c>
      <c r="C162" s="668" t="str">
        <f ca="1">OFFSET(ORÇAMENTO!L$15,$L162,0)</f>
        <v>F</v>
      </c>
      <c r="D162" s="116" t="str">
        <f ca="1">OFFSET(ORÇAMENTO!N$15,$L162,0)</f>
        <v>Serviço</v>
      </c>
      <c r="E162" s="117" t="str">
        <f ca="1">OFFSET(ORÇAMENTO!O$15,$L162,0)</f>
        <v>1.21.6.</v>
      </c>
      <c r="F162" s="163" t="str">
        <f ca="1">OFFSET(ORÇAMENTO!R$15,$L162,0)</f>
        <v>VÁLVULA DE RETENÇÃO HORIZONTAL PORTINHOLA UNICA</v>
      </c>
      <c r="G162" s="164" t="str">
        <f ca="1">IF($D162&lt;&gt;"Serviço","",OFFSET(ORÇAMENTO!S$15,$L162,0))</f>
        <v>UNIDADE</v>
      </c>
      <c r="H162" s="122" cm="1">
        <f t="array" aca="1" ref="H162" ca="1">IF($D162&lt;&gt;"Serviço",0,IF(ACOMPANHAMENTO="BM",ROUND(OFFSET(ORÇAMENTO!AJ$15,$L162,0),15-13*ORÇAMENTO!$AF$7),IF(IFERROR(CÁLCULO.FrentesPreenchidas,0)=0,0,SUM(ROUND(OFFSET($P162,0,1,1,CÁLCULO.FrentesPreenchidas),15-13*ORÇAMENTO!$AF$7)))))</f>
        <v>2</v>
      </c>
      <c r="I162" s="720" t="s">
        <v>1205</v>
      </c>
      <c r="J162" s="651" t="str" cm="1">
        <f t="array" aca="1" ref="J162" ca="1">IF(OR(B162&lt;&gt;"S",CÁLCULO.FrentesPreenchidas=0),"",IF(AND(ACOMPANHAMENTO="PLE",AUTOEVENTO="Manual",OR(H162&gt;0,ORÇAMENTO!AC162="QUANT."),OR(K162="",M162=0,N162="")),"►E",IF(AND(ACOMPANHAMENTO="PLE",ORÇAMENTO!AC162="QUANT."),"►Q",IF(AND(ACOMPANHAMENTO="PLE",H162&lt;&gt;SUMPRODUCT(($Q$1:$AI$1=1)*ROUND(Q162:AI162,15))),"►S",IF(AND(COUNTIF($P$11:$AI$11,"▼")=0,H162&gt;0,I162=""),"◄M","")))))</f>
        <v/>
      </c>
      <c r="K162" s="652" t="s">
        <v>1344</v>
      </c>
      <c r="L162" s="165">
        <f t="shared" ca="1" si="15"/>
        <v>147</v>
      </c>
      <c r="M162" s="166">
        <f ca="1">IF($D162&lt;&gt;"Serviço","",
          IF(AUTOEVENTO="manual",$A162,
                IF(ISERROR(MATCH($A162,$A$15:OFFSET($A162,-1,0),0)),MAX($M$15:OFFSET(M162,-1,0))+1,
                      INDEX($M$15:OFFSET(M162,-1,0),MATCH($A162,$A$15:OFFSET($A162,-1,0),0)))))</f>
        <v>24</v>
      </c>
      <c r="N162" s="167" t="str">
        <f ca="1">IF($D162&lt;&gt;"Serviço","",
         IF(AUTOEVENTO="Manual",
                IF($A162=0,"&lt;-- defina o número do agrupador",
                       OFFSET(EVENTOS!$D$15,$A162-$A$15,0)),
                OFFSET($F$15,$A162,0)))</f>
        <v>Instalações hidrossanitárias</v>
      </c>
      <c r="O162" s="168"/>
      <c r="Q162" s="168"/>
      <c r="R162" s="169"/>
      <c r="S162" s="169"/>
      <c r="T162" s="169"/>
      <c r="U162" s="169"/>
      <c r="V162" s="169">
        <v>2</v>
      </c>
      <c r="W162" s="169"/>
      <c r="X162" s="169"/>
      <c r="Y162" s="169"/>
      <c r="Z162" s="170"/>
      <c r="AA162" s="705"/>
      <c r="AB162" s="705"/>
      <c r="AC162" s="705"/>
      <c r="AD162" s="705"/>
      <c r="AE162" s="705"/>
      <c r="AF162" s="705"/>
      <c r="AG162" s="705"/>
      <c r="AH162" s="706"/>
      <c r="AJ162" s="453">
        <f ca="1">IF(AND($D162="Serviço",AJ$12&lt;&gt;0,$H162&gt;0,OR(AUTOEVENTO&lt;&gt;"manual",$M162&lt;&gt;$A$15)),
        IF(Import.TipoArredondamento&lt;&gt;"TransfereGOV",
              ROUND(OFFSET($P162,0,AJ$13),15-13*ORÇAMENTO!$AF$7)/$H162*OFFSET(ORÇAMENTO!$X$15,ROW(AJ162)-ROW(AJ$15),0),
              ROUND(ROUND(OFFSET($P162,0,AJ$13),15-13*ORÇAMENTO!$AF$7)*OFFSET(ORÇAMENTO!$W$15,ROW(AJ162)-ROW(AJ$15),0),15-13*ORÇAMENTO!$AF$11)),
         0)</f>
        <v>0</v>
      </c>
      <c r="AK162" s="453">
        <f ca="1">IF(AND($D162="Serviço",AK$12&lt;&gt;0,$H162&gt;0,OR(AUTOEVENTO&lt;&gt;"manual",$M162&lt;&gt;$A$15)),
        IF(Import.TipoArredondamento&lt;&gt;"TransfereGOV",
              ROUND(OFFSET($P162,0,AK$13),15-13*ORÇAMENTO!$AF$7)/$H162*OFFSET(ORÇAMENTO!$X$15,ROW(AK162)-ROW(AK$15),0),
              ROUND(ROUND(OFFSET($P162,0,AK$13),15-13*ORÇAMENTO!$AF$7)*OFFSET(ORÇAMENTO!$W$15,ROW(AK162)-ROW(AK$15),0),15-13*ORÇAMENTO!$AF$11)),
         0)</f>
        <v>0</v>
      </c>
      <c r="AL162" s="453">
        <f ca="1">IF(AND($D162="Serviço",AL$12&lt;&gt;0,$H162&gt;0,OR(AUTOEVENTO&lt;&gt;"manual",$M162&lt;&gt;$A$15)),
        IF(Import.TipoArredondamento&lt;&gt;"TransfereGOV",
              ROUND(OFFSET($P162,0,AL$13),15-13*ORÇAMENTO!$AF$7)/$H162*OFFSET(ORÇAMENTO!$X$15,ROW(AL162)-ROW(AL$15),0),
              ROUND(ROUND(OFFSET($P162,0,AL$13),15-13*ORÇAMENTO!$AF$7)*OFFSET(ORÇAMENTO!$W$15,ROW(AL162)-ROW(AL$15),0),15-13*ORÇAMENTO!$AF$11)),
         0)</f>
        <v>0</v>
      </c>
      <c r="AM162" s="453">
        <f ca="1">IF(AND($D162="Serviço",AM$12&lt;&gt;0,$H162&gt;0,OR(AUTOEVENTO&lt;&gt;"manual",$M162&lt;&gt;$A$15)),
        IF(Import.TipoArredondamento&lt;&gt;"TransfereGOV",
              ROUND(OFFSET($P162,0,AM$13),15-13*ORÇAMENTO!$AF$7)/$H162*OFFSET(ORÇAMENTO!$X$15,ROW(AM162)-ROW(AM$15),0),
              ROUND(ROUND(OFFSET($P162,0,AM$13),15-13*ORÇAMENTO!$AF$7)*OFFSET(ORÇAMENTO!$W$15,ROW(AM162)-ROW(AM$15),0),15-13*ORÇAMENTO!$AF$11)),
         0)</f>
        <v>0</v>
      </c>
      <c r="AN162" s="453">
        <f ca="1">IF(AND($D162="Serviço",AN$12&lt;&gt;0,$H162&gt;0,OR(AUTOEVENTO&lt;&gt;"manual",$M162&lt;&gt;$A$15)),
        IF(Import.TipoArredondamento&lt;&gt;"TransfereGOV",
              ROUND(OFFSET($P162,0,AN$13),15-13*ORÇAMENTO!$AF$7)/$H162*OFFSET(ORÇAMENTO!$X$15,ROW(AN162)-ROW(AN$15),0),
              ROUND(ROUND(OFFSET($P162,0,AN$13),15-13*ORÇAMENTO!$AF$7)*OFFSET(ORÇAMENTO!$W$15,ROW(AN162)-ROW(AN$15),0),15-13*ORÇAMENTO!$AF$11)),
         0)</f>
        <v>0</v>
      </c>
      <c r="AO162" s="453">
        <f ca="1">IF(AND($D162="Serviço",AO$12&lt;&gt;0,$H162&gt;0,OR(AUTOEVENTO&lt;&gt;"manual",$M162&lt;&gt;$A$15)),
        IF(Import.TipoArredondamento&lt;&gt;"TransfereGOV",
              ROUND(OFFSET($P162,0,AO$13),15-13*ORÇAMENTO!$AF$7)/$H162*OFFSET(ORÇAMENTO!$X$15,ROW(AO162)-ROW(AO$15),0),
              ROUND(ROUND(OFFSET($P162,0,AO$13),15-13*ORÇAMENTO!$AF$7)*OFFSET(ORÇAMENTO!$W$15,ROW(AO162)-ROW(AO$15),0),15-13*ORÇAMENTO!$AF$11)),
         0)</f>
        <v>4862.32</v>
      </c>
      <c r="AP162" s="453">
        <f ca="1">IF(AND($D162="Serviço",AP$12&lt;&gt;0,$H162&gt;0,OR(AUTOEVENTO&lt;&gt;"manual",$M162&lt;&gt;$A$15)),
        IF(Import.TipoArredondamento&lt;&gt;"TransfereGOV",
              ROUND(OFFSET($P162,0,AP$13),15-13*ORÇAMENTO!$AF$7)/$H162*OFFSET(ORÇAMENTO!$X$15,ROW(AP162)-ROW(AP$15),0),
              ROUND(ROUND(OFFSET($P162,0,AP$13),15-13*ORÇAMENTO!$AF$7)*OFFSET(ORÇAMENTO!$W$15,ROW(AP162)-ROW(AP$15),0),15-13*ORÇAMENTO!$AF$11)),
         0)</f>
        <v>0</v>
      </c>
      <c r="AQ162" s="453">
        <f ca="1">IF(AND($D162="Serviço",AQ$12&lt;&gt;0,$H162&gt;0,OR(AUTOEVENTO&lt;&gt;"manual",$M162&lt;&gt;$A$15)),
        IF(Import.TipoArredondamento&lt;&gt;"TransfereGOV",
              ROUND(OFFSET($P162,0,AQ$13),15-13*ORÇAMENTO!$AF$7)/$H162*OFFSET(ORÇAMENTO!$X$15,ROW(AQ162)-ROW(AQ$15),0),
              ROUND(ROUND(OFFSET($P162,0,AQ$13),15-13*ORÇAMENTO!$AF$7)*OFFSET(ORÇAMENTO!$W$15,ROW(AQ162)-ROW(AQ$15),0),15-13*ORÇAMENTO!$AF$11)),
         0)</f>
        <v>0</v>
      </c>
      <c r="AR162" s="453">
        <f ca="1">IF(AND($D162="Serviço",AR$12&lt;&gt;0,$H162&gt;0,OR(AUTOEVENTO&lt;&gt;"manual",$M162&lt;&gt;$A$15)),
        IF(Import.TipoArredondamento&lt;&gt;"TransfereGOV",
              ROUND(OFFSET($P162,0,AR$13),15-13*ORÇAMENTO!$AF$7)/$H162*OFFSET(ORÇAMENTO!$X$15,ROW(AR162)-ROW(AR$15),0),
              ROUND(ROUND(OFFSET($P162,0,AR$13),15-13*ORÇAMENTO!$AF$7)*OFFSET(ORÇAMENTO!$W$15,ROW(AR162)-ROW(AR$15),0),15-13*ORÇAMENTO!$AF$11)),
         0)</f>
        <v>0</v>
      </c>
      <c r="AS162" s="453">
        <f ca="1">IF(AND($D162="Serviço",AS$12&lt;&gt;0,$H162&gt;0,OR(AUTOEVENTO&lt;&gt;"manual",$M162&lt;&gt;$A$15)),
        IF(Import.TipoArredondamento&lt;&gt;"TransfereGOV",
              ROUND(OFFSET($P162,0,AS$13),15-13*ORÇAMENTO!$AF$7)/$H162*OFFSET(ORÇAMENTO!$X$15,ROW(AS162)-ROW(AS$15),0),
              ROUND(ROUND(OFFSET($P162,0,AS$13),15-13*ORÇAMENTO!$AF$7)*OFFSET(ORÇAMENTO!$W$15,ROW(AS162)-ROW(AS$15),0),15-13*ORÇAMENTO!$AF$11)),
         0)</f>
        <v>0</v>
      </c>
      <c r="AT162" s="453">
        <f ca="1">IF(AND($D162="Serviço",AT$12&lt;&gt;0,$H162&gt;0,OR(AUTOEVENTO&lt;&gt;"manual",$M162&lt;&gt;$A$15)),
        IF(Import.TipoArredondamento&lt;&gt;"TransfereGOV",
              ROUND(OFFSET($P162,0,AT$13),15-13*ORÇAMENTO!$AF$7)/$H162*OFFSET(ORÇAMENTO!$X$15,ROW(AT162)-ROW(AT$15),0),
              ROUND(ROUND(OFFSET($P162,0,AT$13),15-13*ORÇAMENTO!$AF$7)*OFFSET(ORÇAMENTO!$W$15,ROW(AT162)-ROW(AT$15),0),15-13*ORÇAMENTO!$AF$11)),
         0)</f>
        <v>0</v>
      </c>
      <c r="AU162" s="453">
        <f ca="1">IF(AND($D162="Serviço",AU$12&lt;&gt;0,$H162&gt;0,OR(AUTOEVENTO&lt;&gt;"manual",$M162&lt;&gt;$A$15)),
        IF(Import.TipoArredondamento&lt;&gt;"TransfereGOV",
              ROUND(OFFSET($P162,0,AU$13),15-13*ORÇAMENTO!$AF$7)/$H162*OFFSET(ORÇAMENTO!$X$15,ROW(AU162)-ROW(AU$15),0),
              ROUND(ROUND(OFFSET($P162,0,AU$13),15-13*ORÇAMENTO!$AF$7)*OFFSET(ORÇAMENTO!$W$15,ROW(AU162)-ROW(AU$15),0),15-13*ORÇAMENTO!$AF$11)),
         0)</f>
        <v>0</v>
      </c>
      <c r="AV162" s="453">
        <f ca="1">IF(AND($D162="Serviço",AV$12&lt;&gt;0,$H162&gt;0,OR(AUTOEVENTO&lt;&gt;"manual",$M162&lt;&gt;$A$15)),
        IF(Import.TipoArredondamento&lt;&gt;"TransfereGOV",
              ROUND(OFFSET($P162,0,AV$13),15-13*ORÇAMENTO!$AF$7)/$H162*OFFSET(ORÇAMENTO!$X$15,ROW(AV162)-ROW(AV$15),0),
              ROUND(ROUND(OFFSET($P162,0,AV$13),15-13*ORÇAMENTO!$AF$7)*OFFSET(ORÇAMENTO!$W$15,ROW(AV162)-ROW(AV$15),0),15-13*ORÇAMENTO!$AF$11)),
         0)</f>
        <v>0</v>
      </c>
      <c r="AW162" s="453">
        <f ca="1">IF(AND($D162="Serviço",AW$12&lt;&gt;0,$H162&gt;0,OR(AUTOEVENTO&lt;&gt;"manual",$M162&lt;&gt;$A$15)),
        IF(Import.TipoArredondamento&lt;&gt;"TransfereGOV",
              ROUND(OFFSET($P162,0,AW$13),15-13*ORÇAMENTO!$AF$7)/$H162*OFFSET(ORÇAMENTO!$X$15,ROW(AW162)-ROW(AW$15),0),
              ROUND(ROUND(OFFSET($P162,0,AW$13),15-13*ORÇAMENTO!$AF$7)*OFFSET(ORÇAMENTO!$W$15,ROW(AW162)-ROW(AW$15),0),15-13*ORÇAMENTO!$AF$11)),
         0)</f>
        <v>0</v>
      </c>
      <c r="AX162" s="453">
        <f ca="1">IF(AND($D162="Serviço",AX$12&lt;&gt;0,$H162&gt;0,OR(AUTOEVENTO&lt;&gt;"manual",$M162&lt;&gt;$A$15)),
        IF(Import.TipoArredondamento&lt;&gt;"TransfereGOV",
              ROUND(OFFSET($P162,0,AX$13),15-13*ORÇAMENTO!$AF$7)/$H162*OFFSET(ORÇAMENTO!$X$15,ROW(AX162)-ROW(AX$15),0),
              ROUND(ROUND(OFFSET($P162,0,AX$13),15-13*ORÇAMENTO!$AF$7)*OFFSET(ORÇAMENTO!$W$15,ROW(AX162)-ROW(AX$15),0),15-13*ORÇAMENTO!$AF$11)),
         0)</f>
        <v>0</v>
      </c>
      <c r="AY162" s="453">
        <f ca="1">IF(AND($D162="Serviço",AY$12&lt;&gt;0,$H162&gt;0,OR(AUTOEVENTO&lt;&gt;"manual",$M162&lt;&gt;$A$15)),
        IF(Import.TipoArredondamento&lt;&gt;"TransfereGOV",
              ROUND(OFFSET($P162,0,AY$13),15-13*ORÇAMENTO!$AF$7)/$H162*OFFSET(ORÇAMENTO!$X$15,ROW(AY162)-ROW(AY$15),0),
              ROUND(ROUND(OFFSET($P162,0,AY$13),15-13*ORÇAMENTO!$AF$7)*OFFSET(ORÇAMENTO!$W$15,ROW(AY162)-ROW(AY$15),0),15-13*ORÇAMENTO!$AF$11)),
         0)</f>
        <v>0</v>
      </c>
      <c r="AZ162" s="453">
        <f ca="1">IF(AND($D162="Serviço",AZ$12&lt;&gt;0,$H162&gt;0,OR(AUTOEVENTO&lt;&gt;"manual",$M162&lt;&gt;$A$15)),
        IF(Import.TipoArredondamento&lt;&gt;"TransfereGOV",
              ROUND(OFFSET($P162,0,AZ$13),15-13*ORÇAMENTO!$AF$7)/$H162*OFFSET(ORÇAMENTO!$X$15,ROW(AZ162)-ROW(AZ$15),0),
              ROUND(ROUND(OFFSET($P162,0,AZ$13),15-13*ORÇAMENTO!$AF$7)*OFFSET(ORÇAMENTO!$W$15,ROW(AZ162)-ROW(AZ$15),0),15-13*ORÇAMENTO!$AF$11)),
         0)</f>
        <v>0</v>
      </c>
      <c r="BA162" s="453">
        <f ca="1">IF(AND($D162="Serviço",BA$12&lt;&gt;0,$H162&gt;0,OR(AUTOEVENTO&lt;&gt;"manual",$M162&lt;&gt;$A$15)),
        IF(Import.TipoArredondamento&lt;&gt;"TransfereGOV",
              ROUND(OFFSET($P162,0,BA$13),15-13*ORÇAMENTO!$AF$7)/$H162*OFFSET(ORÇAMENTO!$X$15,ROW(BA162)-ROW(BA$15),0),
              ROUND(ROUND(OFFSET($P162,0,BA$13),15-13*ORÇAMENTO!$AF$7)*OFFSET(ORÇAMENTO!$W$15,ROW(BA162)-ROW(BA$15),0),15-13*ORÇAMENTO!$AF$11)),
         0)</f>
        <v>0</v>
      </c>
      <c r="BC162" s="171">
        <f ca="1">IF(OR($D162&lt;&gt;"Serviço",AND(AUTOEVENTO="Manual",$M162=$A$15)),0,
         IF(OFFSET(CRONOPLE!$F$15,$M162-$A$15,BC$13)=0,10^12,OFFSET(CRONOPLE!$F$15,$M162-$A$15,BC$13)))</f>
        <v>1000000000000</v>
      </c>
      <c r="BD162" s="171">
        <f ca="1">IF(OR($D162&lt;&gt;"Serviço",AND(AUTOEVENTO="Manual",$M162=$A$15)),0,
         IF(OFFSET(CRONOPLE!$F$15,$M162-$A$15,BD$13)=0,10^12,OFFSET(CRONOPLE!$F$15,$M162-$A$15,BD$13)))</f>
        <v>1000000000000</v>
      </c>
      <c r="BE162" s="171">
        <f ca="1">IF(OR($D162&lt;&gt;"Serviço",AND(AUTOEVENTO="Manual",$M162=$A$15)),0,
         IF(OFFSET(CRONOPLE!$F$15,$M162-$A$15,BE$13)=0,10^12,OFFSET(CRONOPLE!$F$15,$M162-$A$15,BE$13)))</f>
        <v>3</v>
      </c>
      <c r="BF162" s="171">
        <f ca="1">IF(OR($D162&lt;&gt;"Serviço",AND(AUTOEVENTO="Manual",$M162=$A$15)),0,
         IF(OFFSET(CRONOPLE!$F$15,$M162-$A$15,BF$13)=0,10^12,OFFSET(CRONOPLE!$F$15,$M162-$A$15,BF$13)))</f>
        <v>1000000000000</v>
      </c>
      <c r="BG162" s="171">
        <f ca="1">IF(OR($D162&lt;&gt;"Serviço",AND(AUTOEVENTO="Manual",$M162=$A$15)),0,
         IF(OFFSET(CRONOPLE!$F$15,$M162-$A$15,BG$13)=0,10^12,OFFSET(CRONOPLE!$F$15,$M162-$A$15,BG$13)))</f>
        <v>1000000000000</v>
      </c>
      <c r="BH162" s="171">
        <f ca="1">IF(OR($D162&lt;&gt;"Serviço",AND(AUTOEVENTO="Manual",$M162=$A$15)),0,
         IF(OFFSET(CRONOPLE!$F$15,$M162-$A$15,BH$13)=0,10^12,OFFSET(CRONOPLE!$F$15,$M162-$A$15,BH$13)))</f>
        <v>9</v>
      </c>
      <c r="BI162" s="171">
        <f ca="1">IF(OR($D162&lt;&gt;"Serviço",AND(AUTOEVENTO="Manual",$M162=$A$15)),0,
         IF(OFFSET(CRONOPLE!$F$15,$M162-$A$15,BI$13)=0,10^12,OFFSET(CRONOPLE!$F$15,$M162-$A$15,BI$13)))</f>
        <v>1000000000000</v>
      </c>
      <c r="BJ162" s="171">
        <f ca="1">IF(OR($D162&lt;&gt;"Serviço",AND(AUTOEVENTO="Manual",$M162=$A$15)),0,
         IF(OFFSET(CRONOPLE!$F$15,$M162-$A$15,BJ$13)=0,10^12,OFFSET(CRONOPLE!$F$15,$M162-$A$15,BJ$13)))</f>
        <v>1000000000000</v>
      </c>
      <c r="BK162" s="171">
        <f ca="1">IF(OR($D162&lt;&gt;"Serviço",AND(AUTOEVENTO="Manual",$M162=$A$15)),0,
         IF(OFFSET(CRONOPLE!$F$15,$M162-$A$15,BK$13)=0,10^12,OFFSET(CRONOPLE!$F$15,$M162-$A$15,BK$13)))</f>
        <v>1000000000000</v>
      </c>
      <c r="BL162" s="171">
        <f ca="1">IF(OR($D162&lt;&gt;"Serviço",AND(AUTOEVENTO="Manual",$M162=$A$15)),0,
         IF(OFFSET(CRONOPLE!$F$15,$M162-$A$15,BL$13)=0,10^12,OFFSET(CRONOPLE!$F$15,$M162-$A$15,BL$13)))</f>
        <v>1000000000000</v>
      </c>
      <c r="BM162" s="171">
        <f ca="1">IF(OR($D162&lt;&gt;"Serviço",AND(AUTOEVENTO="Manual",$M162=$A$15)),0,
         IF(OFFSET(CRONOPLE!$F$15,$M162-$A$15,BM$13)=0,10^12,OFFSET(CRONOPLE!$F$15,$M162-$A$15,BM$13)))</f>
        <v>1000000000000</v>
      </c>
      <c r="BN162" s="171">
        <f ca="1">IF(OR($D162&lt;&gt;"Serviço",AND(AUTOEVENTO="Manual",$M162=$A$15)),0,
         IF(OFFSET(CRONOPLE!$F$15,$M162-$A$15,BN$13)=0,10^12,OFFSET(CRONOPLE!$F$15,$M162-$A$15,BN$13)))</f>
        <v>1000000000000</v>
      </c>
      <c r="BO162" s="171">
        <f ca="1">IF(OR($D162&lt;&gt;"Serviço",AND(AUTOEVENTO="Manual",$M162=$A$15)),0,
         IF(OFFSET(CRONOPLE!$F$15,$M162-$A$15,BO$13)=0,10^12,OFFSET(CRONOPLE!$F$15,$M162-$A$15,BO$13)))</f>
        <v>1000000000000</v>
      </c>
      <c r="BP162" s="171">
        <f ca="1">IF(OR($D162&lt;&gt;"Serviço",AND(AUTOEVENTO="Manual",$M162=$A$15)),0,
         IF(OFFSET(CRONOPLE!$F$15,$M162-$A$15,BP$13)=0,10^12,OFFSET(CRONOPLE!$F$15,$M162-$A$15,BP$13)))</f>
        <v>1000000000000</v>
      </c>
      <c r="BQ162" s="171">
        <f ca="1">IF(OR($D162&lt;&gt;"Serviço",AND(AUTOEVENTO="Manual",$M162=$A$15)),0,
         IF(OFFSET(CRONOPLE!$F$15,$M162-$A$15,BQ$13)=0,10^12,OFFSET(CRONOPLE!$F$15,$M162-$A$15,BQ$13)))</f>
        <v>1000000000000</v>
      </c>
      <c r="BR162" s="171">
        <f ca="1">IF(OR($D162&lt;&gt;"Serviço",AND(AUTOEVENTO="Manual",$M162=$A$15)),0,
         IF(OFFSET(CRONOPLE!$F$15,$M162-$A$15,BR$13)=0,10^12,OFFSET(CRONOPLE!$F$15,$M162-$A$15,BR$13)))</f>
        <v>1000000000000</v>
      </c>
      <c r="BS162" s="171">
        <f ca="1">IF(OR($D162&lt;&gt;"Serviço",AND(AUTOEVENTO="Manual",$M162=$A$15)),0,
         IF(OFFSET(CRONOPLE!$F$15,$M162-$A$15,BS$13)=0,10^12,OFFSET(CRONOPLE!$F$15,$M162-$A$15,BS$13)))</f>
        <v>1000000000000</v>
      </c>
      <c r="BT162" s="171">
        <f ca="1">IF(OR($D162&lt;&gt;"Serviço",AND(AUTOEVENTO="Manual",$M162=$A$15)),0,
         IF(OFFSET(CRONOPLE!$F$15,$M162-$A$15,BT$13)=0,10^12,OFFSET(CRONOPLE!$F$15,$M162-$A$15,BT$13)))</f>
        <v>1000000000000</v>
      </c>
      <c r="BV162" s="172" cm="1">
        <f t="array" aca="1" ref="BV162" ca="1">IF(OR($D162&lt;&gt;"Serviço",AND(AUTOEVENTO="Manual",$M162=$A$15),$M162&gt;(ROW(PLE.lastrow)-ROW(PLE.firstrow))),0,
           IF(OFFSET(PLE!$G$15,$M162-$A$15,BV$13)="",10^12,OFFSET(PLE!$G$15,$M162-$A$15,BV$13)))</f>
        <v>1000000000000</v>
      </c>
      <c r="BW162" s="172" cm="1">
        <f t="array" aca="1" ref="BW162" ca="1">IF(OR($D162&lt;&gt;"Serviço",AND(AUTOEVENTO="Manual",$M162=$A$15),$M162&gt;(ROW(PLE.lastrow)-ROW(PLE.firstrow))),0,
           IF(OFFSET(PLE!$G$15,$M162-$A$15,BW$13)="",10^12,OFFSET(PLE!$G$15,$M162-$A$15,BW$13)))</f>
        <v>1000000000000</v>
      </c>
      <c r="BX162" s="172" cm="1">
        <f t="array" aca="1" ref="BX162" ca="1">IF(OR($D162&lt;&gt;"Serviço",AND(AUTOEVENTO="Manual",$M162=$A$15),$M162&gt;(ROW(PLE.lastrow)-ROW(PLE.firstrow))),0,
           IF(OFFSET(PLE!$G$15,$M162-$A$15,BX$13)="",10^12,OFFSET(PLE!$G$15,$M162-$A$15,BX$13)))</f>
        <v>1000000000000</v>
      </c>
      <c r="BY162" s="172" cm="1">
        <f t="array" aca="1" ref="BY162" ca="1">IF(OR($D162&lt;&gt;"Serviço",AND(AUTOEVENTO="Manual",$M162=$A$15),$M162&gt;(ROW(PLE.lastrow)-ROW(PLE.firstrow))),0,
           IF(OFFSET(PLE!$G$15,$M162-$A$15,BY$13)="",10^12,OFFSET(PLE!$G$15,$M162-$A$15,BY$13)))</f>
        <v>1000000000000</v>
      </c>
      <c r="BZ162" s="172" cm="1">
        <f t="array" aca="1" ref="BZ162" ca="1">IF(OR($D162&lt;&gt;"Serviço",AND(AUTOEVENTO="Manual",$M162=$A$15),$M162&gt;(ROW(PLE.lastrow)-ROW(PLE.firstrow))),0,
           IF(OFFSET(PLE!$G$15,$M162-$A$15,BZ$13)="",10^12,OFFSET(PLE!$G$15,$M162-$A$15,BZ$13)))</f>
        <v>1000000000000</v>
      </c>
      <c r="CA162" s="172" cm="1">
        <f t="array" aca="1" ref="CA162" ca="1">IF(OR($D162&lt;&gt;"Serviço",AND(AUTOEVENTO="Manual",$M162=$A$15),$M162&gt;(ROW(PLE.lastrow)-ROW(PLE.firstrow))),0,
           IF(OFFSET(PLE!$G$15,$M162-$A$15,CA$13)="",10^12,OFFSET(PLE!$G$15,$M162-$A$15,CA$13)))</f>
        <v>1000000000000</v>
      </c>
      <c r="CB162" s="172" cm="1">
        <f t="array" aca="1" ref="CB162" ca="1">IF(OR($D162&lt;&gt;"Serviço",AND(AUTOEVENTO="Manual",$M162=$A$15),$M162&gt;(ROW(PLE.lastrow)-ROW(PLE.firstrow))),0,
           IF(OFFSET(PLE!$G$15,$M162-$A$15,CB$13)="",10^12,OFFSET(PLE!$G$15,$M162-$A$15,CB$13)))</f>
        <v>1000000000000</v>
      </c>
      <c r="CC162" s="172" cm="1">
        <f t="array" aca="1" ref="CC162" ca="1">IF(OR($D162&lt;&gt;"Serviço",AND(AUTOEVENTO="Manual",$M162=$A$15),$M162&gt;(ROW(PLE.lastrow)-ROW(PLE.firstrow))),0,
           IF(OFFSET(PLE!$G$15,$M162-$A$15,CC$13)="",10^12,OFFSET(PLE!$G$15,$M162-$A$15,CC$13)))</f>
        <v>1000000000000</v>
      </c>
      <c r="CD162" s="172" cm="1">
        <f t="array" aca="1" ref="CD162" ca="1">IF(OR($D162&lt;&gt;"Serviço",AND(AUTOEVENTO="Manual",$M162=$A$15),$M162&gt;(ROW(PLE.lastrow)-ROW(PLE.firstrow))),0,
           IF(OFFSET(PLE!$G$15,$M162-$A$15,CD$13)="",10^12,OFFSET(PLE!$G$15,$M162-$A$15,CD$13)))</f>
        <v>1000000000000</v>
      </c>
      <c r="CE162" s="172" cm="1">
        <f t="array" aca="1" ref="CE162" ca="1">IF(OR($D162&lt;&gt;"Serviço",AND(AUTOEVENTO="Manual",$M162=$A$15),$M162&gt;(ROW(PLE.lastrow)-ROW(PLE.firstrow))),0,
           IF(OFFSET(PLE!$G$15,$M162-$A$15,CE$13)="",10^12,OFFSET(PLE!$G$15,$M162-$A$15,CE$13)))</f>
        <v>1000000000000</v>
      </c>
      <c r="CF162" s="172" cm="1">
        <f t="array" aca="1" ref="CF162" ca="1">IF(OR($D162&lt;&gt;"Serviço",AND(AUTOEVENTO="Manual",$M162=$A$15),$M162&gt;(ROW(PLE.lastrow)-ROW(PLE.firstrow))),0,
           IF(OFFSET(PLE!$G$15,$M162-$A$15,CF$13)="",10^12,OFFSET(PLE!$G$15,$M162-$A$15,CF$13)))</f>
        <v>1000000000000</v>
      </c>
      <c r="CG162" s="172" cm="1">
        <f t="array" aca="1" ref="CG162" ca="1">IF(OR($D162&lt;&gt;"Serviço",AND(AUTOEVENTO="Manual",$M162=$A$15),$M162&gt;(ROW(PLE.lastrow)-ROW(PLE.firstrow))),0,
           IF(OFFSET(PLE!$G$15,$M162-$A$15,CG$13)="",10^12,OFFSET(PLE!$G$15,$M162-$A$15,CG$13)))</f>
        <v>1000000000000</v>
      </c>
      <c r="CH162" s="172" cm="1">
        <f t="array" aca="1" ref="CH162" ca="1">IF(OR($D162&lt;&gt;"Serviço",AND(AUTOEVENTO="Manual",$M162=$A$15),$M162&gt;(ROW(PLE.lastrow)-ROW(PLE.firstrow))),0,
           IF(OFFSET(PLE!$G$15,$M162-$A$15,CH$13)="",10^12,OFFSET(PLE!$G$15,$M162-$A$15,CH$13)))</f>
        <v>1000000000000</v>
      </c>
      <c r="CI162" s="172" cm="1">
        <f t="array" aca="1" ref="CI162" ca="1">IF(OR($D162&lt;&gt;"Serviço",AND(AUTOEVENTO="Manual",$M162=$A$15),$M162&gt;(ROW(PLE.lastrow)-ROW(PLE.firstrow))),0,
           IF(OFFSET(PLE!$G$15,$M162-$A$15,CI$13)="",10^12,OFFSET(PLE!$G$15,$M162-$A$15,CI$13)))</f>
        <v>1000000000000</v>
      </c>
      <c r="CJ162" s="172" cm="1">
        <f t="array" aca="1" ref="CJ162" ca="1">IF(OR($D162&lt;&gt;"Serviço",AND(AUTOEVENTO="Manual",$M162=$A$15),$M162&gt;(ROW(PLE.lastrow)-ROW(PLE.firstrow))),0,
           IF(OFFSET(PLE!$G$15,$M162-$A$15,CJ$13)="",10^12,OFFSET(PLE!$G$15,$M162-$A$15,CJ$13)))</f>
        <v>1000000000000</v>
      </c>
      <c r="CK162" s="172" cm="1">
        <f t="array" aca="1" ref="CK162" ca="1">IF(OR($D162&lt;&gt;"Serviço",AND(AUTOEVENTO="Manual",$M162=$A$15),$M162&gt;(ROW(PLE.lastrow)-ROW(PLE.firstrow))),0,
           IF(OFFSET(PLE!$G$15,$M162-$A$15,CK$13)="",10^12,OFFSET(PLE!$G$15,$M162-$A$15,CK$13)))</f>
        <v>1000000000000</v>
      </c>
      <c r="CL162" s="172" cm="1">
        <f t="array" aca="1" ref="CL162" ca="1">IF(OR($D162&lt;&gt;"Serviço",AND(AUTOEVENTO="Manual",$M162=$A$15),$M162&gt;(ROW(PLE.lastrow)-ROW(PLE.firstrow))),0,
           IF(OFFSET(PLE!$G$15,$M162-$A$15,CL$13)="",10^12,OFFSET(PLE!$G$15,$M162-$A$15,CL$13)))</f>
        <v>1000000000000</v>
      </c>
      <c r="CM162" s="172" cm="1">
        <f t="array" aca="1" ref="CM162" ca="1">IF(OR($D162&lt;&gt;"Serviço",AND(AUTOEVENTO="Manual",$M162=$A$15),$M162&gt;(ROW(PLE.lastrow)-ROW(PLE.firstrow))),0,
           IF(OFFSET(PLE!$G$15,$M162-$A$15,CM$13)="",10^12,OFFSET(PLE!$G$15,$M162-$A$15,CM$13)))</f>
        <v>1000000000000</v>
      </c>
    </row>
    <row r="163" spans="1:91" s="670" customFormat="1" ht="12.75" x14ac:dyDescent="0.2">
      <c r="A163" s="668">
        <f t="shared" ca="1" si="14"/>
        <v>24</v>
      </c>
      <c r="B163" s="668" t="str">
        <f ca="1">OFFSET(ORÇAMENTO!C$15,$L163,0)</f>
        <v>S</v>
      </c>
      <c r="C163" s="668" t="str">
        <f ca="1">OFFSET(ORÇAMENTO!L$15,$L163,0)</f>
        <v>F</v>
      </c>
      <c r="D163" s="116" t="str">
        <f ca="1">OFFSET(ORÇAMENTO!N$15,$L163,0)</f>
        <v>Serviço</v>
      </c>
      <c r="E163" s="117" t="str">
        <f ca="1">OFFSET(ORÇAMENTO!O$15,$L163,0)</f>
        <v>1.21.7.</v>
      </c>
      <c r="F163" s="163" t="str">
        <f ca="1">OFFSET(ORÇAMENTO!R$15,$L163,0)</f>
        <v>REGISTRO DE GAVETA FF: 200MM - fornecimento e assentamento</v>
      </c>
      <c r="G163" s="164" t="str">
        <f ca="1">IF($D163&lt;&gt;"Serviço","",OFFSET(ORÇAMENTO!S$15,$L163,0))</f>
        <v>UNIDADE</v>
      </c>
      <c r="H163" s="122" cm="1">
        <f t="array" aca="1" ref="H163" ca="1">IF($D163&lt;&gt;"Serviço",0,IF(ACOMPANHAMENTO="BM",ROUND(OFFSET(ORÇAMENTO!AJ$15,$L163,0),15-13*ORÇAMENTO!$AF$7),IF(IFERROR(CÁLCULO.FrentesPreenchidas,0)=0,0,SUM(ROUND(OFFSET($P163,0,1,1,CÁLCULO.FrentesPreenchidas),15-13*ORÇAMENTO!$AF$7)))))</f>
        <v>3</v>
      </c>
      <c r="I163" s="468" t="s">
        <v>1206</v>
      </c>
      <c r="J163" s="651" t="str" cm="1">
        <f t="array" aca="1" ref="J163" ca="1">IF(OR(B163&lt;&gt;"S",CÁLCULO.FrentesPreenchidas=0),"",IF(AND(ACOMPANHAMENTO="PLE",AUTOEVENTO="Manual",OR(H163&gt;0,ORÇAMENTO!AC163="QUANT."),OR(K163="",M163=0,N163="")),"►E",IF(AND(ACOMPANHAMENTO="PLE",ORÇAMENTO!AC163="QUANT."),"►Q",IF(AND(ACOMPANHAMENTO="PLE",H163&lt;&gt;SUMPRODUCT(($Q$1:$AI$1=1)*ROUND(Q163:AI163,15))),"►S",IF(AND(COUNTIF($P$11:$AI$11,"▼")=0,H163&gt;0,I163=""),"◄M","")))))</f>
        <v/>
      </c>
      <c r="K163" s="652" t="s">
        <v>1344</v>
      </c>
      <c r="L163" s="165">
        <f t="shared" ca="1" si="15"/>
        <v>148</v>
      </c>
      <c r="M163" s="166">
        <f ca="1">IF($D163&lt;&gt;"Serviço","",
          IF(AUTOEVENTO="manual",$A163,
                IF(ISERROR(MATCH($A163,$A$15:OFFSET($A163,-1,0),0)),MAX($M$15:OFFSET(M163,-1,0))+1,
                      INDEX($M$15:OFFSET(M163,-1,0),MATCH($A163,$A$15:OFFSET($A163,-1,0),0)))))</f>
        <v>24</v>
      </c>
      <c r="N163" s="167" t="str">
        <f ca="1">IF($D163&lt;&gt;"Serviço","",
         IF(AUTOEVENTO="Manual",
                IF($A163=0,"&lt;-- defina o número do agrupador",
                       OFFSET(EVENTOS!$D$15,$A163-$A$15,0)),
                OFFSET($F$15,$A163,0)))</f>
        <v>Instalações hidrossanitárias</v>
      </c>
      <c r="O163" s="168"/>
      <c r="Q163" s="168"/>
      <c r="R163" s="169"/>
      <c r="S163" s="169"/>
      <c r="T163" s="169"/>
      <c r="U163" s="169"/>
      <c r="V163" s="169">
        <v>3</v>
      </c>
      <c r="W163" s="169"/>
      <c r="X163" s="169"/>
      <c r="Y163" s="169"/>
      <c r="Z163" s="170"/>
      <c r="AA163" s="705"/>
      <c r="AB163" s="705"/>
      <c r="AC163" s="705"/>
      <c r="AD163" s="705"/>
      <c r="AE163" s="705"/>
      <c r="AF163" s="705"/>
      <c r="AG163" s="705"/>
      <c r="AH163" s="706"/>
      <c r="AJ163" s="453">
        <f ca="1">IF(AND($D163="Serviço",AJ$12&lt;&gt;0,$H163&gt;0,OR(AUTOEVENTO&lt;&gt;"manual",$M163&lt;&gt;$A$15)),
        IF(Import.TipoArredondamento&lt;&gt;"TransfereGOV",
              ROUND(OFFSET($P163,0,AJ$13),15-13*ORÇAMENTO!$AF$7)/$H163*OFFSET(ORÇAMENTO!$X$15,ROW(AJ163)-ROW(AJ$15),0),
              ROUND(ROUND(OFFSET($P163,0,AJ$13),15-13*ORÇAMENTO!$AF$7)*OFFSET(ORÇAMENTO!$W$15,ROW(AJ163)-ROW(AJ$15),0),15-13*ORÇAMENTO!$AF$11)),
         0)</f>
        <v>0</v>
      </c>
      <c r="AK163" s="453">
        <f ca="1">IF(AND($D163="Serviço",AK$12&lt;&gt;0,$H163&gt;0,OR(AUTOEVENTO&lt;&gt;"manual",$M163&lt;&gt;$A$15)),
        IF(Import.TipoArredondamento&lt;&gt;"TransfereGOV",
              ROUND(OFFSET($P163,0,AK$13),15-13*ORÇAMENTO!$AF$7)/$H163*OFFSET(ORÇAMENTO!$X$15,ROW(AK163)-ROW(AK$15),0),
              ROUND(ROUND(OFFSET($P163,0,AK$13),15-13*ORÇAMENTO!$AF$7)*OFFSET(ORÇAMENTO!$W$15,ROW(AK163)-ROW(AK$15),0),15-13*ORÇAMENTO!$AF$11)),
         0)</f>
        <v>0</v>
      </c>
      <c r="AL163" s="453">
        <f ca="1">IF(AND($D163="Serviço",AL$12&lt;&gt;0,$H163&gt;0,OR(AUTOEVENTO&lt;&gt;"manual",$M163&lt;&gt;$A$15)),
        IF(Import.TipoArredondamento&lt;&gt;"TransfereGOV",
              ROUND(OFFSET($P163,0,AL$13),15-13*ORÇAMENTO!$AF$7)/$H163*OFFSET(ORÇAMENTO!$X$15,ROW(AL163)-ROW(AL$15),0),
              ROUND(ROUND(OFFSET($P163,0,AL$13),15-13*ORÇAMENTO!$AF$7)*OFFSET(ORÇAMENTO!$W$15,ROW(AL163)-ROW(AL$15),0),15-13*ORÇAMENTO!$AF$11)),
         0)</f>
        <v>0</v>
      </c>
      <c r="AM163" s="453">
        <f ca="1">IF(AND($D163="Serviço",AM$12&lt;&gt;0,$H163&gt;0,OR(AUTOEVENTO&lt;&gt;"manual",$M163&lt;&gt;$A$15)),
        IF(Import.TipoArredondamento&lt;&gt;"TransfereGOV",
              ROUND(OFFSET($P163,0,AM$13),15-13*ORÇAMENTO!$AF$7)/$H163*OFFSET(ORÇAMENTO!$X$15,ROW(AM163)-ROW(AM$15),0),
              ROUND(ROUND(OFFSET($P163,0,AM$13),15-13*ORÇAMENTO!$AF$7)*OFFSET(ORÇAMENTO!$W$15,ROW(AM163)-ROW(AM$15),0),15-13*ORÇAMENTO!$AF$11)),
         0)</f>
        <v>0</v>
      </c>
      <c r="AN163" s="453">
        <f ca="1">IF(AND($D163="Serviço",AN$12&lt;&gt;0,$H163&gt;0,OR(AUTOEVENTO&lt;&gt;"manual",$M163&lt;&gt;$A$15)),
        IF(Import.TipoArredondamento&lt;&gt;"TransfereGOV",
              ROUND(OFFSET($P163,0,AN$13),15-13*ORÇAMENTO!$AF$7)/$H163*OFFSET(ORÇAMENTO!$X$15,ROW(AN163)-ROW(AN$15),0),
              ROUND(ROUND(OFFSET($P163,0,AN$13),15-13*ORÇAMENTO!$AF$7)*OFFSET(ORÇAMENTO!$W$15,ROW(AN163)-ROW(AN$15),0),15-13*ORÇAMENTO!$AF$11)),
         0)</f>
        <v>0</v>
      </c>
      <c r="AO163" s="453">
        <f ca="1">IF(AND($D163="Serviço",AO$12&lt;&gt;0,$H163&gt;0,OR(AUTOEVENTO&lt;&gt;"manual",$M163&lt;&gt;$A$15)),
        IF(Import.TipoArredondamento&lt;&gt;"TransfereGOV",
              ROUND(OFFSET($P163,0,AO$13),15-13*ORÇAMENTO!$AF$7)/$H163*OFFSET(ORÇAMENTO!$X$15,ROW(AO163)-ROW(AO$15),0),
              ROUND(ROUND(OFFSET($P163,0,AO$13),15-13*ORÇAMENTO!$AF$7)*OFFSET(ORÇAMENTO!$W$15,ROW(AO163)-ROW(AO$15),0),15-13*ORÇAMENTO!$AF$11)),
         0)</f>
        <v>12989.04</v>
      </c>
      <c r="AP163" s="453">
        <f ca="1">IF(AND($D163="Serviço",AP$12&lt;&gt;0,$H163&gt;0,OR(AUTOEVENTO&lt;&gt;"manual",$M163&lt;&gt;$A$15)),
        IF(Import.TipoArredondamento&lt;&gt;"TransfereGOV",
              ROUND(OFFSET($P163,0,AP$13),15-13*ORÇAMENTO!$AF$7)/$H163*OFFSET(ORÇAMENTO!$X$15,ROW(AP163)-ROW(AP$15),0),
              ROUND(ROUND(OFFSET($P163,0,AP$13),15-13*ORÇAMENTO!$AF$7)*OFFSET(ORÇAMENTO!$W$15,ROW(AP163)-ROW(AP$15),0),15-13*ORÇAMENTO!$AF$11)),
         0)</f>
        <v>0</v>
      </c>
      <c r="AQ163" s="453">
        <f ca="1">IF(AND($D163="Serviço",AQ$12&lt;&gt;0,$H163&gt;0,OR(AUTOEVENTO&lt;&gt;"manual",$M163&lt;&gt;$A$15)),
        IF(Import.TipoArredondamento&lt;&gt;"TransfereGOV",
              ROUND(OFFSET($P163,0,AQ$13),15-13*ORÇAMENTO!$AF$7)/$H163*OFFSET(ORÇAMENTO!$X$15,ROW(AQ163)-ROW(AQ$15),0),
              ROUND(ROUND(OFFSET($P163,0,AQ$13),15-13*ORÇAMENTO!$AF$7)*OFFSET(ORÇAMENTO!$W$15,ROW(AQ163)-ROW(AQ$15),0),15-13*ORÇAMENTO!$AF$11)),
         0)</f>
        <v>0</v>
      </c>
      <c r="AR163" s="453">
        <f ca="1">IF(AND($D163="Serviço",AR$12&lt;&gt;0,$H163&gt;0,OR(AUTOEVENTO&lt;&gt;"manual",$M163&lt;&gt;$A$15)),
        IF(Import.TipoArredondamento&lt;&gt;"TransfereGOV",
              ROUND(OFFSET($P163,0,AR$13),15-13*ORÇAMENTO!$AF$7)/$H163*OFFSET(ORÇAMENTO!$X$15,ROW(AR163)-ROW(AR$15),0),
              ROUND(ROUND(OFFSET($P163,0,AR$13),15-13*ORÇAMENTO!$AF$7)*OFFSET(ORÇAMENTO!$W$15,ROW(AR163)-ROW(AR$15),0),15-13*ORÇAMENTO!$AF$11)),
         0)</f>
        <v>0</v>
      </c>
      <c r="AS163" s="453">
        <f ca="1">IF(AND($D163="Serviço",AS$12&lt;&gt;0,$H163&gt;0,OR(AUTOEVENTO&lt;&gt;"manual",$M163&lt;&gt;$A$15)),
        IF(Import.TipoArredondamento&lt;&gt;"TransfereGOV",
              ROUND(OFFSET($P163,0,AS$13),15-13*ORÇAMENTO!$AF$7)/$H163*OFFSET(ORÇAMENTO!$X$15,ROW(AS163)-ROW(AS$15),0),
              ROUND(ROUND(OFFSET($P163,0,AS$13),15-13*ORÇAMENTO!$AF$7)*OFFSET(ORÇAMENTO!$W$15,ROW(AS163)-ROW(AS$15),0),15-13*ORÇAMENTO!$AF$11)),
         0)</f>
        <v>0</v>
      </c>
      <c r="AT163" s="453">
        <f ca="1">IF(AND($D163="Serviço",AT$12&lt;&gt;0,$H163&gt;0,OR(AUTOEVENTO&lt;&gt;"manual",$M163&lt;&gt;$A$15)),
        IF(Import.TipoArredondamento&lt;&gt;"TransfereGOV",
              ROUND(OFFSET($P163,0,AT$13),15-13*ORÇAMENTO!$AF$7)/$H163*OFFSET(ORÇAMENTO!$X$15,ROW(AT163)-ROW(AT$15),0),
              ROUND(ROUND(OFFSET($P163,0,AT$13),15-13*ORÇAMENTO!$AF$7)*OFFSET(ORÇAMENTO!$W$15,ROW(AT163)-ROW(AT$15),0),15-13*ORÇAMENTO!$AF$11)),
         0)</f>
        <v>0</v>
      </c>
      <c r="AU163" s="453">
        <f ca="1">IF(AND($D163="Serviço",AU$12&lt;&gt;0,$H163&gt;0,OR(AUTOEVENTO&lt;&gt;"manual",$M163&lt;&gt;$A$15)),
        IF(Import.TipoArredondamento&lt;&gt;"TransfereGOV",
              ROUND(OFFSET($P163,0,AU$13),15-13*ORÇAMENTO!$AF$7)/$H163*OFFSET(ORÇAMENTO!$X$15,ROW(AU163)-ROW(AU$15),0),
              ROUND(ROUND(OFFSET($P163,0,AU$13),15-13*ORÇAMENTO!$AF$7)*OFFSET(ORÇAMENTO!$W$15,ROW(AU163)-ROW(AU$15),0),15-13*ORÇAMENTO!$AF$11)),
         0)</f>
        <v>0</v>
      </c>
      <c r="AV163" s="453">
        <f ca="1">IF(AND($D163="Serviço",AV$12&lt;&gt;0,$H163&gt;0,OR(AUTOEVENTO&lt;&gt;"manual",$M163&lt;&gt;$A$15)),
        IF(Import.TipoArredondamento&lt;&gt;"TransfereGOV",
              ROUND(OFFSET($P163,0,AV$13),15-13*ORÇAMENTO!$AF$7)/$H163*OFFSET(ORÇAMENTO!$X$15,ROW(AV163)-ROW(AV$15),0),
              ROUND(ROUND(OFFSET($P163,0,AV$13),15-13*ORÇAMENTO!$AF$7)*OFFSET(ORÇAMENTO!$W$15,ROW(AV163)-ROW(AV$15),0),15-13*ORÇAMENTO!$AF$11)),
         0)</f>
        <v>0</v>
      </c>
      <c r="AW163" s="453">
        <f ca="1">IF(AND($D163="Serviço",AW$12&lt;&gt;0,$H163&gt;0,OR(AUTOEVENTO&lt;&gt;"manual",$M163&lt;&gt;$A$15)),
        IF(Import.TipoArredondamento&lt;&gt;"TransfereGOV",
              ROUND(OFFSET($P163,0,AW$13),15-13*ORÇAMENTO!$AF$7)/$H163*OFFSET(ORÇAMENTO!$X$15,ROW(AW163)-ROW(AW$15),0),
              ROUND(ROUND(OFFSET($P163,0,AW$13),15-13*ORÇAMENTO!$AF$7)*OFFSET(ORÇAMENTO!$W$15,ROW(AW163)-ROW(AW$15),0),15-13*ORÇAMENTO!$AF$11)),
         0)</f>
        <v>0</v>
      </c>
      <c r="AX163" s="453">
        <f ca="1">IF(AND($D163="Serviço",AX$12&lt;&gt;0,$H163&gt;0,OR(AUTOEVENTO&lt;&gt;"manual",$M163&lt;&gt;$A$15)),
        IF(Import.TipoArredondamento&lt;&gt;"TransfereGOV",
              ROUND(OFFSET($P163,0,AX$13),15-13*ORÇAMENTO!$AF$7)/$H163*OFFSET(ORÇAMENTO!$X$15,ROW(AX163)-ROW(AX$15),0),
              ROUND(ROUND(OFFSET($P163,0,AX$13),15-13*ORÇAMENTO!$AF$7)*OFFSET(ORÇAMENTO!$W$15,ROW(AX163)-ROW(AX$15),0),15-13*ORÇAMENTO!$AF$11)),
         0)</f>
        <v>0</v>
      </c>
      <c r="AY163" s="453">
        <f ca="1">IF(AND($D163="Serviço",AY$12&lt;&gt;0,$H163&gt;0,OR(AUTOEVENTO&lt;&gt;"manual",$M163&lt;&gt;$A$15)),
        IF(Import.TipoArredondamento&lt;&gt;"TransfereGOV",
              ROUND(OFFSET($P163,0,AY$13),15-13*ORÇAMENTO!$AF$7)/$H163*OFFSET(ORÇAMENTO!$X$15,ROW(AY163)-ROW(AY$15),0),
              ROUND(ROUND(OFFSET($P163,0,AY$13),15-13*ORÇAMENTO!$AF$7)*OFFSET(ORÇAMENTO!$W$15,ROW(AY163)-ROW(AY$15),0),15-13*ORÇAMENTO!$AF$11)),
         0)</f>
        <v>0</v>
      </c>
      <c r="AZ163" s="453">
        <f ca="1">IF(AND($D163="Serviço",AZ$12&lt;&gt;0,$H163&gt;0,OR(AUTOEVENTO&lt;&gt;"manual",$M163&lt;&gt;$A$15)),
        IF(Import.TipoArredondamento&lt;&gt;"TransfereGOV",
              ROUND(OFFSET($P163,0,AZ$13),15-13*ORÇAMENTO!$AF$7)/$H163*OFFSET(ORÇAMENTO!$X$15,ROW(AZ163)-ROW(AZ$15),0),
              ROUND(ROUND(OFFSET($P163,0,AZ$13),15-13*ORÇAMENTO!$AF$7)*OFFSET(ORÇAMENTO!$W$15,ROW(AZ163)-ROW(AZ$15),0),15-13*ORÇAMENTO!$AF$11)),
         0)</f>
        <v>0</v>
      </c>
      <c r="BA163" s="453">
        <f ca="1">IF(AND($D163="Serviço",BA$12&lt;&gt;0,$H163&gt;0,OR(AUTOEVENTO&lt;&gt;"manual",$M163&lt;&gt;$A$15)),
        IF(Import.TipoArredondamento&lt;&gt;"TransfereGOV",
              ROUND(OFFSET($P163,0,BA$13),15-13*ORÇAMENTO!$AF$7)/$H163*OFFSET(ORÇAMENTO!$X$15,ROW(BA163)-ROW(BA$15),0),
              ROUND(ROUND(OFFSET($P163,0,BA$13),15-13*ORÇAMENTO!$AF$7)*OFFSET(ORÇAMENTO!$W$15,ROW(BA163)-ROW(BA$15),0),15-13*ORÇAMENTO!$AF$11)),
         0)</f>
        <v>0</v>
      </c>
      <c r="BC163" s="171">
        <f ca="1">IF(OR($D163&lt;&gt;"Serviço",AND(AUTOEVENTO="Manual",$M163=$A$15)),0,
         IF(OFFSET(CRONOPLE!$F$15,$M163-$A$15,BC$13)=0,10^12,OFFSET(CRONOPLE!$F$15,$M163-$A$15,BC$13)))</f>
        <v>1000000000000</v>
      </c>
      <c r="BD163" s="171">
        <f ca="1">IF(OR($D163&lt;&gt;"Serviço",AND(AUTOEVENTO="Manual",$M163=$A$15)),0,
         IF(OFFSET(CRONOPLE!$F$15,$M163-$A$15,BD$13)=0,10^12,OFFSET(CRONOPLE!$F$15,$M163-$A$15,BD$13)))</f>
        <v>1000000000000</v>
      </c>
      <c r="BE163" s="171">
        <f ca="1">IF(OR($D163&lt;&gt;"Serviço",AND(AUTOEVENTO="Manual",$M163=$A$15)),0,
         IF(OFFSET(CRONOPLE!$F$15,$M163-$A$15,BE$13)=0,10^12,OFFSET(CRONOPLE!$F$15,$M163-$A$15,BE$13)))</f>
        <v>3</v>
      </c>
      <c r="BF163" s="171">
        <f ca="1">IF(OR($D163&lt;&gt;"Serviço",AND(AUTOEVENTO="Manual",$M163=$A$15)),0,
         IF(OFFSET(CRONOPLE!$F$15,$M163-$A$15,BF$13)=0,10^12,OFFSET(CRONOPLE!$F$15,$M163-$A$15,BF$13)))</f>
        <v>1000000000000</v>
      </c>
      <c r="BG163" s="171">
        <f ca="1">IF(OR($D163&lt;&gt;"Serviço",AND(AUTOEVENTO="Manual",$M163=$A$15)),0,
         IF(OFFSET(CRONOPLE!$F$15,$M163-$A$15,BG$13)=0,10^12,OFFSET(CRONOPLE!$F$15,$M163-$A$15,BG$13)))</f>
        <v>1000000000000</v>
      </c>
      <c r="BH163" s="171">
        <f ca="1">IF(OR($D163&lt;&gt;"Serviço",AND(AUTOEVENTO="Manual",$M163=$A$15)),0,
         IF(OFFSET(CRONOPLE!$F$15,$M163-$A$15,BH$13)=0,10^12,OFFSET(CRONOPLE!$F$15,$M163-$A$15,BH$13)))</f>
        <v>9</v>
      </c>
      <c r="BI163" s="171">
        <f ca="1">IF(OR($D163&lt;&gt;"Serviço",AND(AUTOEVENTO="Manual",$M163=$A$15)),0,
         IF(OFFSET(CRONOPLE!$F$15,$M163-$A$15,BI$13)=0,10^12,OFFSET(CRONOPLE!$F$15,$M163-$A$15,BI$13)))</f>
        <v>1000000000000</v>
      </c>
      <c r="BJ163" s="171">
        <f ca="1">IF(OR($D163&lt;&gt;"Serviço",AND(AUTOEVENTO="Manual",$M163=$A$15)),0,
         IF(OFFSET(CRONOPLE!$F$15,$M163-$A$15,BJ$13)=0,10^12,OFFSET(CRONOPLE!$F$15,$M163-$A$15,BJ$13)))</f>
        <v>1000000000000</v>
      </c>
      <c r="BK163" s="171">
        <f ca="1">IF(OR($D163&lt;&gt;"Serviço",AND(AUTOEVENTO="Manual",$M163=$A$15)),0,
         IF(OFFSET(CRONOPLE!$F$15,$M163-$A$15,BK$13)=0,10^12,OFFSET(CRONOPLE!$F$15,$M163-$A$15,BK$13)))</f>
        <v>1000000000000</v>
      </c>
      <c r="BL163" s="171">
        <f ca="1">IF(OR($D163&lt;&gt;"Serviço",AND(AUTOEVENTO="Manual",$M163=$A$15)),0,
         IF(OFFSET(CRONOPLE!$F$15,$M163-$A$15,BL$13)=0,10^12,OFFSET(CRONOPLE!$F$15,$M163-$A$15,BL$13)))</f>
        <v>1000000000000</v>
      </c>
      <c r="BM163" s="171">
        <f ca="1">IF(OR($D163&lt;&gt;"Serviço",AND(AUTOEVENTO="Manual",$M163=$A$15)),0,
         IF(OFFSET(CRONOPLE!$F$15,$M163-$A$15,BM$13)=0,10^12,OFFSET(CRONOPLE!$F$15,$M163-$A$15,BM$13)))</f>
        <v>1000000000000</v>
      </c>
      <c r="BN163" s="171">
        <f ca="1">IF(OR($D163&lt;&gt;"Serviço",AND(AUTOEVENTO="Manual",$M163=$A$15)),0,
         IF(OFFSET(CRONOPLE!$F$15,$M163-$A$15,BN$13)=0,10^12,OFFSET(CRONOPLE!$F$15,$M163-$A$15,BN$13)))</f>
        <v>1000000000000</v>
      </c>
      <c r="BO163" s="171">
        <f ca="1">IF(OR($D163&lt;&gt;"Serviço",AND(AUTOEVENTO="Manual",$M163=$A$15)),0,
         IF(OFFSET(CRONOPLE!$F$15,$M163-$A$15,BO$13)=0,10^12,OFFSET(CRONOPLE!$F$15,$M163-$A$15,BO$13)))</f>
        <v>1000000000000</v>
      </c>
      <c r="BP163" s="171">
        <f ca="1">IF(OR($D163&lt;&gt;"Serviço",AND(AUTOEVENTO="Manual",$M163=$A$15)),0,
         IF(OFFSET(CRONOPLE!$F$15,$M163-$A$15,BP$13)=0,10^12,OFFSET(CRONOPLE!$F$15,$M163-$A$15,BP$13)))</f>
        <v>1000000000000</v>
      </c>
      <c r="BQ163" s="171">
        <f ca="1">IF(OR($D163&lt;&gt;"Serviço",AND(AUTOEVENTO="Manual",$M163=$A$15)),0,
         IF(OFFSET(CRONOPLE!$F$15,$M163-$A$15,BQ$13)=0,10^12,OFFSET(CRONOPLE!$F$15,$M163-$A$15,BQ$13)))</f>
        <v>1000000000000</v>
      </c>
      <c r="BR163" s="171">
        <f ca="1">IF(OR($D163&lt;&gt;"Serviço",AND(AUTOEVENTO="Manual",$M163=$A$15)),0,
         IF(OFFSET(CRONOPLE!$F$15,$M163-$A$15,BR$13)=0,10^12,OFFSET(CRONOPLE!$F$15,$M163-$A$15,BR$13)))</f>
        <v>1000000000000</v>
      </c>
      <c r="BS163" s="171">
        <f ca="1">IF(OR($D163&lt;&gt;"Serviço",AND(AUTOEVENTO="Manual",$M163=$A$15)),0,
         IF(OFFSET(CRONOPLE!$F$15,$M163-$A$15,BS$13)=0,10^12,OFFSET(CRONOPLE!$F$15,$M163-$A$15,BS$13)))</f>
        <v>1000000000000</v>
      </c>
      <c r="BT163" s="171">
        <f ca="1">IF(OR($D163&lt;&gt;"Serviço",AND(AUTOEVENTO="Manual",$M163=$A$15)),0,
         IF(OFFSET(CRONOPLE!$F$15,$M163-$A$15,BT$13)=0,10^12,OFFSET(CRONOPLE!$F$15,$M163-$A$15,BT$13)))</f>
        <v>1000000000000</v>
      </c>
      <c r="BV163" s="172" cm="1">
        <f t="array" aca="1" ref="BV163" ca="1">IF(OR($D163&lt;&gt;"Serviço",AND(AUTOEVENTO="Manual",$M163=$A$15),$M163&gt;(ROW(PLE.lastrow)-ROW(PLE.firstrow))),0,
           IF(OFFSET(PLE!$G$15,$M163-$A$15,BV$13)="",10^12,OFFSET(PLE!$G$15,$M163-$A$15,BV$13)))</f>
        <v>1000000000000</v>
      </c>
      <c r="BW163" s="172" cm="1">
        <f t="array" aca="1" ref="BW163" ca="1">IF(OR($D163&lt;&gt;"Serviço",AND(AUTOEVENTO="Manual",$M163=$A$15),$M163&gt;(ROW(PLE.lastrow)-ROW(PLE.firstrow))),0,
           IF(OFFSET(PLE!$G$15,$M163-$A$15,BW$13)="",10^12,OFFSET(PLE!$G$15,$M163-$A$15,BW$13)))</f>
        <v>1000000000000</v>
      </c>
      <c r="BX163" s="172" cm="1">
        <f t="array" aca="1" ref="BX163" ca="1">IF(OR($D163&lt;&gt;"Serviço",AND(AUTOEVENTO="Manual",$M163=$A$15),$M163&gt;(ROW(PLE.lastrow)-ROW(PLE.firstrow))),0,
           IF(OFFSET(PLE!$G$15,$M163-$A$15,BX$13)="",10^12,OFFSET(PLE!$G$15,$M163-$A$15,BX$13)))</f>
        <v>1000000000000</v>
      </c>
      <c r="BY163" s="172" cm="1">
        <f t="array" aca="1" ref="BY163" ca="1">IF(OR($D163&lt;&gt;"Serviço",AND(AUTOEVENTO="Manual",$M163=$A$15),$M163&gt;(ROW(PLE.lastrow)-ROW(PLE.firstrow))),0,
           IF(OFFSET(PLE!$G$15,$M163-$A$15,BY$13)="",10^12,OFFSET(PLE!$G$15,$M163-$A$15,BY$13)))</f>
        <v>1000000000000</v>
      </c>
      <c r="BZ163" s="172" cm="1">
        <f t="array" aca="1" ref="BZ163" ca="1">IF(OR($D163&lt;&gt;"Serviço",AND(AUTOEVENTO="Manual",$M163=$A$15),$M163&gt;(ROW(PLE.lastrow)-ROW(PLE.firstrow))),0,
           IF(OFFSET(PLE!$G$15,$M163-$A$15,BZ$13)="",10^12,OFFSET(PLE!$G$15,$M163-$A$15,BZ$13)))</f>
        <v>1000000000000</v>
      </c>
      <c r="CA163" s="172" cm="1">
        <f t="array" aca="1" ref="CA163" ca="1">IF(OR($D163&lt;&gt;"Serviço",AND(AUTOEVENTO="Manual",$M163=$A$15),$M163&gt;(ROW(PLE.lastrow)-ROW(PLE.firstrow))),0,
           IF(OFFSET(PLE!$G$15,$M163-$A$15,CA$13)="",10^12,OFFSET(PLE!$G$15,$M163-$A$15,CA$13)))</f>
        <v>1000000000000</v>
      </c>
      <c r="CB163" s="172" cm="1">
        <f t="array" aca="1" ref="CB163" ca="1">IF(OR($D163&lt;&gt;"Serviço",AND(AUTOEVENTO="Manual",$M163=$A$15),$M163&gt;(ROW(PLE.lastrow)-ROW(PLE.firstrow))),0,
           IF(OFFSET(PLE!$G$15,$M163-$A$15,CB$13)="",10^12,OFFSET(PLE!$G$15,$M163-$A$15,CB$13)))</f>
        <v>1000000000000</v>
      </c>
      <c r="CC163" s="172" cm="1">
        <f t="array" aca="1" ref="CC163" ca="1">IF(OR($D163&lt;&gt;"Serviço",AND(AUTOEVENTO="Manual",$M163=$A$15),$M163&gt;(ROW(PLE.lastrow)-ROW(PLE.firstrow))),0,
           IF(OFFSET(PLE!$G$15,$M163-$A$15,CC$13)="",10^12,OFFSET(PLE!$G$15,$M163-$A$15,CC$13)))</f>
        <v>1000000000000</v>
      </c>
      <c r="CD163" s="172" cm="1">
        <f t="array" aca="1" ref="CD163" ca="1">IF(OR($D163&lt;&gt;"Serviço",AND(AUTOEVENTO="Manual",$M163=$A$15),$M163&gt;(ROW(PLE.lastrow)-ROW(PLE.firstrow))),0,
           IF(OFFSET(PLE!$G$15,$M163-$A$15,CD$13)="",10^12,OFFSET(PLE!$G$15,$M163-$A$15,CD$13)))</f>
        <v>1000000000000</v>
      </c>
      <c r="CE163" s="172" cm="1">
        <f t="array" aca="1" ref="CE163" ca="1">IF(OR($D163&lt;&gt;"Serviço",AND(AUTOEVENTO="Manual",$M163=$A$15),$M163&gt;(ROW(PLE.lastrow)-ROW(PLE.firstrow))),0,
           IF(OFFSET(PLE!$G$15,$M163-$A$15,CE$13)="",10^12,OFFSET(PLE!$G$15,$M163-$A$15,CE$13)))</f>
        <v>1000000000000</v>
      </c>
      <c r="CF163" s="172" cm="1">
        <f t="array" aca="1" ref="CF163" ca="1">IF(OR($D163&lt;&gt;"Serviço",AND(AUTOEVENTO="Manual",$M163=$A$15),$M163&gt;(ROW(PLE.lastrow)-ROW(PLE.firstrow))),0,
           IF(OFFSET(PLE!$G$15,$M163-$A$15,CF$13)="",10^12,OFFSET(PLE!$G$15,$M163-$A$15,CF$13)))</f>
        <v>1000000000000</v>
      </c>
      <c r="CG163" s="172" cm="1">
        <f t="array" aca="1" ref="CG163" ca="1">IF(OR($D163&lt;&gt;"Serviço",AND(AUTOEVENTO="Manual",$M163=$A$15),$M163&gt;(ROW(PLE.lastrow)-ROW(PLE.firstrow))),0,
           IF(OFFSET(PLE!$G$15,$M163-$A$15,CG$13)="",10^12,OFFSET(PLE!$G$15,$M163-$A$15,CG$13)))</f>
        <v>1000000000000</v>
      </c>
      <c r="CH163" s="172" cm="1">
        <f t="array" aca="1" ref="CH163" ca="1">IF(OR($D163&lt;&gt;"Serviço",AND(AUTOEVENTO="Manual",$M163=$A$15),$M163&gt;(ROW(PLE.lastrow)-ROW(PLE.firstrow))),0,
           IF(OFFSET(PLE!$G$15,$M163-$A$15,CH$13)="",10^12,OFFSET(PLE!$G$15,$M163-$A$15,CH$13)))</f>
        <v>1000000000000</v>
      </c>
      <c r="CI163" s="172" cm="1">
        <f t="array" aca="1" ref="CI163" ca="1">IF(OR($D163&lt;&gt;"Serviço",AND(AUTOEVENTO="Manual",$M163=$A$15),$M163&gt;(ROW(PLE.lastrow)-ROW(PLE.firstrow))),0,
           IF(OFFSET(PLE!$G$15,$M163-$A$15,CI$13)="",10^12,OFFSET(PLE!$G$15,$M163-$A$15,CI$13)))</f>
        <v>1000000000000</v>
      </c>
      <c r="CJ163" s="172" cm="1">
        <f t="array" aca="1" ref="CJ163" ca="1">IF(OR($D163&lt;&gt;"Serviço",AND(AUTOEVENTO="Manual",$M163=$A$15),$M163&gt;(ROW(PLE.lastrow)-ROW(PLE.firstrow))),0,
           IF(OFFSET(PLE!$G$15,$M163-$A$15,CJ$13)="",10^12,OFFSET(PLE!$G$15,$M163-$A$15,CJ$13)))</f>
        <v>1000000000000</v>
      </c>
      <c r="CK163" s="172" cm="1">
        <f t="array" aca="1" ref="CK163" ca="1">IF(OR($D163&lt;&gt;"Serviço",AND(AUTOEVENTO="Manual",$M163=$A$15),$M163&gt;(ROW(PLE.lastrow)-ROW(PLE.firstrow))),0,
           IF(OFFSET(PLE!$G$15,$M163-$A$15,CK$13)="",10^12,OFFSET(PLE!$G$15,$M163-$A$15,CK$13)))</f>
        <v>1000000000000</v>
      </c>
      <c r="CL163" s="172" cm="1">
        <f t="array" aca="1" ref="CL163" ca="1">IF(OR($D163&lt;&gt;"Serviço",AND(AUTOEVENTO="Manual",$M163=$A$15),$M163&gt;(ROW(PLE.lastrow)-ROW(PLE.firstrow))),0,
           IF(OFFSET(PLE!$G$15,$M163-$A$15,CL$13)="",10^12,OFFSET(PLE!$G$15,$M163-$A$15,CL$13)))</f>
        <v>1000000000000</v>
      </c>
      <c r="CM163" s="172" cm="1">
        <f t="array" aca="1" ref="CM163" ca="1">IF(OR($D163&lt;&gt;"Serviço",AND(AUTOEVENTO="Manual",$M163=$A$15),$M163&gt;(ROW(PLE.lastrow)-ROW(PLE.firstrow))),0,
           IF(OFFSET(PLE!$G$15,$M163-$A$15,CM$13)="",10^12,OFFSET(PLE!$G$15,$M163-$A$15,CM$13)))</f>
        <v>1000000000000</v>
      </c>
    </row>
    <row r="164" spans="1:91" s="670" customFormat="1" ht="38.25" x14ac:dyDescent="0.2">
      <c r="A164" s="668">
        <f t="shared" ca="1" si="14"/>
        <v>24</v>
      </c>
      <c r="B164" s="668" t="str">
        <f ca="1">OFFSET(ORÇAMENTO!C$15,$L164,0)</f>
        <v>S</v>
      </c>
      <c r="C164" s="668" t="str">
        <f ca="1">OFFSET(ORÇAMENTO!L$15,$L164,0)</f>
        <v>F</v>
      </c>
      <c r="D164" s="116" t="str">
        <f ca="1">OFFSET(ORÇAMENTO!N$15,$L164,0)</f>
        <v>Serviço</v>
      </c>
      <c r="E164" s="117" t="str">
        <f ca="1">OFFSET(ORÇAMENTO!O$15,$L164,0)</f>
        <v>1.21.8.</v>
      </c>
      <c r="F164" s="163" t="str">
        <f ca="1">OFFSET(ORÇAMENTO!R$15,$L164,0)</f>
        <v>PARAFUSO ZINCADO, SEXTAVADO, COM ROSCA INTEIRA, DIAMETRO 5/8", COMPRIMENTO 3", COM PORCA E ARRUELA DE PRESSAO MEDIA</v>
      </c>
      <c r="G164" s="164" t="str">
        <f ca="1">IF($D164&lt;&gt;"Serviço","",OFFSET(ORÇAMENTO!S$15,$L164,0))</f>
        <v>UN</v>
      </c>
      <c r="H164" s="122" cm="1">
        <f t="array" aca="1" ref="H164" ca="1">IF($D164&lt;&gt;"Serviço",0,IF(ACOMPANHAMENTO="BM",ROUND(OFFSET(ORÇAMENTO!AJ$15,$L164,0),15-13*ORÇAMENTO!$AF$7),IF(IFERROR(CÁLCULO.FrentesPreenchidas,0)=0,0,SUM(ROUND(OFFSET($P164,0,1,1,CÁLCULO.FrentesPreenchidas),15-13*ORÇAMENTO!$AF$7)))))</f>
        <v>240</v>
      </c>
      <c r="I164" s="720" t="s">
        <v>1207</v>
      </c>
      <c r="J164" s="651" t="str" cm="1">
        <f t="array" aca="1" ref="J164" ca="1">IF(OR(B164&lt;&gt;"S",CÁLCULO.FrentesPreenchidas=0),"",IF(AND(ACOMPANHAMENTO="PLE",AUTOEVENTO="Manual",OR(H164&gt;0,ORÇAMENTO!AC164="QUANT."),OR(K164="",M164=0,N164="")),"►E",IF(AND(ACOMPANHAMENTO="PLE",ORÇAMENTO!AC164="QUANT."),"►Q",IF(AND(ACOMPANHAMENTO="PLE",H164&lt;&gt;SUMPRODUCT(($Q$1:$AI$1=1)*ROUND(Q164:AI164,15))),"►S",IF(AND(COUNTIF($P$11:$AI$11,"▼")=0,H164&gt;0,I164=""),"◄M","")))))</f>
        <v/>
      </c>
      <c r="K164" s="652" t="s">
        <v>1344</v>
      </c>
      <c r="L164" s="165">
        <f t="shared" ca="1" si="15"/>
        <v>149</v>
      </c>
      <c r="M164" s="166">
        <f ca="1">IF($D164&lt;&gt;"Serviço","",
          IF(AUTOEVENTO="manual",$A164,
                IF(ISERROR(MATCH($A164,$A$15:OFFSET($A164,-1,0),0)),MAX($M$15:OFFSET(M164,-1,0))+1,
                      INDEX($M$15:OFFSET(M164,-1,0),MATCH($A164,$A$15:OFFSET($A164,-1,0),0)))))</f>
        <v>24</v>
      </c>
      <c r="N164" s="167" t="str">
        <f ca="1">IF($D164&lt;&gt;"Serviço","",
         IF(AUTOEVENTO="Manual",
                IF($A164=0,"&lt;-- defina o número do agrupador",
                       OFFSET(EVENTOS!$D$15,$A164-$A$15,0)),
                OFFSET($F$15,$A164,0)))</f>
        <v>Instalações hidrossanitárias</v>
      </c>
      <c r="O164" s="168"/>
      <c r="Q164" s="168"/>
      <c r="R164" s="169"/>
      <c r="S164" s="169"/>
      <c r="T164" s="169"/>
      <c r="U164" s="169"/>
      <c r="V164" s="169">
        <v>240</v>
      </c>
      <c r="W164" s="169"/>
      <c r="X164" s="169"/>
      <c r="Y164" s="169"/>
      <c r="Z164" s="170"/>
      <c r="AA164" s="705"/>
      <c r="AB164" s="705"/>
      <c r="AC164" s="705"/>
      <c r="AD164" s="705"/>
      <c r="AE164" s="705"/>
      <c r="AF164" s="705"/>
      <c r="AG164" s="705"/>
      <c r="AH164" s="706"/>
      <c r="AJ164" s="453">
        <f ca="1">IF(AND($D164="Serviço",AJ$12&lt;&gt;0,$H164&gt;0,OR(AUTOEVENTO&lt;&gt;"manual",$M164&lt;&gt;$A$15)),
        IF(Import.TipoArredondamento&lt;&gt;"TransfereGOV",
              ROUND(OFFSET($P164,0,AJ$13),15-13*ORÇAMENTO!$AF$7)/$H164*OFFSET(ORÇAMENTO!$X$15,ROW(AJ164)-ROW(AJ$15),0),
              ROUND(ROUND(OFFSET($P164,0,AJ$13),15-13*ORÇAMENTO!$AF$7)*OFFSET(ORÇAMENTO!$W$15,ROW(AJ164)-ROW(AJ$15),0),15-13*ORÇAMENTO!$AF$11)),
         0)</f>
        <v>0</v>
      </c>
      <c r="AK164" s="453">
        <f ca="1">IF(AND($D164="Serviço",AK$12&lt;&gt;0,$H164&gt;0,OR(AUTOEVENTO&lt;&gt;"manual",$M164&lt;&gt;$A$15)),
        IF(Import.TipoArredondamento&lt;&gt;"TransfereGOV",
              ROUND(OFFSET($P164,0,AK$13),15-13*ORÇAMENTO!$AF$7)/$H164*OFFSET(ORÇAMENTO!$X$15,ROW(AK164)-ROW(AK$15),0),
              ROUND(ROUND(OFFSET($P164,0,AK$13),15-13*ORÇAMENTO!$AF$7)*OFFSET(ORÇAMENTO!$W$15,ROW(AK164)-ROW(AK$15),0),15-13*ORÇAMENTO!$AF$11)),
         0)</f>
        <v>0</v>
      </c>
      <c r="AL164" s="453">
        <f ca="1">IF(AND($D164="Serviço",AL$12&lt;&gt;0,$H164&gt;0,OR(AUTOEVENTO&lt;&gt;"manual",$M164&lt;&gt;$A$15)),
        IF(Import.TipoArredondamento&lt;&gt;"TransfereGOV",
              ROUND(OFFSET($P164,0,AL$13),15-13*ORÇAMENTO!$AF$7)/$H164*OFFSET(ORÇAMENTO!$X$15,ROW(AL164)-ROW(AL$15),0),
              ROUND(ROUND(OFFSET($P164,0,AL$13),15-13*ORÇAMENTO!$AF$7)*OFFSET(ORÇAMENTO!$W$15,ROW(AL164)-ROW(AL$15),0),15-13*ORÇAMENTO!$AF$11)),
         0)</f>
        <v>0</v>
      </c>
      <c r="AM164" s="453">
        <f ca="1">IF(AND($D164="Serviço",AM$12&lt;&gt;0,$H164&gt;0,OR(AUTOEVENTO&lt;&gt;"manual",$M164&lt;&gt;$A$15)),
        IF(Import.TipoArredondamento&lt;&gt;"TransfereGOV",
              ROUND(OFFSET($P164,0,AM$13),15-13*ORÇAMENTO!$AF$7)/$H164*OFFSET(ORÇAMENTO!$X$15,ROW(AM164)-ROW(AM$15),0),
              ROUND(ROUND(OFFSET($P164,0,AM$13),15-13*ORÇAMENTO!$AF$7)*OFFSET(ORÇAMENTO!$W$15,ROW(AM164)-ROW(AM$15),0),15-13*ORÇAMENTO!$AF$11)),
         0)</f>
        <v>0</v>
      </c>
      <c r="AN164" s="453">
        <f ca="1">IF(AND($D164="Serviço",AN$12&lt;&gt;0,$H164&gt;0,OR(AUTOEVENTO&lt;&gt;"manual",$M164&lt;&gt;$A$15)),
        IF(Import.TipoArredondamento&lt;&gt;"TransfereGOV",
              ROUND(OFFSET($P164,0,AN$13),15-13*ORÇAMENTO!$AF$7)/$H164*OFFSET(ORÇAMENTO!$X$15,ROW(AN164)-ROW(AN$15),0),
              ROUND(ROUND(OFFSET($P164,0,AN$13),15-13*ORÇAMENTO!$AF$7)*OFFSET(ORÇAMENTO!$W$15,ROW(AN164)-ROW(AN$15),0),15-13*ORÇAMENTO!$AF$11)),
         0)</f>
        <v>0</v>
      </c>
      <c r="AO164" s="453">
        <f ca="1">IF(AND($D164="Serviço",AO$12&lt;&gt;0,$H164&gt;0,OR(AUTOEVENTO&lt;&gt;"manual",$M164&lt;&gt;$A$15)),
        IF(Import.TipoArredondamento&lt;&gt;"TransfereGOV",
              ROUND(OFFSET($P164,0,AO$13),15-13*ORÇAMENTO!$AF$7)/$H164*OFFSET(ORÇAMENTO!$X$15,ROW(AO164)-ROW(AO$15),0),
              ROUND(ROUND(OFFSET($P164,0,AO$13),15-13*ORÇAMENTO!$AF$7)*OFFSET(ORÇAMENTO!$W$15,ROW(AO164)-ROW(AO$15),0),15-13*ORÇAMENTO!$AF$11)),
         0)</f>
        <v>1732.8</v>
      </c>
      <c r="AP164" s="453">
        <f ca="1">IF(AND($D164="Serviço",AP$12&lt;&gt;0,$H164&gt;0,OR(AUTOEVENTO&lt;&gt;"manual",$M164&lt;&gt;$A$15)),
        IF(Import.TipoArredondamento&lt;&gt;"TransfereGOV",
              ROUND(OFFSET($P164,0,AP$13),15-13*ORÇAMENTO!$AF$7)/$H164*OFFSET(ORÇAMENTO!$X$15,ROW(AP164)-ROW(AP$15),0),
              ROUND(ROUND(OFFSET($P164,0,AP$13),15-13*ORÇAMENTO!$AF$7)*OFFSET(ORÇAMENTO!$W$15,ROW(AP164)-ROW(AP$15),0),15-13*ORÇAMENTO!$AF$11)),
         0)</f>
        <v>0</v>
      </c>
      <c r="AQ164" s="453">
        <f ca="1">IF(AND($D164="Serviço",AQ$12&lt;&gt;0,$H164&gt;0,OR(AUTOEVENTO&lt;&gt;"manual",$M164&lt;&gt;$A$15)),
        IF(Import.TipoArredondamento&lt;&gt;"TransfereGOV",
              ROUND(OFFSET($P164,0,AQ$13),15-13*ORÇAMENTO!$AF$7)/$H164*OFFSET(ORÇAMENTO!$X$15,ROW(AQ164)-ROW(AQ$15),0),
              ROUND(ROUND(OFFSET($P164,0,AQ$13),15-13*ORÇAMENTO!$AF$7)*OFFSET(ORÇAMENTO!$W$15,ROW(AQ164)-ROW(AQ$15),0),15-13*ORÇAMENTO!$AF$11)),
         0)</f>
        <v>0</v>
      </c>
      <c r="AR164" s="453">
        <f ca="1">IF(AND($D164="Serviço",AR$12&lt;&gt;0,$H164&gt;0,OR(AUTOEVENTO&lt;&gt;"manual",$M164&lt;&gt;$A$15)),
        IF(Import.TipoArredondamento&lt;&gt;"TransfereGOV",
              ROUND(OFFSET($P164,0,AR$13),15-13*ORÇAMENTO!$AF$7)/$H164*OFFSET(ORÇAMENTO!$X$15,ROW(AR164)-ROW(AR$15),0),
              ROUND(ROUND(OFFSET($P164,0,AR$13),15-13*ORÇAMENTO!$AF$7)*OFFSET(ORÇAMENTO!$W$15,ROW(AR164)-ROW(AR$15),0),15-13*ORÇAMENTO!$AF$11)),
         0)</f>
        <v>0</v>
      </c>
      <c r="AS164" s="453">
        <f ca="1">IF(AND($D164="Serviço",AS$12&lt;&gt;0,$H164&gt;0,OR(AUTOEVENTO&lt;&gt;"manual",$M164&lt;&gt;$A$15)),
        IF(Import.TipoArredondamento&lt;&gt;"TransfereGOV",
              ROUND(OFFSET($P164,0,AS$13),15-13*ORÇAMENTO!$AF$7)/$H164*OFFSET(ORÇAMENTO!$X$15,ROW(AS164)-ROW(AS$15),0),
              ROUND(ROUND(OFFSET($P164,0,AS$13),15-13*ORÇAMENTO!$AF$7)*OFFSET(ORÇAMENTO!$W$15,ROW(AS164)-ROW(AS$15),0),15-13*ORÇAMENTO!$AF$11)),
         0)</f>
        <v>0</v>
      </c>
      <c r="AT164" s="453">
        <f ca="1">IF(AND($D164="Serviço",AT$12&lt;&gt;0,$H164&gt;0,OR(AUTOEVENTO&lt;&gt;"manual",$M164&lt;&gt;$A$15)),
        IF(Import.TipoArredondamento&lt;&gt;"TransfereGOV",
              ROUND(OFFSET($P164,0,AT$13),15-13*ORÇAMENTO!$AF$7)/$H164*OFFSET(ORÇAMENTO!$X$15,ROW(AT164)-ROW(AT$15),0),
              ROUND(ROUND(OFFSET($P164,0,AT$13),15-13*ORÇAMENTO!$AF$7)*OFFSET(ORÇAMENTO!$W$15,ROW(AT164)-ROW(AT$15),0),15-13*ORÇAMENTO!$AF$11)),
         0)</f>
        <v>0</v>
      </c>
      <c r="AU164" s="453">
        <f ca="1">IF(AND($D164="Serviço",AU$12&lt;&gt;0,$H164&gt;0,OR(AUTOEVENTO&lt;&gt;"manual",$M164&lt;&gt;$A$15)),
        IF(Import.TipoArredondamento&lt;&gt;"TransfereGOV",
              ROUND(OFFSET($P164,0,AU$13),15-13*ORÇAMENTO!$AF$7)/$H164*OFFSET(ORÇAMENTO!$X$15,ROW(AU164)-ROW(AU$15),0),
              ROUND(ROUND(OFFSET($P164,0,AU$13),15-13*ORÇAMENTO!$AF$7)*OFFSET(ORÇAMENTO!$W$15,ROW(AU164)-ROW(AU$15),0),15-13*ORÇAMENTO!$AF$11)),
         0)</f>
        <v>0</v>
      </c>
      <c r="AV164" s="453">
        <f ca="1">IF(AND($D164="Serviço",AV$12&lt;&gt;0,$H164&gt;0,OR(AUTOEVENTO&lt;&gt;"manual",$M164&lt;&gt;$A$15)),
        IF(Import.TipoArredondamento&lt;&gt;"TransfereGOV",
              ROUND(OFFSET($P164,0,AV$13),15-13*ORÇAMENTO!$AF$7)/$H164*OFFSET(ORÇAMENTO!$X$15,ROW(AV164)-ROW(AV$15),0),
              ROUND(ROUND(OFFSET($P164,0,AV$13),15-13*ORÇAMENTO!$AF$7)*OFFSET(ORÇAMENTO!$W$15,ROW(AV164)-ROW(AV$15),0),15-13*ORÇAMENTO!$AF$11)),
         0)</f>
        <v>0</v>
      </c>
      <c r="AW164" s="453">
        <f ca="1">IF(AND($D164="Serviço",AW$12&lt;&gt;0,$H164&gt;0,OR(AUTOEVENTO&lt;&gt;"manual",$M164&lt;&gt;$A$15)),
        IF(Import.TipoArredondamento&lt;&gt;"TransfereGOV",
              ROUND(OFFSET($P164,0,AW$13),15-13*ORÇAMENTO!$AF$7)/$H164*OFFSET(ORÇAMENTO!$X$15,ROW(AW164)-ROW(AW$15),0),
              ROUND(ROUND(OFFSET($P164,0,AW$13),15-13*ORÇAMENTO!$AF$7)*OFFSET(ORÇAMENTO!$W$15,ROW(AW164)-ROW(AW$15),0),15-13*ORÇAMENTO!$AF$11)),
         0)</f>
        <v>0</v>
      </c>
      <c r="AX164" s="453">
        <f ca="1">IF(AND($D164="Serviço",AX$12&lt;&gt;0,$H164&gt;0,OR(AUTOEVENTO&lt;&gt;"manual",$M164&lt;&gt;$A$15)),
        IF(Import.TipoArredondamento&lt;&gt;"TransfereGOV",
              ROUND(OFFSET($P164,0,AX$13),15-13*ORÇAMENTO!$AF$7)/$H164*OFFSET(ORÇAMENTO!$X$15,ROW(AX164)-ROW(AX$15),0),
              ROUND(ROUND(OFFSET($P164,0,AX$13),15-13*ORÇAMENTO!$AF$7)*OFFSET(ORÇAMENTO!$W$15,ROW(AX164)-ROW(AX$15),0),15-13*ORÇAMENTO!$AF$11)),
         0)</f>
        <v>0</v>
      </c>
      <c r="AY164" s="453">
        <f ca="1">IF(AND($D164="Serviço",AY$12&lt;&gt;0,$H164&gt;0,OR(AUTOEVENTO&lt;&gt;"manual",$M164&lt;&gt;$A$15)),
        IF(Import.TipoArredondamento&lt;&gt;"TransfereGOV",
              ROUND(OFFSET($P164,0,AY$13),15-13*ORÇAMENTO!$AF$7)/$H164*OFFSET(ORÇAMENTO!$X$15,ROW(AY164)-ROW(AY$15),0),
              ROUND(ROUND(OFFSET($P164,0,AY$13),15-13*ORÇAMENTO!$AF$7)*OFFSET(ORÇAMENTO!$W$15,ROW(AY164)-ROW(AY$15),0),15-13*ORÇAMENTO!$AF$11)),
         0)</f>
        <v>0</v>
      </c>
      <c r="AZ164" s="453">
        <f ca="1">IF(AND($D164="Serviço",AZ$12&lt;&gt;0,$H164&gt;0,OR(AUTOEVENTO&lt;&gt;"manual",$M164&lt;&gt;$A$15)),
        IF(Import.TipoArredondamento&lt;&gt;"TransfereGOV",
              ROUND(OFFSET($P164,0,AZ$13),15-13*ORÇAMENTO!$AF$7)/$H164*OFFSET(ORÇAMENTO!$X$15,ROW(AZ164)-ROW(AZ$15),0),
              ROUND(ROUND(OFFSET($P164,0,AZ$13),15-13*ORÇAMENTO!$AF$7)*OFFSET(ORÇAMENTO!$W$15,ROW(AZ164)-ROW(AZ$15),0),15-13*ORÇAMENTO!$AF$11)),
         0)</f>
        <v>0</v>
      </c>
      <c r="BA164" s="453">
        <f ca="1">IF(AND($D164="Serviço",BA$12&lt;&gt;0,$H164&gt;0,OR(AUTOEVENTO&lt;&gt;"manual",$M164&lt;&gt;$A$15)),
        IF(Import.TipoArredondamento&lt;&gt;"TransfereGOV",
              ROUND(OFFSET($P164,0,BA$13),15-13*ORÇAMENTO!$AF$7)/$H164*OFFSET(ORÇAMENTO!$X$15,ROW(BA164)-ROW(BA$15),0),
              ROUND(ROUND(OFFSET($P164,0,BA$13),15-13*ORÇAMENTO!$AF$7)*OFFSET(ORÇAMENTO!$W$15,ROW(BA164)-ROW(BA$15),0),15-13*ORÇAMENTO!$AF$11)),
         0)</f>
        <v>0</v>
      </c>
      <c r="BC164" s="171">
        <f ca="1">IF(OR($D164&lt;&gt;"Serviço",AND(AUTOEVENTO="Manual",$M164=$A$15)),0,
         IF(OFFSET(CRONOPLE!$F$15,$M164-$A$15,BC$13)=0,10^12,OFFSET(CRONOPLE!$F$15,$M164-$A$15,BC$13)))</f>
        <v>1000000000000</v>
      </c>
      <c r="BD164" s="171">
        <f ca="1">IF(OR($D164&lt;&gt;"Serviço",AND(AUTOEVENTO="Manual",$M164=$A$15)),0,
         IF(OFFSET(CRONOPLE!$F$15,$M164-$A$15,BD$13)=0,10^12,OFFSET(CRONOPLE!$F$15,$M164-$A$15,BD$13)))</f>
        <v>1000000000000</v>
      </c>
      <c r="BE164" s="171">
        <f ca="1">IF(OR($D164&lt;&gt;"Serviço",AND(AUTOEVENTO="Manual",$M164=$A$15)),0,
         IF(OFFSET(CRONOPLE!$F$15,$M164-$A$15,BE$13)=0,10^12,OFFSET(CRONOPLE!$F$15,$M164-$A$15,BE$13)))</f>
        <v>3</v>
      </c>
      <c r="BF164" s="171">
        <f ca="1">IF(OR($D164&lt;&gt;"Serviço",AND(AUTOEVENTO="Manual",$M164=$A$15)),0,
         IF(OFFSET(CRONOPLE!$F$15,$M164-$A$15,BF$13)=0,10^12,OFFSET(CRONOPLE!$F$15,$M164-$A$15,BF$13)))</f>
        <v>1000000000000</v>
      </c>
      <c r="BG164" s="171">
        <f ca="1">IF(OR($D164&lt;&gt;"Serviço",AND(AUTOEVENTO="Manual",$M164=$A$15)),0,
         IF(OFFSET(CRONOPLE!$F$15,$M164-$A$15,BG$13)=0,10^12,OFFSET(CRONOPLE!$F$15,$M164-$A$15,BG$13)))</f>
        <v>1000000000000</v>
      </c>
      <c r="BH164" s="171">
        <f ca="1">IF(OR($D164&lt;&gt;"Serviço",AND(AUTOEVENTO="Manual",$M164=$A$15)),0,
         IF(OFFSET(CRONOPLE!$F$15,$M164-$A$15,BH$13)=0,10^12,OFFSET(CRONOPLE!$F$15,$M164-$A$15,BH$13)))</f>
        <v>9</v>
      </c>
      <c r="BI164" s="171">
        <f ca="1">IF(OR($D164&lt;&gt;"Serviço",AND(AUTOEVENTO="Manual",$M164=$A$15)),0,
         IF(OFFSET(CRONOPLE!$F$15,$M164-$A$15,BI$13)=0,10^12,OFFSET(CRONOPLE!$F$15,$M164-$A$15,BI$13)))</f>
        <v>1000000000000</v>
      </c>
      <c r="BJ164" s="171">
        <f ca="1">IF(OR($D164&lt;&gt;"Serviço",AND(AUTOEVENTO="Manual",$M164=$A$15)),0,
         IF(OFFSET(CRONOPLE!$F$15,$M164-$A$15,BJ$13)=0,10^12,OFFSET(CRONOPLE!$F$15,$M164-$A$15,BJ$13)))</f>
        <v>1000000000000</v>
      </c>
      <c r="BK164" s="171">
        <f ca="1">IF(OR($D164&lt;&gt;"Serviço",AND(AUTOEVENTO="Manual",$M164=$A$15)),0,
         IF(OFFSET(CRONOPLE!$F$15,$M164-$A$15,BK$13)=0,10^12,OFFSET(CRONOPLE!$F$15,$M164-$A$15,BK$13)))</f>
        <v>1000000000000</v>
      </c>
      <c r="BL164" s="171">
        <f ca="1">IF(OR($D164&lt;&gt;"Serviço",AND(AUTOEVENTO="Manual",$M164=$A$15)),0,
         IF(OFFSET(CRONOPLE!$F$15,$M164-$A$15,BL$13)=0,10^12,OFFSET(CRONOPLE!$F$15,$M164-$A$15,BL$13)))</f>
        <v>1000000000000</v>
      </c>
      <c r="BM164" s="171">
        <f ca="1">IF(OR($D164&lt;&gt;"Serviço",AND(AUTOEVENTO="Manual",$M164=$A$15)),0,
         IF(OFFSET(CRONOPLE!$F$15,$M164-$A$15,BM$13)=0,10^12,OFFSET(CRONOPLE!$F$15,$M164-$A$15,BM$13)))</f>
        <v>1000000000000</v>
      </c>
      <c r="BN164" s="171">
        <f ca="1">IF(OR($D164&lt;&gt;"Serviço",AND(AUTOEVENTO="Manual",$M164=$A$15)),0,
         IF(OFFSET(CRONOPLE!$F$15,$M164-$A$15,BN$13)=0,10^12,OFFSET(CRONOPLE!$F$15,$M164-$A$15,BN$13)))</f>
        <v>1000000000000</v>
      </c>
      <c r="BO164" s="171">
        <f ca="1">IF(OR($D164&lt;&gt;"Serviço",AND(AUTOEVENTO="Manual",$M164=$A$15)),0,
         IF(OFFSET(CRONOPLE!$F$15,$M164-$A$15,BO$13)=0,10^12,OFFSET(CRONOPLE!$F$15,$M164-$A$15,BO$13)))</f>
        <v>1000000000000</v>
      </c>
      <c r="BP164" s="171">
        <f ca="1">IF(OR($D164&lt;&gt;"Serviço",AND(AUTOEVENTO="Manual",$M164=$A$15)),0,
         IF(OFFSET(CRONOPLE!$F$15,$M164-$A$15,BP$13)=0,10^12,OFFSET(CRONOPLE!$F$15,$M164-$A$15,BP$13)))</f>
        <v>1000000000000</v>
      </c>
      <c r="BQ164" s="171">
        <f ca="1">IF(OR($D164&lt;&gt;"Serviço",AND(AUTOEVENTO="Manual",$M164=$A$15)),0,
         IF(OFFSET(CRONOPLE!$F$15,$M164-$A$15,BQ$13)=0,10^12,OFFSET(CRONOPLE!$F$15,$M164-$A$15,BQ$13)))</f>
        <v>1000000000000</v>
      </c>
      <c r="BR164" s="171">
        <f ca="1">IF(OR($D164&lt;&gt;"Serviço",AND(AUTOEVENTO="Manual",$M164=$A$15)),0,
         IF(OFFSET(CRONOPLE!$F$15,$M164-$A$15,BR$13)=0,10^12,OFFSET(CRONOPLE!$F$15,$M164-$A$15,BR$13)))</f>
        <v>1000000000000</v>
      </c>
      <c r="BS164" s="171">
        <f ca="1">IF(OR($D164&lt;&gt;"Serviço",AND(AUTOEVENTO="Manual",$M164=$A$15)),0,
         IF(OFFSET(CRONOPLE!$F$15,$M164-$A$15,BS$13)=0,10^12,OFFSET(CRONOPLE!$F$15,$M164-$A$15,BS$13)))</f>
        <v>1000000000000</v>
      </c>
      <c r="BT164" s="171">
        <f ca="1">IF(OR($D164&lt;&gt;"Serviço",AND(AUTOEVENTO="Manual",$M164=$A$15)),0,
         IF(OFFSET(CRONOPLE!$F$15,$M164-$A$15,BT$13)=0,10^12,OFFSET(CRONOPLE!$F$15,$M164-$A$15,BT$13)))</f>
        <v>1000000000000</v>
      </c>
      <c r="BV164" s="172" cm="1">
        <f t="array" aca="1" ref="BV164" ca="1">IF(OR($D164&lt;&gt;"Serviço",AND(AUTOEVENTO="Manual",$M164=$A$15),$M164&gt;(ROW(PLE.lastrow)-ROW(PLE.firstrow))),0,
           IF(OFFSET(PLE!$G$15,$M164-$A$15,BV$13)="",10^12,OFFSET(PLE!$G$15,$M164-$A$15,BV$13)))</f>
        <v>1000000000000</v>
      </c>
      <c r="BW164" s="172" cm="1">
        <f t="array" aca="1" ref="BW164" ca="1">IF(OR($D164&lt;&gt;"Serviço",AND(AUTOEVENTO="Manual",$M164=$A$15),$M164&gt;(ROW(PLE.lastrow)-ROW(PLE.firstrow))),0,
           IF(OFFSET(PLE!$G$15,$M164-$A$15,BW$13)="",10^12,OFFSET(PLE!$G$15,$M164-$A$15,BW$13)))</f>
        <v>1000000000000</v>
      </c>
      <c r="BX164" s="172" cm="1">
        <f t="array" aca="1" ref="BX164" ca="1">IF(OR($D164&lt;&gt;"Serviço",AND(AUTOEVENTO="Manual",$M164=$A$15),$M164&gt;(ROW(PLE.lastrow)-ROW(PLE.firstrow))),0,
           IF(OFFSET(PLE!$G$15,$M164-$A$15,BX$13)="",10^12,OFFSET(PLE!$G$15,$M164-$A$15,BX$13)))</f>
        <v>1000000000000</v>
      </c>
      <c r="BY164" s="172" cm="1">
        <f t="array" aca="1" ref="BY164" ca="1">IF(OR($D164&lt;&gt;"Serviço",AND(AUTOEVENTO="Manual",$M164=$A$15),$M164&gt;(ROW(PLE.lastrow)-ROW(PLE.firstrow))),0,
           IF(OFFSET(PLE!$G$15,$M164-$A$15,BY$13)="",10^12,OFFSET(PLE!$G$15,$M164-$A$15,BY$13)))</f>
        <v>1000000000000</v>
      </c>
      <c r="BZ164" s="172" cm="1">
        <f t="array" aca="1" ref="BZ164" ca="1">IF(OR($D164&lt;&gt;"Serviço",AND(AUTOEVENTO="Manual",$M164=$A$15),$M164&gt;(ROW(PLE.lastrow)-ROW(PLE.firstrow))),0,
           IF(OFFSET(PLE!$G$15,$M164-$A$15,BZ$13)="",10^12,OFFSET(PLE!$G$15,$M164-$A$15,BZ$13)))</f>
        <v>1000000000000</v>
      </c>
      <c r="CA164" s="172" cm="1">
        <f t="array" aca="1" ref="CA164" ca="1">IF(OR($D164&lt;&gt;"Serviço",AND(AUTOEVENTO="Manual",$M164=$A$15),$M164&gt;(ROW(PLE.lastrow)-ROW(PLE.firstrow))),0,
           IF(OFFSET(PLE!$G$15,$M164-$A$15,CA$13)="",10^12,OFFSET(PLE!$G$15,$M164-$A$15,CA$13)))</f>
        <v>1000000000000</v>
      </c>
      <c r="CB164" s="172" cm="1">
        <f t="array" aca="1" ref="CB164" ca="1">IF(OR($D164&lt;&gt;"Serviço",AND(AUTOEVENTO="Manual",$M164=$A$15),$M164&gt;(ROW(PLE.lastrow)-ROW(PLE.firstrow))),0,
           IF(OFFSET(PLE!$G$15,$M164-$A$15,CB$13)="",10^12,OFFSET(PLE!$G$15,$M164-$A$15,CB$13)))</f>
        <v>1000000000000</v>
      </c>
      <c r="CC164" s="172" cm="1">
        <f t="array" aca="1" ref="CC164" ca="1">IF(OR($D164&lt;&gt;"Serviço",AND(AUTOEVENTO="Manual",$M164=$A$15),$M164&gt;(ROW(PLE.lastrow)-ROW(PLE.firstrow))),0,
           IF(OFFSET(PLE!$G$15,$M164-$A$15,CC$13)="",10^12,OFFSET(PLE!$G$15,$M164-$A$15,CC$13)))</f>
        <v>1000000000000</v>
      </c>
      <c r="CD164" s="172" cm="1">
        <f t="array" aca="1" ref="CD164" ca="1">IF(OR($D164&lt;&gt;"Serviço",AND(AUTOEVENTO="Manual",$M164=$A$15),$M164&gt;(ROW(PLE.lastrow)-ROW(PLE.firstrow))),0,
           IF(OFFSET(PLE!$G$15,$M164-$A$15,CD$13)="",10^12,OFFSET(PLE!$G$15,$M164-$A$15,CD$13)))</f>
        <v>1000000000000</v>
      </c>
      <c r="CE164" s="172" cm="1">
        <f t="array" aca="1" ref="CE164" ca="1">IF(OR($D164&lt;&gt;"Serviço",AND(AUTOEVENTO="Manual",$M164=$A$15),$M164&gt;(ROW(PLE.lastrow)-ROW(PLE.firstrow))),0,
           IF(OFFSET(PLE!$G$15,$M164-$A$15,CE$13)="",10^12,OFFSET(PLE!$G$15,$M164-$A$15,CE$13)))</f>
        <v>1000000000000</v>
      </c>
      <c r="CF164" s="172" cm="1">
        <f t="array" aca="1" ref="CF164" ca="1">IF(OR($D164&lt;&gt;"Serviço",AND(AUTOEVENTO="Manual",$M164=$A$15),$M164&gt;(ROW(PLE.lastrow)-ROW(PLE.firstrow))),0,
           IF(OFFSET(PLE!$G$15,$M164-$A$15,CF$13)="",10^12,OFFSET(PLE!$G$15,$M164-$A$15,CF$13)))</f>
        <v>1000000000000</v>
      </c>
      <c r="CG164" s="172" cm="1">
        <f t="array" aca="1" ref="CG164" ca="1">IF(OR($D164&lt;&gt;"Serviço",AND(AUTOEVENTO="Manual",$M164=$A$15),$M164&gt;(ROW(PLE.lastrow)-ROW(PLE.firstrow))),0,
           IF(OFFSET(PLE!$G$15,$M164-$A$15,CG$13)="",10^12,OFFSET(PLE!$G$15,$M164-$A$15,CG$13)))</f>
        <v>1000000000000</v>
      </c>
      <c r="CH164" s="172" cm="1">
        <f t="array" aca="1" ref="CH164" ca="1">IF(OR($D164&lt;&gt;"Serviço",AND(AUTOEVENTO="Manual",$M164=$A$15),$M164&gt;(ROW(PLE.lastrow)-ROW(PLE.firstrow))),0,
           IF(OFFSET(PLE!$G$15,$M164-$A$15,CH$13)="",10^12,OFFSET(PLE!$G$15,$M164-$A$15,CH$13)))</f>
        <v>1000000000000</v>
      </c>
      <c r="CI164" s="172" cm="1">
        <f t="array" aca="1" ref="CI164" ca="1">IF(OR($D164&lt;&gt;"Serviço",AND(AUTOEVENTO="Manual",$M164=$A$15),$M164&gt;(ROW(PLE.lastrow)-ROW(PLE.firstrow))),0,
           IF(OFFSET(PLE!$G$15,$M164-$A$15,CI$13)="",10^12,OFFSET(PLE!$G$15,$M164-$A$15,CI$13)))</f>
        <v>1000000000000</v>
      </c>
      <c r="CJ164" s="172" cm="1">
        <f t="array" aca="1" ref="CJ164" ca="1">IF(OR($D164&lt;&gt;"Serviço",AND(AUTOEVENTO="Manual",$M164=$A$15),$M164&gt;(ROW(PLE.lastrow)-ROW(PLE.firstrow))),0,
           IF(OFFSET(PLE!$G$15,$M164-$A$15,CJ$13)="",10^12,OFFSET(PLE!$G$15,$M164-$A$15,CJ$13)))</f>
        <v>1000000000000</v>
      </c>
      <c r="CK164" s="172" cm="1">
        <f t="array" aca="1" ref="CK164" ca="1">IF(OR($D164&lt;&gt;"Serviço",AND(AUTOEVENTO="Manual",$M164=$A$15),$M164&gt;(ROW(PLE.lastrow)-ROW(PLE.firstrow))),0,
           IF(OFFSET(PLE!$G$15,$M164-$A$15,CK$13)="",10^12,OFFSET(PLE!$G$15,$M164-$A$15,CK$13)))</f>
        <v>1000000000000</v>
      </c>
      <c r="CL164" s="172" cm="1">
        <f t="array" aca="1" ref="CL164" ca="1">IF(OR($D164&lt;&gt;"Serviço",AND(AUTOEVENTO="Manual",$M164=$A$15),$M164&gt;(ROW(PLE.lastrow)-ROW(PLE.firstrow))),0,
           IF(OFFSET(PLE!$G$15,$M164-$A$15,CL$13)="",10^12,OFFSET(PLE!$G$15,$M164-$A$15,CL$13)))</f>
        <v>1000000000000</v>
      </c>
      <c r="CM164" s="172" cm="1">
        <f t="array" aca="1" ref="CM164" ca="1">IF(OR($D164&lt;&gt;"Serviço",AND(AUTOEVENTO="Manual",$M164=$A$15),$M164&gt;(ROW(PLE.lastrow)-ROW(PLE.firstrow))),0,
           IF(OFFSET(PLE!$G$15,$M164-$A$15,CM$13)="",10^12,OFFSET(PLE!$G$15,$M164-$A$15,CM$13)))</f>
        <v>1000000000000</v>
      </c>
    </row>
    <row r="165" spans="1:91" s="680" customFormat="1" ht="25.5" x14ac:dyDescent="0.2">
      <c r="A165" s="681">
        <f ca="1">IFERROR(IF(AUTOEVENTO="Manual",IF(K165&lt;&gt;"",MIN(VALUE(LEFT(K165,FIND(".",K165)-1)),COUNTA(EVENTOS.Lista)),0),IF(OR($B165&gt;AUTOEVENTO,$B165="S",$B165=0),SUBSTITUTE(OFFSET($A165,-1,0),IF($D165="Serviço",".",""),""),$L165&amp;".")),0)</f>
        <v>24</v>
      </c>
      <c r="B165" s="681" t="str">
        <f ca="1">OFFSET(ORÇAMENTO!C$15,$L165,0)</f>
        <v>S</v>
      </c>
      <c r="C165" s="681" t="str">
        <f ca="1">OFFSET(ORÇAMENTO!L$15,$L165,0)</f>
        <v>F</v>
      </c>
      <c r="D165" s="686" t="str">
        <f ca="1">OFFSET(ORÇAMENTO!N$15,$L165,0)</f>
        <v>Serviço</v>
      </c>
      <c r="E165" s="687" t="str">
        <f ca="1">OFFSET(ORÇAMENTO!O$15,$L165,0)</f>
        <v>1.21.9.</v>
      </c>
      <c r="F165" s="699" t="str">
        <f ca="1">OFFSET(ORÇAMENTO!R$15,$L165,0)</f>
        <v>MONTAGEM DE CONEXÕES DE FERRO FUNDIDO, COM FLANGES, DIAM.= 200 MM. INC_05/2020</v>
      </c>
      <c r="G165" s="700">
        <f ca="1">IF($D165&lt;&gt;"Serviço","",OFFSET(ORÇAMENTO!S$15,$L165,0))</f>
        <v>0</v>
      </c>
      <c r="H165" s="692" cm="1">
        <f t="array" aca="1" ref="H165" ca="1">IF($D165&lt;&gt;"Serviço",0,IF(ACOMPANHAMENTO="BM",ROUND(OFFSET(ORÇAMENTO!AJ$15,$L165,0),15-13*ORÇAMENTO!$AF$7),IF(IFERROR(CÁLCULO.FrentesPreenchidas,0)=0,0,SUM(ROUND(OFFSET($P165,0,1,1,CÁLCULO.FrentesPreenchidas),15-13*ORÇAMENTO!$AF$7)))))</f>
        <v>20</v>
      </c>
      <c r="I165" s="720" t="s">
        <v>1220</v>
      </c>
      <c r="J165" s="724" t="str" cm="1">
        <f t="array" aca="1" ref="J165" ca="1">IF(OR(B165&lt;&gt;"S",CÁLCULO.FrentesPreenchidas=0),"",IF(AND(ACOMPANHAMENTO="PLE",AUTOEVENTO="Manual",OR(H165&gt;0,ORÇAMENTO!AC165="QUANT."),OR(K165="",M165=0,N165="")),"►E",IF(AND(ACOMPANHAMENTO="PLE",ORÇAMENTO!AC165="QUANT."),"►Q",IF(AND(ACOMPANHAMENTO="PLE",H165&lt;&gt;SUMPRODUCT(($Q$1:$AI$1=1)*ROUND(Q165:AI165,15))),"►S",IF(AND(COUNTIF($P$11:$AI$11,"▼")=0,H165&gt;0,I165=""),"◄M","")))))</f>
        <v/>
      </c>
      <c r="K165" s="652" t="s">
        <v>1344</v>
      </c>
      <c r="L165" s="701">
        <f ca="1">OFFSET(L165,-1,0)+1</f>
        <v>150</v>
      </c>
      <c r="M165" s="702">
        <f ca="1">IF($D165&lt;&gt;"Serviço","",
          IF(AUTOEVENTO="manual",$A165,
                IF(ISERROR(MATCH($A165,$A$15:OFFSET($A165,-1,0),0)),MAX($M$15:OFFSET(M165,-1,0))+1,
                      INDEX($M$15:OFFSET(M165,-1,0),MATCH($A165,$A$15:OFFSET($A165,-1,0),0)))))</f>
        <v>24</v>
      </c>
      <c r="N165" s="703" t="str">
        <f ca="1">IF($D165&lt;&gt;"Serviço","",
         IF(AUTOEVENTO="Manual",
                IF($A165=0,"&lt;-- defina o número do agrupador",
                       OFFSET(EVENTOS!$D$15,$A165-$A$15,0)),
                OFFSET($F$15,$A165,0)))</f>
        <v>Instalações hidrossanitárias</v>
      </c>
      <c r="O165" s="704"/>
      <c r="Q165" s="704"/>
      <c r="R165" s="705"/>
      <c r="S165" s="705"/>
      <c r="T165" s="705"/>
      <c r="U165" s="705"/>
      <c r="V165" s="705">
        <v>20</v>
      </c>
      <c r="W165" s="705"/>
      <c r="X165" s="705"/>
      <c r="Y165" s="705"/>
      <c r="Z165" s="706"/>
      <c r="AA165" s="705"/>
      <c r="AB165" s="705"/>
      <c r="AC165" s="705"/>
      <c r="AD165" s="705"/>
      <c r="AE165" s="705"/>
      <c r="AF165" s="705"/>
      <c r="AG165" s="705"/>
      <c r="AH165" s="706"/>
      <c r="AJ165" s="453">
        <f ca="1">IF(AND($D165="Serviço",AJ$12&lt;&gt;0,$H165&gt;0,OR(AUTOEVENTO&lt;&gt;"manual",$M165&lt;&gt;$A$15)),
        IF(Import.TipoArredondamento&lt;&gt;"TransfereGOV",
              ROUND(OFFSET($P165,0,AJ$13),15-13*ORÇAMENTO!$AF$7)/$H165*OFFSET(ORÇAMENTO!$X$15,ROW(AJ165)-ROW(AJ$15),0),
              ROUND(ROUND(OFFSET($P165,0,AJ$13),15-13*ORÇAMENTO!$AF$7)*OFFSET(ORÇAMENTO!$W$15,ROW(AJ165)-ROW(AJ$15),0),15-13*ORÇAMENTO!$AF$11)),
         0)</f>
        <v>0</v>
      </c>
      <c r="AK165" s="453">
        <f ca="1">IF(AND($D165="Serviço",AK$12&lt;&gt;0,$H165&gt;0,OR(AUTOEVENTO&lt;&gt;"manual",$M165&lt;&gt;$A$15)),
        IF(Import.TipoArredondamento&lt;&gt;"TransfereGOV",
              ROUND(OFFSET($P165,0,AK$13),15-13*ORÇAMENTO!$AF$7)/$H165*OFFSET(ORÇAMENTO!$X$15,ROW(AK165)-ROW(AK$15),0),
              ROUND(ROUND(OFFSET($P165,0,AK$13),15-13*ORÇAMENTO!$AF$7)*OFFSET(ORÇAMENTO!$W$15,ROW(AK165)-ROW(AK$15),0),15-13*ORÇAMENTO!$AF$11)),
         0)</f>
        <v>0</v>
      </c>
      <c r="AL165" s="453">
        <f ca="1">IF(AND($D165="Serviço",AL$12&lt;&gt;0,$H165&gt;0,OR(AUTOEVENTO&lt;&gt;"manual",$M165&lt;&gt;$A$15)),
        IF(Import.TipoArredondamento&lt;&gt;"TransfereGOV",
              ROUND(OFFSET($P165,0,AL$13),15-13*ORÇAMENTO!$AF$7)/$H165*OFFSET(ORÇAMENTO!$X$15,ROW(AL165)-ROW(AL$15),0),
              ROUND(ROUND(OFFSET($P165,0,AL$13),15-13*ORÇAMENTO!$AF$7)*OFFSET(ORÇAMENTO!$W$15,ROW(AL165)-ROW(AL$15),0),15-13*ORÇAMENTO!$AF$11)),
         0)</f>
        <v>0</v>
      </c>
      <c r="AM165" s="453">
        <f ca="1">IF(AND($D165="Serviço",AM$12&lt;&gt;0,$H165&gt;0,OR(AUTOEVENTO&lt;&gt;"manual",$M165&lt;&gt;$A$15)),
        IF(Import.TipoArredondamento&lt;&gt;"TransfereGOV",
              ROUND(OFFSET($P165,0,AM$13),15-13*ORÇAMENTO!$AF$7)/$H165*OFFSET(ORÇAMENTO!$X$15,ROW(AM165)-ROW(AM$15),0),
              ROUND(ROUND(OFFSET($P165,0,AM$13),15-13*ORÇAMENTO!$AF$7)*OFFSET(ORÇAMENTO!$W$15,ROW(AM165)-ROW(AM$15),0),15-13*ORÇAMENTO!$AF$11)),
         0)</f>
        <v>0</v>
      </c>
      <c r="AN165" s="453">
        <f ca="1">IF(AND($D165="Serviço",AN$12&lt;&gt;0,$H165&gt;0,OR(AUTOEVENTO&lt;&gt;"manual",$M165&lt;&gt;$A$15)),
        IF(Import.TipoArredondamento&lt;&gt;"TransfereGOV",
              ROUND(OFFSET($P165,0,AN$13),15-13*ORÇAMENTO!$AF$7)/$H165*OFFSET(ORÇAMENTO!$X$15,ROW(AN165)-ROW(AN$15),0),
              ROUND(ROUND(OFFSET($P165,0,AN$13),15-13*ORÇAMENTO!$AF$7)*OFFSET(ORÇAMENTO!$W$15,ROW(AN165)-ROW(AN$15),0),15-13*ORÇAMENTO!$AF$11)),
         0)</f>
        <v>0</v>
      </c>
      <c r="AO165" s="453">
        <f ca="1">IF(AND($D165="Serviço",AO$12&lt;&gt;0,$H165&gt;0,OR(AUTOEVENTO&lt;&gt;"manual",$M165&lt;&gt;$A$15)),
        IF(Import.TipoArredondamento&lt;&gt;"TransfereGOV",
              ROUND(OFFSET($P165,0,AO$13),15-13*ORÇAMENTO!$AF$7)/$H165*OFFSET(ORÇAMENTO!$X$15,ROW(AO165)-ROW(AO$15),0),
              ROUND(ROUND(OFFSET($P165,0,AO$13),15-13*ORÇAMENTO!$AF$7)*OFFSET(ORÇAMENTO!$W$15,ROW(AO165)-ROW(AO$15),0),15-13*ORÇAMENTO!$AF$11)),
         0)</f>
        <v>524.79999999999995</v>
      </c>
      <c r="AP165" s="453">
        <f ca="1">IF(AND($D165="Serviço",AP$12&lt;&gt;0,$H165&gt;0,OR(AUTOEVENTO&lt;&gt;"manual",$M165&lt;&gt;$A$15)),
        IF(Import.TipoArredondamento&lt;&gt;"TransfereGOV",
              ROUND(OFFSET($P165,0,AP$13),15-13*ORÇAMENTO!$AF$7)/$H165*OFFSET(ORÇAMENTO!$X$15,ROW(AP165)-ROW(AP$15),0),
              ROUND(ROUND(OFFSET($P165,0,AP$13),15-13*ORÇAMENTO!$AF$7)*OFFSET(ORÇAMENTO!$W$15,ROW(AP165)-ROW(AP$15),0),15-13*ORÇAMENTO!$AF$11)),
         0)</f>
        <v>0</v>
      </c>
      <c r="AQ165" s="453">
        <f ca="1">IF(AND($D165="Serviço",AQ$12&lt;&gt;0,$H165&gt;0,OR(AUTOEVENTO&lt;&gt;"manual",$M165&lt;&gt;$A$15)),
        IF(Import.TipoArredondamento&lt;&gt;"TransfereGOV",
              ROUND(OFFSET($P165,0,AQ$13),15-13*ORÇAMENTO!$AF$7)/$H165*OFFSET(ORÇAMENTO!$X$15,ROW(AQ165)-ROW(AQ$15),0),
              ROUND(ROUND(OFFSET($P165,0,AQ$13),15-13*ORÇAMENTO!$AF$7)*OFFSET(ORÇAMENTO!$W$15,ROW(AQ165)-ROW(AQ$15),0),15-13*ORÇAMENTO!$AF$11)),
         0)</f>
        <v>0</v>
      </c>
      <c r="AR165" s="453">
        <f ca="1">IF(AND($D165="Serviço",AR$12&lt;&gt;0,$H165&gt;0,OR(AUTOEVENTO&lt;&gt;"manual",$M165&lt;&gt;$A$15)),
        IF(Import.TipoArredondamento&lt;&gt;"TransfereGOV",
              ROUND(OFFSET($P165,0,AR$13),15-13*ORÇAMENTO!$AF$7)/$H165*OFFSET(ORÇAMENTO!$X$15,ROW(AR165)-ROW(AR$15),0),
              ROUND(ROUND(OFFSET($P165,0,AR$13),15-13*ORÇAMENTO!$AF$7)*OFFSET(ORÇAMENTO!$W$15,ROW(AR165)-ROW(AR$15),0),15-13*ORÇAMENTO!$AF$11)),
         0)</f>
        <v>0</v>
      </c>
      <c r="AS165" s="453">
        <f ca="1">IF(AND($D165="Serviço",AS$12&lt;&gt;0,$H165&gt;0,OR(AUTOEVENTO&lt;&gt;"manual",$M165&lt;&gt;$A$15)),
        IF(Import.TipoArredondamento&lt;&gt;"TransfereGOV",
              ROUND(OFFSET($P165,0,AS$13),15-13*ORÇAMENTO!$AF$7)/$H165*OFFSET(ORÇAMENTO!$X$15,ROW(AS165)-ROW(AS$15),0),
              ROUND(ROUND(OFFSET($P165,0,AS$13),15-13*ORÇAMENTO!$AF$7)*OFFSET(ORÇAMENTO!$W$15,ROW(AS165)-ROW(AS$15),0),15-13*ORÇAMENTO!$AF$11)),
         0)</f>
        <v>0</v>
      </c>
      <c r="AT165" s="453">
        <f ca="1">IF(AND($D165="Serviço",AT$12&lt;&gt;0,$H165&gt;0,OR(AUTOEVENTO&lt;&gt;"manual",$M165&lt;&gt;$A$15)),
        IF(Import.TipoArredondamento&lt;&gt;"TransfereGOV",
              ROUND(OFFSET($P165,0,AT$13),15-13*ORÇAMENTO!$AF$7)/$H165*OFFSET(ORÇAMENTO!$X$15,ROW(AT165)-ROW(AT$15),0),
              ROUND(ROUND(OFFSET($P165,0,AT$13),15-13*ORÇAMENTO!$AF$7)*OFFSET(ORÇAMENTO!$W$15,ROW(AT165)-ROW(AT$15),0),15-13*ORÇAMENTO!$AF$11)),
         0)</f>
        <v>0</v>
      </c>
      <c r="AU165" s="453">
        <f ca="1">IF(AND($D165="Serviço",AU$12&lt;&gt;0,$H165&gt;0,OR(AUTOEVENTO&lt;&gt;"manual",$M165&lt;&gt;$A$15)),
        IF(Import.TipoArredondamento&lt;&gt;"TransfereGOV",
              ROUND(OFFSET($P165,0,AU$13),15-13*ORÇAMENTO!$AF$7)/$H165*OFFSET(ORÇAMENTO!$X$15,ROW(AU165)-ROW(AU$15),0),
              ROUND(ROUND(OFFSET($P165,0,AU$13),15-13*ORÇAMENTO!$AF$7)*OFFSET(ORÇAMENTO!$W$15,ROW(AU165)-ROW(AU$15),0),15-13*ORÇAMENTO!$AF$11)),
         0)</f>
        <v>0</v>
      </c>
      <c r="AV165" s="453">
        <f ca="1">IF(AND($D165="Serviço",AV$12&lt;&gt;0,$H165&gt;0,OR(AUTOEVENTO&lt;&gt;"manual",$M165&lt;&gt;$A$15)),
        IF(Import.TipoArredondamento&lt;&gt;"TransfereGOV",
              ROUND(OFFSET($P165,0,AV$13),15-13*ORÇAMENTO!$AF$7)/$H165*OFFSET(ORÇAMENTO!$X$15,ROW(AV165)-ROW(AV$15),0),
              ROUND(ROUND(OFFSET($P165,0,AV$13),15-13*ORÇAMENTO!$AF$7)*OFFSET(ORÇAMENTO!$W$15,ROW(AV165)-ROW(AV$15),0),15-13*ORÇAMENTO!$AF$11)),
         0)</f>
        <v>0</v>
      </c>
      <c r="AW165" s="453">
        <f ca="1">IF(AND($D165="Serviço",AW$12&lt;&gt;0,$H165&gt;0,OR(AUTOEVENTO&lt;&gt;"manual",$M165&lt;&gt;$A$15)),
        IF(Import.TipoArredondamento&lt;&gt;"TransfereGOV",
              ROUND(OFFSET($P165,0,AW$13),15-13*ORÇAMENTO!$AF$7)/$H165*OFFSET(ORÇAMENTO!$X$15,ROW(AW165)-ROW(AW$15),0),
              ROUND(ROUND(OFFSET($P165,0,AW$13),15-13*ORÇAMENTO!$AF$7)*OFFSET(ORÇAMENTO!$W$15,ROW(AW165)-ROW(AW$15),0),15-13*ORÇAMENTO!$AF$11)),
         0)</f>
        <v>0</v>
      </c>
      <c r="AX165" s="453">
        <f ca="1">IF(AND($D165="Serviço",AX$12&lt;&gt;0,$H165&gt;0,OR(AUTOEVENTO&lt;&gt;"manual",$M165&lt;&gt;$A$15)),
        IF(Import.TipoArredondamento&lt;&gt;"TransfereGOV",
              ROUND(OFFSET($P165,0,AX$13),15-13*ORÇAMENTO!$AF$7)/$H165*OFFSET(ORÇAMENTO!$X$15,ROW(AX165)-ROW(AX$15),0),
              ROUND(ROUND(OFFSET($P165,0,AX$13),15-13*ORÇAMENTO!$AF$7)*OFFSET(ORÇAMENTO!$W$15,ROW(AX165)-ROW(AX$15),0),15-13*ORÇAMENTO!$AF$11)),
         0)</f>
        <v>0</v>
      </c>
      <c r="AY165" s="453">
        <f ca="1">IF(AND($D165="Serviço",AY$12&lt;&gt;0,$H165&gt;0,OR(AUTOEVENTO&lt;&gt;"manual",$M165&lt;&gt;$A$15)),
        IF(Import.TipoArredondamento&lt;&gt;"TransfereGOV",
              ROUND(OFFSET($P165,0,AY$13),15-13*ORÇAMENTO!$AF$7)/$H165*OFFSET(ORÇAMENTO!$X$15,ROW(AY165)-ROW(AY$15),0),
              ROUND(ROUND(OFFSET($P165,0,AY$13),15-13*ORÇAMENTO!$AF$7)*OFFSET(ORÇAMENTO!$W$15,ROW(AY165)-ROW(AY$15),0),15-13*ORÇAMENTO!$AF$11)),
         0)</f>
        <v>0</v>
      </c>
      <c r="AZ165" s="453">
        <f ca="1">IF(AND($D165="Serviço",AZ$12&lt;&gt;0,$H165&gt;0,OR(AUTOEVENTO&lt;&gt;"manual",$M165&lt;&gt;$A$15)),
        IF(Import.TipoArredondamento&lt;&gt;"TransfereGOV",
              ROUND(OFFSET($P165,0,AZ$13),15-13*ORÇAMENTO!$AF$7)/$H165*OFFSET(ORÇAMENTO!$X$15,ROW(AZ165)-ROW(AZ$15),0),
              ROUND(ROUND(OFFSET($P165,0,AZ$13),15-13*ORÇAMENTO!$AF$7)*OFFSET(ORÇAMENTO!$W$15,ROW(AZ165)-ROW(AZ$15),0),15-13*ORÇAMENTO!$AF$11)),
         0)</f>
        <v>0</v>
      </c>
      <c r="BA165" s="453">
        <f ca="1">IF(AND($D165="Serviço",BA$12&lt;&gt;0,$H165&gt;0,OR(AUTOEVENTO&lt;&gt;"manual",$M165&lt;&gt;$A$15)),
        IF(Import.TipoArredondamento&lt;&gt;"TransfereGOV",
              ROUND(OFFSET($P165,0,BA$13),15-13*ORÇAMENTO!$AF$7)/$H165*OFFSET(ORÇAMENTO!$X$15,ROW(BA165)-ROW(BA$15),0),
              ROUND(ROUND(OFFSET($P165,0,BA$13),15-13*ORÇAMENTO!$AF$7)*OFFSET(ORÇAMENTO!$W$15,ROW(BA165)-ROW(BA$15),0),15-13*ORÇAMENTO!$AF$11)),
         0)</f>
        <v>0</v>
      </c>
      <c r="BC165" s="171">
        <f ca="1">IF(OR($D165&lt;&gt;"Serviço",AND(AUTOEVENTO="Manual",$M165=$A$15)),0,
         IF(OFFSET(CRONOPLE!$F$15,$M165-$A$15,BC$13)=0,10^12,OFFSET(CRONOPLE!$F$15,$M165-$A$15,BC$13)))</f>
        <v>1000000000000</v>
      </c>
      <c r="BD165" s="171">
        <f ca="1">IF(OR($D165&lt;&gt;"Serviço",AND(AUTOEVENTO="Manual",$M165=$A$15)),0,
         IF(OFFSET(CRONOPLE!$F$15,$M165-$A$15,BD$13)=0,10^12,OFFSET(CRONOPLE!$F$15,$M165-$A$15,BD$13)))</f>
        <v>1000000000000</v>
      </c>
      <c r="BE165" s="171">
        <f ca="1">IF(OR($D165&lt;&gt;"Serviço",AND(AUTOEVENTO="Manual",$M165=$A$15)),0,
         IF(OFFSET(CRONOPLE!$F$15,$M165-$A$15,BE$13)=0,10^12,OFFSET(CRONOPLE!$F$15,$M165-$A$15,BE$13)))</f>
        <v>3</v>
      </c>
      <c r="BF165" s="171">
        <f ca="1">IF(OR($D165&lt;&gt;"Serviço",AND(AUTOEVENTO="Manual",$M165=$A$15)),0,
         IF(OFFSET(CRONOPLE!$F$15,$M165-$A$15,BF$13)=0,10^12,OFFSET(CRONOPLE!$F$15,$M165-$A$15,BF$13)))</f>
        <v>1000000000000</v>
      </c>
      <c r="BG165" s="171">
        <f ca="1">IF(OR($D165&lt;&gt;"Serviço",AND(AUTOEVENTO="Manual",$M165=$A$15)),0,
         IF(OFFSET(CRONOPLE!$F$15,$M165-$A$15,BG$13)=0,10^12,OFFSET(CRONOPLE!$F$15,$M165-$A$15,BG$13)))</f>
        <v>1000000000000</v>
      </c>
      <c r="BH165" s="171">
        <f ca="1">IF(OR($D165&lt;&gt;"Serviço",AND(AUTOEVENTO="Manual",$M165=$A$15)),0,
         IF(OFFSET(CRONOPLE!$F$15,$M165-$A$15,BH$13)=0,10^12,OFFSET(CRONOPLE!$F$15,$M165-$A$15,BH$13)))</f>
        <v>9</v>
      </c>
      <c r="BI165" s="171">
        <f ca="1">IF(OR($D165&lt;&gt;"Serviço",AND(AUTOEVENTO="Manual",$M165=$A$15)),0,
         IF(OFFSET(CRONOPLE!$F$15,$M165-$A$15,BI$13)=0,10^12,OFFSET(CRONOPLE!$F$15,$M165-$A$15,BI$13)))</f>
        <v>1000000000000</v>
      </c>
      <c r="BJ165" s="171">
        <f ca="1">IF(OR($D165&lt;&gt;"Serviço",AND(AUTOEVENTO="Manual",$M165=$A$15)),0,
         IF(OFFSET(CRONOPLE!$F$15,$M165-$A$15,BJ$13)=0,10^12,OFFSET(CRONOPLE!$F$15,$M165-$A$15,BJ$13)))</f>
        <v>1000000000000</v>
      </c>
      <c r="BK165" s="171">
        <f ca="1">IF(OR($D165&lt;&gt;"Serviço",AND(AUTOEVENTO="Manual",$M165=$A$15)),0,
         IF(OFFSET(CRONOPLE!$F$15,$M165-$A$15,BK$13)=0,10^12,OFFSET(CRONOPLE!$F$15,$M165-$A$15,BK$13)))</f>
        <v>1000000000000</v>
      </c>
      <c r="BL165" s="171">
        <f ca="1">IF(OR($D165&lt;&gt;"Serviço",AND(AUTOEVENTO="Manual",$M165=$A$15)),0,
         IF(OFFSET(CRONOPLE!$F$15,$M165-$A$15,BL$13)=0,10^12,OFFSET(CRONOPLE!$F$15,$M165-$A$15,BL$13)))</f>
        <v>1000000000000</v>
      </c>
      <c r="BM165" s="171">
        <f ca="1">IF(OR($D165&lt;&gt;"Serviço",AND(AUTOEVENTO="Manual",$M165=$A$15)),0,
         IF(OFFSET(CRONOPLE!$F$15,$M165-$A$15,BM$13)=0,10^12,OFFSET(CRONOPLE!$F$15,$M165-$A$15,BM$13)))</f>
        <v>1000000000000</v>
      </c>
      <c r="BN165" s="171">
        <f ca="1">IF(OR($D165&lt;&gt;"Serviço",AND(AUTOEVENTO="Manual",$M165=$A$15)),0,
         IF(OFFSET(CRONOPLE!$F$15,$M165-$A$15,BN$13)=0,10^12,OFFSET(CRONOPLE!$F$15,$M165-$A$15,BN$13)))</f>
        <v>1000000000000</v>
      </c>
      <c r="BO165" s="171">
        <f ca="1">IF(OR($D165&lt;&gt;"Serviço",AND(AUTOEVENTO="Manual",$M165=$A$15)),0,
         IF(OFFSET(CRONOPLE!$F$15,$M165-$A$15,BO$13)=0,10^12,OFFSET(CRONOPLE!$F$15,$M165-$A$15,BO$13)))</f>
        <v>1000000000000</v>
      </c>
      <c r="BP165" s="171">
        <f ca="1">IF(OR($D165&lt;&gt;"Serviço",AND(AUTOEVENTO="Manual",$M165=$A$15)),0,
         IF(OFFSET(CRONOPLE!$F$15,$M165-$A$15,BP$13)=0,10^12,OFFSET(CRONOPLE!$F$15,$M165-$A$15,BP$13)))</f>
        <v>1000000000000</v>
      </c>
      <c r="BQ165" s="171">
        <f ca="1">IF(OR($D165&lt;&gt;"Serviço",AND(AUTOEVENTO="Manual",$M165=$A$15)),0,
         IF(OFFSET(CRONOPLE!$F$15,$M165-$A$15,BQ$13)=0,10^12,OFFSET(CRONOPLE!$F$15,$M165-$A$15,BQ$13)))</f>
        <v>1000000000000</v>
      </c>
      <c r="BR165" s="171">
        <f ca="1">IF(OR($D165&lt;&gt;"Serviço",AND(AUTOEVENTO="Manual",$M165=$A$15)),0,
         IF(OFFSET(CRONOPLE!$F$15,$M165-$A$15,BR$13)=0,10^12,OFFSET(CRONOPLE!$F$15,$M165-$A$15,BR$13)))</f>
        <v>1000000000000</v>
      </c>
      <c r="BS165" s="171">
        <f ca="1">IF(OR($D165&lt;&gt;"Serviço",AND(AUTOEVENTO="Manual",$M165=$A$15)),0,
         IF(OFFSET(CRONOPLE!$F$15,$M165-$A$15,BS$13)=0,10^12,OFFSET(CRONOPLE!$F$15,$M165-$A$15,BS$13)))</f>
        <v>1000000000000</v>
      </c>
      <c r="BT165" s="171">
        <f ca="1">IF(OR($D165&lt;&gt;"Serviço",AND(AUTOEVENTO="Manual",$M165=$A$15)),0,
         IF(OFFSET(CRONOPLE!$F$15,$M165-$A$15,BT$13)=0,10^12,OFFSET(CRONOPLE!$F$15,$M165-$A$15,BT$13)))</f>
        <v>1000000000000</v>
      </c>
      <c r="BV165" s="172" cm="1">
        <f t="array" aca="1" ref="BV165" ca="1">IF(OR($D165&lt;&gt;"Serviço",AND(AUTOEVENTO="Manual",$M165=$A$15),$M165&gt;(ROW(PLE.lastrow)-ROW(PLE.firstrow))),0,
           IF(OFFSET(PLE!$G$15,$M165-$A$15,BV$13)="",10^12,OFFSET(PLE!$G$15,$M165-$A$15,BV$13)))</f>
        <v>1000000000000</v>
      </c>
      <c r="BW165" s="172" cm="1">
        <f t="array" aca="1" ref="BW165" ca="1">IF(OR($D165&lt;&gt;"Serviço",AND(AUTOEVENTO="Manual",$M165=$A$15),$M165&gt;(ROW(PLE.lastrow)-ROW(PLE.firstrow))),0,
           IF(OFFSET(PLE!$G$15,$M165-$A$15,BW$13)="",10^12,OFFSET(PLE!$G$15,$M165-$A$15,BW$13)))</f>
        <v>1000000000000</v>
      </c>
      <c r="BX165" s="172" cm="1">
        <f t="array" aca="1" ref="BX165" ca="1">IF(OR($D165&lt;&gt;"Serviço",AND(AUTOEVENTO="Manual",$M165=$A$15),$M165&gt;(ROW(PLE.lastrow)-ROW(PLE.firstrow))),0,
           IF(OFFSET(PLE!$G$15,$M165-$A$15,BX$13)="",10^12,OFFSET(PLE!$G$15,$M165-$A$15,BX$13)))</f>
        <v>1000000000000</v>
      </c>
      <c r="BY165" s="172" cm="1">
        <f t="array" aca="1" ref="BY165" ca="1">IF(OR($D165&lt;&gt;"Serviço",AND(AUTOEVENTO="Manual",$M165=$A$15),$M165&gt;(ROW(PLE.lastrow)-ROW(PLE.firstrow))),0,
           IF(OFFSET(PLE!$G$15,$M165-$A$15,BY$13)="",10^12,OFFSET(PLE!$G$15,$M165-$A$15,BY$13)))</f>
        <v>1000000000000</v>
      </c>
      <c r="BZ165" s="172" cm="1">
        <f t="array" aca="1" ref="BZ165" ca="1">IF(OR($D165&lt;&gt;"Serviço",AND(AUTOEVENTO="Manual",$M165=$A$15),$M165&gt;(ROW(PLE.lastrow)-ROW(PLE.firstrow))),0,
           IF(OFFSET(PLE!$G$15,$M165-$A$15,BZ$13)="",10^12,OFFSET(PLE!$G$15,$M165-$A$15,BZ$13)))</f>
        <v>1000000000000</v>
      </c>
      <c r="CA165" s="172" cm="1">
        <f t="array" aca="1" ref="CA165" ca="1">IF(OR($D165&lt;&gt;"Serviço",AND(AUTOEVENTO="Manual",$M165=$A$15),$M165&gt;(ROW(PLE.lastrow)-ROW(PLE.firstrow))),0,
           IF(OFFSET(PLE!$G$15,$M165-$A$15,CA$13)="",10^12,OFFSET(PLE!$G$15,$M165-$A$15,CA$13)))</f>
        <v>1000000000000</v>
      </c>
      <c r="CB165" s="172" cm="1">
        <f t="array" aca="1" ref="CB165" ca="1">IF(OR($D165&lt;&gt;"Serviço",AND(AUTOEVENTO="Manual",$M165=$A$15),$M165&gt;(ROW(PLE.lastrow)-ROW(PLE.firstrow))),0,
           IF(OFFSET(PLE!$G$15,$M165-$A$15,CB$13)="",10^12,OFFSET(PLE!$G$15,$M165-$A$15,CB$13)))</f>
        <v>1000000000000</v>
      </c>
      <c r="CC165" s="172" cm="1">
        <f t="array" aca="1" ref="CC165" ca="1">IF(OR($D165&lt;&gt;"Serviço",AND(AUTOEVENTO="Manual",$M165=$A$15),$M165&gt;(ROW(PLE.lastrow)-ROW(PLE.firstrow))),0,
           IF(OFFSET(PLE!$G$15,$M165-$A$15,CC$13)="",10^12,OFFSET(PLE!$G$15,$M165-$A$15,CC$13)))</f>
        <v>1000000000000</v>
      </c>
      <c r="CD165" s="172" cm="1">
        <f t="array" aca="1" ref="CD165" ca="1">IF(OR($D165&lt;&gt;"Serviço",AND(AUTOEVENTO="Manual",$M165=$A$15),$M165&gt;(ROW(PLE.lastrow)-ROW(PLE.firstrow))),0,
           IF(OFFSET(PLE!$G$15,$M165-$A$15,CD$13)="",10^12,OFFSET(PLE!$G$15,$M165-$A$15,CD$13)))</f>
        <v>1000000000000</v>
      </c>
      <c r="CE165" s="172" cm="1">
        <f t="array" aca="1" ref="CE165" ca="1">IF(OR($D165&lt;&gt;"Serviço",AND(AUTOEVENTO="Manual",$M165=$A$15),$M165&gt;(ROW(PLE.lastrow)-ROW(PLE.firstrow))),0,
           IF(OFFSET(PLE!$G$15,$M165-$A$15,CE$13)="",10^12,OFFSET(PLE!$G$15,$M165-$A$15,CE$13)))</f>
        <v>1000000000000</v>
      </c>
      <c r="CF165" s="172" cm="1">
        <f t="array" aca="1" ref="CF165" ca="1">IF(OR($D165&lt;&gt;"Serviço",AND(AUTOEVENTO="Manual",$M165=$A$15),$M165&gt;(ROW(PLE.lastrow)-ROW(PLE.firstrow))),0,
           IF(OFFSET(PLE!$G$15,$M165-$A$15,CF$13)="",10^12,OFFSET(PLE!$G$15,$M165-$A$15,CF$13)))</f>
        <v>1000000000000</v>
      </c>
      <c r="CG165" s="172" cm="1">
        <f t="array" aca="1" ref="CG165" ca="1">IF(OR($D165&lt;&gt;"Serviço",AND(AUTOEVENTO="Manual",$M165=$A$15),$M165&gt;(ROW(PLE.lastrow)-ROW(PLE.firstrow))),0,
           IF(OFFSET(PLE!$G$15,$M165-$A$15,CG$13)="",10^12,OFFSET(PLE!$G$15,$M165-$A$15,CG$13)))</f>
        <v>1000000000000</v>
      </c>
      <c r="CH165" s="172" cm="1">
        <f t="array" aca="1" ref="CH165" ca="1">IF(OR($D165&lt;&gt;"Serviço",AND(AUTOEVENTO="Manual",$M165=$A$15),$M165&gt;(ROW(PLE.lastrow)-ROW(PLE.firstrow))),0,
           IF(OFFSET(PLE!$G$15,$M165-$A$15,CH$13)="",10^12,OFFSET(PLE!$G$15,$M165-$A$15,CH$13)))</f>
        <v>1000000000000</v>
      </c>
      <c r="CI165" s="172" cm="1">
        <f t="array" aca="1" ref="CI165" ca="1">IF(OR($D165&lt;&gt;"Serviço",AND(AUTOEVENTO="Manual",$M165=$A$15),$M165&gt;(ROW(PLE.lastrow)-ROW(PLE.firstrow))),0,
           IF(OFFSET(PLE!$G$15,$M165-$A$15,CI$13)="",10^12,OFFSET(PLE!$G$15,$M165-$A$15,CI$13)))</f>
        <v>1000000000000</v>
      </c>
      <c r="CJ165" s="172" cm="1">
        <f t="array" aca="1" ref="CJ165" ca="1">IF(OR($D165&lt;&gt;"Serviço",AND(AUTOEVENTO="Manual",$M165=$A$15),$M165&gt;(ROW(PLE.lastrow)-ROW(PLE.firstrow))),0,
           IF(OFFSET(PLE!$G$15,$M165-$A$15,CJ$13)="",10^12,OFFSET(PLE!$G$15,$M165-$A$15,CJ$13)))</f>
        <v>1000000000000</v>
      </c>
      <c r="CK165" s="172" cm="1">
        <f t="array" aca="1" ref="CK165" ca="1">IF(OR($D165&lt;&gt;"Serviço",AND(AUTOEVENTO="Manual",$M165=$A$15),$M165&gt;(ROW(PLE.lastrow)-ROW(PLE.firstrow))),0,
           IF(OFFSET(PLE!$G$15,$M165-$A$15,CK$13)="",10^12,OFFSET(PLE!$G$15,$M165-$A$15,CK$13)))</f>
        <v>1000000000000</v>
      </c>
      <c r="CL165" s="172" cm="1">
        <f t="array" aca="1" ref="CL165" ca="1">IF(OR($D165&lt;&gt;"Serviço",AND(AUTOEVENTO="Manual",$M165=$A$15),$M165&gt;(ROW(PLE.lastrow)-ROW(PLE.firstrow))),0,
           IF(OFFSET(PLE!$G$15,$M165-$A$15,CL$13)="",10^12,OFFSET(PLE!$G$15,$M165-$A$15,CL$13)))</f>
        <v>1000000000000</v>
      </c>
      <c r="CM165" s="172" cm="1">
        <f t="array" aca="1" ref="CM165" ca="1">IF(OR($D165&lt;&gt;"Serviço",AND(AUTOEVENTO="Manual",$M165=$A$15),$M165&gt;(ROW(PLE.lastrow)-ROW(PLE.firstrow))),0,
           IF(OFFSET(PLE!$G$15,$M165-$A$15,CM$13)="",10^12,OFFSET(PLE!$G$15,$M165-$A$15,CM$13)))</f>
        <v>1000000000000</v>
      </c>
    </row>
    <row r="166" spans="1:91" s="670" customFormat="1" ht="25.5" x14ac:dyDescent="0.2">
      <c r="A166" s="668">
        <f t="shared" ca="1" si="14"/>
        <v>0</v>
      </c>
      <c r="B166" s="668">
        <f ca="1">OFFSET(ORÇAMENTO!C$15,$L166,0)</f>
        <v>2</v>
      </c>
      <c r="C166" s="668" t="str">
        <f ca="1">OFFSET(ORÇAMENTO!L$15,$L166,0)</f>
        <v>F</v>
      </c>
      <c r="D166" s="116" t="str">
        <f ca="1">OFFSET(ORÇAMENTO!N$15,$L166,0)</f>
        <v>Nível 2</v>
      </c>
      <c r="E166" s="117" t="str">
        <f ca="1">OFFSET(ORÇAMENTO!O$15,$L166,0)</f>
        <v>1.22.</v>
      </c>
      <c r="F166" s="163" t="str">
        <f ca="1">OFFSET(ORÇAMENTO!R$15,$L166,0)</f>
        <v>QUADRO DE COMANDO E BOMBAS - Estação Elevatória de Água Tratada</v>
      </c>
      <c r="G166" s="164" t="str">
        <f ca="1">IF($D166&lt;&gt;"Serviço","",OFFSET(ORÇAMENTO!S$15,$L166,0))</f>
        <v/>
      </c>
      <c r="H166" s="122" cm="1">
        <f t="array" aca="1" ref="H166" ca="1">IF($D166&lt;&gt;"Serviço",0,IF(ACOMPANHAMENTO="BM",ROUND(OFFSET(ORÇAMENTO!AJ$15,$L166,0),15-13*ORÇAMENTO!$AF$7),IF(IFERROR(CÁLCULO.FrentesPreenchidas,0)=0,0,SUM(ROUND(OFFSET($P166,0,1,1,CÁLCULO.FrentesPreenchidas),15-13*ORÇAMENTO!$AF$7)))))</f>
        <v>0</v>
      </c>
      <c r="I166" s="468"/>
      <c r="J166" s="651" t="str" cm="1">
        <f t="array" aca="1" ref="J166" ca="1">IF(OR(B166&lt;&gt;"S",CÁLCULO.FrentesPreenchidas=0),"",IF(AND(ACOMPANHAMENTO="PLE",AUTOEVENTO="Manual",OR(H166&gt;0,ORÇAMENTO!AC166="QUANT."),OR(K166="",M166=0,N166="")),"►E",IF(AND(ACOMPANHAMENTO="PLE",ORÇAMENTO!AC166="QUANT."),"►Q",IF(AND(ACOMPANHAMENTO="PLE",H166&lt;&gt;SUMPRODUCT(($Q$1:$AI$1=1)*ROUND(Q166:AI166,15))),"►S",IF(AND(COUNTIF($P$11:$AI$11,"▼")=0,H166&gt;0,I166=""),"◄M","")))))</f>
        <v/>
      </c>
      <c r="K166" s="652"/>
      <c r="L166" s="165">
        <f t="shared" ca="1" si="15"/>
        <v>151</v>
      </c>
      <c r="M166" s="166" t="str">
        <f ca="1">IF($D166&lt;&gt;"Serviço","",
          IF(AUTOEVENTO="manual",$A166,
                IF(ISERROR(MATCH($A166,$A$15:OFFSET($A166,-1,0),0)),MAX($M$15:OFFSET(M166,-1,0))+1,
                      INDEX($M$15:OFFSET(M166,-1,0),MATCH($A166,$A$15:OFFSET($A166,-1,0),0)))))</f>
        <v/>
      </c>
      <c r="N166" s="167" t="str">
        <f ca="1">IF($D166&lt;&gt;"Serviço","",
         IF(AUTOEVENTO="Manual",
                IF($A166=0,"&lt;-- defina o número do agrupador",
                       OFFSET(EVENTOS!$D$15,$A166-$A$15,0)),
                OFFSET($F$15,$A166,0)))</f>
        <v/>
      </c>
      <c r="O166" s="168"/>
      <c r="Q166" s="168"/>
      <c r="R166" s="169"/>
      <c r="S166" s="169"/>
      <c r="T166" s="169"/>
      <c r="U166" s="169"/>
      <c r="V166" s="169" t="s">
        <v>250</v>
      </c>
      <c r="W166" s="169"/>
      <c r="X166" s="169"/>
      <c r="Y166" s="169"/>
      <c r="Z166" s="170"/>
      <c r="AA166" s="705"/>
      <c r="AB166" s="705"/>
      <c r="AC166" s="705"/>
      <c r="AD166" s="705"/>
      <c r="AE166" s="705"/>
      <c r="AF166" s="705"/>
      <c r="AG166" s="705"/>
      <c r="AH166" s="706"/>
      <c r="AJ166" s="453">
        <f ca="1">IF(AND($D166="Serviço",AJ$12&lt;&gt;0,$H166&gt;0,OR(AUTOEVENTO&lt;&gt;"manual",$M166&lt;&gt;$A$15)),
        IF(Import.TipoArredondamento&lt;&gt;"TransfereGOV",
              ROUND(OFFSET($P166,0,AJ$13),15-13*ORÇAMENTO!$AF$7)/$H166*OFFSET(ORÇAMENTO!$X$15,ROW(AJ166)-ROW(AJ$15),0),
              ROUND(ROUND(OFFSET($P166,0,AJ$13),15-13*ORÇAMENTO!$AF$7)*OFFSET(ORÇAMENTO!$W$15,ROW(AJ166)-ROW(AJ$15),0),15-13*ORÇAMENTO!$AF$11)),
         0)</f>
        <v>0</v>
      </c>
      <c r="AK166" s="453">
        <f ca="1">IF(AND($D166="Serviço",AK$12&lt;&gt;0,$H166&gt;0,OR(AUTOEVENTO&lt;&gt;"manual",$M166&lt;&gt;$A$15)),
        IF(Import.TipoArredondamento&lt;&gt;"TransfereGOV",
              ROUND(OFFSET($P166,0,AK$13),15-13*ORÇAMENTO!$AF$7)/$H166*OFFSET(ORÇAMENTO!$X$15,ROW(AK166)-ROW(AK$15),0),
              ROUND(ROUND(OFFSET($P166,0,AK$13),15-13*ORÇAMENTO!$AF$7)*OFFSET(ORÇAMENTO!$W$15,ROW(AK166)-ROW(AK$15),0),15-13*ORÇAMENTO!$AF$11)),
         0)</f>
        <v>0</v>
      </c>
      <c r="AL166" s="453">
        <f ca="1">IF(AND($D166="Serviço",AL$12&lt;&gt;0,$H166&gt;0,OR(AUTOEVENTO&lt;&gt;"manual",$M166&lt;&gt;$A$15)),
        IF(Import.TipoArredondamento&lt;&gt;"TransfereGOV",
              ROUND(OFFSET($P166,0,AL$13),15-13*ORÇAMENTO!$AF$7)/$H166*OFFSET(ORÇAMENTO!$X$15,ROW(AL166)-ROW(AL$15),0),
              ROUND(ROUND(OFFSET($P166,0,AL$13),15-13*ORÇAMENTO!$AF$7)*OFFSET(ORÇAMENTO!$W$15,ROW(AL166)-ROW(AL$15),0),15-13*ORÇAMENTO!$AF$11)),
         0)</f>
        <v>0</v>
      </c>
      <c r="AM166" s="453">
        <f ca="1">IF(AND($D166="Serviço",AM$12&lt;&gt;0,$H166&gt;0,OR(AUTOEVENTO&lt;&gt;"manual",$M166&lt;&gt;$A$15)),
        IF(Import.TipoArredondamento&lt;&gt;"TransfereGOV",
              ROUND(OFFSET($P166,0,AM$13),15-13*ORÇAMENTO!$AF$7)/$H166*OFFSET(ORÇAMENTO!$X$15,ROW(AM166)-ROW(AM$15),0),
              ROUND(ROUND(OFFSET($P166,0,AM$13),15-13*ORÇAMENTO!$AF$7)*OFFSET(ORÇAMENTO!$W$15,ROW(AM166)-ROW(AM$15),0),15-13*ORÇAMENTO!$AF$11)),
         0)</f>
        <v>0</v>
      </c>
      <c r="AN166" s="453">
        <f ca="1">IF(AND($D166="Serviço",AN$12&lt;&gt;0,$H166&gt;0,OR(AUTOEVENTO&lt;&gt;"manual",$M166&lt;&gt;$A$15)),
        IF(Import.TipoArredondamento&lt;&gt;"TransfereGOV",
              ROUND(OFFSET($P166,0,AN$13),15-13*ORÇAMENTO!$AF$7)/$H166*OFFSET(ORÇAMENTO!$X$15,ROW(AN166)-ROW(AN$15),0),
              ROUND(ROUND(OFFSET($P166,0,AN$13),15-13*ORÇAMENTO!$AF$7)*OFFSET(ORÇAMENTO!$W$15,ROW(AN166)-ROW(AN$15),0),15-13*ORÇAMENTO!$AF$11)),
         0)</f>
        <v>0</v>
      </c>
      <c r="AO166" s="453">
        <f ca="1">IF(AND($D166="Serviço",AO$12&lt;&gt;0,$H166&gt;0,OR(AUTOEVENTO&lt;&gt;"manual",$M166&lt;&gt;$A$15)),
        IF(Import.TipoArredondamento&lt;&gt;"TransfereGOV",
              ROUND(OFFSET($P166,0,AO$13),15-13*ORÇAMENTO!$AF$7)/$H166*OFFSET(ORÇAMENTO!$X$15,ROW(AO166)-ROW(AO$15),0),
              ROUND(ROUND(OFFSET($P166,0,AO$13),15-13*ORÇAMENTO!$AF$7)*OFFSET(ORÇAMENTO!$W$15,ROW(AO166)-ROW(AO$15),0),15-13*ORÇAMENTO!$AF$11)),
         0)</f>
        <v>0</v>
      </c>
      <c r="AP166" s="453">
        <f ca="1">IF(AND($D166="Serviço",AP$12&lt;&gt;0,$H166&gt;0,OR(AUTOEVENTO&lt;&gt;"manual",$M166&lt;&gt;$A$15)),
        IF(Import.TipoArredondamento&lt;&gt;"TransfereGOV",
              ROUND(OFFSET($P166,0,AP$13),15-13*ORÇAMENTO!$AF$7)/$H166*OFFSET(ORÇAMENTO!$X$15,ROW(AP166)-ROW(AP$15),0),
              ROUND(ROUND(OFFSET($P166,0,AP$13),15-13*ORÇAMENTO!$AF$7)*OFFSET(ORÇAMENTO!$W$15,ROW(AP166)-ROW(AP$15),0),15-13*ORÇAMENTO!$AF$11)),
         0)</f>
        <v>0</v>
      </c>
      <c r="AQ166" s="453">
        <f ca="1">IF(AND($D166="Serviço",AQ$12&lt;&gt;0,$H166&gt;0,OR(AUTOEVENTO&lt;&gt;"manual",$M166&lt;&gt;$A$15)),
        IF(Import.TipoArredondamento&lt;&gt;"TransfereGOV",
              ROUND(OFFSET($P166,0,AQ$13),15-13*ORÇAMENTO!$AF$7)/$H166*OFFSET(ORÇAMENTO!$X$15,ROW(AQ166)-ROW(AQ$15),0),
              ROUND(ROUND(OFFSET($P166,0,AQ$13),15-13*ORÇAMENTO!$AF$7)*OFFSET(ORÇAMENTO!$W$15,ROW(AQ166)-ROW(AQ$15),0),15-13*ORÇAMENTO!$AF$11)),
         0)</f>
        <v>0</v>
      </c>
      <c r="AR166" s="453">
        <f ca="1">IF(AND($D166="Serviço",AR$12&lt;&gt;0,$H166&gt;0,OR(AUTOEVENTO&lt;&gt;"manual",$M166&lt;&gt;$A$15)),
        IF(Import.TipoArredondamento&lt;&gt;"TransfereGOV",
              ROUND(OFFSET($P166,0,AR$13),15-13*ORÇAMENTO!$AF$7)/$H166*OFFSET(ORÇAMENTO!$X$15,ROW(AR166)-ROW(AR$15),0),
              ROUND(ROUND(OFFSET($P166,0,AR$13),15-13*ORÇAMENTO!$AF$7)*OFFSET(ORÇAMENTO!$W$15,ROW(AR166)-ROW(AR$15),0),15-13*ORÇAMENTO!$AF$11)),
         0)</f>
        <v>0</v>
      </c>
      <c r="AS166" s="453">
        <f ca="1">IF(AND($D166="Serviço",AS$12&lt;&gt;0,$H166&gt;0,OR(AUTOEVENTO&lt;&gt;"manual",$M166&lt;&gt;$A$15)),
        IF(Import.TipoArredondamento&lt;&gt;"TransfereGOV",
              ROUND(OFFSET($P166,0,AS$13),15-13*ORÇAMENTO!$AF$7)/$H166*OFFSET(ORÇAMENTO!$X$15,ROW(AS166)-ROW(AS$15),0),
              ROUND(ROUND(OFFSET($P166,0,AS$13),15-13*ORÇAMENTO!$AF$7)*OFFSET(ORÇAMENTO!$W$15,ROW(AS166)-ROW(AS$15),0),15-13*ORÇAMENTO!$AF$11)),
         0)</f>
        <v>0</v>
      </c>
      <c r="AT166" s="453">
        <f ca="1">IF(AND($D166="Serviço",AT$12&lt;&gt;0,$H166&gt;0,OR(AUTOEVENTO&lt;&gt;"manual",$M166&lt;&gt;$A$15)),
        IF(Import.TipoArredondamento&lt;&gt;"TransfereGOV",
              ROUND(OFFSET($P166,0,AT$13),15-13*ORÇAMENTO!$AF$7)/$H166*OFFSET(ORÇAMENTO!$X$15,ROW(AT166)-ROW(AT$15),0),
              ROUND(ROUND(OFFSET($P166,0,AT$13),15-13*ORÇAMENTO!$AF$7)*OFFSET(ORÇAMENTO!$W$15,ROW(AT166)-ROW(AT$15),0),15-13*ORÇAMENTO!$AF$11)),
         0)</f>
        <v>0</v>
      </c>
      <c r="AU166" s="453">
        <f ca="1">IF(AND($D166="Serviço",AU$12&lt;&gt;0,$H166&gt;0,OR(AUTOEVENTO&lt;&gt;"manual",$M166&lt;&gt;$A$15)),
        IF(Import.TipoArredondamento&lt;&gt;"TransfereGOV",
              ROUND(OFFSET($P166,0,AU$13),15-13*ORÇAMENTO!$AF$7)/$H166*OFFSET(ORÇAMENTO!$X$15,ROW(AU166)-ROW(AU$15),0),
              ROUND(ROUND(OFFSET($P166,0,AU$13),15-13*ORÇAMENTO!$AF$7)*OFFSET(ORÇAMENTO!$W$15,ROW(AU166)-ROW(AU$15),0),15-13*ORÇAMENTO!$AF$11)),
         0)</f>
        <v>0</v>
      </c>
      <c r="AV166" s="453">
        <f ca="1">IF(AND($D166="Serviço",AV$12&lt;&gt;0,$H166&gt;0,OR(AUTOEVENTO&lt;&gt;"manual",$M166&lt;&gt;$A$15)),
        IF(Import.TipoArredondamento&lt;&gt;"TransfereGOV",
              ROUND(OFFSET($P166,0,AV$13),15-13*ORÇAMENTO!$AF$7)/$H166*OFFSET(ORÇAMENTO!$X$15,ROW(AV166)-ROW(AV$15),0),
              ROUND(ROUND(OFFSET($P166,0,AV$13),15-13*ORÇAMENTO!$AF$7)*OFFSET(ORÇAMENTO!$W$15,ROW(AV166)-ROW(AV$15),0),15-13*ORÇAMENTO!$AF$11)),
         0)</f>
        <v>0</v>
      </c>
      <c r="AW166" s="453">
        <f ca="1">IF(AND($D166="Serviço",AW$12&lt;&gt;0,$H166&gt;0,OR(AUTOEVENTO&lt;&gt;"manual",$M166&lt;&gt;$A$15)),
        IF(Import.TipoArredondamento&lt;&gt;"TransfereGOV",
              ROUND(OFFSET($P166,0,AW$13),15-13*ORÇAMENTO!$AF$7)/$H166*OFFSET(ORÇAMENTO!$X$15,ROW(AW166)-ROW(AW$15),0),
              ROUND(ROUND(OFFSET($P166,0,AW$13),15-13*ORÇAMENTO!$AF$7)*OFFSET(ORÇAMENTO!$W$15,ROW(AW166)-ROW(AW$15),0),15-13*ORÇAMENTO!$AF$11)),
         0)</f>
        <v>0</v>
      </c>
      <c r="AX166" s="453">
        <f ca="1">IF(AND($D166="Serviço",AX$12&lt;&gt;0,$H166&gt;0,OR(AUTOEVENTO&lt;&gt;"manual",$M166&lt;&gt;$A$15)),
        IF(Import.TipoArredondamento&lt;&gt;"TransfereGOV",
              ROUND(OFFSET($P166,0,AX$13),15-13*ORÇAMENTO!$AF$7)/$H166*OFFSET(ORÇAMENTO!$X$15,ROW(AX166)-ROW(AX$15),0),
              ROUND(ROUND(OFFSET($P166,0,AX$13),15-13*ORÇAMENTO!$AF$7)*OFFSET(ORÇAMENTO!$W$15,ROW(AX166)-ROW(AX$15),0),15-13*ORÇAMENTO!$AF$11)),
         0)</f>
        <v>0</v>
      </c>
      <c r="AY166" s="453">
        <f ca="1">IF(AND($D166="Serviço",AY$12&lt;&gt;0,$H166&gt;0,OR(AUTOEVENTO&lt;&gt;"manual",$M166&lt;&gt;$A$15)),
        IF(Import.TipoArredondamento&lt;&gt;"TransfereGOV",
              ROUND(OFFSET($P166,0,AY$13),15-13*ORÇAMENTO!$AF$7)/$H166*OFFSET(ORÇAMENTO!$X$15,ROW(AY166)-ROW(AY$15),0),
              ROUND(ROUND(OFFSET($P166,0,AY$13),15-13*ORÇAMENTO!$AF$7)*OFFSET(ORÇAMENTO!$W$15,ROW(AY166)-ROW(AY$15),0),15-13*ORÇAMENTO!$AF$11)),
         0)</f>
        <v>0</v>
      </c>
      <c r="AZ166" s="453">
        <f ca="1">IF(AND($D166="Serviço",AZ$12&lt;&gt;0,$H166&gt;0,OR(AUTOEVENTO&lt;&gt;"manual",$M166&lt;&gt;$A$15)),
        IF(Import.TipoArredondamento&lt;&gt;"TransfereGOV",
              ROUND(OFFSET($P166,0,AZ$13),15-13*ORÇAMENTO!$AF$7)/$H166*OFFSET(ORÇAMENTO!$X$15,ROW(AZ166)-ROW(AZ$15),0),
              ROUND(ROUND(OFFSET($P166,0,AZ$13),15-13*ORÇAMENTO!$AF$7)*OFFSET(ORÇAMENTO!$W$15,ROW(AZ166)-ROW(AZ$15),0),15-13*ORÇAMENTO!$AF$11)),
         0)</f>
        <v>0</v>
      </c>
      <c r="BA166" s="453">
        <f ca="1">IF(AND($D166="Serviço",BA$12&lt;&gt;0,$H166&gt;0,OR(AUTOEVENTO&lt;&gt;"manual",$M166&lt;&gt;$A$15)),
        IF(Import.TipoArredondamento&lt;&gt;"TransfereGOV",
              ROUND(OFFSET($P166,0,BA$13),15-13*ORÇAMENTO!$AF$7)/$H166*OFFSET(ORÇAMENTO!$X$15,ROW(BA166)-ROW(BA$15),0),
              ROUND(ROUND(OFFSET($P166,0,BA$13),15-13*ORÇAMENTO!$AF$7)*OFFSET(ORÇAMENTO!$W$15,ROW(BA166)-ROW(BA$15),0),15-13*ORÇAMENTO!$AF$11)),
         0)</f>
        <v>0</v>
      </c>
      <c r="BC166" s="171">
        <f ca="1">IF(OR($D166&lt;&gt;"Serviço",AND(AUTOEVENTO="Manual",$M166=$A$15)),0,
         IF(OFFSET(CRONOPLE!$F$15,$M166-$A$15,BC$13)=0,10^12,OFFSET(CRONOPLE!$F$15,$M166-$A$15,BC$13)))</f>
        <v>0</v>
      </c>
      <c r="BD166" s="171">
        <f ca="1">IF(OR($D166&lt;&gt;"Serviço",AND(AUTOEVENTO="Manual",$M166=$A$15)),0,
         IF(OFFSET(CRONOPLE!$F$15,$M166-$A$15,BD$13)=0,10^12,OFFSET(CRONOPLE!$F$15,$M166-$A$15,BD$13)))</f>
        <v>0</v>
      </c>
      <c r="BE166" s="171">
        <f ca="1">IF(OR($D166&lt;&gt;"Serviço",AND(AUTOEVENTO="Manual",$M166=$A$15)),0,
         IF(OFFSET(CRONOPLE!$F$15,$M166-$A$15,BE$13)=0,10^12,OFFSET(CRONOPLE!$F$15,$M166-$A$15,BE$13)))</f>
        <v>0</v>
      </c>
      <c r="BF166" s="171">
        <f ca="1">IF(OR($D166&lt;&gt;"Serviço",AND(AUTOEVENTO="Manual",$M166=$A$15)),0,
         IF(OFFSET(CRONOPLE!$F$15,$M166-$A$15,BF$13)=0,10^12,OFFSET(CRONOPLE!$F$15,$M166-$A$15,BF$13)))</f>
        <v>0</v>
      </c>
      <c r="BG166" s="171">
        <f ca="1">IF(OR($D166&lt;&gt;"Serviço",AND(AUTOEVENTO="Manual",$M166=$A$15)),0,
         IF(OFFSET(CRONOPLE!$F$15,$M166-$A$15,BG$13)=0,10^12,OFFSET(CRONOPLE!$F$15,$M166-$A$15,BG$13)))</f>
        <v>0</v>
      </c>
      <c r="BH166" s="171">
        <f ca="1">IF(OR($D166&lt;&gt;"Serviço",AND(AUTOEVENTO="Manual",$M166=$A$15)),0,
         IF(OFFSET(CRONOPLE!$F$15,$M166-$A$15,BH$13)=0,10^12,OFFSET(CRONOPLE!$F$15,$M166-$A$15,BH$13)))</f>
        <v>0</v>
      </c>
      <c r="BI166" s="171">
        <f ca="1">IF(OR($D166&lt;&gt;"Serviço",AND(AUTOEVENTO="Manual",$M166=$A$15)),0,
         IF(OFFSET(CRONOPLE!$F$15,$M166-$A$15,BI$13)=0,10^12,OFFSET(CRONOPLE!$F$15,$M166-$A$15,BI$13)))</f>
        <v>0</v>
      </c>
      <c r="BJ166" s="171">
        <f ca="1">IF(OR($D166&lt;&gt;"Serviço",AND(AUTOEVENTO="Manual",$M166=$A$15)),0,
         IF(OFFSET(CRONOPLE!$F$15,$M166-$A$15,BJ$13)=0,10^12,OFFSET(CRONOPLE!$F$15,$M166-$A$15,BJ$13)))</f>
        <v>0</v>
      </c>
      <c r="BK166" s="171">
        <f ca="1">IF(OR($D166&lt;&gt;"Serviço",AND(AUTOEVENTO="Manual",$M166=$A$15)),0,
         IF(OFFSET(CRONOPLE!$F$15,$M166-$A$15,BK$13)=0,10^12,OFFSET(CRONOPLE!$F$15,$M166-$A$15,BK$13)))</f>
        <v>0</v>
      </c>
      <c r="BL166" s="171">
        <f ca="1">IF(OR($D166&lt;&gt;"Serviço",AND(AUTOEVENTO="Manual",$M166=$A$15)),0,
         IF(OFFSET(CRONOPLE!$F$15,$M166-$A$15,BL$13)=0,10^12,OFFSET(CRONOPLE!$F$15,$M166-$A$15,BL$13)))</f>
        <v>0</v>
      </c>
      <c r="BM166" s="171">
        <f ca="1">IF(OR($D166&lt;&gt;"Serviço",AND(AUTOEVENTO="Manual",$M166=$A$15)),0,
         IF(OFFSET(CRONOPLE!$F$15,$M166-$A$15,BM$13)=0,10^12,OFFSET(CRONOPLE!$F$15,$M166-$A$15,BM$13)))</f>
        <v>0</v>
      </c>
      <c r="BN166" s="171">
        <f ca="1">IF(OR($D166&lt;&gt;"Serviço",AND(AUTOEVENTO="Manual",$M166=$A$15)),0,
         IF(OFFSET(CRONOPLE!$F$15,$M166-$A$15,BN$13)=0,10^12,OFFSET(CRONOPLE!$F$15,$M166-$A$15,BN$13)))</f>
        <v>0</v>
      </c>
      <c r="BO166" s="171">
        <f ca="1">IF(OR($D166&lt;&gt;"Serviço",AND(AUTOEVENTO="Manual",$M166=$A$15)),0,
         IF(OFFSET(CRONOPLE!$F$15,$M166-$A$15,BO$13)=0,10^12,OFFSET(CRONOPLE!$F$15,$M166-$A$15,BO$13)))</f>
        <v>0</v>
      </c>
      <c r="BP166" s="171">
        <f ca="1">IF(OR($D166&lt;&gt;"Serviço",AND(AUTOEVENTO="Manual",$M166=$A$15)),0,
         IF(OFFSET(CRONOPLE!$F$15,$M166-$A$15,BP$13)=0,10^12,OFFSET(CRONOPLE!$F$15,$M166-$A$15,BP$13)))</f>
        <v>0</v>
      </c>
      <c r="BQ166" s="171">
        <f ca="1">IF(OR($D166&lt;&gt;"Serviço",AND(AUTOEVENTO="Manual",$M166=$A$15)),0,
         IF(OFFSET(CRONOPLE!$F$15,$M166-$A$15,BQ$13)=0,10^12,OFFSET(CRONOPLE!$F$15,$M166-$A$15,BQ$13)))</f>
        <v>0</v>
      </c>
      <c r="BR166" s="171">
        <f ca="1">IF(OR($D166&lt;&gt;"Serviço",AND(AUTOEVENTO="Manual",$M166=$A$15)),0,
         IF(OFFSET(CRONOPLE!$F$15,$M166-$A$15,BR$13)=0,10^12,OFFSET(CRONOPLE!$F$15,$M166-$A$15,BR$13)))</f>
        <v>0</v>
      </c>
      <c r="BS166" s="171">
        <f ca="1">IF(OR($D166&lt;&gt;"Serviço",AND(AUTOEVENTO="Manual",$M166=$A$15)),0,
         IF(OFFSET(CRONOPLE!$F$15,$M166-$A$15,BS$13)=0,10^12,OFFSET(CRONOPLE!$F$15,$M166-$A$15,BS$13)))</f>
        <v>0</v>
      </c>
      <c r="BT166" s="171">
        <f ca="1">IF(OR($D166&lt;&gt;"Serviço",AND(AUTOEVENTO="Manual",$M166=$A$15)),0,
         IF(OFFSET(CRONOPLE!$F$15,$M166-$A$15,BT$13)=0,10^12,OFFSET(CRONOPLE!$F$15,$M166-$A$15,BT$13)))</f>
        <v>0</v>
      </c>
      <c r="BV166" s="172" cm="1">
        <f t="array" aca="1" ref="BV166" ca="1">IF(OR($D166&lt;&gt;"Serviço",AND(AUTOEVENTO="Manual",$M166=$A$15),$M166&gt;(ROW(PLE.lastrow)-ROW(PLE.firstrow))),0,
           IF(OFFSET(PLE!$G$15,$M166-$A$15,BV$13)="",10^12,OFFSET(PLE!$G$15,$M166-$A$15,BV$13)))</f>
        <v>0</v>
      </c>
      <c r="BW166" s="172" cm="1">
        <f t="array" aca="1" ref="BW166" ca="1">IF(OR($D166&lt;&gt;"Serviço",AND(AUTOEVENTO="Manual",$M166=$A$15),$M166&gt;(ROW(PLE.lastrow)-ROW(PLE.firstrow))),0,
           IF(OFFSET(PLE!$G$15,$M166-$A$15,BW$13)="",10^12,OFFSET(PLE!$G$15,$M166-$A$15,BW$13)))</f>
        <v>0</v>
      </c>
      <c r="BX166" s="172" cm="1">
        <f t="array" aca="1" ref="BX166" ca="1">IF(OR($D166&lt;&gt;"Serviço",AND(AUTOEVENTO="Manual",$M166=$A$15),$M166&gt;(ROW(PLE.lastrow)-ROW(PLE.firstrow))),0,
           IF(OFFSET(PLE!$G$15,$M166-$A$15,BX$13)="",10^12,OFFSET(PLE!$G$15,$M166-$A$15,BX$13)))</f>
        <v>0</v>
      </c>
      <c r="BY166" s="172" cm="1">
        <f t="array" aca="1" ref="BY166" ca="1">IF(OR($D166&lt;&gt;"Serviço",AND(AUTOEVENTO="Manual",$M166=$A$15),$M166&gt;(ROW(PLE.lastrow)-ROW(PLE.firstrow))),0,
           IF(OFFSET(PLE!$G$15,$M166-$A$15,BY$13)="",10^12,OFFSET(PLE!$G$15,$M166-$A$15,BY$13)))</f>
        <v>0</v>
      </c>
      <c r="BZ166" s="172" cm="1">
        <f t="array" aca="1" ref="BZ166" ca="1">IF(OR($D166&lt;&gt;"Serviço",AND(AUTOEVENTO="Manual",$M166=$A$15),$M166&gt;(ROW(PLE.lastrow)-ROW(PLE.firstrow))),0,
           IF(OFFSET(PLE!$G$15,$M166-$A$15,BZ$13)="",10^12,OFFSET(PLE!$G$15,$M166-$A$15,BZ$13)))</f>
        <v>0</v>
      </c>
      <c r="CA166" s="172" cm="1">
        <f t="array" aca="1" ref="CA166" ca="1">IF(OR($D166&lt;&gt;"Serviço",AND(AUTOEVENTO="Manual",$M166=$A$15),$M166&gt;(ROW(PLE.lastrow)-ROW(PLE.firstrow))),0,
           IF(OFFSET(PLE!$G$15,$M166-$A$15,CA$13)="",10^12,OFFSET(PLE!$G$15,$M166-$A$15,CA$13)))</f>
        <v>0</v>
      </c>
      <c r="CB166" s="172" cm="1">
        <f t="array" aca="1" ref="CB166" ca="1">IF(OR($D166&lt;&gt;"Serviço",AND(AUTOEVENTO="Manual",$M166=$A$15),$M166&gt;(ROW(PLE.lastrow)-ROW(PLE.firstrow))),0,
           IF(OFFSET(PLE!$G$15,$M166-$A$15,CB$13)="",10^12,OFFSET(PLE!$G$15,$M166-$A$15,CB$13)))</f>
        <v>0</v>
      </c>
      <c r="CC166" s="172" cm="1">
        <f t="array" aca="1" ref="CC166" ca="1">IF(OR($D166&lt;&gt;"Serviço",AND(AUTOEVENTO="Manual",$M166=$A$15),$M166&gt;(ROW(PLE.lastrow)-ROW(PLE.firstrow))),0,
           IF(OFFSET(PLE!$G$15,$M166-$A$15,CC$13)="",10^12,OFFSET(PLE!$G$15,$M166-$A$15,CC$13)))</f>
        <v>0</v>
      </c>
      <c r="CD166" s="172" cm="1">
        <f t="array" aca="1" ref="CD166" ca="1">IF(OR($D166&lt;&gt;"Serviço",AND(AUTOEVENTO="Manual",$M166=$A$15),$M166&gt;(ROW(PLE.lastrow)-ROW(PLE.firstrow))),0,
           IF(OFFSET(PLE!$G$15,$M166-$A$15,CD$13)="",10^12,OFFSET(PLE!$G$15,$M166-$A$15,CD$13)))</f>
        <v>0</v>
      </c>
      <c r="CE166" s="172" cm="1">
        <f t="array" aca="1" ref="CE166" ca="1">IF(OR($D166&lt;&gt;"Serviço",AND(AUTOEVENTO="Manual",$M166=$A$15),$M166&gt;(ROW(PLE.lastrow)-ROW(PLE.firstrow))),0,
           IF(OFFSET(PLE!$G$15,$M166-$A$15,CE$13)="",10^12,OFFSET(PLE!$G$15,$M166-$A$15,CE$13)))</f>
        <v>0</v>
      </c>
      <c r="CF166" s="172" cm="1">
        <f t="array" aca="1" ref="CF166" ca="1">IF(OR($D166&lt;&gt;"Serviço",AND(AUTOEVENTO="Manual",$M166=$A$15),$M166&gt;(ROW(PLE.lastrow)-ROW(PLE.firstrow))),0,
           IF(OFFSET(PLE!$G$15,$M166-$A$15,CF$13)="",10^12,OFFSET(PLE!$G$15,$M166-$A$15,CF$13)))</f>
        <v>0</v>
      </c>
      <c r="CG166" s="172" cm="1">
        <f t="array" aca="1" ref="CG166" ca="1">IF(OR($D166&lt;&gt;"Serviço",AND(AUTOEVENTO="Manual",$M166=$A$15),$M166&gt;(ROW(PLE.lastrow)-ROW(PLE.firstrow))),0,
           IF(OFFSET(PLE!$G$15,$M166-$A$15,CG$13)="",10^12,OFFSET(PLE!$G$15,$M166-$A$15,CG$13)))</f>
        <v>0</v>
      </c>
      <c r="CH166" s="172" cm="1">
        <f t="array" aca="1" ref="CH166" ca="1">IF(OR($D166&lt;&gt;"Serviço",AND(AUTOEVENTO="Manual",$M166=$A$15),$M166&gt;(ROW(PLE.lastrow)-ROW(PLE.firstrow))),0,
           IF(OFFSET(PLE!$G$15,$M166-$A$15,CH$13)="",10^12,OFFSET(PLE!$G$15,$M166-$A$15,CH$13)))</f>
        <v>0</v>
      </c>
      <c r="CI166" s="172" cm="1">
        <f t="array" aca="1" ref="CI166" ca="1">IF(OR($D166&lt;&gt;"Serviço",AND(AUTOEVENTO="Manual",$M166=$A$15),$M166&gt;(ROW(PLE.lastrow)-ROW(PLE.firstrow))),0,
           IF(OFFSET(PLE!$G$15,$M166-$A$15,CI$13)="",10^12,OFFSET(PLE!$G$15,$M166-$A$15,CI$13)))</f>
        <v>0</v>
      </c>
      <c r="CJ166" s="172" cm="1">
        <f t="array" aca="1" ref="CJ166" ca="1">IF(OR($D166&lt;&gt;"Serviço",AND(AUTOEVENTO="Manual",$M166=$A$15),$M166&gt;(ROW(PLE.lastrow)-ROW(PLE.firstrow))),0,
           IF(OFFSET(PLE!$G$15,$M166-$A$15,CJ$13)="",10^12,OFFSET(PLE!$G$15,$M166-$A$15,CJ$13)))</f>
        <v>0</v>
      </c>
      <c r="CK166" s="172" cm="1">
        <f t="array" aca="1" ref="CK166" ca="1">IF(OR($D166&lt;&gt;"Serviço",AND(AUTOEVENTO="Manual",$M166=$A$15),$M166&gt;(ROW(PLE.lastrow)-ROW(PLE.firstrow))),0,
           IF(OFFSET(PLE!$G$15,$M166-$A$15,CK$13)="",10^12,OFFSET(PLE!$G$15,$M166-$A$15,CK$13)))</f>
        <v>0</v>
      </c>
      <c r="CL166" s="172" cm="1">
        <f t="array" aca="1" ref="CL166" ca="1">IF(OR($D166&lt;&gt;"Serviço",AND(AUTOEVENTO="Manual",$M166=$A$15),$M166&gt;(ROW(PLE.lastrow)-ROW(PLE.firstrow))),0,
           IF(OFFSET(PLE!$G$15,$M166-$A$15,CL$13)="",10^12,OFFSET(PLE!$G$15,$M166-$A$15,CL$13)))</f>
        <v>0</v>
      </c>
      <c r="CM166" s="172" cm="1">
        <f t="array" aca="1" ref="CM166" ca="1">IF(OR($D166&lt;&gt;"Serviço",AND(AUTOEVENTO="Manual",$M166=$A$15),$M166&gt;(ROW(PLE.lastrow)-ROW(PLE.firstrow))),0,
           IF(OFFSET(PLE!$G$15,$M166-$A$15,CM$13)="",10^12,OFFSET(PLE!$G$15,$M166-$A$15,CM$13)))</f>
        <v>0</v>
      </c>
    </row>
    <row r="167" spans="1:91" s="670" customFormat="1" ht="25.5" x14ac:dyDescent="0.2">
      <c r="A167" s="668">
        <f t="shared" ca="1" si="14"/>
        <v>26</v>
      </c>
      <c r="B167" s="668" t="str">
        <f ca="1">OFFSET(ORÇAMENTO!C$15,$L167,0)</f>
        <v>S</v>
      </c>
      <c r="C167" s="668" t="str">
        <f ca="1">OFFSET(ORÇAMENTO!L$15,$L167,0)</f>
        <v>F</v>
      </c>
      <c r="D167" s="116" t="str">
        <f ca="1">OFFSET(ORÇAMENTO!N$15,$L167,0)</f>
        <v>Serviço</v>
      </c>
      <c r="E167" s="117" t="str">
        <f ca="1">OFFSET(ORÇAMENTO!O$15,$L167,0)</f>
        <v>1.22.1.</v>
      </c>
      <c r="F167" s="163" t="str">
        <f ca="1">OFFSET(ORÇAMENTO!R$15,$L167,0)</f>
        <v>QUADRO DE COMANDO COMPESSADOR PARA ACIONAMENT E PROTEÇÃO INDIVIDUALIZADO DE DOIS CONJUNTOS</v>
      </c>
      <c r="G167" s="164" t="str">
        <f ca="1">IF($D167&lt;&gt;"Serviço","",OFFSET(ORÇAMENTO!S$15,$L167,0))</f>
        <v>UNIDADE</v>
      </c>
      <c r="H167" s="122" cm="1">
        <f t="array" aca="1" ref="H167" ca="1">IF($D167&lt;&gt;"Serviço",0,IF(ACOMPANHAMENTO="BM",ROUND(OFFSET(ORÇAMENTO!AJ$15,$L167,0),15-13*ORÇAMENTO!$AF$7),IF(IFERROR(CÁLCULO.FrentesPreenchidas,0)=0,0,SUM(ROUND(OFFSET($P167,0,1,1,CÁLCULO.FrentesPreenchidas),15-13*ORÇAMENTO!$AF$7)))))</f>
        <v>2</v>
      </c>
      <c r="I167" s="468" t="s">
        <v>1117</v>
      </c>
      <c r="J167" s="651" t="str" cm="1">
        <f t="array" aca="1" ref="J167" ca="1">IF(OR(B167&lt;&gt;"S",CÁLCULO.FrentesPreenchidas=0),"",IF(AND(ACOMPANHAMENTO="PLE",AUTOEVENTO="Manual",OR(H167&gt;0,ORÇAMENTO!AC167="QUANT."),OR(K167="",M167=0,N167="")),"►E",IF(AND(ACOMPANHAMENTO="PLE",ORÇAMENTO!AC167="QUANT."),"►Q",IF(AND(ACOMPANHAMENTO="PLE",H167&lt;&gt;SUMPRODUCT(($Q$1:$AI$1=1)*ROUND(Q167:AI167,15))),"►S",IF(AND(COUNTIF($P$11:$AI$11,"▼")=0,H167&gt;0,I167=""),"◄M","")))))</f>
        <v/>
      </c>
      <c r="K167" s="652" t="s">
        <v>1364</v>
      </c>
      <c r="L167" s="165">
        <f t="shared" ca="1" si="15"/>
        <v>152</v>
      </c>
      <c r="M167" s="166">
        <f ca="1">IF($D167&lt;&gt;"Serviço","",
          IF(AUTOEVENTO="manual",$A167,
                IF(ISERROR(MATCH($A167,$A$15:OFFSET($A167,-1,0),0)),MAX($M$15:OFFSET(M167,-1,0))+1,
                      INDEX($M$15:OFFSET(M167,-1,0),MATCH($A167,$A$15:OFFSET($A167,-1,0),0)))))</f>
        <v>26</v>
      </c>
      <c r="N167" s="167" t="str">
        <f ca="1">IF($D167&lt;&gt;"Serviço","",
         IF(AUTOEVENTO="Manual",
                IF($A167=0,"&lt;-- defina o número do agrupador",
                       OFFSET(EVENTOS!$D$15,$A167-$A$15,0)),
                OFFSET($F$15,$A167,0)))</f>
        <v>Instalações mecânicas</v>
      </c>
      <c r="O167" s="168"/>
      <c r="Q167" s="168"/>
      <c r="R167" s="169"/>
      <c r="S167" s="169"/>
      <c r="T167" s="169"/>
      <c r="U167" s="169"/>
      <c r="V167" s="169">
        <v>2</v>
      </c>
      <c r="W167" s="169"/>
      <c r="X167" s="169"/>
      <c r="Y167" s="169"/>
      <c r="Z167" s="170"/>
      <c r="AA167" s="705"/>
      <c r="AB167" s="705"/>
      <c r="AC167" s="705"/>
      <c r="AD167" s="705"/>
      <c r="AE167" s="705"/>
      <c r="AF167" s="705"/>
      <c r="AG167" s="705"/>
      <c r="AH167" s="706"/>
      <c r="AJ167" s="453">
        <f ca="1">IF(AND($D167="Serviço",AJ$12&lt;&gt;0,$H167&gt;0,OR(AUTOEVENTO&lt;&gt;"manual",$M167&lt;&gt;$A$15)),
        IF(Import.TipoArredondamento&lt;&gt;"TransfereGOV",
              ROUND(OFFSET($P167,0,AJ$13),15-13*ORÇAMENTO!$AF$7)/$H167*OFFSET(ORÇAMENTO!$X$15,ROW(AJ167)-ROW(AJ$15),0),
              ROUND(ROUND(OFFSET($P167,0,AJ$13),15-13*ORÇAMENTO!$AF$7)*OFFSET(ORÇAMENTO!$W$15,ROW(AJ167)-ROW(AJ$15),0),15-13*ORÇAMENTO!$AF$11)),
         0)</f>
        <v>0</v>
      </c>
      <c r="AK167" s="453">
        <f ca="1">IF(AND($D167="Serviço",AK$12&lt;&gt;0,$H167&gt;0,OR(AUTOEVENTO&lt;&gt;"manual",$M167&lt;&gt;$A$15)),
        IF(Import.TipoArredondamento&lt;&gt;"TransfereGOV",
              ROUND(OFFSET($P167,0,AK$13),15-13*ORÇAMENTO!$AF$7)/$H167*OFFSET(ORÇAMENTO!$X$15,ROW(AK167)-ROW(AK$15),0),
              ROUND(ROUND(OFFSET($P167,0,AK$13),15-13*ORÇAMENTO!$AF$7)*OFFSET(ORÇAMENTO!$W$15,ROW(AK167)-ROW(AK$15),0),15-13*ORÇAMENTO!$AF$11)),
         0)</f>
        <v>0</v>
      </c>
      <c r="AL167" s="453">
        <f ca="1">IF(AND($D167="Serviço",AL$12&lt;&gt;0,$H167&gt;0,OR(AUTOEVENTO&lt;&gt;"manual",$M167&lt;&gt;$A$15)),
        IF(Import.TipoArredondamento&lt;&gt;"TransfereGOV",
              ROUND(OFFSET($P167,0,AL$13),15-13*ORÇAMENTO!$AF$7)/$H167*OFFSET(ORÇAMENTO!$X$15,ROW(AL167)-ROW(AL$15),0),
              ROUND(ROUND(OFFSET($P167,0,AL$13),15-13*ORÇAMENTO!$AF$7)*OFFSET(ORÇAMENTO!$W$15,ROW(AL167)-ROW(AL$15),0),15-13*ORÇAMENTO!$AF$11)),
         0)</f>
        <v>0</v>
      </c>
      <c r="AM167" s="453">
        <f ca="1">IF(AND($D167="Serviço",AM$12&lt;&gt;0,$H167&gt;0,OR(AUTOEVENTO&lt;&gt;"manual",$M167&lt;&gt;$A$15)),
        IF(Import.TipoArredondamento&lt;&gt;"TransfereGOV",
              ROUND(OFFSET($P167,0,AM$13),15-13*ORÇAMENTO!$AF$7)/$H167*OFFSET(ORÇAMENTO!$X$15,ROW(AM167)-ROW(AM$15),0),
              ROUND(ROUND(OFFSET($P167,0,AM$13),15-13*ORÇAMENTO!$AF$7)*OFFSET(ORÇAMENTO!$W$15,ROW(AM167)-ROW(AM$15),0),15-13*ORÇAMENTO!$AF$11)),
         0)</f>
        <v>0</v>
      </c>
      <c r="AN167" s="453">
        <f ca="1">IF(AND($D167="Serviço",AN$12&lt;&gt;0,$H167&gt;0,OR(AUTOEVENTO&lt;&gt;"manual",$M167&lt;&gt;$A$15)),
        IF(Import.TipoArredondamento&lt;&gt;"TransfereGOV",
              ROUND(OFFSET($P167,0,AN$13),15-13*ORÇAMENTO!$AF$7)/$H167*OFFSET(ORÇAMENTO!$X$15,ROW(AN167)-ROW(AN$15),0),
              ROUND(ROUND(OFFSET($P167,0,AN$13),15-13*ORÇAMENTO!$AF$7)*OFFSET(ORÇAMENTO!$W$15,ROW(AN167)-ROW(AN$15),0),15-13*ORÇAMENTO!$AF$11)),
         0)</f>
        <v>0</v>
      </c>
      <c r="AO167" s="453">
        <f ca="1">IF(AND($D167="Serviço",AO$12&lt;&gt;0,$H167&gt;0,OR(AUTOEVENTO&lt;&gt;"manual",$M167&lt;&gt;$A$15)),
        IF(Import.TipoArredondamento&lt;&gt;"TransfereGOV",
              ROUND(OFFSET($P167,0,AO$13),15-13*ORÇAMENTO!$AF$7)/$H167*OFFSET(ORÇAMENTO!$X$15,ROW(AO167)-ROW(AO$15),0),
              ROUND(ROUND(OFFSET($P167,0,AO$13),15-13*ORÇAMENTO!$AF$7)*OFFSET(ORÇAMENTO!$W$15,ROW(AO167)-ROW(AO$15),0),15-13*ORÇAMENTO!$AF$11)),
         0)</f>
        <v>130533.54</v>
      </c>
      <c r="AP167" s="453">
        <f ca="1">IF(AND($D167="Serviço",AP$12&lt;&gt;0,$H167&gt;0,OR(AUTOEVENTO&lt;&gt;"manual",$M167&lt;&gt;$A$15)),
        IF(Import.TipoArredondamento&lt;&gt;"TransfereGOV",
              ROUND(OFFSET($P167,0,AP$13),15-13*ORÇAMENTO!$AF$7)/$H167*OFFSET(ORÇAMENTO!$X$15,ROW(AP167)-ROW(AP$15),0),
              ROUND(ROUND(OFFSET($P167,0,AP$13),15-13*ORÇAMENTO!$AF$7)*OFFSET(ORÇAMENTO!$W$15,ROW(AP167)-ROW(AP$15),0),15-13*ORÇAMENTO!$AF$11)),
         0)</f>
        <v>0</v>
      </c>
      <c r="AQ167" s="453">
        <f ca="1">IF(AND($D167="Serviço",AQ$12&lt;&gt;0,$H167&gt;0,OR(AUTOEVENTO&lt;&gt;"manual",$M167&lt;&gt;$A$15)),
        IF(Import.TipoArredondamento&lt;&gt;"TransfereGOV",
              ROUND(OFFSET($P167,0,AQ$13),15-13*ORÇAMENTO!$AF$7)/$H167*OFFSET(ORÇAMENTO!$X$15,ROW(AQ167)-ROW(AQ$15),0),
              ROUND(ROUND(OFFSET($P167,0,AQ$13),15-13*ORÇAMENTO!$AF$7)*OFFSET(ORÇAMENTO!$W$15,ROW(AQ167)-ROW(AQ$15),0),15-13*ORÇAMENTO!$AF$11)),
         0)</f>
        <v>0</v>
      </c>
      <c r="AR167" s="453">
        <f ca="1">IF(AND($D167="Serviço",AR$12&lt;&gt;0,$H167&gt;0,OR(AUTOEVENTO&lt;&gt;"manual",$M167&lt;&gt;$A$15)),
        IF(Import.TipoArredondamento&lt;&gt;"TransfereGOV",
              ROUND(OFFSET($P167,0,AR$13),15-13*ORÇAMENTO!$AF$7)/$H167*OFFSET(ORÇAMENTO!$X$15,ROW(AR167)-ROW(AR$15),0),
              ROUND(ROUND(OFFSET($P167,0,AR$13),15-13*ORÇAMENTO!$AF$7)*OFFSET(ORÇAMENTO!$W$15,ROW(AR167)-ROW(AR$15),0),15-13*ORÇAMENTO!$AF$11)),
         0)</f>
        <v>0</v>
      </c>
      <c r="AS167" s="453">
        <f ca="1">IF(AND($D167="Serviço",AS$12&lt;&gt;0,$H167&gt;0,OR(AUTOEVENTO&lt;&gt;"manual",$M167&lt;&gt;$A$15)),
        IF(Import.TipoArredondamento&lt;&gt;"TransfereGOV",
              ROUND(OFFSET($P167,0,AS$13),15-13*ORÇAMENTO!$AF$7)/$H167*OFFSET(ORÇAMENTO!$X$15,ROW(AS167)-ROW(AS$15),0),
              ROUND(ROUND(OFFSET($P167,0,AS$13),15-13*ORÇAMENTO!$AF$7)*OFFSET(ORÇAMENTO!$W$15,ROW(AS167)-ROW(AS$15),0),15-13*ORÇAMENTO!$AF$11)),
         0)</f>
        <v>0</v>
      </c>
      <c r="AT167" s="453">
        <f ca="1">IF(AND($D167="Serviço",AT$12&lt;&gt;0,$H167&gt;0,OR(AUTOEVENTO&lt;&gt;"manual",$M167&lt;&gt;$A$15)),
        IF(Import.TipoArredondamento&lt;&gt;"TransfereGOV",
              ROUND(OFFSET($P167,0,AT$13),15-13*ORÇAMENTO!$AF$7)/$H167*OFFSET(ORÇAMENTO!$X$15,ROW(AT167)-ROW(AT$15),0),
              ROUND(ROUND(OFFSET($P167,0,AT$13),15-13*ORÇAMENTO!$AF$7)*OFFSET(ORÇAMENTO!$W$15,ROW(AT167)-ROW(AT$15),0),15-13*ORÇAMENTO!$AF$11)),
         0)</f>
        <v>0</v>
      </c>
      <c r="AU167" s="453">
        <f ca="1">IF(AND($D167="Serviço",AU$12&lt;&gt;0,$H167&gt;0,OR(AUTOEVENTO&lt;&gt;"manual",$M167&lt;&gt;$A$15)),
        IF(Import.TipoArredondamento&lt;&gt;"TransfereGOV",
              ROUND(OFFSET($P167,0,AU$13),15-13*ORÇAMENTO!$AF$7)/$H167*OFFSET(ORÇAMENTO!$X$15,ROW(AU167)-ROW(AU$15),0),
              ROUND(ROUND(OFFSET($P167,0,AU$13),15-13*ORÇAMENTO!$AF$7)*OFFSET(ORÇAMENTO!$W$15,ROW(AU167)-ROW(AU$15),0),15-13*ORÇAMENTO!$AF$11)),
         0)</f>
        <v>0</v>
      </c>
      <c r="AV167" s="453">
        <f ca="1">IF(AND($D167="Serviço",AV$12&lt;&gt;0,$H167&gt;0,OR(AUTOEVENTO&lt;&gt;"manual",$M167&lt;&gt;$A$15)),
        IF(Import.TipoArredondamento&lt;&gt;"TransfereGOV",
              ROUND(OFFSET($P167,0,AV$13),15-13*ORÇAMENTO!$AF$7)/$H167*OFFSET(ORÇAMENTO!$X$15,ROW(AV167)-ROW(AV$15),0),
              ROUND(ROUND(OFFSET($P167,0,AV$13),15-13*ORÇAMENTO!$AF$7)*OFFSET(ORÇAMENTO!$W$15,ROW(AV167)-ROW(AV$15),0),15-13*ORÇAMENTO!$AF$11)),
         0)</f>
        <v>0</v>
      </c>
      <c r="AW167" s="453">
        <f ca="1">IF(AND($D167="Serviço",AW$12&lt;&gt;0,$H167&gt;0,OR(AUTOEVENTO&lt;&gt;"manual",$M167&lt;&gt;$A$15)),
        IF(Import.TipoArredondamento&lt;&gt;"TransfereGOV",
              ROUND(OFFSET($P167,0,AW$13),15-13*ORÇAMENTO!$AF$7)/$H167*OFFSET(ORÇAMENTO!$X$15,ROW(AW167)-ROW(AW$15),0),
              ROUND(ROUND(OFFSET($P167,0,AW$13),15-13*ORÇAMENTO!$AF$7)*OFFSET(ORÇAMENTO!$W$15,ROW(AW167)-ROW(AW$15),0),15-13*ORÇAMENTO!$AF$11)),
         0)</f>
        <v>0</v>
      </c>
      <c r="AX167" s="453">
        <f ca="1">IF(AND($D167="Serviço",AX$12&lt;&gt;0,$H167&gt;0,OR(AUTOEVENTO&lt;&gt;"manual",$M167&lt;&gt;$A$15)),
        IF(Import.TipoArredondamento&lt;&gt;"TransfereGOV",
              ROUND(OFFSET($P167,0,AX$13),15-13*ORÇAMENTO!$AF$7)/$H167*OFFSET(ORÇAMENTO!$X$15,ROW(AX167)-ROW(AX$15),0),
              ROUND(ROUND(OFFSET($P167,0,AX$13),15-13*ORÇAMENTO!$AF$7)*OFFSET(ORÇAMENTO!$W$15,ROW(AX167)-ROW(AX$15),0),15-13*ORÇAMENTO!$AF$11)),
         0)</f>
        <v>0</v>
      </c>
      <c r="AY167" s="453">
        <f ca="1">IF(AND($D167="Serviço",AY$12&lt;&gt;0,$H167&gt;0,OR(AUTOEVENTO&lt;&gt;"manual",$M167&lt;&gt;$A$15)),
        IF(Import.TipoArredondamento&lt;&gt;"TransfereGOV",
              ROUND(OFFSET($P167,0,AY$13),15-13*ORÇAMENTO!$AF$7)/$H167*OFFSET(ORÇAMENTO!$X$15,ROW(AY167)-ROW(AY$15),0),
              ROUND(ROUND(OFFSET($P167,0,AY$13),15-13*ORÇAMENTO!$AF$7)*OFFSET(ORÇAMENTO!$W$15,ROW(AY167)-ROW(AY$15),0),15-13*ORÇAMENTO!$AF$11)),
         0)</f>
        <v>0</v>
      </c>
      <c r="AZ167" s="453">
        <f ca="1">IF(AND($D167="Serviço",AZ$12&lt;&gt;0,$H167&gt;0,OR(AUTOEVENTO&lt;&gt;"manual",$M167&lt;&gt;$A$15)),
        IF(Import.TipoArredondamento&lt;&gt;"TransfereGOV",
              ROUND(OFFSET($P167,0,AZ$13),15-13*ORÇAMENTO!$AF$7)/$H167*OFFSET(ORÇAMENTO!$X$15,ROW(AZ167)-ROW(AZ$15),0),
              ROUND(ROUND(OFFSET($P167,0,AZ$13),15-13*ORÇAMENTO!$AF$7)*OFFSET(ORÇAMENTO!$W$15,ROW(AZ167)-ROW(AZ$15),0),15-13*ORÇAMENTO!$AF$11)),
         0)</f>
        <v>0</v>
      </c>
      <c r="BA167" s="453">
        <f ca="1">IF(AND($D167="Serviço",BA$12&lt;&gt;0,$H167&gt;0,OR(AUTOEVENTO&lt;&gt;"manual",$M167&lt;&gt;$A$15)),
        IF(Import.TipoArredondamento&lt;&gt;"TransfereGOV",
              ROUND(OFFSET($P167,0,BA$13),15-13*ORÇAMENTO!$AF$7)/$H167*OFFSET(ORÇAMENTO!$X$15,ROW(BA167)-ROW(BA$15),0),
              ROUND(ROUND(OFFSET($P167,0,BA$13),15-13*ORÇAMENTO!$AF$7)*OFFSET(ORÇAMENTO!$W$15,ROW(BA167)-ROW(BA$15),0),15-13*ORÇAMENTO!$AF$11)),
         0)</f>
        <v>0</v>
      </c>
      <c r="BC167" s="171">
        <f ca="1">IF(OR($D167&lt;&gt;"Serviço",AND(AUTOEVENTO="Manual",$M167=$A$15)),0,
         IF(OFFSET(CRONOPLE!$F$15,$M167-$A$15,BC$13)=0,10^12,OFFSET(CRONOPLE!$F$15,$M167-$A$15,BC$13)))</f>
        <v>1000000000000</v>
      </c>
      <c r="BD167" s="171">
        <f ca="1">IF(OR($D167&lt;&gt;"Serviço",AND(AUTOEVENTO="Manual",$M167=$A$15)),0,
         IF(OFFSET(CRONOPLE!$F$15,$M167-$A$15,BD$13)=0,10^12,OFFSET(CRONOPLE!$F$15,$M167-$A$15,BD$13)))</f>
        <v>1000000000000</v>
      </c>
      <c r="BE167" s="171">
        <f ca="1">IF(OR($D167&lt;&gt;"Serviço",AND(AUTOEVENTO="Manual",$M167=$A$15)),0,
         IF(OFFSET(CRONOPLE!$F$15,$M167-$A$15,BE$13)=0,10^12,OFFSET(CRONOPLE!$F$15,$M167-$A$15,BE$13)))</f>
        <v>1000000000000</v>
      </c>
      <c r="BF167" s="171">
        <f ca="1">IF(OR($D167&lt;&gt;"Serviço",AND(AUTOEVENTO="Manual",$M167=$A$15)),0,
         IF(OFFSET(CRONOPLE!$F$15,$M167-$A$15,BF$13)=0,10^12,OFFSET(CRONOPLE!$F$15,$M167-$A$15,BF$13)))</f>
        <v>1000000000000</v>
      </c>
      <c r="BG167" s="171">
        <f ca="1">IF(OR($D167&lt;&gt;"Serviço",AND(AUTOEVENTO="Manual",$M167=$A$15)),0,
         IF(OFFSET(CRONOPLE!$F$15,$M167-$A$15,BG$13)=0,10^12,OFFSET(CRONOPLE!$F$15,$M167-$A$15,BG$13)))</f>
        <v>1000000000000</v>
      </c>
      <c r="BH167" s="171">
        <f ca="1">IF(OR($D167&lt;&gt;"Serviço",AND(AUTOEVENTO="Manual",$M167=$A$15)),0,
         IF(OFFSET(CRONOPLE!$F$15,$M167-$A$15,BH$13)=0,10^12,OFFSET(CRONOPLE!$F$15,$M167-$A$15,BH$13)))</f>
        <v>12</v>
      </c>
      <c r="BI167" s="171">
        <f ca="1">IF(OR($D167&lt;&gt;"Serviço",AND(AUTOEVENTO="Manual",$M167=$A$15)),0,
         IF(OFFSET(CRONOPLE!$F$15,$M167-$A$15,BI$13)=0,10^12,OFFSET(CRONOPLE!$F$15,$M167-$A$15,BI$13)))</f>
        <v>1000000000000</v>
      </c>
      <c r="BJ167" s="171">
        <f ca="1">IF(OR($D167&lt;&gt;"Serviço",AND(AUTOEVENTO="Manual",$M167=$A$15)),0,
         IF(OFFSET(CRONOPLE!$F$15,$M167-$A$15,BJ$13)=0,10^12,OFFSET(CRONOPLE!$F$15,$M167-$A$15,BJ$13)))</f>
        <v>1000000000000</v>
      </c>
      <c r="BK167" s="171">
        <f ca="1">IF(OR($D167&lt;&gt;"Serviço",AND(AUTOEVENTO="Manual",$M167=$A$15)),0,
         IF(OFFSET(CRONOPLE!$F$15,$M167-$A$15,BK$13)=0,10^12,OFFSET(CRONOPLE!$F$15,$M167-$A$15,BK$13)))</f>
        <v>1000000000000</v>
      </c>
      <c r="BL167" s="171">
        <f ca="1">IF(OR($D167&lt;&gt;"Serviço",AND(AUTOEVENTO="Manual",$M167=$A$15)),0,
         IF(OFFSET(CRONOPLE!$F$15,$M167-$A$15,BL$13)=0,10^12,OFFSET(CRONOPLE!$F$15,$M167-$A$15,BL$13)))</f>
        <v>1000000000000</v>
      </c>
      <c r="BM167" s="171">
        <f ca="1">IF(OR($D167&lt;&gt;"Serviço",AND(AUTOEVENTO="Manual",$M167=$A$15)),0,
         IF(OFFSET(CRONOPLE!$F$15,$M167-$A$15,BM$13)=0,10^12,OFFSET(CRONOPLE!$F$15,$M167-$A$15,BM$13)))</f>
        <v>1000000000000</v>
      </c>
      <c r="BN167" s="171">
        <f ca="1">IF(OR($D167&lt;&gt;"Serviço",AND(AUTOEVENTO="Manual",$M167=$A$15)),0,
         IF(OFFSET(CRONOPLE!$F$15,$M167-$A$15,BN$13)=0,10^12,OFFSET(CRONOPLE!$F$15,$M167-$A$15,BN$13)))</f>
        <v>1000000000000</v>
      </c>
      <c r="BO167" s="171">
        <f ca="1">IF(OR($D167&lt;&gt;"Serviço",AND(AUTOEVENTO="Manual",$M167=$A$15)),0,
         IF(OFFSET(CRONOPLE!$F$15,$M167-$A$15,BO$13)=0,10^12,OFFSET(CRONOPLE!$F$15,$M167-$A$15,BO$13)))</f>
        <v>1000000000000</v>
      </c>
      <c r="BP167" s="171">
        <f ca="1">IF(OR($D167&lt;&gt;"Serviço",AND(AUTOEVENTO="Manual",$M167=$A$15)),0,
         IF(OFFSET(CRONOPLE!$F$15,$M167-$A$15,BP$13)=0,10^12,OFFSET(CRONOPLE!$F$15,$M167-$A$15,BP$13)))</f>
        <v>1000000000000</v>
      </c>
      <c r="BQ167" s="171">
        <f ca="1">IF(OR($D167&lt;&gt;"Serviço",AND(AUTOEVENTO="Manual",$M167=$A$15)),0,
         IF(OFFSET(CRONOPLE!$F$15,$M167-$A$15,BQ$13)=0,10^12,OFFSET(CRONOPLE!$F$15,$M167-$A$15,BQ$13)))</f>
        <v>1000000000000</v>
      </c>
      <c r="BR167" s="171">
        <f ca="1">IF(OR($D167&lt;&gt;"Serviço",AND(AUTOEVENTO="Manual",$M167=$A$15)),0,
         IF(OFFSET(CRONOPLE!$F$15,$M167-$A$15,BR$13)=0,10^12,OFFSET(CRONOPLE!$F$15,$M167-$A$15,BR$13)))</f>
        <v>1000000000000</v>
      </c>
      <c r="BS167" s="171">
        <f ca="1">IF(OR($D167&lt;&gt;"Serviço",AND(AUTOEVENTO="Manual",$M167=$A$15)),0,
         IF(OFFSET(CRONOPLE!$F$15,$M167-$A$15,BS$13)=0,10^12,OFFSET(CRONOPLE!$F$15,$M167-$A$15,BS$13)))</f>
        <v>1000000000000</v>
      </c>
      <c r="BT167" s="171">
        <f ca="1">IF(OR($D167&lt;&gt;"Serviço",AND(AUTOEVENTO="Manual",$M167=$A$15)),0,
         IF(OFFSET(CRONOPLE!$F$15,$M167-$A$15,BT$13)=0,10^12,OFFSET(CRONOPLE!$F$15,$M167-$A$15,BT$13)))</f>
        <v>1000000000000</v>
      </c>
      <c r="BV167" s="172" cm="1">
        <f t="array" aca="1" ref="BV167" ca="1">IF(OR($D167&lt;&gt;"Serviço",AND(AUTOEVENTO="Manual",$M167=$A$15),$M167&gt;(ROW(PLE.lastrow)-ROW(PLE.firstrow))),0,
           IF(OFFSET(PLE!$G$15,$M167-$A$15,BV$13)="",10^12,OFFSET(PLE!$G$15,$M167-$A$15,BV$13)))</f>
        <v>1000000000000</v>
      </c>
      <c r="BW167" s="172" cm="1">
        <f t="array" aca="1" ref="BW167" ca="1">IF(OR($D167&lt;&gt;"Serviço",AND(AUTOEVENTO="Manual",$M167=$A$15),$M167&gt;(ROW(PLE.lastrow)-ROW(PLE.firstrow))),0,
           IF(OFFSET(PLE!$G$15,$M167-$A$15,BW$13)="",10^12,OFFSET(PLE!$G$15,$M167-$A$15,BW$13)))</f>
        <v>1000000000000</v>
      </c>
      <c r="BX167" s="172" cm="1">
        <f t="array" aca="1" ref="BX167" ca="1">IF(OR($D167&lt;&gt;"Serviço",AND(AUTOEVENTO="Manual",$M167=$A$15),$M167&gt;(ROW(PLE.lastrow)-ROW(PLE.firstrow))),0,
           IF(OFFSET(PLE!$G$15,$M167-$A$15,BX$13)="",10^12,OFFSET(PLE!$G$15,$M167-$A$15,BX$13)))</f>
        <v>1000000000000</v>
      </c>
      <c r="BY167" s="172" cm="1">
        <f t="array" aca="1" ref="BY167" ca="1">IF(OR($D167&lt;&gt;"Serviço",AND(AUTOEVENTO="Manual",$M167=$A$15),$M167&gt;(ROW(PLE.lastrow)-ROW(PLE.firstrow))),0,
           IF(OFFSET(PLE!$G$15,$M167-$A$15,BY$13)="",10^12,OFFSET(PLE!$G$15,$M167-$A$15,BY$13)))</f>
        <v>1000000000000</v>
      </c>
      <c r="BZ167" s="172" cm="1">
        <f t="array" aca="1" ref="BZ167" ca="1">IF(OR($D167&lt;&gt;"Serviço",AND(AUTOEVENTO="Manual",$M167=$A$15),$M167&gt;(ROW(PLE.lastrow)-ROW(PLE.firstrow))),0,
           IF(OFFSET(PLE!$G$15,$M167-$A$15,BZ$13)="",10^12,OFFSET(PLE!$G$15,$M167-$A$15,BZ$13)))</f>
        <v>1000000000000</v>
      </c>
      <c r="CA167" s="172" cm="1">
        <f t="array" aca="1" ref="CA167" ca="1">IF(OR($D167&lt;&gt;"Serviço",AND(AUTOEVENTO="Manual",$M167=$A$15),$M167&gt;(ROW(PLE.lastrow)-ROW(PLE.firstrow))),0,
           IF(OFFSET(PLE!$G$15,$M167-$A$15,CA$13)="",10^12,OFFSET(PLE!$G$15,$M167-$A$15,CA$13)))</f>
        <v>1000000000000</v>
      </c>
      <c r="CB167" s="172" cm="1">
        <f t="array" aca="1" ref="CB167" ca="1">IF(OR($D167&lt;&gt;"Serviço",AND(AUTOEVENTO="Manual",$M167=$A$15),$M167&gt;(ROW(PLE.lastrow)-ROW(PLE.firstrow))),0,
           IF(OFFSET(PLE!$G$15,$M167-$A$15,CB$13)="",10^12,OFFSET(PLE!$G$15,$M167-$A$15,CB$13)))</f>
        <v>1000000000000</v>
      </c>
      <c r="CC167" s="172" cm="1">
        <f t="array" aca="1" ref="CC167" ca="1">IF(OR($D167&lt;&gt;"Serviço",AND(AUTOEVENTO="Manual",$M167=$A$15),$M167&gt;(ROW(PLE.lastrow)-ROW(PLE.firstrow))),0,
           IF(OFFSET(PLE!$G$15,$M167-$A$15,CC$13)="",10^12,OFFSET(PLE!$G$15,$M167-$A$15,CC$13)))</f>
        <v>1000000000000</v>
      </c>
      <c r="CD167" s="172" cm="1">
        <f t="array" aca="1" ref="CD167" ca="1">IF(OR($D167&lt;&gt;"Serviço",AND(AUTOEVENTO="Manual",$M167=$A$15),$M167&gt;(ROW(PLE.lastrow)-ROW(PLE.firstrow))),0,
           IF(OFFSET(PLE!$G$15,$M167-$A$15,CD$13)="",10^12,OFFSET(PLE!$G$15,$M167-$A$15,CD$13)))</f>
        <v>1000000000000</v>
      </c>
      <c r="CE167" s="172" cm="1">
        <f t="array" aca="1" ref="CE167" ca="1">IF(OR($D167&lt;&gt;"Serviço",AND(AUTOEVENTO="Manual",$M167=$A$15),$M167&gt;(ROW(PLE.lastrow)-ROW(PLE.firstrow))),0,
           IF(OFFSET(PLE!$G$15,$M167-$A$15,CE$13)="",10^12,OFFSET(PLE!$G$15,$M167-$A$15,CE$13)))</f>
        <v>1000000000000</v>
      </c>
      <c r="CF167" s="172" cm="1">
        <f t="array" aca="1" ref="CF167" ca="1">IF(OR($D167&lt;&gt;"Serviço",AND(AUTOEVENTO="Manual",$M167=$A$15),$M167&gt;(ROW(PLE.lastrow)-ROW(PLE.firstrow))),0,
           IF(OFFSET(PLE!$G$15,$M167-$A$15,CF$13)="",10^12,OFFSET(PLE!$G$15,$M167-$A$15,CF$13)))</f>
        <v>1000000000000</v>
      </c>
      <c r="CG167" s="172" cm="1">
        <f t="array" aca="1" ref="CG167" ca="1">IF(OR($D167&lt;&gt;"Serviço",AND(AUTOEVENTO="Manual",$M167=$A$15),$M167&gt;(ROW(PLE.lastrow)-ROW(PLE.firstrow))),0,
           IF(OFFSET(PLE!$G$15,$M167-$A$15,CG$13)="",10^12,OFFSET(PLE!$G$15,$M167-$A$15,CG$13)))</f>
        <v>1000000000000</v>
      </c>
      <c r="CH167" s="172" cm="1">
        <f t="array" aca="1" ref="CH167" ca="1">IF(OR($D167&lt;&gt;"Serviço",AND(AUTOEVENTO="Manual",$M167=$A$15),$M167&gt;(ROW(PLE.lastrow)-ROW(PLE.firstrow))),0,
           IF(OFFSET(PLE!$G$15,$M167-$A$15,CH$13)="",10^12,OFFSET(PLE!$G$15,$M167-$A$15,CH$13)))</f>
        <v>1000000000000</v>
      </c>
      <c r="CI167" s="172" cm="1">
        <f t="array" aca="1" ref="CI167" ca="1">IF(OR($D167&lt;&gt;"Serviço",AND(AUTOEVENTO="Manual",$M167=$A$15),$M167&gt;(ROW(PLE.lastrow)-ROW(PLE.firstrow))),0,
           IF(OFFSET(PLE!$G$15,$M167-$A$15,CI$13)="",10^12,OFFSET(PLE!$G$15,$M167-$A$15,CI$13)))</f>
        <v>1000000000000</v>
      </c>
      <c r="CJ167" s="172" cm="1">
        <f t="array" aca="1" ref="CJ167" ca="1">IF(OR($D167&lt;&gt;"Serviço",AND(AUTOEVENTO="Manual",$M167=$A$15),$M167&gt;(ROW(PLE.lastrow)-ROW(PLE.firstrow))),0,
           IF(OFFSET(PLE!$G$15,$M167-$A$15,CJ$13)="",10^12,OFFSET(PLE!$G$15,$M167-$A$15,CJ$13)))</f>
        <v>1000000000000</v>
      </c>
      <c r="CK167" s="172" cm="1">
        <f t="array" aca="1" ref="CK167" ca="1">IF(OR($D167&lt;&gt;"Serviço",AND(AUTOEVENTO="Manual",$M167=$A$15),$M167&gt;(ROW(PLE.lastrow)-ROW(PLE.firstrow))),0,
           IF(OFFSET(PLE!$G$15,$M167-$A$15,CK$13)="",10^12,OFFSET(PLE!$G$15,$M167-$A$15,CK$13)))</f>
        <v>1000000000000</v>
      </c>
      <c r="CL167" s="172" cm="1">
        <f t="array" aca="1" ref="CL167" ca="1">IF(OR($D167&lt;&gt;"Serviço",AND(AUTOEVENTO="Manual",$M167=$A$15),$M167&gt;(ROW(PLE.lastrow)-ROW(PLE.firstrow))),0,
           IF(OFFSET(PLE!$G$15,$M167-$A$15,CL$13)="",10^12,OFFSET(PLE!$G$15,$M167-$A$15,CL$13)))</f>
        <v>1000000000000</v>
      </c>
      <c r="CM167" s="172" cm="1">
        <f t="array" aca="1" ref="CM167" ca="1">IF(OR($D167&lt;&gt;"Serviço",AND(AUTOEVENTO="Manual",$M167=$A$15),$M167&gt;(ROW(PLE.lastrow)-ROW(PLE.firstrow))),0,
           IF(OFFSET(PLE!$G$15,$M167-$A$15,CM$13)="",10^12,OFFSET(PLE!$G$15,$M167-$A$15,CM$13)))</f>
        <v>1000000000000</v>
      </c>
    </row>
    <row r="168" spans="1:91" s="670" customFormat="1" ht="25.5" x14ac:dyDescent="0.2">
      <c r="A168" s="668">
        <f t="shared" ca="1" si="14"/>
        <v>26</v>
      </c>
      <c r="B168" s="668" t="str">
        <f ca="1">OFFSET(ORÇAMENTO!C$15,$L168,0)</f>
        <v>S</v>
      </c>
      <c r="C168" s="668" t="str">
        <f ca="1">OFFSET(ORÇAMENTO!L$15,$L168,0)</f>
        <v>F</v>
      </c>
      <c r="D168" s="116" t="str">
        <f ca="1">OFFSET(ORÇAMENTO!N$15,$L168,0)</f>
        <v>Serviço</v>
      </c>
      <c r="E168" s="117" t="str">
        <f ca="1">OFFSET(ORÇAMENTO!O$15,$L168,0)</f>
        <v>1.22.2.</v>
      </c>
      <c r="F168" s="163" t="str">
        <f ca="1">OFFSET(ORÇAMENTO!R$15,$L168,0)</f>
        <v>CONJUNTO MOTOR-BOMBA (CENTRÍFUGA) 40 CV, MONOESTÁGIO TRIFÁSICO, HMAN= 45 A 75 MCA E Q= 120 A 75 M³/H</v>
      </c>
      <c r="G168" s="164" t="str">
        <f ca="1">IF($D168&lt;&gt;"Serviço","",OFFSET(ORÇAMENTO!S$15,$L168,0))</f>
        <v>UNIDADE</v>
      </c>
      <c r="H168" s="122" cm="1">
        <f t="array" aca="1" ref="H168" ca="1">IF($D168&lt;&gt;"Serviço",0,IF(ACOMPANHAMENTO="BM",ROUND(OFFSET(ORÇAMENTO!AJ$15,$L168,0),15-13*ORÇAMENTO!$AF$7),IF(IFERROR(CÁLCULO.FrentesPreenchidas,0)=0,0,SUM(ROUND(OFFSET($P168,0,1,1,CÁLCULO.FrentesPreenchidas),15-13*ORÇAMENTO!$AF$7)))))</f>
        <v>2</v>
      </c>
      <c r="I168" s="468" t="s">
        <v>1118</v>
      </c>
      <c r="J168" s="651" t="str" cm="1">
        <f t="array" aca="1" ref="J168" ca="1">IF(OR(B168&lt;&gt;"S",CÁLCULO.FrentesPreenchidas=0),"",IF(AND(ACOMPANHAMENTO="PLE",AUTOEVENTO="Manual",OR(H168&gt;0,ORÇAMENTO!AC168="QUANT."),OR(K168="",M168=0,N168="")),"►E",IF(AND(ACOMPANHAMENTO="PLE",ORÇAMENTO!AC168="QUANT."),"►Q",IF(AND(ACOMPANHAMENTO="PLE",H168&lt;&gt;SUMPRODUCT(($Q$1:$AI$1=1)*ROUND(Q168:AI168,15))),"►S",IF(AND(COUNTIF($P$11:$AI$11,"▼")=0,H168&gt;0,I168=""),"◄M","")))))</f>
        <v/>
      </c>
      <c r="K168" s="652" t="s">
        <v>1364</v>
      </c>
      <c r="L168" s="165">
        <f t="shared" ca="1" si="15"/>
        <v>153</v>
      </c>
      <c r="M168" s="166">
        <f ca="1">IF($D168&lt;&gt;"Serviço","",
          IF(AUTOEVENTO="manual",$A168,
                IF(ISERROR(MATCH($A168,$A$15:OFFSET($A168,-1,0),0)),MAX($M$15:OFFSET(M168,-1,0))+1,
                      INDEX($M$15:OFFSET(M168,-1,0),MATCH($A168,$A$15:OFFSET($A168,-1,0),0)))))</f>
        <v>26</v>
      </c>
      <c r="N168" s="167" t="str">
        <f ca="1">IF($D168&lt;&gt;"Serviço","",
         IF(AUTOEVENTO="Manual",
                IF($A168=0,"&lt;-- defina o número do agrupador",
                       OFFSET(EVENTOS!$D$15,$A168-$A$15,0)),
                OFFSET($F$15,$A168,0)))</f>
        <v>Instalações mecânicas</v>
      </c>
      <c r="O168" s="168"/>
      <c r="Q168" s="168"/>
      <c r="R168" s="169"/>
      <c r="S168" s="169"/>
      <c r="T168" s="169"/>
      <c r="U168" s="169"/>
      <c r="V168" s="169">
        <v>2</v>
      </c>
      <c r="W168" s="169"/>
      <c r="X168" s="169"/>
      <c r="Y168" s="169"/>
      <c r="Z168" s="170"/>
      <c r="AA168" s="705"/>
      <c r="AB168" s="705"/>
      <c r="AC168" s="705"/>
      <c r="AD168" s="705"/>
      <c r="AE168" s="705"/>
      <c r="AF168" s="705"/>
      <c r="AG168" s="705"/>
      <c r="AH168" s="706"/>
      <c r="AJ168" s="453">
        <f ca="1">IF(AND($D168="Serviço",AJ$12&lt;&gt;0,$H168&gt;0,OR(AUTOEVENTO&lt;&gt;"manual",$M168&lt;&gt;$A$15)),
        IF(Import.TipoArredondamento&lt;&gt;"TransfereGOV",
              ROUND(OFFSET($P168,0,AJ$13),15-13*ORÇAMENTO!$AF$7)/$H168*OFFSET(ORÇAMENTO!$X$15,ROW(AJ168)-ROW(AJ$15),0),
              ROUND(ROUND(OFFSET($P168,0,AJ$13),15-13*ORÇAMENTO!$AF$7)*OFFSET(ORÇAMENTO!$W$15,ROW(AJ168)-ROW(AJ$15),0),15-13*ORÇAMENTO!$AF$11)),
         0)</f>
        <v>0</v>
      </c>
      <c r="AK168" s="453">
        <f ca="1">IF(AND($D168="Serviço",AK$12&lt;&gt;0,$H168&gt;0,OR(AUTOEVENTO&lt;&gt;"manual",$M168&lt;&gt;$A$15)),
        IF(Import.TipoArredondamento&lt;&gt;"TransfereGOV",
              ROUND(OFFSET($P168,0,AK$13),15-13*ORÇAMENTO!$AF$7)/$H168*OFFSET(ORÇAMENTO!$X$15,ROW(AK168)-ROW(AK$15),0),
              ROUND(ROUND(OFFSET($P168,0,AK$13),15-13*ORÇAMENTO!$AF$7)*OFFSET(ORÇAMENTO!$W$15,ROW(AK168)-ROW(AK$15),0),15-13*ORÇAMENTO!$AF$11)),
         0)</f>
        <v>0</v>
      </c>
      <c r="AL168" s="453">
        <f ca="1">IF(AND($D168="Serviço",AL$12&lt;&gt;0,$H168&gt;0,OR(AUTOEVENTO&lt;&gt;"manual",$M168&lt;&gt;$A$15)),
        IF(Import.TipoArredondamento&lt;&gt;"TransfereGOV",
              ROUND(OFFSET($P168,0,AL$13),15-13*ORÇAMENTO!$AF$7)/$H168*OFFSET(ORÇAMENTO!$X$15,ROW(AL168)-ROW(AL$15),0),
              ROUND(ROUND(OFFSET($P168,0,AL$13),15-13*ORÇAMENTO!$AF$7)*OFFSET(ORÇAMENTO!$W$15,ROW(AL168)-ROW(AL$15),0),15-13*ORÇAMENTO!$AF$11)),
         0)</f>
        <v>0</v>
      </c>
      <c r="AM168" s="453">
        <f ca="1">IF(AND($D168="Serviço",AM$12&lt;&gt;0,$H168&gt;0,OR(AUTOEVENTO&lt;&gt;"manual",$M168&lt;&gt;$A$15)),
        IF(Import.TipoArredondamento&lt;&gt;"TransfereGOV",
              ROUND(OFFSET($P168,0,AM$13),15-13*ORÇAMENTO!$AF$7)/$H168*OFFSET(ORÇAMENTO!$X$15,ROW(AM168)-ROW(AM$15),0),
              ROUND(ROUND(OFFSET($P168,0,AM$13),15-13*ORÇAMENTO!$AF$7)*OFFSET(ORÇAMENTO!$W$15,ROW(AM168)-ROW(AM$15),0),15-13*ORÇAMENTO!$AF$11)),
         0)</f>
        <v>0</v>
      </c>
      <c r="AN168" s="453">
        <f ca="1">IF(AND($D168="Serviço",AN$12&lt;&gt;0,$H168&gt;0,OR(AUTOEVENTO&lt;&gt;"manual",$M168&lt;&gt;$A$15)),
        IF(Import.TipoArredondamento&lt;&gt;"TransfereGOV",
              ROUND(OFFSET($P168,0,AN$13),15-13*ORÇAMENTO!$AF$7)/$H168*OFFSET(ORÇAMENTO!$X$15,ROW(AN168)-ROW(AN$15),0),
              ROUND(ROUND(OFFSET($P168,0,AN$13),15-13*ORÇAMENTO!$AF$7)*OFFSET(ORÇAMENTO!$W$15,ROW(AN168)-ROW(AN$15),0),15-13*ORÇAMENTO!$AF$11)),
         0)</f>
        <v>0</v>
      </c>
      <c r="AO168" s="453">
        <f ca="1">IF(AND($D168="Serviço",AO$12&lt;&gt;0,$H168&gt;0,OR(AUTOEVENTO&lt;&gt;"manual",$M168&lt;&gt;$A$15)),
        IF(Import.TipoArredondamento&lt;&gt;"TransfereGOV",
              ROUND(OFFSET($P168,0,AO$13),15-13*ORÇAMENTO!$AF$7)/$H168*OFFSET(ORÇAMENTO!$X$15,ROW(AO168)-ROW(AO$15),0),
              ROUND(ROUND(OFFSET($P168,0,AO$13),15-13*ORÇAMENTO!$AF$7)*OFFSET(ORÇAMENTO!$W$15,ROW(AO168)-ROW(AO$15),0),15-13*ORÇAMENTO!$AF$11)),
         0)</f>
        <v>59326.48</v>
      </c>
      <c r="AP168" s="453">
        <f ca="1">IF(AND($D168="Serviço",AP$12&lt;&gt;0,$H168&gt;0,OR(AUTOEVENTO&lt;&gt;"manual",$M168&lt;&gt;$A$15)),
        IF(Import.TipoArredondamento&lt;&gt;"TransfereGOV",
              ROUND(OFFSET($P168,0,AP$13),15-13*ORÇAMENTO!$AF$7)/$H168*OFFSET(ORÇAMENTO!$X$15,ROW(AP168)-ROW(AP$15),0),
              ROUND(ROUND(OFFSET($P168,0,AP$13),15-13*ORÇAMENTO!$AF$7)*OFFSET(ORÇAMENTO!$W$15,ROW(AP168)-ROW(AP$15),0),15-13*ORÇAMENTO!$AF$11)),
         0)</f>
        <v>0</v>
      </c>
      <c r="AQ168" s="453">
        <f ca="1">IF(AND($D168="Serviço",AQ$12&lt;&gt;0,$H168&gt;0,OR(AUTOEVENTO&lt;&gt;"manual",$M168&lt;&gt;$A$15)),
        IF(Import.TipoArredondamento&lt;&gt;"TransfereGOV",
              ROUND(OFFSET($P168,0,AQ$13),15-13*ORÇAMENTO!$AF$7)/$H168*OFFSET(ORÇAMENTO!$X$15,ROW(AQ168)-ROW(AQ$15),0),
              ROUND(ROUND(OFFSET($P168,0,AQ$13),15-13*ORÇAMENTO!$AF$7)*OFFSET(ORÇAMENTO!$W$15,ROW(AQ168)-ROW(AQ$15),0),15-13*ORÇAMENTO!$AF$11)),
         0)</f>
        <v>0</v>
      </c>
      <c r="AR168" s="453">
        <f ca="1">IF(AND($D168="Serviço",AR$12&lt;&gt;0,$H168&gt;0,OR(AUTOEVENTO&lt;&gt;"manual",$M168&lt;&gt;$A$15)),
        IF(Import.TipoArredondamento&lt;&gt;"TransfereGOV",
              ROUND(OFFSET($P168,0,AR$13),15-13*ORÇAMENTO!$AF$7)/$H168*OFFSET(ORÇAMENTO!$X$15,ROW(AR168)-ROW(AR$15),0),
              ROUND(ROUND(OFFSET($P168,0,AR$13),15-13*ORÇAMENTO!$AF$7)*OFFSET(ORÇAMENTO!$W$15,ROW(AR168)-ROW(AR$15),0),15-13*ORÇAMENTO!$AF$11)),
         0)</f>
        <v>0</v>
      </c>
      <c r="AS168" s="453">
        <f ca="1">IF(AND($D168="Serviço",AS$12&lt;&gt;0,$H168&gt;0,OR(AUTOEVENTO&lt;&gt;"manual",$M168&lt;&gt;$A$15)),
        IF(Import.TipoArredondamento&lt;&gt;"TransfereGOV",
              ROUND(OFFSET($P168,0,AS$13),15-13*ORÇAMENTO!$AF$7)/$H168*OFFSET(ORÇAMENTO!$X$15,ROW(AS168)-ROW(AS$15),0),
              ROUND(ROUND(OFFSET($P168,0,AS$13),15-13*ORÇAMENTO!$AF$7)*OFFSET(ORÇAMENTO!$W$15,ROW(AS168)-ROW(AS$15),0),15-13*ORÇAMENTO!$AF$11)),
         0)</f>
        <v>0</v>
      </c>
      <c r="AT168" s="453">
        <f ca="1">IF(AND($D168="Serviço",AT$12&lt;&gt;0,$H168&gt;0,OR(AUTOEVENTO&lt;&gt;"manual",$M168&lt;&gt;$A$15)),
        IF(Import.TipoArredondamento&lt;&gt;"TransfereGOV",
              ROUND(OFFSET($P168,0,AT$13),15-13*ORÇAMENTO!$AF$7)/$H168*OFFSET(ORÇAMENTO!$X$15,ROW(AT168)-ROW(AT$15),0),
              ROUND(ROUND(OFFSET($P168,0,AT$13),15-13*ORÇAMENTO!$AF$7)*OFFSET(ORÇAMENTO!$W$15,ROW(AT168)-ROW(AT$15),0),15-13*ORÇAMENTO!$AF$11)),
         0)</f>
        <v>0</v>
      </c>
      <c r="AU168" s="453">
        <f ca="1">IF(AND($D168="Serviço",AU$12&lt;&gt;0,$H168&gt;0,OR(AUTOEVENTO&lt;&gt;"manual",$M168&lt;&gt;$A$15)),
        IF(Import.TipoArredondamento&lt;&gt;"TransfereGOV",
              ROUND(OFFSET($P168,0,AU$13),15-13*ORÇAMENTO!$AF$7)/$H168*OFFSET(ORÇAMENTO!$X$15,ROW(AU168)-ROW(AU$15),0),
              ROUND(ROUND(OFFSET($P168,0,AU$13),15-13*ORÇAMENTO!$AF$7)*OFFSET(ORÇAMENTO!$W$15,ROW(AU168)-ROW(AU$15),0),15-13*ORÇAMENTO!$AF$11)),
         0)</f>
        <v>0</v>
      </c>
      <c r="AV168" s="453">
        <f ca="1">IF(AND($D168="Serviço",AV$12&lt;&gt;0,$H168&gt;0,OR(AUTOEVENTO&lt;&gt;"manual",$M168&lt;&gt;$A$15)),
        IF(Import.TipoArredondamento&lt;&gt;"TransfereGOV",
              ROUND(OFFSET($P168,0,AV$13),15-13*ORÇAMENTO!$AF$7)/$H168*OFFSET(ORÇAMENTO!$X$15,ROW(AV168)-ROW(AV$15),0),
              ROUND(ROUND(OFFSET($P168,0,AV$13),15-13*ORÇAMENTO!$AF$7)*OFFSET(ORÇAMENTO!$W$15,ROW(AV168)-ROW(AV$15),0),15-13*ORÇAMENTO!$AF$11)),
         0)</f>
        <v>0</v>
      </c>
      <c r="AW168" s="453">
        <f ca="1">IF(AND($D168="Serviço",AW$12&lt;&gt;0,$H168&gt;0,OR(AUTOEVENTO&lt;&gt;"manual",$M168&lt;&gt;$A$15)),
        IF(Import.TipoArredondamento&lt;&gt;"TransfereGOV",
              ROUND(OFFSET($P168,0,AW$13),15-13*ORÇAMENTO!$AF$7)/$H168*OFFSET(ORÇAMENTO!$X$15,ROW(AW168)-ROW(AW$15),0),
              ROUND(ROUND(OFFSET($P168,0,AW$13),15-13*ORÇAMENTO!$AF$7)*OFFSET(ORÇAMENTO!$W$15,ROW(AW168)-ROW(AW$15),0),15-13*ORÇAMENTO!$AF$11)),
         0)</f>
        <v>0</v>
      </c>
      <c r="AX168" s="453">
        <f ca="1">IF(AND($D168="Serviço",AX$12&lt;&gt;0,$H168&gt;0,OR(AUTOEVENTO&lt;&gt;"manual",$M168&lt;&gt;$A$15)),
        IF(Import.TipoArredondamento&lt;&gt;"TransfereGOV",
              ROUND(OFFSET($P168,0,AX$13),15-13*ORÇAMENTO!$AF$7)/$H168*OFFSET(ORÇAMENTO!$X$15,ROW(AX168)-ROW(AX$15),0),
              ROUND(ROUND(OFFSET($P168,0,AX$13),15-13*ORÇAMENTO!$AF$7)*OFFSET(ORÇAMENTO!$W$15,ROW(AX168)-ROW(AX$15),0),15-13*ORÇAMENTO!$AF$11)),
         0)</f>
        <v>0</v>
      </c>
      <c r="AY168" s="453">
        <f ca="1">IF(AND($D168="Serviço",AY$12&lt;&gt;0,$H168&gt;0,OR(AUTOEVENTO&lt;&gt;"manual",$M168&lt;&gt;$A$15)),
        IF(Import.TipoArredondamento&lt;&gt;"TransfereGOV",
              ROUND(OFFSET($P168,0,AY$13),15-13*ORÇAMENTO!$AF$7)/$H168*OFFSET(ORÇAMENTO!$X$15,ROW(AY168)-ROW(AY$15),0),
              ROUND(ROUND(OFFSET($P168,0,AY$13),15-13*ORÇAMENTO!$AF$7)*OFFSET(ORÇAMENTO!$W$15,ROW(AY168)-ROW(AY$15),0),15-13*ORÇAMENTO!$AF$11)),
         0)</f>
        <v>0</v>
      </c>
      <c r="AZ168" s="453">
        <f ca="1">IF(AND($D168="Serviço",AZ$12&lt;&gt;0,$H168&gt;0,OR(AUTOEVENTO&lt;&gt;"manual",$M168&lt;&gt;$A$15)),
        IF(Import.TipoArredondamento&lt;&gt;"TransfereGOV",
              ROUND(OFFSET($P168,0,AZ$13),15-13*ORÇAMENTO!$AF$7)/$H168*OFFSET(ORÇAMENTO!$X$15,ROW(AZ168)-ROW(AZ$15),0),
              ROUND(ROUND(OFFSET($P168,0,AZ$13),15-13*ORÇAMENTO!$AF$7)*OFFSET(ORÇAMENTO!$W$15,ROW(AZ168)-ROW(AZ$15),0),15-13*ORÇAMENTO!$AF$11)),
         0)</f>
        <v>0</v>
      </c>
      <c r="BA168" s="453">
        <f ca="1">IF(AND($D168="Serviço",BA$12&lt;&gt;0,$H168&gt;0,OR(AUTOEVENTO&lt;&gt;"manual",$M168&lt;&gt;$A$15)),
        IF(Import.TipoArredondamento&lt;&gt;"TransfereGOV",
              ROUND(OFFSET($P168,0,BA$13),15-13*ORÇAMENTO!$AF$7)/$H168*OFFSET(ORÇAMENTO!$X$15,ROW(BA168)-ROW(BA$15),0),
              ROUND(ROUND(OFFSET($P168,0,BA$13),15-13*ORÇAMENTO!$AF$7)*OFFSET(ORÇAMENTO!$W$15,ROW(BA168)-ROW(BA$15),0),15-13*ORÇAMENTO!$AF$11)),
         0)</f>
        <v>0</v>
      </c>
      <c r="BC168" s="171">
        <f ca="1">IF(OR($D168&lt;&gt;"Serviço",AND(AUTOEVENTO="Manual",$M168=$A$15)),0,
         IF(OFFSET(CRONOPLE!$F$15,$M168-$A$15,BC$13)=0,10^12,OFFSET(CRONOPLE!$F$15,$M168-$A$15,BC$13)))</f>
        <v>1000000000000</v>
      </c>
      <c r="BD168" s="171">
        <f ca="1">IF(OR($D168&lt;&gt;"Serviço",AND(AUTOEVENTO="Manual",$M168=$A$15)),0,
         IF(OFFSET(CRONOPLE!$F$15,$M168-$A$15,BD$13)=0,10^12,OFFSET(CRONOPLE!$F$15,$M168-$A$15,BD$13)))</f>
        <v>1000000000000</v>
      </c>
      <c r="BE168" s="171">
        <f ca="1">IF(OR($D168&lt;&gt;"Serviço",AND(AUTOEVENTO="Manual",$M168=$A$15)),0,
         IF(OFFSET(CRONOPLE!$F$15,$M168-$A$15,BE$13)=0,10^12,OFFSET(CRONOPLE!$F$15,$M168-$A$15,BE$13)))</f>
        <v>1000000000000</v>
      </c>
      <c r="BF168" s="171">
        <f ca="1">IF(OR($D168&lt;&gt;"Serviço",AND(AUTOEVENTO="Manual",$M168=$A$15)),0,
         IF(OFFSET(CRONOPLE!$F$15,$M168-$A$15,BF$13)=0,10^12,OFFSET(CRONOPLE!$F$15,$M168-$A$15,BF$13)))</f>
        <v>1000000000000</v>
      </c>
      <c r="BG168" s="171">
        <f ca="1">IF(OR($D168&lt;&gt;"Serviço",AND(AUTOEVENTO="Manual",$M168=$A$15)),0,
         IF(OFFSET(CRONOPLE!$F$15,$M168-$A$15,BG$13)=0,10^12,OFFSET(CRONOPLE!$F$15,$M168-$A$15,BG$13)))</f>
        <v>1000000000000</v>
      </c>
      <c r="BH168" s="171">
        <f ca="1">IF(OR($D168&lt;&gt;"Serviço",AND(AUTOEVENTO="Manual",$M168=$A$15)),0,
         IF(OFFSET(CRONOPLE!$F$15,$M168-$A$15,BH$13)=0,10^12,OFFSET(CRONOPLE!$F$15,$M168-$A$15,BH$13)))</f>
        <v>12</v>
      </c>
      <c r="BI168" s="171">
        <f ca="1">IF(OR($D168&lt;&gt;"Serviço",AND(AUTOEVENTO="Manual",$M168=$A$15)),0,
         IF(OFFSET(CRONOPLE!$F$15,$M168-$A$15,BI$13)=0,10^12,OFFSET(CRONOPLE!$F$15,$M168-$A$15,BI$13)))</f>
        <v>1000000000000</v>
      </c>
      <c r="BJ168" s="171">
        <f ca="1">IF(OR($D168&lt;&gt;"Serviço",AND(AUTOEVENTO="Manual",$M168=$A$15)),0,
         IF(OFFSET(CRONOPLE!$F$15,$M168-$A$15,BJ$13)=0,10^12,OFFSET(CRONOPLE!$F$15,$M168-$A$15,BJ$13)))</f>
        <v>1000000000000</v>
      </c>
      <c r="BK168" s="171">
        <f ca="1">IF(OR($D168&lt;&gt;"Serviço",AND(AUTOEVENTO="Manual",$M168=$A$15)),0,
         IF(OFFSET(CRONOPLE!$F$15,$M168-$A$15,BK$13)=0,10^12,OFFSET(CRONOPLE!$F$15,$M168-$A$15,BK$13)))</f>
        <v>1000000000000</v>
      </c>
      <c r="BL168" s="171">
        <f ca="1">IF(OR($D168&lt;&gt;"Serviço",AND(AUTOEVENTO="Manual",$M168=$A$15)),0,
         IF(OFFSET(CRONOPLE!$F$15,$M168-$A$15,BL$13)=0,10^12,OFFSET(CRONOPLE!$F$15,$M168-$A$15,BL$13)))</f>
        <v>1000000000000</v>
      </c>
      <c r="BM168" s="171">
        <f ca="1">IF(OR($D168&lt;&gt;"Serviço",AND(AUTOEVENTO="Manual",$M168=$A$15)),0,
         IF(OFFSET(CRONOPLE!$F$15,$M168-$A$15,BM$13)=0,10^12,OFFSET(CRONOPLE!$F$15,$M168-$A$15,BM$13)))</f>
        <v>1000000000000</v>
      </c>
      <c r="BN168" s="171">
        <f ca="1">IF(OR($D168&lt;&gt;"Serviço",AND(AUTOEVENTO="Manual",$M168=$A$15)),0,
         IF(OFFSET(CRONOPLE!$F$15,$M168-$A$15,BN$13)=0,10^12,OFFSET(CRONOPLE!$F$15,$M168-$A$15,BN$13)))</f>
        <v>1000000000000</v>
      </c>
      <c r="BO168" s="171">
        <f ca="1">IF(OR($D168&lt;&gt;"Serviço",AND(AUTOEVENTO="Manual",$M168=$A$15)),0,
         IF(OFFSET(CRONOPLE!$F$15,$M168-$A$15,BO$13)=0,10^12,OFFSET(CRONOPLE!$F$15,$M168-$A$15,BO$13)))</f>
        <v>1000000000000</v>
      </c>
      <c r="BP168" s="171">
        <f ca="1">IF(OR($D168&lt;&gt;"Serviço",AND(AUTOEVENTO="Manual",$M168=$A$15)),0,
         IF(OFFSET(CRONOPLE!$F$15,$M168-$A$15,BP$13)=0,10^12,OFFSET(CRONOPLE!$F$15,$M168-$A$15,BP$13)))</f>
        <v>1000000000000</v>
      </c>
      <c r="BQ168" s="171">
        <f ca="1">IF(OR($D168&lt;&gt;"Serviço",AND(AUTOEVENTO="Manual",$M168=$A$15)),0,
         IF(OFFSET(CRONOPLE!$F$15,$M168-$A$15,BQ$13)=0,10^12,OFFSET(CRONOPLE!$F$15,$M168-$A$15,BQ$13)))</f>
        <v>1000000000000</v>
      </c>
      <c r="BR168" s="171">
        <f ca="1">IF(OR($D168&lt;&gt;"Serviço",AND(AUTOEVENTO="Manual",$M168=$A$15)),0,
         IF(OFFSET(CRONOPLE!$F$15,$M168-$A$15,BR$13)=0,10^12,OFFSET(CRONOPLE!$F$15,$M168-$A$15,BR$13)))</f>
        <v>1000000000000</v>
      </c>
      <c r="BS168" s="171">
        <f ca="1">IF(OR($D168&lt;&gt;"Serviço",AND(AUTOEVENTO="Manual",$M168=$A$15)),0,
         IF(OFFSET(CRONOPLE!$F$15,$M168-$A$15,BS$13)=0,10^12,OFFSET(CRONOPLE!$F$15,$M168-$A$15,BS$13)))</f>
        <v>1000000000000</v>
      </c>
      <c r="BT168" s="171">
        <f ca="1">IF(OR($D168&lt;&gt;"Serviço",AND(AUTOEVENTO="Manual",$M168=$A$15)),0,
         IF(OFFSET(CRONOPLE!$F$15,$M168-$A$15,BT$13)=0,10^12,OFFSET(CRONOPLE!$F$15,$M168-$A$15,BT$13)))</f>
        <v>1000000000000</v>
      </c>
      <c r="BV168" s="172" cm="1">
        <f t="array" aca="1" ref="BV168" ca="1">IF(OR($D168&lt;&gt;"Serviço",AND(AUTOEVENTO="Manual",$M168=$A$15),$M168&gt;(ROW(PLE.lastrow)-ROW(PLE.firstrow))),0,
           IF(OFFSET(PLE!$G$15,$M168-$A$15,BV$13)="",10^12,OFFSET(PLE!$G$15,$M168-$A$15,BV$13)))</f>
        <v>1000000000000</v>
      </c>
      <c r="BW168" s="172" cm="1">
        <f t="array" aca="1" ref="BW168" ca="1">IF(OR($D168&lt;&gt;"Serviço",AND(AUTOEVENTO="Manual",$M168=$A$15),$M168&gt;(ROW(PLE.lastrow)-ROW(PLE.firstrow))),0,
           IF(OFFSET(PLE!$G$15,$M168-$A$15,BW$13)="",10^12,OFFSET(PLE!$G$15,$M168-$A$15,BW$13)))</f>
        <v>1000000000000</v>
      </c>
      <c r="BX168" s="172" cm="1">
        <f t="array" aca="1" ref="BX168" ca="1">IF(OR($D168&lt;&gt;"Serviço",AND(AUTOEVENTO="Manual",$M168=$A$15),$M168&gt;(ROW(PLE.lastrow)-ROW(PLE.firstrow))),0,
           IF(OFFSET(PLE!$G$15,$M168-$A$15,BX$13)="",10^12,OFFSET(PLE!$G$15,$M168-$A$15,BX$13)))</f>
        <v>1000000000000</v>
      </c>
      <c r="BY168" s="172" cm="1">
        <f t="array" aca="1" ref="BY168" ca="1">IF(OR($D168&lt;&gt;"Serviço",AND(AUTOEVENTO="Manual",$M168=$A$15),$M168&gt;(ROW(PLE.lastrow)-ROW(PLE.firstrow))),0,
           IF(OFFSET(PLE!$G$15,$M168-$A$15,BY$13)="",10^12,OFFSET(PLE!$G$15,$M168-$A$15,BY$13)))</f>
        <v>1000000000000</v>
      </c>
      <c r="BZ168" s="172" cm="1">
        <f t="array" aca="1" ref="BZ168" ca="1">IF(OR($D168&lt;&gt;"Serviço",AND(AUTOEVENTO="Manual",$M168=$A$15),$M168&gt;(ROW(PLE.lastrow)-ROW(PLE.firstrow))),0,
           IF(OFFSET(PLE!$G$15,$M168-$A$15,BZ$13)="",10^12,OFFSET(PLE!$G$15,$M168-$A$15,BZ$13)))</f>
        <v>1000000000000</v>
      </c>
      <c r="CA168" s="172" cm="1">
        <f t="array" aca="1" ref="CA168" ca="1">IF(OR($D168&lt;&gt;"Serviço",AND(AUTOEVENTO="Manual",$M168=$A$15),$M168&gt;(ROW(PLE.lastrow)-ROW(PLE.firstrow))),0,
           IF(OFFSET(PLE!$G$15,$M168-$A$15,CA$13)="",10^12,OFFSET(PLE!$G$15,$M168-$A$15,CA$13)))</f>
        <v>1000000000000</v>
      </c>
      <c r="CB168" s="172" cm="1">
        <f t="array" aca="1" ref="CB168" ca="1">IF(OR($D168&lt;&gt;"Serviço",AND(AUTOEVENTO="Manual",$M168=$A$15),$M168&gt;(ROW(PLE.lastrow)-ROW(PLE.firstrow))),0,
           IF(OFFSET(PLE!$G$15,$M168-$A$15,CB$13)="",10^12,OFFSET(PLE!$G$15,$M168-$A$15,CB$13)))</f>
        <v>1000000000000</v>
      </c>
      <c r="CC168" s="172" cm="1">
        <f t="array" aca="1" ref="CC168" ca="1">IF(OR($D168&lt;&gt;"Serviço",AND(AUTOEVENTO="Manual",$M168=$A$15),$M168&gt;(ROW(PLE.lastrow)-ROW(PLE.firstrow))),0,
           IF(OFFSET(PLE!$G$15,$M168-$A$15,CC$13)="",10^12,OFFSET(PLE!$G$15,$M168-$A$15,CC$13)))</f>
        <v>1000000000000</v>
      </c>
      <c r="CD168" s="172" cm="1">
        <f t="array" aca="1" ref="CD168" ca="1">IF(OR($D168&lt;&gt;"Serviço",AND(AUTOEVENTO="Manual",$M168=$A$15),$M168&gt;(ROW(PLE.lastrow)-ROW(PLE.firstrow))),0,
           IF(OFFSET(PLE!$G$15,$M168-$A$15,CD$13)="",10^12,OFFSET(PLE!$G$15,$M168-$A$15,CD$13)))</f>
        <v>1000000000000</v>
      </c>
      <c r="CE168" s="172" cm="1">
        <f t="array" aca="1" ref="CE168" ca="1">IF(OR($D168&lt;&gt;"Serviço",AND(AUTOEVENTO="Manual",$M168=$A$15),$M168&gt;(ROW(PLE.lastrow)-ROW(PLE.firstrow))),0,
           IF(OFFSET(PLE!$G$15,$M168-$A$15,CE$13)="",10^12,OFFSET(PLE!$G$15,$M168-$A$15,CE$13)))</f>
        <v>1000000000000</v>
      </c>
      <c r="CF168" s="172" cm="1">
        <f t="array" aca="1" ref="CF168" ca="1">IF(OR($D168&lt;&gt;"Serviço",AND(AUTOEVENTO="Manual",$M168=$A$15),$M168&gt;(ROW(PLE.lastrow)-ROW(PLE.firstrow))),0,
           IF(OFFSET(PLE!$G$15,$M168-$A$15,CF$13)="",10^12,OFFSET(PLE!$G$15,$M168-$A$15,CF$13)))</f>
        <v>1000000000000</v>
      </c>
      <c r="CG168" s="172" cm="1">
        <f t="array" aca="1" ref="CG168" ca="1">IF(OR($D168&lt;&gt;"Serviço",AND(AUTOEVENTO="Manual",$M168=$A$15),$M168&gt;(ROW(PLE.lastrow)-ROW(PLE.firstrow))),0,
           IF(OFFSET(PLE!$G$15,$M168-$A$15,CG$13)="",10^12,OFFSET(PLE!$G$15,$M168-$A$15,CG$13)))</f>
        <v>1000000000000</v>
      </c>
      <c r="CH168" s="172" cm="1">
        <f t="array" aca="1" ref="CH168" ca="1">IF(OR($D168&lt;&gt;"Serviço",AND(AUTOEVENTO="Manual",$M168=$A$15),$M168&gt;(ROW(PLE.lastrow)-ROW(PLE.firstrow))),0,
           IF(OFFSET(PLE!$G$15,$M168-$A$15,CH$13)="",10^12,OFFSET(PLE!$G$15,$M168-$A$15,CH$13)))</f>
        <v>1000000000000</v>
      </c>
      <c r="CI168" s="172" cm="1">
        <f t="array" aca="1" ref="CI168" ca="1">IF(OR($D168&lt;&gt;"Serviço",AND(AUTOEVENTO="Manual",$M168=$A$15),$M168&gt;(ROW(PLE.lastrow)-ROW(PLE.firstrow))),0,
           IF(OFFSET(PLE!$G$15,$M168-$A$15,CI$13)="",10^12,OFFSET(PLE!$G$15,$M168-$A$15,CI$13)))</f>
        <v>1000000000000</v>
      </c>
      <c r="CJ168" s="172" cm="1">
        <f t="array" aca="1" ref="CJ168" ca="1">IF(OR($D168&lt;&gt;"Serviço",AND(AUTOEVENTO="Manual",$M168=$A$15),$M168&gt;(ROW(PLE.lastrow)-ROW(PLE.firstrow))),0,
           IF(OFFSET(PLE!$G$15,$M168-$A$15,CJ$13)="",10^12,OFFSET(PLE!$G$15,$M168-$A$15,CJ$13)))</f>
        <v>1000000000000</v>
      </c>
      <c r="CK168" s="172" cm="1">
        <f t="array" aca="1" ref="CK168" ca="1">IF(OR($D168&lt;&gt;"Serviço",AND(AUTOEVENTO="Manual",$M168=$A$15),$M168&gt;(ROW(PLE.lastrow)-ROW(PLE.firstrow))),0,
           IF(OFFSET(PLE!$G$15,$M168-$A$15,CK$13)="",10^12,OFFSET(PLE!$G$15,$M168-$A$15,CK$13)))</f>
        <v>1000000000000</v>
      </c>
      <c r="CL168" s="172" cm="1">
        <f t="array" aca="1" ref="CL168" ca="1">IF(OR($D168&lt;&gt;"Serviço",AND(AUTOEVENTO="Manual",$M168=$A$15),$M168&gt;(ROW(PLE.lastrow)-ROW(PLE.firstrow))),0,
           IF(OFFSET(PLE!$G$15,$M168-$A$15,CL$13)="",10^12,OFFSET(PLE!$G$15,$M168-$A$15,CL$13)))</f>
        <v>1000000000000</v>
      </c>
      <c r="CM168" s="172" cm="1">
        <f t="array" aca="1" ref="CM168" ca="1">IF(OR($D168&lt;&gt;"Serviço",AND(AUTOEVENTO="Manual",$M168=$A$15),$M168&gt;(ROW(PLE.lastrow)-ROW(PLE.firstrow))),0,
           IF(OFFSET(PLE!$G$15,$M168-$A$15,CM$13)="",10^12,OFFSET(PLE!$G$15,$M168-$A$15,CM$13)))</f>
        <v>1000000000000</v>
      </c>
    </row>
    <row r="169" spans="1:91" s="673" customFormat="1" ht="38.25" x14ac:dyDescent="0.2">
      <c r="A169" s="671">
        <f ca="1">IFERROR(IF(AUTOEVENTO="Manual",IF(K169&lt;&gt;"",MIN(VALUE(LEFT(K169,FIND(".",K169)-1)),COUNTA(EVENTOS.Lista)),0),IF(OR($B169&gt;AUTOEVENTO,$B169="S",$B169=0),SUBSTITUTE(OFFSET($A169,-1,0),IF($D169="Serviço",".",""),""),$L169&amp;".")),0)</f>
        <v>26</v>
      </c>
      <c r="B169" s="671" t="str">
        <f ca="1">OFFSET(ORÇAMENTO!C$15,$L169,0)</f>
        <v>S</v>
      </c>
      <c r="C169" s="671" t="str">
        <f ca="1">OFFSET(ORÇAMENTO!L$15,$L169,0)</f>
        <v>F</v>
      </c>
      <c r="D169" s="116" t="str">
        <f ca="1">OFFSET(ORÇAMENTO!N$15,$L169,0)</f>
        <v>Serviço</v>
      </c>
      <c r="E169" s="117" t="str">
        <f ca="1">OFFSET(ORÇAMENTO!O$15,$L169,0)</f>
        <v>1.22.3.</v>
      </c>
      <c r="F169" s="163" t="str">
        <f ca="1">OFFSET(ORÇAMENTO!R$15,$L169,0)</f>
        <v xml:space="preserve">                                                                                                               Instalação quadro de partida e comando para grupo gerador fixo existente com potencia de 145Kva. instalacao(desonerado)</v>
      </c>
      <c r="G169" s="164" t="str">
        <f ca="1">IF($D169&lt;&gt;"Serviço","",OFFSET(ORÇAMENTO!S$15,$L169,0))</f>
        <v>UNIDADE</v>
      </c>
      <c r="H169" s="122" cm="1">
        <f t="array" aca="1" ref="H169" ca="1">IF($D169&lt;&gt;"Serviço",0,IF(ACOMPANHAMENTO="BM",ROUND(OFFSET(ORÇAMENTO!AJ$15,$L169,0),15-13*ORÇAMENTO!$AF$7),IF(IFERROR(CÁLCULO.FrentesPreenchidas,0)=0,0,SUM(ROUND(OFFSET($P169,0,1,1,CÁLCULO.FrentesPreenchidas),15-13*ORÇAMENTO!$AF$7)))))</f>
        <v>4</v>
      </c>
      <c r="I169" s="468" t="s">
        <v>1116</v>
      </c>
      <c r="J169" s="651" t="str" cm="1">
        <f t="array" aca="1" ref="J169" ca="1">IF(OR(B169&lt;&gt;"S",CÁLCULO.FrentesPreenchidas=0),"",IF(AND(ACOMPANHAMENTO="PLE",AUTOEVENTO="Manual",OR(H169&gt;0,ORÇAMENTO!AC169="QUANT."),OR(K169="",M169=0,N169="")),"►E",IF(AND(ACOMPANHAMENTO="PLE",ORÇAMENTO!AC169="QUANT."),"►Q",IF(AND(ACOMPANHAMENTO="PLE",H169&lt;&gt;SUMPRODUCT(($Q$1:$AI$1=1)*ROUND(Q169:AI169,15))),"►S",IF(AND(COUNTIF($P$11:$AI$11,"▼")=0,H169&gt;0,I169=""),"◄M","")))))</f>
        <v/>
      </c>
      <c r="K169" s="652" t="s">
        <v>1364</v>
      </c>
      <c r="L169" s="165">
        <f ca="1">OFFSET(L169,-1,0)+1</f>
        <v>154</v>
      </c>
      <c r="M169" s="166">
        <f ca="1">IF($D169&lt;&gt;"Serviço","",
          IF(AUTOEVENTO="manual",$A169,
                IF(ISERROR(MATCH($A169,$A$15:OFFSET($A169,-1,0),0)),MAX($M$15:OFFSET(M169,-1,0))+1,
                      INDEX($M$15:OFFSET(M169,-1,0),MATCH($A169,$A$15:OFFSET($A169,-1,0),0)))))</f>
        <v>26</v>
      </c>
      <c r="N169" s="167" t="str">
        <f ca="1">IF($D169&lt;&gt;"Serviço","",
         IF(AUTOEVENTO="Manual",
                IF($A169=0,"&lt;-- defina o número do agrupador",
                       OFFSET(EVENTOS!$D$15,$A169-$A$15,0)),
                OFFSET($F$15,$A169,0)))</f>
        <v>Instalações mecânicas</v>
      </c>
      <c r="O169" s="168"/>
      <c r="Q169" s="168"/>
      <c r="R169" s="169"/>
      <c r="S169" s="169"/>
      <c r="T169" s="169"/>
      <c r="U169" s="169"/>
      <c r="V169" s="169">
        <v>4</v>
      </c>
      <c r="W169" s="169"/>
      <c r="X169" s="169"/>
      <c r="Y169" s="169"/>
      <c r="Z169" s="170"/>
      <c r="AA169" s="705"/>
      <c r="AB169" s="705"/>
      <c r="AC169" s="705"/>
      <c r="AD169" s="705"/>
      <c r="AE169" s="705"/>
      <c r="AF169" s="705"/>
      <c r="AG169" s="705"/>
      <c r="AH169" s="706"/>
      <c r="AJ169" s="453">
        <f ca="1">IF(AND($D169="Serviço",AJ$12&lt;&gt;0,$H169&gt;0,OR(AUTOEVENTO&lt;&gt;"manual",$M169&lt;&gt;$A$15)),
        IF(Import.TipoArredondamento&lt;&gt;"TransfereGOV",
              ROUND(OFFSET($P169,0,AJ$13),15-13*ORÇAMENTO!$AF$7)/$H169*OFFSET(ORÇAMENTO!$X$15,ROW(AJ169)-ROW(AJ$15),0),
              ROUND(ROUND(OFFSET($P169,0,AJ$13),15-13*ORÇAMENTO!$AF$7)*OFFSET(ORÇAMENTO!$W$15,ROW(AJ169)-ROW(AJ$15),0),15-13*ORÇAMENTO!$AF$11)),
         0)</f>
        <v>0</v>
      </c>
      <c r="AK169" s="453">
        <f ca="1">IF(AND($D169="Serviço",AK$12&lt;&gt;0,$H169&gt;0,OR(AUTOEVENTO&lt;&gt;"manual",$M169&lt;&gt;$A$15)),
        IF(Import.TipoArredondamento&lt;&gt;"TransfereGOV",
              ROUND(OFFSET($P169,0,AK$13),15-13*ORÇAMENTO!$AF$7)/$H169*OFFSET(ORÇAMENTO!$X$15,ROW(AK169)-ROW(AK$15),0),
              ROUND(ROUND(OFFSET($P169,0,AK$13),15-13*ORÇAMENTO!$AF$7)*OFFSET(ORÇAMENTO!$W$15,ROW(AK169)-ROW(AK$15),0),15-13*ORÇAMENTO!$AF$11)),
         0)</f>
        <v>0</v>
      </c>
      <c r="AL169" s="453">
        <f ca="1">IF(AND($D169="Serviço",AL$12&lt;&gt;0,$H169&gt;0,OR(AUTOEVENTO&lt;&gt;"manual",$M169&lt;&gt;$A$15)),
        IF(Import.TipoArredondamento&lt;&gt;"TransfereGOV",
              ROUND(OFFSET($P169,0,AL$13),15-13*ORÇAMENTO!$AF$7)/$H169*OFFSET(ORÇAMENTO!$X$15,ROW(AL169)-ROW(AL$15),0),
              ROUND(ROUND(OFFSET($P169,0,AL$13),15-13*ORÇAMENTO!$AF$7)*OFFSET(ORÇAMENTO!$W$15,ROW(AL169)-ROW(AL$15),0),15-13*ORÇAMENTO!$AF$11)),
         0)</f>
        <v>0</v>
      </c>
      <c r="AM169" s="453">
        <f ca="1">IF(AND($D169="Serviço",AM$12&lt;&gt;0,$H169&gt;0,OR(AUTOEVENTO&lt;&gt;"manual",$M169&lt;&gt;$A$15)),
        IF(Import.TipoArredondamento&lt;&gt;"TransfereGOV",
              ROUND(OFFSET($P169,0,AM$13),15-13*ORÇAMENTO!$AF$7)/$H169*OFFSET(ORÇAMENTO!$X$15,ROW(AM169)-ROW(AM$15),0),
              ROUND(ROUND(OFFSET($P169,0,AM$13),15-13*ORÇAMENTO!$AF$7)*OFFSET(ORÇAMENTO!$W$15,ROW(AM169)-ROW(AM$15),0),15-13*ORÇAMENTO!$AF$11)),
         0)</f>
        <v>0</v>
      </c>
      <c r="AN169" s="453">
        <f ca="1">IF(AND($D169="Serviço",AN$12&lt;&gt;0,$H169&gt;0,OR(AUTOEVENTO&lt;&gt;"manual",$M169&lt;&gt;$A$15)),
        IF(Import.TipoArredondamento&lt;&gt;"TransfereGOV",
              ROUND(OFFSET($P169,0,AN$13),15-13*ORÇAMENTO!$AF$7)/$H169*OFFSET(ORÇAMENTO!$X$15,ROW(AN169)-ROW(AN$15),0),
              ROUND(ROUND(OFFSET($P169,0,AN$13),15-13*ORÇAMENTO!$AF$7)*OFFSET(ORÇAMENTO!$W$15,ROW(AN169)-ROW(AN$15),0),15-13*ORÇAMENTO!$AF$11)),
         0)</f>
        <v>0</v>
      </c>
      <c r="AO169" s="453">
        <f ca="1">IF(AND($D169="Serviço",AO$12&lt;&gt;0,$H169&gt;0,OR(AUTOEVENTO&lt;&gt;"manual",$M169&lt;&gt;$A$15)),
        IF(Import.TipoArredondamento&lt;&gt;"TransfereGOV",
              ROUND(OFFSET($P169,0,AO$13),15-13*ORÇAMENTO!$AF$7)/$H169*OFFSET(ORÇAMENTO!$X$15,ROW(AO169)-ROW(AO$15),0),
              ROUND(ROUND(OFFSET($P169,0,AO$13),15-13*ORÇAMENTO!$AF$7)*OFFSET(ORÇAMENTO!$W$15,ROW(AO169)-ROW(AO$15),0),15-13*ORÇAMENTO!$AF$11)),
         0)</f>
        <v>1854</v>
      </c>
      <c r="AP169" s="453">
        <f ca="1">IF(AND($D169="Serviço",AP$12&lt;&gt;0,$H169&gt;0,OR(AUTOEVENTO&lt;&gt;"manual",$M169&lt;&gt;$A$15)),
        IF(Import.TipoArredondamento&lt;&gt;"TransfereGOV",
              ROUND(OFFSET($P169,0,AP$13),15-13*ORÇAMENTO!$AF$7)/$H169*OFFSET(ORÇAMENTO!$X$15,ROW(AP169)-ROW(AP$15),0),
              ROUND(ROUND(OFFSET($P169,0,AP$13),15-13*ORÇAMENTO!$AF$7)*OFFSET(ORÇAMENTO!$W$15,ROW(AP169)-ROW(AP$15),0),15-13*ORÇAMENTO!$AF$11)),
         0)</f>
        <v>0</v>
      </c>
      <c r="AQ169" s="453">
        <f ca="1">IF(AND($D169="Serviço",AQ$12&lt;&gt;0,$H169&gt;0,OR(AUTOEVENTO&lt;&gt;"manual",$M169&lt;&gt;$A$15)),
        IF(Import.TipoArredondamento&lt;&gt;"TransfereGOV",
              ROUND(OFFSET($P169,0,AQ$13),15-13*ORÇAMENTO!$AF$7)/$H169*OFFSET(ORÇAMENTO!$X$15,ROW(AQ169)-ROW(AQ$15),0),
              ROUND(ROUND(OFFSET($P169,0,AQ$13),15-13*ORÇAMENTO!$AF$7)*OFFSET(ORÇAMENTO!$W$15,ROW(AQ169)-ROW(AQ$15),0),15-13*ORÇAMENTO!$AF$11)),
         0)</f>
        <v>0</v>
      </c>
      <c r="AR169" s="453">
        <f ca="1">IF(AND($D169="Serviço",AR$12&lt;&gt;0,$H169&gt;0,OR(AUTOEVENTO&lt;&gt;"manual",$M169&lt;&gt;$A$15)),
        IF(Import.TipoArredondamento&lt;&gt;"TransfereGOV",
              ROUND(OFFSET($P169,0,AR$13),15-13*ORÇAMENTO!$AF$7)/$H169*OFFSET(ORÇAMENTO!$X$15,ROW(AR169)-ROW(AR$15),0),
              ROUND(ROUND(OFFSET($P169,0,AR$13),15-13*ORÇAMENTO!$AF$7)*OFFSET(ORÇAMENTO!$W$15,ROW(AR169)-ROW(AR$15),0),15-13*ORÇAMENTO!$AF$11)),
         0)</f>
        <v>0</v>
      </c>
      <c r="AS169" s="453">
        <f ca="1">IF(AND($D169="Serviço",AS$12&lt;&gt;0,$H169&gt;0,OR(AUTOEVENTO&lt;&gt;"manual",$M169&lt;&gt;$A$15)),
        IF(Import.TipoArredondamento&lt;&gt;"TransfereGOV",
              ROUND(OFFSET($P169,0,AS$13),15-13*ORÇAMENTO!$AF$7)/$H169*OFFSET(ORÇAMENTO!$X$15,ROW(AS169)-ROW(AS$15),0),
              ROUND(ROUND(OFFSET($P169,0,AS$13),15-13*ORÇAMENTO!$AF$7)*OFFSET(ORÇAMENTO!$W$15,ROW(AS169)-ROW(AS$15),0),15-13*ORÇAMENTO!$AF$11)),
         0)</f>
        <v>0</v>
      </c>
      <c r="AT169" s="453">
        <f ca="1">IF(AND($D169="Serviço",AT$12&lt;&gt;0,$H169&gt;0,OR(AUTOEVENTO&lt;&gt;"manual",$M169&lt;&gt;$A$15)),
        IF(Import.TipoArredondamento&lt;&gt;"TransfereGOV",
              ROUND(OFFSET($P169,0,AT$13),15-13*ORÇAMENTO!$AF$7)/$H169*OFFSET(ORÇAMENTO!$X$15,ROW(AT169)-ROW(AT$15),0),
              ROUND(ROUND(OFFSET($P169,0,AT$13),15-13*ORÇAMENTO!$AF$7)*OFFSET(ORÇAMENTO!$W$15,ROW(AT169)-ROW(AT$15),0),15-13*ORÇAMENTO!$AF$11)),
         0)</f>
        <v>0</v>
      </c>
      <c r="AU169" s="453">
        <f ca="1">IF(AND($D169="Serviço",AU$12&lt;&gt;0,$H169&gt;0,OR(AUTOEVENTO&lt;&gt;"manual",$M169&lt;&gt;$A$15)),
        IF(Import.TipoArredondamento&lt;&gt;"TransfereGOV",
              ROUND(OFFSET($P169,0,AU$13),15-13*ORÇAMENTO!$AF$7)/$H169*OFFSET(ORÇAMENTO!$X$15,ROW(AU169)-ROW(AU$15),0),
              ROUND(ROUND(OFFSET($P169,0,AU$13),15-13*ORÇAMENTO!$AF$7)*OFFSET(ORÇAMENTO!$W$15,ROW(AU169)-ROW(AU$15),0),15-13*ORÇAMENTO!$AF$11)),
         0)</f>
        <v>0</v>
      </c>
      <c r="AV169" s="453">
        <f ca="1">IF(AND($D169="Serviço",AV$12&lt;&gt;0,$H169&gt;0,OR(AUTOEVENTO&lt;&gt;"manual",$M169&lt;&gt;$A$15)),
        IF(Import.TipoArredondamento&lt;&gt;"TransfereGOV",
              ROUND(OFFSET($P169,0,AV$13),15-13*ORÇAMENTO!$AF$7)/$H169*OFFSET(ORÇAMENTO!$X$15,ROW(AV169)-ROW(AV$15),0),
              ROUND(ROUND(OFFSET($P169,0,AV$13),15-13*ORÇAMENTO!$AF$7)*OFFSET(ORÇAMENTO!$W$15,ROW(AV169)-ROW(AV$15),0),15-13*ORÇAMENTO!$AF$11)),
         0)</f>
        <v>0</v>
      </c>
      <c r="AW169" s="453">
        <f ca="1">IF(AND($D169="Serviço",AW$12&lt;&gt;0,$H169&gt;0,OR(AUTOEVENTO&lt;&gt;"manual",$M169&lt;&gt;$A$15)),
        IF(Import.TipoArredondamento&lt;&gt;"TransfereGOV",
              ROUND(OFFSET($P169,0,AW$13),15-13*ORÇAMENTO!$AF$7)/$H169*OFFSET(ORÇAMENTO!$X$15,ROW(AW169)-ROW(AW$15),0),
              ROUND(ROUND(OFFSET($P169,0,AW$13),15-13*ORÇAMENTO!$AF$7)*OFFSET(ORÇAMENTO!$W$15,ROW(AW169)-ROW(AW$15),0),15-13*ORÇAMENTO!$AF$11)),
         0)</f>
        <v>0</v>
      </c>
      <c r="AX169" s="453">
        <f ca="1">IF(AND($D169="Serviço",AX$12&lt;&gt;0,$H169&gt;0,OR(AUTOEVENTO&lt;&gt;"manual",$M169&lt;&gt;$A$15)),
        IF(Import.TipoArredondamento&lt;&gt;"TransfereGOV",
              ROUND(OFFSET($P169,0,AX$13),15-13*ORÇAMENTO!$AF$7)/$H169*OFFSET(ORÇAMENTO!$X$15,ROW(AX169)-ROW(AX$15),0),
              ROUND(ROUND(OFFSET($P169,0,AX$13),15-13*ORÇAMENTO!$AF$7)*OFFSET(ORÇAMENTO!$W$15,ROW(AX169)-ROW(AX$15),0),15-13*ORÇAMENTO!$AF$11)),
         0)</f>
        <v>0</v>
      </c>
      <c r="AY169" s="453">
        <f ca="1">IF(AND($D169="Serviço",AY$12&lt;&gt;0,$H169&gt;0,OR(AUTOEVENTO&lt;&gt;"manual",$M169&lt;&gt;$A$15)),
        IF(Import.TipoArredondamento&lt;&gt;"TransfereGOV",
              ROUND(OFFSET($P169,0,AY$13),15-13*ORÇAMENTO!$AF$7)/$H169*OFFSET(ORÇAMENTO!$X$15,ROW(AY169)-ROW(AY$15),0),
              ROUND(ROUND(OFFSET($P169,0,AY$13),15-13*ORÇAMENTO!$AF$7)*OFFSET(ORÇAMENTO!$W$15,ROW(AY169)-ROW(AY$15),0),15-13*ORÇAMENTO!$AF$11)),
         0)</f>
        <v>0</v>
      </c>
      <c r="AZ169" s="453">
        <f ca="1">IF(AND($D169="Serviço",AZ$12&lt;&gt;0,$H169&gt;0,OR(AUTOEVENTO&lt;&gt;"manual",$M169&lt;&gt;$A$15)),
        IF(Import.TipoArredondamento&lt;&gt;"TransfereGOV",
              ROUND(OFFSET($P169,0,AZ$13),15-13*ORÇAMENTO!$AF$7)/$H169*OFFSET(ORÇAMENTO!$X$15,ROW(AZ169)-ROW(AZ$15),0),
              ROUND(ROUND(OFFSET($P169,0,AZ$13),15-13*ORÇAMENTO!$AF$7)*OFFSET(ORÇAMENTO!$W$15,ROW(AZ169)-ROW(AZ$15),0),15-13*ORÇAMENTO!$AF$11)),
         0)</f>
        <v>0</v>
      </c>
      <c r="BA169" s="453">
        <f ca="1">IF(AND($D169="Serviço",BA$12&lt;&gt;0,$H169&gt;0,OR(AUTOEVENTO&lt;&gt;"manual",$M169&lt;&gt;$A$15)),
        IF(Import.TipoArredondamento&lt;&gt;"TransfereGOV",
              ROUND(OFFSET($P169,0,BA$13),15-13*ORÇAMENTO!$AF$7)/$H169*OFFSET(ORÇAMENTO!$X$15,ROW(BA169)-ROW(BA$15),0),
              ROUND(ROUND(OFFSET($P169,0,BA$13),15-13*ORÇAMENTO!$AF$7)*OFFSET(ORÇAMENTO!$W$15,ROW(BA169)-ROW(BA$15),0),15-13*ORÇAMENTO!$AF$11)),
         0)</f>
        <v>0</v>
      </c>
      <c r="BC169" s="171">
        <f ca="1">IF(OR($D169&lt;&gt;"Serviço",AND(AUTOEVENTO="Manual",$M169=$A$15)),0,
         IF(OFFSET(CRONOPLE!$F$15,$M169-$A$15,BC$13)=0,10^12,OFFSET(CRONOPLE!$F$15,$M169-$A$15,BC$13)))</f>
        <v>1000000000000</v>
      </c>
      <c r="BD169" s="171">
        <f ca="1">IF(OR($D169&lt;&gt;"Serviço",AND(AUTOEVENTO="Manual",$M169=$A$15)),0,
         IF(OFFSET(CRONOPLE!$F$15,$M169-$A$15,BD$13)=0,10^12,OFFSET(CRONOPLE!$F$15,$M169-$A$15,BD$13)))</f>
        <v>1000000000000</v>
      </c>
      <c r="BE169" s="171">
        <f ca="1">IF(OR($D169&lt;&gt;"Serviço",AND(AUTOEVENTO="Manual",$M169=$A$15)),0,
         IF(OFFSET(CRONOPLE!$F$15,$M169-$A$15,BE$13)=0,10^12,OFFSET(CRONOPLE!$F$15,$M169-$A$15,BE$13)))</f>
        <v>1000000000000</v>
      </c>
      <c r="BF169" s="171">
        <f ca="1">IF(OR($D169&lt;&gt;"Serviço",AND(AUTOEVENTO="Manual",$M169=$A$15)),0,
         IF(OFFSET(CRONOPLE!$F$15,$M169-$A$15,BF$13)=0,10^12,OFFSET(CRONOPLE!$F$15,$M169-$A$15,BF$13)))</f>
        <v>1000000000000</v>
      </c>
      <c r="BG169" s="171">
        <f ca="1">IF(OR($D169&lt;&gt;"Serviço",AND(AUTOEVENTO="Manual",$M169=$A$15)),0,
         IF(OFFSET(CRONOPLE!$F$15,$M169-$A$15,BG$13)=0,10^12,OFFSET(CRONOPLE!$F$15,$M169-$A$15,BG$13)))</f>
        <v>1000000000000</v>
      </c>
      <c r="BH169" s="171">
        <f ca="1">IF(OR($D169&lt;&gt;"Serviço",AND(AUTOEVENTO="Manual",$M169=$A$15)),0,
         IF(OFFSET(CRONOPLE!$F$15,$M169-$A$15,BH$13)=0,10^12,OFFSET(CRONOPLE!$F$15,$M169-$A$15,BH$13)))</f>
        <v>12</v>
      </c>
      <c r="BI169" s="171">
        <f ca="1">IF(OR($D169&lt;&gt;"Serviço",AND(AUTOEVENTO="Manual",$M169=$A$15)),0,
         IF(OFFSET(CRONOPLE!$F$15,$M169-$A$15,BI$13)=0,10^12,OFFSET(CRONOPLE!$F$15,$M169-$A$15,BI$13)))</f>
        <v>1000000000000</v>
      </c>
      <c r="BJ169" s="171">
        <f ca="1">IF(OR($D169&lt;&gt;"Serviço",AND(AUTOEVENTO="Manual",$M169=$A$15)),0,
         IF(OFFSET(CRONOPLE!$F$15,$M169-$A$15,BJ$13)=0,10^12,OFFSET(CRONOPLE!$F$15,$M169-$A$15,BJ$13)))</f>
        <v>1000000000000</v>
      </c>
      <c r="BK169" s="171">
        <f ca="1">IF(OR($D169&lt;&gt;"Serviço",AND(AUTOEVENTO="Manual",$M169=$A$15)),0,
         IF(OFFSET(CRONOPLE!$F$15,$M169-$A$15,BK$13)=0,10^12,OFFSET(CRONOPLE!$F$15,$M169-$A$15,BK$13)))</f>
        <v>1000000000000</v>
      </c>
      <c r="BL169" s="171">
        <f ca="1">IF(OR($D169&lt;&gt;"Serviço",AND(AUTOEVENTO="Manual",$M169=$A$15)),0,
         IF(OFFSET(CRONOPLE!$F$15,$M169-$A$15,BL$13)=0,10^12,OFFSET(CRONOPLE!$F$15,$M169-$A$15,BL$13)))</f>
        <v>1000000000000</v>
      </c>
      <c r="BM169" s="171">
        <f ca="1">IF(OR($D169&lt;&gt;"Serviço",AND(AUTOEVENTO="Manual",$M169=$A$15)),0,
         IF(OFFSET(CRONOPLE!$F$15,$M169-$A$15,BM$13)=0,10^12,OFFSET(CRONOPLE!$F$15,$M169-$A$15,BM$13)))</f>
        <v>1000000000000</v>
      </c>
      <c r="BN169" s="171">
        <f ca="1">IF(OR($D169&lt;&gt;"Serviço",AND(AUTOEVENTO="Manual",$M169=$A$15)),0,
         IF(OFFSET(CRONOPLE!$F$15,$M169-$A$15,BN$13)=0,10^12,OFFSET(CRONOPLE!$F$15,$M169-$A$15,BN$13)))</f>
        <v>1000000000000</v>
      </c>
      <c r="BO169" s="171">
        <f ca="1">IF(OR($D169&lt;&gt;"Serviço",AND(AUTOEVENTO="Manual",$M169=$A$15)),0,
         IF(OFFSET(CRONOPLE!$F$15,$M169-$A$15,BO$13)=0,10^12,OFFSET(CRONOPLE!$F$15,$M169-$A$15,BO$13)))</f>
        <v>1000000000000</v>
      </c>
      <c r="BP169" s="171">
        <f ca="1">IF(OR($D169&lt;&gt;"Serviço",AND(AUTOEVENTO="Manual",$M169=$A$15)),0,
         IF(OFFSET(CRONOPLE!$F$15,$M169-$A$15,BP$13)=0,10^12,OFFSET(CRONOPLE!$F$15,$M169-$A$15,BP$13)))</f>
        <v>1000000000000</v>
      </c>
      <c r="BQ169" s="171">
        <f ca="1">IF(OR($D169&lt;&gt;"Serviço",AND(AUTOEVENTO="Manual",$M169=$A$15)),0,
         IF(OFFSET(CRONOPLE!$F$15,$M169-$A$15,BQ$13)=0,10^12,OFFSET(CRONOPLE!$F$15,$M169-$A$15,BQ$13)))</f>
        <v>1000000000000</v>
      </c>
      <c r="BR169" s="171">
        <f ca="1">IF(OR($D169&lt;&gt;"Serviço",AND(AUTOEVENTO="Manual",$M169=$A$15)),0,
         IF(OFFSET(CRONOPLE!$F$15,$M169-$A$15,BR$13)=0,10^12,OFFSET(CRONOPLE!$F$15,$M169-$A$15,BR$13)))</f>
        <v>1000000000000</v>
      </c>
      <c r="BS169" s="171">
        <f ca="1">IF(OR($D169&lt;&gt;"Serviço",AND(AUTOEVENTO="Manual",$M169=$A$15)),0,
         IF(OFFSET(CRONOPLE!$F$15,$M169-$A$15,BS$13)=0,10^12,OFFSET(CRONOPLE!$F$15,$M169-$A$15,BS$13)))</f>
        <v>1000000000000</v>
      </c>
      <c r="BT169" s="171">
        <f ca="1">IF(OR($D169&lt;&gt;"Serviço",AND(AUTOEVENTO="Manual",$M169=$A$15)),0,
         IF(OFFSET(CRONOPLE!$F$15,$M169-$A$15,BT$13)=0,10^12,OFFSET(CRONOPLE!$F$15,$M169-$A$15,BT$13)))</f>
        <v>1000000000000</v>
      </c>
      <c r="BV169" s="172" cm="1">
        <f t="array" aca="1" ref="BV169" ca="1">IF(OR($D169&lt;&gt;"Serviço",AND(AUTOEVENTO="Manual",$M169=$A$15),$M169&gt;(ROW(PLE.lastrow)-ROW(PLE.firstrow))),0,
           IF(OFFSET(PLE!$G$15,$M169-$A$15,BV$13)="",10^12,OFFSET(PLE!$G$15,$M169-$A$15,BV$13)))</f>
        <v>1000000000000</v>
      </c>
      <c r="BW169" s="172" cm="1">
        <f t="array" aca="1" ref="BW169" ca="1">IF(OR($D169&lt;&gt;"Serviço",AND(AUTOEVENTO="Manual",$M169=$A$15),$M169&gt;(ROW(PLE.lastrow)-ROW(PLE.firstrow))),0,
           IF(OFFSET(PLE!$G$15,$M169-$A$15,BW$13)="",10^12,OFFSET(PLE!$G$15,$M169-$A$15,BW$13)))</f>
        <v>1000000000000</v>
      </c>
      <c r="BX169" s="172" cm="1">
        <f t="array" aca="1" ref="BX169" ca="1">IF(OR($D169&lt;&gt;"Serviço",AND(AUTOEVENTO="Manual",$M169=$A$15),$M169&gt;(ROW(PLE.lastrow)-ROW(PLE.firstrow))),0,
           IF(OFFSET(PLE!$G$15,$M169-$A$15,BX$13)="",10^12,OFFSET(PLE!$G$15,$M169-$A$15,BX$13)))</f>
        <v>1000000000000</v>
      </c>
      <c r="BY169" s="172" cm="1">
        <f t="array" aca="1" ref="BY169" ca="1">IF(OR($D169&lt;&gt;"Serviço",AND(AUTOEVENTO="Manual",$M169=$A$15),$M169&gt;(ROW(PLE.lastrow)-ROW(PLE.firstrow))),0,
           IF(OFFSET(PLE!$G$15,$M169-$A$15,BY$13)="",10^12,OFFSET(PLE!$G$15,$M169-$A$15,BY$13)))</f>
        <v>1000000000000</v>
      </c>
      <c r="BZ169" s="172" cm="1">
        <f t="array" aca="1" ref="BZ169" ca="1">IF(OR($D169&lt;&gt;"Serviço",AND(AUTOEVENTO="Manual",$M169=$A$15),$M169&gt;(ROW(PLE.lastrow)-ROW(PLE.firstrow))),0,
           IF(OFFSET(PLE!$G$15,$M169-$A$15,BZ$13)="",10^12,OFFSET(PLE!$G$15,$M169-$A$15,BZ$13)))</f>
        <v>1000000000000</v>
      </c>
      <c r="CA169" s="172" cm="1">
        <f t="array" aca="1" ref="CA169" ca="1">IF(OR($D169&lt;&gt;"Serviço",AND(AUTOEVENTO="Manual",$M169=$A$15),$M169&gt;(ROW(PLE.lastrow)-ROW(PLE.firstrow))),0,
           IF(OFFSET(PLE!$G$15,$M169-$A$15,CA$13)="",10^12,OFFSET(PLE!$G$15,$M169-$A$15,CA$13)))</f>
        <v>1000000000000</v>
      </c>
      <c r="CB169" s="172" cm="1">
        <f t="array" aca="1" ref="CB169" ca="1">IF(OR($D169&lt;&gt;"Serviço",AND(AUTOEVENTO="Manual",$M169=$A$15),$M169&gt;(ROW(PLE.lastrow)-ROW(PLE.firstrow))),0,
           IF(OFFSET(PLE!$G$15,$M169-$A$15,CB$13)="",10^12,OFFSET(PLE!$G$15,$M169-$A$15,CB$13)))</f>
        <v>1000000000000</v>
      </c>
      <c r="CC169" s="172" cm="1">
        <f t="array" aca="1" ref="CC169" ca="1">IF(OR($D169&lt;&gt;"Serviço",AND(AUTOEVENTO="Manual",$M169=$A$15),$M169&gt;(ROW(PLE.lastrow)-ROW(PLE.firstrow))),0,
           IF(OFFSET(PLE!$G$15,$M169-$A$15,CC$13)="",10^12,OFFSET(PLE!$G$15,$M169-$A$15,CC$13)))</f>
        <v>1000000000000</v>
      </c>
      <c r="CD169" s="172" cm="1">
        <f t="array" aca="1" ref="CD169" ca="1">IF(OR($D169&lt;&gt;"Serviço",AND(AUTOEVENTO="Manual",$M169=$A$15),$M169&gt;(ROW(PLE.lastrow)-ROW(PLE.firstrow))),0,
           IF(OFFSET(PLE!$G$15,$M169-$A$15,CD$13)="",10^12,OFFSET(PLE!$G$15,$M169-$A$15,CD$13)))</f>
        <v>1000000000000</v>
      </c>
      <c r="CE169" s="172" cm="1">
        <f t="array" aca="1" ref="CE169" ca="1">IF(OR($D169&lt;&gt;"Serviço",AND(AUTOEVENTO="Manual",$M169=$A$15),$M169&gt;(ROW(PLE.lastrow)-ROW(PLE.firstrow))),0,
           IF(OFFSET(PLE!$G$15,$M169-$A$15,CE$13)="",10^12,OFFSET(PLE!$G$15,$M169-$A$15,CE$13)))</f>
        <v>1000000000000</v>
      </c>
      <c r="CF169" s="172" cm="1">
        <f t="array" aca="1" ref="CF169" ca="1">IF(OR($D169&lt;&gt;"Serviço",AND(AUTOEVENTO="Manual",$M169=$A$15),$M169&gt;(ROW(PLE.lastrow)-ROW(PLE.firstrow))),0,
           IF(OFFSET(PLE!$G$15,$M169-$A$15,CF$13)="",10^12,OFFSET(PLE!$G$15,$M169-$A$15,CF$13)))</f>
        <v>1000000000000</v>
      </c>
      <c r="CG169" s="172" cm="1">
        <f t="array" aca="1" ref="CG169" ca="1">IF(OR($D169&lt;&gt;"Serviço",AND(AUTOEVENTO="Manual",$M169=$A$15),$M169&gt;(ROW(PLE.lastrow)-ROW(PLE.firstrow))),0,
           IF(OFFSET(PLE!$G$15,$M169-$A$15,CG$13)="",10^12,OFFSET(PLE!$G$15,$M169-$A$15,CG$13)))</f>
        <v>1000000000000</v>
      </c>
      <c r="CH169" s="172" cm="1">
        <f t="array" aca="1" ref="CH169" ca="1">IF(OR($D169&lt;&gt;"Serviço",AND(AUTOEVENTO="Manual",$M169=$A$15),$M169&gt;(ROW(PLE.lastrow)-ROW(PLE.firstrow))),0,
           IF(OFFSET(PLE!$G$15,$M169-$A$15,CH$13)="",10^12,OFFSET(PLE!$G$15,$M169-$A$15,CH$13)))</f>
        <v>1000000000000</v>
      </c>
      <c r="CI169" s="172" cm="1">
        <f t="array" aca="1" ref="CI169" ca="1">IF(OR($D169&lt;&gt;"Serviço",AND(AUTOEVENTO="Manual",$M169=$A$15),$M169&gt;(ROW(PLE.lastrow)-ROW(PLE.firstrow))),0,
           IF(OFFSET(PLE!$G$15,$M169-$A$15,CI$13)="",10^12,OFFSET(PLE!$G$15,$M169-$A$15,CI$13)))</f>
        <v>1000000000000</v>
      </c>
      <c r="CJ169" s="172" cm="1">
        <f t="array" aca="1" ref="CJ169" ca="1">IF(OR($D169&lt;&gt;"Serviço",AND(AUTOEVENTO="Manual",$M169=$A$15),$M169&gt;(ROW(PLE.lastrow)-ROW(PLE.firstrow))),0,
           IF(OFFSET(PLE!$G$15,$M169-$A$15,CJ$13)="",10^12,OFFSET(PLE!$G$15,$M169-$A$15,CJ$13)))</f>
        <v>1000000000000</v>
      </c>
      <c r="CK169" s="172" cm="1">
        <f t="array" aca="1" ref="CK169" ca="1">IF(OR($D169&lt;&gt;"Serviço",AND(AUTOEVENTO="Manual",$M169=$A$15),$M169&gt;(ROW(PLE.lastrow)-ROW(PLE.firstrow))),0,
           IF(OFFSET(PLE!$G$15,$M169-$A$15,CK$13)="",10^12,OFFSET(PLE!$G$15,$M169-$A$15,CK$13)))</f>
        <v>1000000000000</v>
      </c>
      <c r="CL169" s="172" cm="1">
        <f t="array" aca="1" ref="CL169" ca="1">IF(OR($D169&lt;&gt;"Serviço",AND(AUTOEVENTO="Manual",$M169=$A$15),$M169&gt;(ROW(PLE.lastrow)-ROW(PLE.firstrow))),0,
           IF(OFFSET(PLE!$G$15,$M169-$A$15,CL$13)="",10^12,OFFSET(PLE!$G$15,$M169-$A$15,CL$13)))</f>
        <v>1000000000000</v>
      </c>
      <c r="CM169" s="172" cm="1">
        <f t="array" aca="1" ref="CM169" ca="1">IF(OR($D169&lt;&gt;"Serviço",AND(AUTOEVENTO="Manual",$M169=$A$15),$M169&gt;(ROW(PLE.lastrow)-ROW(PLE.firstrow))),0,
           IF(OFFSET(PLE!$G$15,$M169-$A$15,CM$13)="",10^12,OFFSET(PLE!$G$15,$M169-$A$15,CM$13)))</f>
        <v>1000000000000</v>
      </c>
    </row>
    <row r="170" spans="1:91" s="670" customFormat="1" ht="25.5" x14ac:dyDescent="0.2">
      <c r="A170" s="668">
        <f t="shared" ca="1" si="14"/>
        <v>0</v>
      </c>
      <c r="B170" s="668">
        <f ca="1">OFFSET(ORÇAMENTO!C$15,$L170,0)</f>
        <v>2</v>
      </c>
      <c r="C170" s="668" t="str">
        <f ca="1">OFFSET(ORÇAMENTO!L$15,$L170,0)</f>
        <v>F</v>
      </c>
      <c r="D170" s="116" t="str">
        <f ca="1">OFFSET(ORÇAMENTO!N$15,$L170,0)</f>
        <v>Nível 2</v>
      </c>
      <c r="E170" s="117" t="str">
        <f ca="1">OFFSET(ORÇAMENTO!O$15,$L170,0)</f>
        <v>1.23.</v>
      </c>
      <c r="F170" s="163" t="str">
        <f ca="1">OFFSET(ORÇAMENTO!R$15,$L170,0)</f>
        <v>EXECUÇÃO/ FORNECIMENTO DE MATERIAIS E EQUIPAMENTOS HIDRAULICOS - Distribuição de água tratada</v>
      </c>
      <c r="G170" s="164" t="str">
        <f ca="1">IF($D170&lt;&gt;"Serviço","",OFFSET(ORÇAMENTO!S$15,$L170,0))</f>
        <v/>
      </c>
      <c r="H170" s="122" cm="1">
        <f t="array" aca="1" ref="H170" ca="1">IF($D170&lt;&gt;"Serviço",0,IF(ACOMPANHAMENTO="BM",ROUND(OFFSET(ORÇAMENTO!AJ$15,$L170,0),15-13*ORÇAMENTO!$AF$7),IF(IFERROR(CÁLCULO.FrentesPreenchidas,0)=0,0,SUM(ROUND(OFFSET($P170,0,1,1,CÁLCULO.FrentesPreenchidas),15-13*ORÇAMENTO!$AF$7)))))</f>
        <v>0</v>
      </c>
      <c r="I170" s="468"/>
      <c r="J170" s="651" t="str" cm="1">
        <f t="array" aca="1" ref="J170" ca="1">IF(OR(B170&lt;&gt;"S",CÁLCULO.FrentesPreenchidas=0),"",IF(AND(ACOMPANHAMENTO="PLE",AUTOEVENTO="Manual",OR(H170&gt;0,ORÇAMENTO!AC170="QUANT."),OR(K170="",M170=0,N170="")),"►E",IF(AND(ACOMPANHAMENTO="PLE",ORÇAMENTO!AC170="QUANT."),"►Q",IF(AND(ACOMPANHAMENTO="PLE",H170&lt;&gt;SUMPRODUCT(($Q$1:$AI$1=1)*ROUND(Q170:AI170,15))),"►S",IF(AND(COUNTIF($P$11:$AI$11,"▼")=0,H170&gt;0,I170=""),"◄M","")))))</f>
        <v/>
      </c>
      <c r="K170" s="652"/>
      <c r="L170" s="165">
        <f t="shared" ca="1" si="15"/>
        <v>155</v>
      </c>
      <c r="M170" s="166" t="str">
        <f ca="1">IF($D170&lt;&gt;"Serviço","",
          IF(AUTOEVENTO="manual",$A170,
                IF(ISERROR(MATCH($A170,$A$15:OFFSET($A170,-1,0),0)),MAX($M$15:OFFSET(M170,-1,0))+1,
                      INDEX($M$15:OFFSET(M170,-1,0),MATCH($A170,$A$15:OFFSET($A170,-1,0),0)))))</f>
        <v/>
      </c>
      <c r="N170" s="167" t="str">
        <f ca="1">IF($D170&lt;&gt;"Serviço","",
         IF(AUTOEVENTO="Manual",
                IF($A170=0,"&lt;-- defina o número do agrupador",
                       OFFSET(EVENTOS!$D$15,$A170-$A$15,0)),
                OFFSET($F$15,$A170,0)))</f>
        <v/>
      </c>
      <c r="O170" s="168"/>
      <c r="Q170" s="168" t="s">
        <v>250</v>
      </c>
      <c r="R170" s="169"/>
      <c r="S170" s="169"/>
      <c r="T170" s="169"/>
      <c r="U170" s="169"/>
      <c r="V170" s="169"/>
      <c r="W170" s="169"/>
      <c r="X170" s="169"/>
      <c r="Y170" s="169"/>
      <c r="Z170" s="170"/>
      <c r="AA170" s="705"/>
      <c r="AB170" s="705"/>
      <c r="AC170" s="705"/>
      <c r="AD170" s="705"/>
      <c r="AE170" s="705"/>
      <c r="AF170" s="705"/>
      <c r="AG170" s="705"/>
      <c r="AH170" s="706"/>
      <c r="AJ170" s="453">
        <f ca="1">IF(AND($D170="Serviço",AJ$12&lt;&gt;0,$H170&gt;0,OR(AUTOEVENTO&lt;&gt;"manual",$M170&lt;&gt;$A$15)),
        IF(Import.TipoArredondamento&lt;&gt;"TransfereGOV",
              ROUND(OFFSET($P170,0,AJ$13),15-13*ORÇAMENTO!$AF$7)/$H170*OFFSET(ORÇAMENTO!$X$15,ROW(AJ170)-ROW(AJ$15),0),
              ROUND(ROUND(OFFSET($P170,0,AJ$13),15-13*ORÇAMENTO!$AF$7)*OFFSET(ORÇAMENTO!$W$15,ROW(AJ170)-ROW(AJ$15),0),15-13*ORÇAMENTO!$AF$11)),
         0)</f>
        <v>0</v>
      </c>
      <c r="AK170" s="453">
        <f ca="1">IF(AND($D170="Serviço",AK$12&lt;&gt;0,$H170&gt;0,OR(AUTOEVENTO&lt;&gt;"manual",$M170&lt;&gt;$A$15)),
        IF(Import.TipoArredondamento&lt;&gt;"TransfereGOV",
              ROUND(OFFSET($P170,0,AK$13),15-13*ORÇAMENTO!$AF$7)/$H170*OFFSET(ORÇAMENTO!$X$15,ROW(AK170)-ROW(AK$15),0),
              ROUND(ROUND(OFFSET($P170,0,AK$13),15-13*ORÇAMENTO!$AF$7)*OFFSET(ORÇAMENTO!$W$15,ROW(AK170)-ROW(AK$15),0),15-13*ORÇAMENTO!$AF$11)),
         0)</f>
        <v>0</v>
      </c>
      <c r="AL170" s="453">
        <f ca="1">IF(AND($D170="Serviço",AL$12&lt;&gt;0,$H170&gt;0,OR(AUTOEVENTO&lt;&gt;"manual",$M170&lt;&gt;$A$15)),
        IF(Import.TipoArredondamento&lt;&gt;"TransfereGOV",
              ROUND(OFFSET($P170,0,AL$13),15-13*ORÇAMENTO!$AF$7)/$H170*OFFSET(ORÇAMENTO!$X$15,ROW(AL170)-ROW(AL$15),0),
              ROUND(ROUND(OFFSET($P170,0,AL$13),15-13*ORÇAMENTO!$AF$7)*OFFSET(ORÇAMENTO!$W$15,ROW(AL170)-ROW(AL$15),0),15-13*ORÇAMENTO!$AF$11)),
         0)</f>
        <v>0</v>
      </c>
      <c r="AM170" s="453">
        <f ca="1">IF(AND($D170="Serviço",AM$12&lt;&gt;0,$H170&gt;0,OR(AUTOEVENTO&lt;&gt;"manual",$M170&lt;&gt;$A$15)),
        IF(Import.TipoArredondamento&lt;&gt;"TransfereGOV",
              ROUND(OFFSET($P170,0,AM$13),15-13*ORÇAMENTO!$AF$7)/$H170*OFFSET(ORÇAMENTO!$X$15,ROW(AM170)-ROW(AM$15),0),
              ROUND(ROUND(OFFSET($P170,0,AM$13),15-13*ORÇAMENTO!$AF$7)*OFFSET(ORÇAMENTO!$W$15,ROW(AM170)-ROW(AM$15),0),15-13*ORÇAMENTO!$AF$11)),
         0)</f>
        <v>0</v>
      </c>
      <c r="AN170" s="453">
        <f ca="1">IF(AND($D170="Serviço",AN$12&lt;&gt;0,$H170&gt;0,OR(AUTOEVENTO&lt;&gt;"manual",$M170&lt;&gt;$A$15)),
        IF(Import.TipoArredondamento&lt;&gt;"TransfereGOV",
              ROUND(OFFSET($P170,0,AN$13),15-13*ORÇAMENTO!$AF$7)/$H170*OFFSET(ORÇAMENTO!$X$15,ROW(AN170)-ROW(AN$15),0),
              ROUND(ROUND(OFFSET($P170,0,AN$13),15-13*ORÇAMENTO!$AF$7)*OFFSET(ORÇAMENTO!$W$15,ROW(AN170)-ROW(AN$15),0),15-13*ORÇAMENTO!$AF$11)),
         0)</f>
        <v>0</v>
      </c>
      <c r="AO170" s="453">
        <f ca="1">IF(AND($D170="Serviço",AO$12&lt;&gt;0,$H170&gt;0,OR(AUTOEVENTO&lt;&gt;"manual",$M170&lt;&gt;$A$15)),
        IF(Import.TipoArredondamento&lt;&gt;"TransfereGOV",
              ROUND(OFFSET($P170,0,AO$13),15-13*ORÇAMENTO!$AF$7)/$H170*OFFSET(ORÇAMENTO!$X$15,ROW(AO170)-ROW(AO$15),0),
              ROUND(ROUND(OFFSET($P170,0,AO$13),15-13*ORÇAMENTO!$AF$7)*OFFSET(ORÇAMENTO!$W$15,ROW(AO170)-ROW(AO$15),0),15-13*ORÇAMENTO!$AF$11)),
         0)</f>
        <v>0</v>
      </c>
      <c r="AP170" s="453">
        <f ca="1">IF(AND($D170="Serviço",AP$12&lt;&gt;0,$H170&gt;0,OR(AUTOEVENTO&lt;&gt;"manual",$M170&lt;&gt;$A$15)),
        IF(Import.TipoArredondamento&lt;&gt;"TransfereGOV",
              ROUND(OFFSET($P170,0,AP$13),15-13*ORÇAMENTO!$AF$7)/$H170*OFFSET(ORÇAMENTO!$X$15,ROW(AP170)-ROW(AP$15),0),
              ROUND(ROUND(OFFSET($P170,0,AP$13),15-13*ORÇAMENTO!$AF$7)*OFFSET(ORÇAMENTO!$W$15,ROW(AP170)-ROW(AP$15),0),15-13*ORÇAMENTO!$AF$11)),
         0)</f>
        <v>0</v>
      </c>
      <c r="AQ170" s="453">
        <f ca="1">IF(AND($D170="Serviço",AQ$12&lt;&gt;0,$H170&gt;0,OR(AUTOEVENTO&lt;&gt;"manual",$M170&lt;&gt;$A$15)),
        IF(Import.TipoArredondamento&lt;&gt;"TransfereGOV",
              ROUND(OFFSET($P170,0,AQ$13),15-13*ORÇAMENTO!$AF$7)/$H170*OFFSET(ORÇAMENTO!$X$15,ROW(AQ170)-ROW(AQ$15),0),
              ROUND(ROUND(OFFSET($P170,0,AQ$13),15-13*ORÇAMENTO!$AF$7)*OFFSET(ORÇAMENTO!$W$15,ROW(AQ170)-ROW(AQ$15),0),15-13*ORÇAMENTO!$AF$11)),
         0)</f>
        <v>0</v>
      </c>
      <c r="AR170" s="453">
        <f ca="1">IF(AND($D170="Serviço",AR$12&lt;&gt;0,$H170&gt;0,OR(AUTOEVENTO&lt;&gt;"manual",$M170&lt;&gt;$A$15)),
        IF(Import.TipoArredondamento&lt;&gt;"TransfereGOV",
              ROUND(OFFSET($P170,0,AR$13),15-13*ORÇAMENTO!$AF$7)/$H170*OFFSET(ORÇAMENTO!$X$15,ROW(AR170)-ROW(AR$15),0),
              ROUND(ROUND(OFFSET($P170,0,AR$13),15-13*ORÇAMENTO!$AF$7)*OFFSET(ORÇAMENTO!$W$15,ROW(AR170)-ROW(AR$15),0),15-13*ORÇAMENTO!$AF$11)),
         0)</f>
        <v>0</v>
      </c>
      <c r="AS170" s="453">
        <f ca="1">IF(AND($D170="Serviço",AS$12&lt;&gt;0,$H170&gt;0,OR(AUTOEVENTO&lt;&gt;"manual",$M170&lt;&gt;$A$15)),
        IF(Import.TipoArredondamento&lt;&gt;"TransfereGOV",
              ROUND(OFFSET($P170,0,AS$13),15-13*ORÇAMENTO!$AF$7)/$H170*OFFSET(ORÇAMENTO!$X$15,ROW(AS170)-ROW(AS$15),0),
              ROUND(ROUND(OFFSET($P170,0,AS$13),15-13*ORÇAMENTO!$AF$7)*OFFSET(ORÇAMENTO!$W$15,ROW(AS170)-ROW(AS$15),0),15-13*ORÇAMENTO!$AF$11)),
         0)</f>
        <v>0</v>
      </c>
      <c r="AT170" s="453">
        <f ca="1">IF(AND($D170="Serviço",AT$12&lt;&gt;0,$H170&gt;0,OR(AUTOEVENTO&lt;&gt;"manual",$M170&lt;&gt;$A$15)),
        IF(Import.TipoArredondamento&lt;&gt;"TransfereGOV",
              ROUND(OFFSET($P170,0,AT$13),15-13*ORÇAMENTO!$AF$7)/$H170*OFFSET(ORÇAMENTO!$X$15,ROW(AT170)-ROW(AT$15),0),
              ROUND(ROUND(OFFSET($P170,0,AT$13),15-13*ORÇAMENTO!$AF$7)*OFFSET(ORÇAMENTO!$W$15,ROW(AT170)-ROW(AT$15),0),15-13*ORÇAMENTO!$AF$11)),
         0)</f>
        <v>0</v>
      </c>
      <c r="AU170" s="453">
        <f ca="1">IF(AND($D170="Serviço",AU$12&lt;&gt;0,$H170&gt;0,OR(AUTOEVENTO&lt;&gt;"manual",$M170&lt;&gt;$A$15)),
        IF(Import.TipoArredondamento&lt;&gt;"TransfereGOV",
              ROUND(OFFSET($P170,0,AU$13),15-13*ORÇAMENTO!$AF$7)/$H170*OFFSET(ORÇAMENTO!$X$15,ROW(AU170)-ROW(AU$15),0),
              ROUND(ROUND(OFFSET($P170,0,AU$13),15-13*ORÇAMENTO!$AF$7)*OFFSET(ORÇAMENTO!$W$15,ROW(AU170)-ROW(AU$15),0),15-13*ORÇAMENTO!$AF$11)),
         0)</f>
        <v>0</v>
      </c>
      <c r="AV170" s="453">
        <f ca="1">IF(AND($D170="Serviço",AV$12&lt;&gt;0,$H170&gt;0,OR(AUTOEVENTO&lt;&gt;"manual",$M170&lt;&gt;$A$15)),
        IF(Import.TipoArredondamento&lt;&gt;"TransfereGOV",
              ROUND(OFFSET($P170,0,AV$13),15-13*ORÇAMENTO!$AF$7)/$H170*OFFSET(ORÇAMENTO!$X$15,ROW(AV170)-ROW(AV$15),0),
              ROUND(ROUND(OFFSET($P170,0,AV$13),15-13*ORÇAMENTO!$AF$7)*OFFSET(ORÇAMENTO!$W$15,ROW(AV170)-ROW(AV$15),0),15-13*ORÇAMENTO!$AF$11)),
         0)</f>
        <v>0</v>
      </c>
      <c r="AW170" s="453">
        <f ca="1">IF(AND($D170="Serviço",AW$12&lt;&gt;0,$H170&gt;0,OR(AUTOEVENTO&lt;&gt;"manual",$M170&lt;&gt;$A$15)),
        IF(Import.TipoArredondamento&lt;&gt;"TransfereGOV",
              ROUND(OFFSET($P170,0,AW$13),15-13*ORÇAMENTO!$AF$7)/$H170*OFFSET(ORÇAMENTO!$X$15,ROW(AW170)-ROW(AW$15),0),
              ROUND(ROUND(OFFSET($P170,0,AW$13),15-13*ORÇAMENTO!$AF$7)*OFFSET(ORÇAMENTO!$W$15,ROW(AW170)-ROW(AW$15),0),15-13*ORÇAMENTO!$AF$11)),
         0)</f>
        <v>0</v>
      </c>
      <c r="AX170" s="453">
        <f ca="1">IF(AND($D170="Serviço",AX$12&lt;&gt;0,$H170&gt;0,OR(AUTOEVENTO&lt;&gt;"manual",$M170&lt;&gt;$A$15)),
        IF(Import.TipoArredondamento&lt;&gt;"TransfereGOV",
              ROUND(OFFSET($P170,0,AX$13),15-13*ORÇAMENTO!$AF$7)/$H170*OFFSET(ORÇAMENTO!$X$15,ROW(AX170)-ROW(AX$15),0),
              ROUND(ROUND(OFFSET($P170,0,AX$13),15-13*ORÇAMENTO!$AF$7)*OFFSET(ORÇAMENTO!$W$15,ROW(AX170)-ROW(AX$15),0),15-13*ORÇAMENTO!$AF$11)),
         0)</f>
        <v>0</v>
      </c>
      <c r="AY170" s="453">
        <f ca="1">IF(AND($D170="Serviço",AY$12&lt;&gt;0,$H170&gt;0,OR(AUTOEVENTO&lt;&gt;"manual",$M170&lt;&gt;$A$15)),
        IF(Import.TipoArredondamento&lt;&gt;"TransfereGOV",
              ROUND(OFFSET($P170,0,AY$13),15-13*ORÇAMENTO!$AF$7)/$H170*OFFSET(ORÇAMENTO!$X$15,ROW(AY170)-ROW(AY$15),0),
              ROUND(ROUND(OFFSET($P170,0,AY$13),15-13*ORÇAMENTO!$AF$7)*OFFSET(ORÇAMENTO!$W$15,ROW(AY170)-ROW(AY$15),0),15-13*ORÇAMENTO!$AF$11)),
         0)</f>
        <v>0</v>
      </c>
      <c r="AZ170" s="453">
        <f ca="1">IF(AND($D170="Serviço",AZ$12&lt;&gt;0,$H170&gt;0,OR(AUTOEVENTO&lt;&gt;"manual",$M170&lt;&gt;$A$15)),
        IF(Import.TipoArredondamento&lt;&gt;"TransfereGOV",
              ROUND(OFFSET($P170,0,AZ$13),15-13*ORÇAMENTO!$AF$7)/$H170*OFFSET(ORÇAMENTO!$X$15,ROW(AZ170)-ROW(AZ$15),0),
              ROUND(ROUND(OFFSET($P170,0,AZ$13),15-13*ORÇAMENTO!$AF$7)*OFFSET(ORÇAMENTO!$W$15,ROW(AZ170)-ROW(AZ$15),0),15-13*ORÇAMENTO!$AF$11)),
         0)</f>
        <v>0</v>
      </c>
      <c r="BA170" s="453">
        <f ca="1">IF(AND($D170="Serviço",BA$12&lt;&gt;0,$H170&gt;0,OR(AUTOEVENTO&lt;&gt;"manual",$M170&lt;&gt;$A$15)),
        IF(Import.TipoArredondamento&lt;&gt;"TransfereGOV",
              ROUND(OFFSET($P170,0,BA$13),15-13*ORÇAMENTO!$AF$7)/$H170*OFFSET(ORÇAMENTO!$X$15,ROW(BA170)-ROW(BA$15),0),
              ROUND(ROUND(OFFSET($P170,0,BA$13),15-13*ORÇAMENTO!$AF$7)*OFFSET(ORÇAMENTO!$W$15,ROW(BA170)-ROW(BA$15),0),15-13*ORÇAMENTO!$AF$11)),
         0)</f>
        <v>0</v>
      </c>
      <c r="BC170" s="171">
        <f ca="1">IF(OR($D170&lt;&gt;"Serviço",AND(AUTOEVENTO="Manual",$M170=$A$15)),0,
         IF(OFFSET(CRONOPLE!$F$15,$M170-$A$15,BC$13)=0,10^12,OFFSET(CRONOPLE!$F$15,$M170-$A$15,BC$13)))</f>
        <v>0</v>
      </c>
      <c r="BD170" s="171">
        <f ca="1">IF(OR($D170&lt;&gt;"Serviço",AND(AUTOEVENTO="Manual",$M170=$A$15)),0,
         IF(OFFSET(CRONOPLE!$F$15,$M170-$A$15,BD$13)=0,10^12,OFFSET(CRONOPLE!$F$15,$M170-$A$15,BD$13)))</f>
        <v>0</v>
      </c>
      <c r="BE170" s="171">
        <f ca="1">IF(OR($D170&lt;&gt;"Serviço",AND(AUTOEVENTO="Manual",$M170=$A$15)),0,
         IF(OFFSET(CRONOPLE!$F$15,$M170-$A$15,BE$13)=0,10^12,OFFSET(CRONOPLE!$F$15,$M170-$A$15,BE$13)))</f>
        <v>0</v>
      </c>
      <c r="BF170" s="171">
        <f ca="1">IF(OR($D170&lt;&gt;"Serviço",AND(AUTOEVENTO="Manual",$M170=$A$15)),0,
         IF(OFFSET(CRONOPLE!$F$15,$M170-$A$15,BF$13)=0,10^12,OFFSET(CRONOPLE!$F$15,$M170-$A$15,BF$13)))</f>
        <v>0</v>
      </c>
      <c r="BG170" s="171">
        <f ca="1">IF(OR($D170&lt;&gt;"Serviço",AND(AUTOEVENTO="Manual",$M170=$A$15)),0,
         IF(OFFSET(CRONOPLE!$F$15,$M170-$A$15,BG$13)=0,10^12,OFFSET(CRONOPLE!$F$15,$M170-$A$15,BG$13)))</f>
        <v>0</v>
      </c>
      <c r="BH170" s="171">
        <f ca="1">IF(OR($D170&lt;&gt;"Serviço",AND(AUTOEVENTO="Manual",$M170=$A$15)),0,
         IF(OFFSET(CRONOPLE!$F$15,$M170-$A$15,BH$13)=0,10^12,OFFSET(CRONOPLE!$F$15,$M170-$A$15,BH$13)))</f>
        <v>0</v>
      </c>
      <c r="BI170" s="171">
        <f ca="1">IF(OR($D170&lt;&gt;"Serviço",AND(AUTOEVENTO="Manual",$M170=$A$15)),0,
         IF(OFFSET(CRONOPLE!$F$15,$M170-$A$15,BI$13)=0,10^12,OFFSET(CRONOPLE!$F$15,$M170-$A$15,BI$13)))</f>
        <v>0</v>
      </c>
      <c r="BJ170" s="171">
        <f ca="1">IF(OR($D170&lt;&gt;"Serviço",AND(AUTOEVENTO="Manual",$M170=$A$15)),0,
         IF(OFFSET(CRONOPLE!$F$15,$M170-$A$15,BJ$13)=0,10^12,OFFSET(CRONOPLE!$F$15,$M170-$A$15,BJ$13)))</f>
        <v>0</v>
      </c>
      <c r="BK170" s="171">
        <f ca="1">IF(OR($D170&lt;&gt;"Serviço",AND(AUTOEVENTO="Manual",$M170=$A$15)),0,
         IF(OFFSET(CRONOPLE!$F$15,$M170-$A$15,BK$13)=0,10^12,OFFSET(CRONOPLE!$F$15,$M170-$A$15,BK$13)))</f>
        <v>0</v>
      </c>
      <c r="BL170" s="171">
        <f ca="1">IF(OR($D170&lt;&gt;"Serviço",AND(AUTOEVENTO="Manual",$M170=$A$15)),0,
         IF(OFFSET(CRONOPLE!$F$15,$M170-$A$15,BL$13)=0,10^12,OFFSET(CRONOPLE!$F$15,$M170-$A$15,BL$13)))</f>
        <v>0</v>
      </c>
      <c r="BM170" s="171">
        <f ca="1">IF(OR($D170&lt;&gt;"Serviço",AND(AUTOEVENTO="Manual",$M170=$A$15)),0,
         IF(OFFSET(CRONOPLE!$F$15,$M170-$A$15,BM$13)=0,10^12,OFFSET(CRONOPLE!$F$15,$M170-$A$15,BM$13)))</f>
        <v>0</v>
      </c>
      <c r="BN170" s="171">
        <f ca="1">IF(OR($D170&lt;&gt;"Serviço",AND(AUTOEVENTO="Manual",$M170=$A$15)),0,
         IF(OFFSET(CRONOPLE!$F$15,$M170-$A$15,BN$13)=0,10^12,OFFSET(CRONOPLE!$F$15,$M170-$A$15,BN$13)))</f>
        <v>0</v>
      </c>
      <c r="BO170" s="171">
        <f ca="1">IF(OR($D170&lt;&gt;"Serviço",AND(AUTOEVENTO="Manual",$M170=$A$15)),0,
         IF(OFFSET(CRONOPLE!$F$15,$M170-$A$15,BO$13)=0,10^12,OFFSET(CRONOPLE!$F$15,$M170-$A$15,BO$13)))</f>
        <v>0</v>
      </c>
      <c r="BP170" s="171">
        <f ca="1">IF(OR($D170&lt;&gt;"Serviço",AND(AUTOEVENTO="Manual",$M170=$A$15)),0,
         IF(OFFSET(CRONOPLE!$F$15,$M170-$A$15,BP$13)=0,10^12,OFFSET(CRONOPLE!$F$15,$M170-$A$15,BP$13)))</f>
        <v>0</v>
      </c>
      <c r="BQ170" s="171">
        <f ca="1">IF(OR($D170&lt;&gt;"Serviço",AND(AUTOEVENTO="Manual",$M170=$A$15)),0,
         IF(OFFSET(CRONOPLE!$F$15,$M170-$A$15,BQ$13)=0,10^12,OFFSET(CRONOPLE!$F$15,$M170-$A$15,BQ$13)))</f>
        <v>0</v>
      </c>
      <c r="BR170" s="171">
        <f ca="1">IF(OR($D170&lt;&gt;"Serviço",AND(AUTOEVENTO="Manual",$M170=$A$15)),0,
         IF(OFFSET(CRONOPLE!$F$15,$M170-$A$15,BR$13)=0,10^12,OFFSET(CRONOPLE!$F$15,$M170-$A$15,BR$13)))</f>
        <v>0</v>
      </c>
      <c r="BS170" s="171">
        <f ca="1">IF(OR($D170&lt;&gt;"Serviço",AND(AUTOEVENTO="Manual",$M170=$A$15)),0,
         IF(OFFSET(CRONOPLE!$F$15,$M170-$A$15,BS$13)=0,10^12,OFFSET(CRONOPLE!$F$15,$M170-$A$15,BS$13)))</f>
        <v>0</v>
      </c>
      <c r="BT170" s="171">
        <f ca="1">IF(OR($D170&lt;&gt;"Serviço",AND(AUTOEVENTO="Manual",$M170=$A$15)),0,
         IF(OFFSET(CRONOPLE!$F$15,$M170-$A$15,BT$13)=0,10^12,OFFSET(CRONOPLE!$F$15,$M170-$A$15,BT$13)))</f>
        <v>0</v>
      </c>
      <c r="BV170" s="172" cm="1">
        <f t="array" aca="1" ref="BV170" ca="1">IF(OR($D170&lt;&gt;"Serviço",AND(AUTOEVENTO="Manual",$M170=$A$15),$M170&gt;(ROW(PLE.lastrow)-ROW(PLE.firstrow))),0,
           IF(OFFSET(PLE!$G$15,$M170-$A$15,BV$13)="",10^12,OFFSET(PLE!$G$15,$M170-$A$15,BV$13)))</f>
        <v>0</v>
      </c>
      <c r="BW170" s="172" cm="1">
        <f t="array" aca="1" ref="BW170" ca="1">IF(OR($D170&lt;&gt;"Serviço",AND(AUTOEVENTO="Manual",$M170=$A$15),$M170&gt;(ROW(PLE.lastrow)-ROW(PLE.firstrow))),0,
           IF(OFFSET(PLE!$G$15,$M170-$A$15,BW$13)="",10^12,OFFSET(PLE!$G$15,$M170-$A$15,BW$13)))</f>
        <v>0</v>
      </c>
      <c r="BX170" s="172" cm="1">
        <f t="array" aca="1" ref="BX170" ca="1">IF(OR($D170&lt;&gt;"Serviço",AND(AUTOEVENTO="Manual",$M170=$A$15),$M170&gt;(ROW(PLE.lastrow)-ROW(PLE.firstrow))),0,
           IF(OFFSET(PLE!$G$15,$M170-$A$15,BX$13)="",10^12,OFFSET(PLE!$G$15,$M170-$A$15,BX$13)))</f>
        <v>0</v>
      </c>
      <c r="BY170" s="172" cm="1">
        <f t="array" aca="1" ref="BY170" ca="1">IF(OR($D170&lt;&gt;"Serviço",AND(AUTOEVENTO="Manual",$M170=$A$15),$M170&gt;(ROW(PLE.lastrow)-ROW(PLE.firstrow))),0,
           IF(OFFSET(PLE!$G$15,$M170-$A$15,BY$13)="",10^12,OFFSET(PLE!$G$15,$M170-$A$15,BY$13)))</f>
        <v>0</v>
      </c>
      <c r="BZ170" s="172" cm="1">
        <f t="array" aca="1" ref="BZ170" ca="1">IF(OR($D170&lt;&gt;"Serviço",AND(AUTOEVENTO="Manual",$M170=$A$15),$M170&gt;(ROW(PLE.lastrow)-ROW(PLE.firstrow))),0,
           IF(OFFSET(PLE!$G$15,$M170-$A$15,BZ$13)="",10^12,OFFSET(PLE!$G$15,$M170-$A$15,BZ$13)))</f>
        <v>0</v>
      </c>
      <c r="CA170" s="172" cm="1">
        <f t="array" aca="1" ref="CA170" ca="1">IF(OR($D170&lt;&gt;"Serviço",AND(AUTOEVENTO="Manual",$M170=$A$15),$M170&gt;(ROW(PLE.lastrow)-ROW(PLE.firstrow))),0,
           IF(OFFSET(PLE!$G$15,$M170-$A$15,CA$13)="",10^12,OFFSET(PLE!$G$15,$M170-$A$15,CA$13)))</f>
        <v>0</v>
      </c>
      <c r="CB170" s="172" cm="1">
        <f t="array" aca="1" ref="CB170" ca="1">IF(OR($D170&lt;&gt;"Serviço",AND(AUTOEVENTO="Manual",$M170=$A$15),$M170&gt;(ROW(PLE.lastrow)-ROW(PLE.firstrow))),0,
           IF(OFFSET(PLE!$G$15,$M170-$A$15,CB$13)="",10^12,OFFSET(PLE!$G$15,$M170-$A$15,CB$13)))</f>
        <v>0</v>
      </c>
      <c r="CC170" s="172" cm="1">
        <f t="array" aca="1" ref="CC170" ca="1">IF(OR($D170&lt;&gt;"Serviço",AND(AUTOEVENTO="Manual",$M170=$A$15),$M170&gt;(ROW(PLE.lastrow)-ROW(PLE.firstrow))),0,
           IF(OFFSET(PLE!$G$15,$M170-$A$15,CC$13)="",10^12,OFFSET(PLE!$G$15,$M170-$A$15,CC$13)))</f>
        <v>0</v>
      </c>
      <c r="CD170" s="172" cm="1">
        <f t="array" aca="1" ref="CD170" ca="1">IF(OR($D170&lt;&gt;"Serviço",AND(AUTOEVENTO="Manual",$M170=$A$15),$M170&gt;(ROW(PLE.lastrow)-ROW(PLE.firstrow))),0,
           IF(OFFSET(PLE!$G$15,$M170-$A$15,CD$13)="",10^12,OFFSET(PLE!$G$15,$M170-$A$15,CD$13)))</f>
        <v>0</v>
      </c>
      <c r="CE170" s="172" cm="1">
        <f t="array" aca="1" ref="CE170" ca="1">IF(OR($D170&lt;&gt;"Serviço",AND(AUTOEVENTO="Manual",$M170=$A$15),$M170&gt;(ROW(PLE.lastrow)-ROW(PLE.firstrow))),0,
           IF(OFFSET(PLE!$G$15,$M170-$A$15,CE$13)="",10^12,OFFSET(PLE!$G$15,$M170-$A$15,CE$13)))</f>
        <v>0</v>
      </c>
      <c r="CF170" s="172" cm="1">
        <f t="array" aca="1" ref="CF170" ca="1">IF(OR($D170&lt;&gt;"Serviço",AND(AUTOEVENTO="Manual",$M170=$A$15),$M170&gt;(ROW(PLE.lastrow)-ROW(PLE.firstrow))),0,
           IF(OFFSET(PLE!$G$15,$M170-$A$15,CF$13)="",10^12,OFFSET(PLE!$G$15,$M170-$A$15,CF$13)))</f>
        <v>0</v>
      </c>
      <c r="CG170" s="172" cm="1">
        <f t="array" aca="1" ref="CG170" ca="1">IF(OR($D170&lt;&gt;"Serviço",AND(AUTOEVENTO="Manual",$M170=$A$15),$M170&gt;(ROW(PLE.lastrow)-ROW(PLE.firstrow))),0,
           IF(OFFSET(PLE!$G$15,$M170-$A$15,CG$13)="",10^12,OFFSET(PLE!$G$15,$M170-$A$15,CG$13)))</f>
        <v>0</v>
      </c>
      <c r="CH170" s="172" cm="1">
        <f t="array" aca="1" ref="CH170" ca="1">IF(OR($D170&lt;&gt;"Serviço",AND(AUTOEVENTO="Manual",$M170=$A$15),$M170&gt;(ROW(PLE.lastrow)-ROW(PLE.firstrow))),0,
           IF(OFFSET(PLE!$G$15,$M170-$A$15,CH$13)="",10^12,OFFSET(PLE!$G$15,$M170-$A$15,CH$13)))</f>
        <v>0</v>
      </c>
      <c r="CI170" s="172" cm="1">
        <f t="array" aca="1" ref="CI170" ca="1">IF(OR($D170&lt;&gt;"Serviço",AND(AUTOEVENTO="Manual",$M170=$A$15),$M170&gt;(ROW(PLE.lastrow)-ROW(PLE.firstrow))),0,
           IF(OFFSET(PLE!$G$15,$M170-$A$15,CI$13)="",10^12,OFFSET(PLE!$G$15,$M170-$A$15,CI$13)))</f>
        <v>0</v>
      </c>
      <c r="CJ170" s="172" cm="1">
        <f t="array" aca="1" ref="CJ170" ca="1">IF(OR($D170&lt;&gt;"Serviço",AND(AUTOEVENTO="Manual",$M170=$A$15),$M170&gt;(ROW(PLE.lastrow)-ROW(PLE.firstrow))),0,
           IF(OFFSET(PLE!$G$15,$M170-$A$15,CJ$13)="",10^12,OFFSET(PLE!$G$15,$M170-$A$15,CJ$13)))</f>
        <v>0</v>
      </c>
      <c r="CK170" s="172" cm="1">
        <f t="array" aca="1" ref="CK170" ca="1">IF(OR($D170&lt;&gt;"Serviço",AND(AUTOEVENTO="Manual",$M170=$A$15),$M170&gt;(ROW(PLE.lastrow)-ROW(PLE.firstrow))),0,
           IF(OFFSET(PLE!$G$15,$M170-$A$15,CK$13)="",10^12,OFFSET(PLE!$G$15,$M170-$A$15,CK$13)))</f>
        <v>0</v>
      </c>
      <c r="CL170" s="172" cm="1">
        <f t="array" aca="1" ref="CL170" ca="1">IF(OR($D170&lt;&gt;"Serviço",AND(AUTOEVENTO="Manual",$M170=$A$15),$M170&gt;(ROW(PLE.lastrow)-ROW(PLE.firstrow))),0,
           IF(OFFSET(PLE!$G$15,$M170-$A$15,CL$13)="",10^12,OFFSET(PLE!$G$15,$M170-$A$15,CL$13)))</f>
        <v>0</v>
      </c>
      <c r="CM170" s="172" cm="1">
        <f t="array" aca="1" ref="CM170" ca="1">IF(OR($D170&lt;&gt;"Serviço",AND(AUTOEVENTO="Manual",$M170=$A$15),$M170&gt;(ROW(PLE.lastrow)-ROW(PLE.firstrow))),0,
           IF(OFFSET(PLE!$G$15,$M170-$A$15,CM$13)="",10^12,OFFSET(PLE!$G$15,$M170-$A$15,CM$13)))</f>
        <v>0</v>
      </c>
    </row>
    <row r="171" spans="1:91" s="670" customFormat="1" ht="25.5" x14ac:dyDescent="0.2">
      <c r="A171" s="668">
        <f t="shared" ca="1" si="14"/>
        <v>8</v>
      </c>
      <c r="B171" s="668" t="str">
        <f ca="1">OFFSET(ORÇAMENTO!C$15,$L171,0)</f>
        <v>S</v>
      </c>
      <c r="C171" s="668" t="str">
        <f ca="1">OFFSET(ORÇAMENTO!L$15,$L171,0)</f>
        <v>F</v>
      </c>
      <c r="D171" s="116" t="str">
        <f ca="1">OFFSET(ORÇAMENTO!N$15,$L171,0)</f>
        <v>Serviço</v>
      </c>
      <c r="E171" s="117" t="str">
        <f ca="1">OFFSET(ORÇAMENTO!O$15,$L171,0)</f>
        <v>1.23.1.</v>
      </c>
      <c r="F171" s="163" t="str">
        <f ca="1">OFFSET(ORÇAMENTO!R$15,$L171,0)</f>
        <v>TUBO PVC PBA JEI, CLASSE 20, DN 50 MM, PARA REDE DE AGUA (NBR 5647)</v>
      </c>
      <c r="G171" s="164" t="str">
        <f ca="1">IF($D171&lt;&gt;"Serviço","",OFFSET(ORÇAMENTO!S$15,$L171,0))</f>
        <v>M</v>
      </c>
      <c r="H171" s="122" cm="1">
        <f t="array" aca="1" ref="H171" ca="1">IF($D171&lt;&gt;"Serviço",0,IF(ACOMPANHAMENTO="BM",ROUND(OFFSET(ORÇAMENTO!AJ$15,$L171,0),15-13*ORÇAMENTO!$AF$7),IF(IFERROR(CÁLCULO.FrentesPreenchidas,0)=0,0,SUM(ROUND(OFFSET($P171,0,1,1,CÁLCULO.FrentesPreenchidas),15-13*ORÇAMENTO!$AF$7)))))</f>
        <v>6000</v>
      </c>
      <c r="I171" s="468" t="s">
        <v>1153</v>
      </c>
      <c r="J171" s="651" t="str" cm="1">
        <f t="array" aca="1" ref="J171" ca="1">IF(OR(B171&lt;&gt;"S",CÁLCULO.FrentesPreenchidas=0),"",IF(AND(ACOMPANHAMENTO="PLE",AUTOEVENTO="Manual",OR(H171&gt;0,ORÇAMENTO!AC171="QUANT."),OR(K171="",M171=0,N171="")),"►E",IF(AND(ACOMPANHAMENTO="PLE",ORÇAMENTO!AC171="QUANT."),"►Q",IF(AND(ACOMPANHAMENTO="PLE",H171&lt;&gt;SUMPRODUCT(($Q$1:$AI$1=1)*ROUND(Q171:AI171,15))),"►S",IF(AND(COUNTIF($P$11:$AI$11,"▼")=0,H171&gt;0,I171=""),"◄M","")))))</f>
        <v/>
      </c>
      <c r="K171" s="652" t="s">
        <v>1352</v>
      </c>
      <c r="L171" s="165">
        <f t="shared" ca="1" si="15"/>
        <v>156</v>
      </c>
      <c r="M171" s="166">
        <f ca="1">IF($D171&lt;&gt;"Serviço","",
          IF(AUTOEVENTO="manual",$A171,
                IF(ISERROR(MATCH($A171,$A$15:OFFSET($A171,-1,0),0)),MAX($M$15:OFFSET(M171,-1,0))+1,
                      INDEX($M$15:OFFSET(M171,-1,0),MATCH($A171,$A$15:OFFSET($A171,-1,0),0)))))</f>
        <v>8</v>
      </c>
      <c r="N171" s="167" t="str">
        <f ca="1">IF($D171&lt;&gt;"Serviço","",
         IF(AUTOEVENTO="Manual",
                IF($A171=0,"&lt;-- defina o número do agrupador",
                       OFFSET(EVENTOS!$D$15,$A171-$A$15,0)),
                OFFSET($F$15,$A171,0)))</f>
        <v>Assentamento de tubulação</v>
      </c>
      <c r="O171" s="168"/>
      <c r="Q171" s="168"/>
      <c r="R171" s="169"/>
      <c r="S171" s="169"/>
      <c r="T171" s="169"/>
      <c r="U171" s="169"/>
      <c r="V171" s="169"/>
      <c r="W171" s="169">
        <v>6000</v>
      </c>
      <c r="X171" s="169"/>
      <c r="Y171" s="169"/>
      <c r="Z171" s="170"/>
      <c r="AA171" s="705"/>
      <c r="AB171" s="705"/>
      <c r="AC171" s="705"/>
      <c r="AD171" s="705"/>
      <c r="AE171" s="705"/>
      <c r="AF171" s="705"/>
      <c r="AG171" s="705"/>
      <c r="AH171" s="706"/>
      <c r="AJ171" s="453">
        <f ca="1">IF(AND($D171="Serviço",AJ$12&lt;&gt;0,$H171&gt;0,OR(AUTOEVENTO&lt;&gt;"manual",$M171&lt;&gt;$A$15)),
        IF(Import.TipoArredondamento&lt;&gt;"TransfereGOV",
              ROUND(OFFSET($P171,0,AJ$13),15-13*ORÇAMENTO!$AF$7)/$H171*OFFSET(ORÇAMENTO!$X$15,ROW(AJ171)-ROW(AJ$15),0),
              ROUND(ROUND(OFFSET($P171,0,AJ$13),15-13*ORÇAMENTO!$AF$7)*OFFSET(ORÇAMENTO!$W$15,ROW(AJ171)-ROW(AJ$15),0),15-13*ORÇAMENTO!$AF$11)),
         0)</f>
        <v>0</v>
      </c>
      <c r="AK171" s="453">
        <f ca="1">IF(AND($D171="Serviço",AK$12&lt;&gt;0,$H171&gt;0,OR(AUTOEVENTO&lt;&gt;"manual",$M171&lt;&gt;$A$15)),
        IF(Import.TipoArredondamento&lt;&gt;"TransfereGOV",
              ROUND(OFFSET($P171,0,AK$13),15-13*ORÇAMENTO!$AF$7)/$H171*OFFSET(ORÇAMENTO!$X$15,ROW(AK171)-ROW(AK$15),0),
              ROUND(ROUND(OFFSET($P171,0,AK$13),15-13*ORÇAMENTO!$AF$7)*OFFSET(ORÇAMENTO!$W$15,ROW(AK171)-ROW(AK$15),0),15-13*ORÇAMENTO!$AF$11)),
         0)</f>
        <v>0</v>
      </c>
      <c r="AL171" s="453">
        <f ca="1">IF(AND($D171="Serviço",AL$12&lt;&gt;0,$H171&gt;0,OR(AUTOEVENTO&lt;&gt;"manual",$M171&lt;&gt;$A$15)),
        IF(Import.TipoArredondamento&lt;&gt;"TransfereGOV",
              ROUND(OFFSET($P171,0,AL$13),15-13*ORÇAMENTO!$AF$7)/$H171*OFFSET(ORÇAMENTO!$X$15,ROW(AL171)-ROW(AL$15),0),
              ROUND(ROUND(OFFSET($P171,0,AL$13),15-13*ORÇAMENTO!$AF$7)*OFFSET(ORÇAMENTO!$W$15,ROW(AL171)-ROW(AL$15),0),15-13*ORÇAMENTO!$AF$11)),
         0)</f>
        <v>0</v>
      </c>
      <c r="AM171" s="453">
        <f ca="1">IF(AND($D171="Serviço",AM$12&lt;&gt;0,$H171&gt;0,OR(AUTOEVENTO&lt;&gt;"manual",$M171&lt;&gt;$A$15)),
        IF(Import.TipoArredondamento&lt;&gt;"TransfereGOV",
              ROUND(OFFSET($P171,0,AM$13),15-13*ORÇAMENTO!$AF$7)/$H171*OFFSET(ORÇAMENTO!$X$15,ROW(AM171)-ROW(AM$15),0),
              ROUND(ROUND(OFFSET($P171,0,AM$13),15-13*ORÇAMENTO!$AF$7)*OFFSET(ORÇAMENTO!$W$15,ROW(AM171)-ROW(AM$15),0),15-13*ORÇAMENTO!$AF$11)),
         0)</f>
        <v>0</v>
      </c>
      <c r="AN171" s="453">
        <f ca="1">IF(AND($D171="Serviço",AN$12&lt;&gt;0,$H171&gt;0,OR(AUTOEVENTO&lt;&gt;"manual",$M171&lt;&gt;$A$15)),
        IF(Import.TipoArredondamento&lt;&gt;"TransfereGOV",
              ROUND(OFFSET($P171,0,AN$13),15-13*ORÇAMENTO!$AF$7)/$H171*OFFSET(ORÇAMENTO!$X$15,ROW(AN171)-ROW(AN$15),0),
              ROUND(ROUND(OFFSET($P171,0,AN$13),15-13*ORÇAMENTO!$AF$7)*OFFSET(ORÇAMENTO!$W$15,ROW(AN171)-ROW(AN$15),0),15-13*ORÇAMENTO!$AF$11)),
         0)</f>
        <v>0</v>
      </c>
      <c r="AO171" s="453">
        <f ca="1">IF(AND($D171="Serviço",AO$12&lt;&gt;0,$H171&gt;0,OR(AUTOEVENTO&lt;&gt;"manual",$M171&lt;&gt;$A$15)),
        IF(Import.TipoArredondamento&lt;&gt;"TransfereGOV",
              ROUND(OFFSET($P171,0,AO$13),15-13*ORÇAMENTO!$AF$7)/$H171*OFFSET(ORÇAMENTO!$X$15,ROW(AO171)-ROW(AO$15),0),
              ROUND(ROUND(OFFSET($P171,0,AO$13),15-13*ORÇAMENTO!$AF$7)*OFFSET(ORÇAMENTO!$W$15,ROW(AO171)-ROW(AO$15),0),15-13*ORÇAMENTO!$AF$11)),
         0)</f>
        <v>0</v>
      </c>
      <c r="AP171" s="453">
        <f ca="1">IF(AND($D171="Serviço",AP$12&lt;&gt;0,$H171&gt;0,OR(AUTOEVENTO&lt;&gt;"manual",$M171&lt;&gt;$A$15)),
        IF(Import.TipoArredondamento&lt;&gt;"TransfereGOV",
              ROUND(OFFSET($P171,0,AP$13),15-13*ORÇAMENTO!$AF$7)/$H171*OFFSET(ORÇAMENTO!$X$15,ROW(AP171)-ROW(AP$15),0),
              ROUND(ROUND(OFFSET($P171,0,AP$13),15-13*ORÇAMENTO!$AF$7)*OFFSET(ORÇAMENTO!$W$15,ROW(AP171)-ROW(AP$15),0),15-13*ORÇAMENTO!$AF$11)),
         0)</f>
        <v>210540</v>
      </c>
      <c r="AQ171" s="453">
        <f ca="1">IF(AND($D171="Serviço",AQ$12&lt;&gt;0,$H171&gt;0,OR(AUTOEVENTO&lt;&gt;"manual",$M171&lt;&gt;$A$15)),
        IF(Import.TipoArredondamento&lt;&gt;"TransfereGOV",
              ROUND(OFFSET($P171,0,AQ$13),15-13*ORÇAMENTO!$AF$7)/$H171*OFFSET(ORÇAMENTO!$X$15,ROW(AQ171)-ROW(AQ$15),0),
              ROUND(ROUND(OFFSET($P171,0,AQ$13),15-13*ORÇAMENTO!$AF$7)*OFFSET(ORÇAMENTO!$W$15,ROW(AQ171)-ROW(AQ$15),0),15-13*ORÇAMENTO!$AF$11)),
         0)</f>
        <v>0</v>
      </c>
      <c r="AR171" s="453">
        <f ca="1">IF(AND($D171="Serviço",AR$12&lt;&gt;0,$H171&gt;0,OR(AUTOEVENTO&lt;&gt;"manual",$M171&lt;&gt;$A$15)),
        IF(Import.TipoArredondamento&lt;&gt;"TransfereGOV",
              ROUND(OFFSET($P171,0,AR$13),15-13*ORÇAMENTO!$AF$7)/$H171*OFFSET(ORÇAMENTO!$X$15,ROW(AR171)-ROW(AR$15),0),
              ROUND(ROUND(OFFSET($P171,0,AR$13),15-13*ORÇAMENTO!$AF$7)*OFFSET(ORÇAMENTO!$W$15,ROW(AR171)-ROW(AR$15),0),15-13*ORÇAMENTO!$AF$11)),
         0)</f>
        <v>0</v>
      </c>
      <c r="AS171" s="453">
        <f ca="1">IF(AND($D171="Serviço",AS$12&lt;&gt;0,$H171&gt;0,OR(AUTOEVENTO&lt;&gt;"manual",$M171&lt;&gt;$A$15)),
        IF(Import.TipoArredondamento&lt;&gt;"TransfereGOV",
              ROUND(OFFSET($P171,0,AS$13),15-13*ORÇAMENTO!$AF$7)/$H171*OFFSET(ORÇAMENTO!$X$15,ROW(AS171)-ROW(AS$15),0),
              ROUND(ROUND(OFFSET($P171,0,AS$13),15-13*ORÇAMENTO!$AF$7)*OFFSET(ORÇAMENTO!$W$15,ROW(AS171)-ROW(AS$15),0),15-13*ORÇAMENTO!$AF$11)),
         0)</f>
        <v>0</v>
      </c>
      <c r="AT171" s="453">
        <f ca="1">IF(AND($D171="Serviço",AT$12&lt;&gt;0,$H171&gt;0,OR(AUTOEVENTO&lt;&gt;"manual",$M171&lt;&gt;$A$15)),
        IF(Import.TipoArredondamento&lt;&gt;"TransfereGOV",
              ROUND(OFFSET($P171,0,AT$13),15-13*ORÇAMENTO!$AF$7)/$H171*OFFSET(ORÇAMENTO!$X$15,ROW(AT171)-ROW(AT$15),0),
              ROUND(ROUND(OFFSET($P171,0,AT$13),15-13*ORÇAMENTO!$AF$7)*OFFSET(ORÇAMENTO!$W$15,ROW(AT171)-ROW(AT$15),0),15-13*ORÇAMENTO!$AF$11)),
         0)</f>
        <v>0</v>
      </c>
      <c r="AU171" s="453">
        <f ca="1">IF(AND($D171="Serviço",AU$12&lt;&gt;0,$H171&gt;0,OR(AUTOEVENTO&lt;&gt;"manual",$M171&lt;&gt;$A$15)),
        IF(Import.TipoArredondamento&lt;&gt;"TransfereGOV",
              ROUND(OFFSET($P171,0,AU$13),15-13*ORÇAMENTO!$AF$7)/$H171*OFFSET(ORÇAMENTO!$X$15,ROW(AU171)-ROW(AU$15),0),
              ROUND(ROUND(OFFSET($P171,0,AU$13),15-13*ORÇAMENTO!$AF$7)*OFFSET(ORÇAMENTO!$W$15,ROW(AU171)-ROW(AU$15),0),15-13*ORÇAMENTO!$AF$11)),
         0)</f>
        <v>0</v>
      </c>
      <c r="AV171" s="453">
        <f ca="1">IF(AND($D171="Serviço",AV$12&lt;&gt;0,$H171&gt;0,OR(AUTOEVENTO&lt;&gt;"manual",$M171&lt;&gt;$A$15)),
        IF(Import.TipoArredondamento&lt;&gt;"TransfereGOV",
              ROUND(OFFSET($P171,0,AV$13),15-13*ORÇAMENTO!$AF$7)/$H171*OFFSET(ORÇAMENTO!$X$15,ROW(AV171)-ROW(AV$15),0),
              ROUND(ROUND(OFFSET($P171,0,AV$13),15-13*ORÇAMENTO!$AF$7)*OFFSET(ORÇAMENTO!$W$15,ROW(AV171)-ROW(AV$15),0),15-13*ORÇAMENTO!$AF$11)),
         0)</f>
        <v>0</v>
      </c>
      <c r="AW171" s="453">
        <f ca="1">IF(AND($D171="Serviço",AW$12&lt;&gt;0,$H171&gt;0,OR(AUTOEVENTO&lt;&gt;"manual",$M171&lt;&gt;$A$15)),
        IF(Import.TipoArredondamento&lt;&gt;"TransfereGOV",
              ROUND(OFFSET($P171,0,AW$13),15-13*ORÇAMENTO!$AF$7)/$H171*OFFSET(ORÇAMENTO!$X$15,ROW(AW171)-ROW(AW$15),0),
              ROUND(ROUND(OFFSET($P171,0,AW$13),15-13*ORÇAMENTO!$AF$7)*OFFSET(ORÇAMENTO!$W$15,ROW(AW171)-ROW(AW$15),0),15-13*ORÇAMENTO!$AF$11)),
         0)</f>
        <v>0</v>
      </c>
      <c r="AX171" s="453">
        <f ca="1">IF(AND($D171="Serviço",AX$12&lt;&gt;0,$H171&gt;0,OR(AUTOEVENTO&lt;&gt;"manual",$M171&lt;&gt;$A$15)),
        IF(Import.TipoArredondamento&lt;&gt;"TransfereGOV",
              ROUND(OFFSET($P171,0,AX$13),15-13*ORÇAMENTO!$AF$7)/$H171*OFFSET(ORÇAMENTO!$X$15,ROW(AX171)-ROW(AX$15),0),
              ROUND(ROUND(OFFSET($P171,0,AX$13),15-13*ORÇAMENTO!$AF$7)*OFFSET(ORÇAMENTO!$W$15,ROW(AX171)-ROW(AX$15),0),15-13*ORÇAMENTO!$AF$11)),
         0)</f>
        <v>0</v>
      </c>
      <c r="AY171" s="453">
        <f ca="1">IF(AND($D171="Serviço",AY$12&lt;&gt;0,$H171&gt;0,OR(AUTOEVENTO&lt;&gt;"manual",$M171&lt;&gt;$A$15)),
        IF(Import.TipoArredondamento&lt;&gt;"TransfereGOV",
              ROUND(OFFSET($P171,0,AY$13),15-13*ORÇAMENTO!$AF$7)/$H171*OFFSET(ORÇAMENTO!$X$15,ROW(AY171)-ROW(AY$15),0),
              ROUND(ROUND(OFFSET($P171,0,AY$13),15-13*ORÇAMENTO!$AF$7)*OFFSET(ORÇAMENTO!$W$15,ROW(AY171)-ROW(AY$15),0),15-13*ORÇAMENTO!$AF$11)),
         0)</f>
        <v>0</v>
      </c>
      <c r="AZ171" s="453">
        <f ca="1">IF(AND($D171="Serviço",AZ$12&lt;&gt;0,$H171&gt;0,OR(AUTOEVENTO&lt;&gt;"manual",$M171&lt;&gt;$A$15)),
        IF(Import.TipoArredondamento&lt;&gt;"TransfereGOV",
              ROUND(OFFSET($P171,0,AZ$13),15-13*ORÇAMENTO!$AF$7)/$H171*OFFSET(ORÇAMENTO!$X$15,ROW(AZ171)-ROW(AZ$15),0),
              ROUND(ROUND(OFFSET($P171,0,AZ$13),15-13*ORÇAMENTO!$AF$7)*OFFSET(ORÇAMENTO!$W$15,ROW(AZ171)-ROW(AZ$15),0),15-13*ORÇAMENTO!$AF$11)),
         0)</f>
        <v>0</v>
      </c>
      <c r="BA171" s="453">
        <f ca="1">IF(AND($D171="Serviço",BA$12&lt;&gt;0,$H171&gt;0,OR(AUTOEVENTO&lt;&gt;"manual",$M171&lt;&gt;$A$15)),
        IF(Import.TipoArredondamento&lt;&gt;"TransfereGOV",
              ROUND(OFFSET($P171,0,BA$13),15-13*ORÇAMENTO!$AF$7)/$H171*OFFSET(ORÇAMENTO!$X$15,ROW(BA171)-ROW(BA$15),0),
              ROUND(ROUND(OFFSET($P171,0,BA$13),15-13*ORÇAMENTO!$AF$7)*OFFSET(ORÇAMENTO!$W$15,ROW(BA171)-ROW(BA$15),0),15-13*ORÇAMENTO!$AF$11)),
         0)</f>
        <v>0</v>
      </c>
      <c r="BC171" s="171">
        <f ca="1">IF(OR($D171&lt;&gt;"Serviço",AND(AUTOEVENTO="Manual",$M171=$A$15)),0,
         IF(OFFSET(CRONOPLE!$F$15,$M171-$A$15,BC$13)=0,10^12,OFFSET(CRONOPLE!$F$15,$M171-$A$15,BC$13)))</f>
        <v>1000000000000</v>
      </c>
      <c r="BD171" s="171">
        <f ca="1">IF(OR($D171&lt;&gt;"Serviço",AND(AUTOEVENTO="Manual",$M171=$A$15)),0,
         IF(OFFSET(CRONOPLE!$F$15,$M171-$A$15,BD$13)=0,10^12,OFFSET(CRONOPLE!$F$15,$M171-$A$15,BD$13)))</f>
        <v>1000000000000</v>
      </c>
      <c r="BE171" s="171">
        <f ca="1">IF(OR($D171&lt;&gt;"Serviço",AND(AUTOEVENTO="Manual",$M171=$A$15)),0,
         IF(OFFSET(CRONOPLE!$F$15,$M171-$A$15,BE$13)=0,10^12,OFFSET(CRONOPLE!$F$15,$M171-$A$15,BE$13)))</f>
        <v>1000000000000</v>
      </c>
      <c r="BF171" s="171">
        <f ca="1">IF(OR($D171&lt;&gt;"Serviço",AND(AUTOEVENTO="Manual",$M171=$A$15)),0,
         IF(OFFSET(CRONOPLE!$F$15,$M171-$A$15,BF$13)=0,10^12,OFFSET(CRONOPLE!$F$15,$M171-$A$15,BF$13)))</f>
        <v>1000000000000</v>
      </c>
      <c r="BG171" s="171">
        <f ca="1">IF(OR($D171&lt;&gt;"Serviço",AND(AUTOEVENTO="Manual",$M171=$A$15)),0,
         IF(OFFSET(CRONOPLE!$F$15,$M171-$A$15,BG$13)=0,10^12,OFFSET(CRONOPLE!$F$15,$M171-$A$15,BG$13)))</f>
        <v>7</v>
      </c>
      <c r="BH171" s="171">
        <f ca="1">IF(OR($D171&lt;&gt;"Serviço",AND(AUTOEVENTO="Manual",$M171=$A$15)),0,
         IF(OFFSET(CRONOPLE!$F$15,$M171-$A$15,BH$13)=0,10^12,OFFSET(CRONOPLE!$F$15,$M171-$A$15,BH$13)))</f>
        <v>1000000000000</v>
      </c>
      <c r="BI171" s="171">
        <f ca="1">IF(OR($D171&lt;&gt;"Serviço",AND(AUTOEVENTO="Manual",$M171=$A$15)),0,
         IF(OFFSET(CRONOPLE!$F$15,$M171-$A$15,BI$13)=0,10^12,OFFSET(CRONOPLE!$F$15,$M171-$A$15,BI$13)))</f>
        <v>11</v>
      </c>
      <c r="BJ171" s="171">
        <f ca="1">IF(OR($D171&lt;&gt;"Serviço",AND(AUTOEVENTO="Manual",$M171=$A$15)),0,
         IF(OFFSET(CRONOPLE!$F$15,$M171-$A$15,BJ$13)=0,10^12,OFFSET(CRONOPLE!$F$15,$M171-$A$15,BJ$13)))</f>
        <v>1000000000000</v>
      </c>
      <c r="BK171" s="171">
        <f ca="1">IF(OR($D171&lt;&gt;"Serviço",AND(AUTOEVENTO="Manual",$M171=$A$15)),0,
         IF(OFFSET(CRONOPLE!$F$15,$M171-$A$15,BK$13)=0,10^12,OFFSET(CRONOPLE!$F$15,$M171-$A$15,BK$13)))</f>
        <v>1000000000000</v>
      </c>
      <c r="BL171" s="171">
        <f ca="1">IF(OR($D171&lt;&gt;"Serviço",AND(AUTOEVENTO="Manual",$M171=$A$15)),0,
         IF(OFFSET(CRONOPLE!$F$15,$M171-$A$15,BL$13)=0,10^12,OFFSET(CRONOPLE!$F$15,$M171-$A$15,BL$13)))</f>
        <v>1000000000000</v>
      </c>
      <c r="BM171" s="171">
        <f ca="1">IF(OR($D171&lt;&gt;"Serviço",AND(AUTOEVENTO="Manual",$M171=$A$15)),0,
         IF(OFFSET(CRONOPLE!$F$15,$M171-$A$15,BM$13)=0,10^12,OFFSET(CRONOPLE!$F$15,$M171-$A$15,BM$13)))</f>
        <v>1000000000000</v>
      </c>
      <c r="BN171" s="171">
        <f ca="1">IF(OR($D171&lt;&gt;"Serviço",AND(AUTOEVENTO="Manual",$M171=$A$15)),0,
         IF(OFFSET(CRONOPLE!$F$15,$M171-$A$15,BN$13)=0,10^12,OFFSET(CRONOPLE!$F$15,$M171-$A$15,BN$13)))</f>
        <v>1000000000000</v>
      </c>
      <c r="BO171" s="171">
        <f ca="1">IF(OR($D171&lt;&gt;"Serviço",AND(AUTOEVENTO="Manual",$M171=$A$15)),0,
         IF(OFFSET(CRONOPLE!$F$15,$M171-$A$15,BO$13)=0,10^12,OFFSET(CRONOPLE!$F$15,$M171-$A$15,BO$13)))</f>
        <v>1000000000000</v>
      </c>
      <c r="BP171" s="171">
        <f ca="1">IF(OR($D171&lt;&gt;"Serviço",AND(AUTOEVENTO="Manual",$M171=$A$15)),0,
         IF(OFFSET(CRONOPLE!$F$15,$M171-$A$15,BP$13)=0,10^12,OFFSET(CRONOPLE!$F$15,$M171-$A$15,BP$13)))</f>
        <v>1000000000000</v>
      </c>
      <c r="BQ171" s="171">
        <f ca="1">IF(OR($D171&lt;&gt;"Serviço",AND(AUTOEVENTO="Manual",$M171=$A$15)),0,
         IF(OFFSET(CRONOPLE!$F$15,$M171-$A$15,BQ$13)=0,10^12,OFFSET(CRONOPLE!$F$15,$M171-$A$15,BQ$13)))</f>
        <v>1000000000000</v>
      </c>
      <c r="BR171" s="171">
        <f ca="1">IF(OR($D171&lt;&gt;"Serviço",AND(AUTOEVENTO="Manual",$M171=$A$15)),0,
         IF(OFFSET(CRONOPLE!$F$15,$M171-$A$15,BR$13)=0,10^12,OFFSET(CRONOPLE!$F$15,$M171-$A$15,BR$13)))</f>
        <v>1000000000000</v>
      </c>
      <c r="BS171" s="171">
        <f ca="1">IF(OR($D171&lt;&gt;"Serviço",AND(AUTOEVENTO="Manual",$M171=$A$15)),0,
         IF(OFFSET(CRONOPLE!$F$15,$M171-$A$15,BS$13)=0,10^12,OFFSET(CRONOPLE!$F$15,$M171-$A$15,BS$13)))</f>
        <v>1000000000000</v>
      </c>
      <c r="BT171" s="171">
        <f ca="1">IF(OR($D171&lt;&gt;"Serviço",AND(AUTOEVENTO="Manual",$M171=$A$15)),0,
         IF(OFFSET(CRONOPLE!$F$15,$M171-$A$15,BT$13)=0,10^12,OFFSET(CRONOPLE!$F$15,$M171-$A$15,BT$13)))</f>
        <v>1000000000000</v>
      </c>
      <c r="BV171" s="172" cm="1">
        <f t="array" aca="1" ref="BV171" ca="1">IF(OR($D171&lt;&gt;"Serviço",AND(AUTOEVENTO="Manual",$M171=$A$15),$M171&gt;(ROW(PLE.lastrow)-ROW(PLE.firstrow))),0,
           IF(OFFSET(PLE!$G$15,$M171-$A$15,BV$13)="",10^12,OFFSET(PLE!$G$15,$M171-$A$15,BV$13)))</f>
        <v>1000000000000</v>
      </c>
      <c r="BW171" s="172" cm="1">
        <f t="array" aca="1" ref="BW171" ca="1">IF(OR($D171&lt;&gt;"Serviço",AND(AUTOEVENTO="Manual",$M171=$A$15),$M171&gt;(ROW(PLE.lastrow)-ROW(PLE.firstrow))),0,
           IF(OFFSET(PLE!$G$15,$M171-$A$15,BW$13)="",10^12,OFFSET(PLE!$G$15,$M171-$A$15,BW$13)))</f>
        <v>1000000000000</v>
      </c>
      <c r="BX171" s="172" cm="1">
        <f t="array" aca="1" ref="BX171" ca="1">IF(OR($D171&lt;&gt;"Serviço",AND(AUTOEVENTO="Manual",$M171=$A$15),$M171&gt;(ROW(PLE.lastrow)-ROW(PLE.firstrow))),0,
           IF(OFFSET(PLE!$G$15,$M171-$A$15,BX$13)="",10^12,OFFSET(PLE!$G$15,$M171-$A$15,BX$13)))</f>
        <v>1000000000000</v>
      </c>
      <c r="BY171" s="172" cm="1">
        <f t="array" aca="1" ref="BY171" ca="1">IF(OR($D171&lt;&gt;"Serviço",AND(AUTOEVENTO="Manual",$M171=$A$15),$M171&gt;(ROW(PLE.lastrow)-ROW(PLE.firstrow))),0,
           IF(OFFSET(PLE!$G$15,$M171-$A$15,BY$13)="",10^12,OFFSET(PLE!$G$15,$M171-$A$15,BY$13)))</f>
        <v>1000000000000</v>
      </c>
      <c r="BZ171" s="172" cm="1">
        <f t="array" aca="1" ref="BZ171" ca="1">IF(OR($D171&lt;&gt;"Serviço",AND(AUTOEVENTO="Manual",$M171=$A$15),$M171&gt;(ROW(PLE.lastrow)-ROW(PLE.firstrow))),0,
           IF(OFFSET(PLE!$G$15,$M171-$A$15,BZ$13)="",10^12,OFFSET(PLE!$G$15,$M171-$A$15,BZ$13)))</f>
        <v>1000000000000</v>
      </c>
      <c r="CA171" s="172" cm="1">
        <f t="array" aca="1" ref="CA171" ca="1">IF(OR($D171&lt;&gt;"Serviço",AND(AUTOEVENTO="Manual",$M171=$A$15),$M171&gt;(ROW(PLE.lastrow)-ROW(PLE.firstrow))),0,
           IF(OFFSET(PLE!$G$15,$M171-$A$15,CA$13)="",10^12,OFFSET(PLE!$G$15,$M171-$A$15,CA$13)))</f>
        <v>1000000000000</v>
      </c>
      <c r="CB171" s="172" cm="1">
        <f t="array" aca="1" ref="CB171" ca="1">IF(OR($D171&lt;&gt;"Serviço",AND(AUTOEVENTO="Manual",$M171=$A$15),$M171&gt;(ROW(PLE.lastrow)-ROW(PLE.firstrow))),0,
           IF(OFFSET(PLE!$G$15,$M171-$A$15,CB$13)="",10^12,OFFSET(PLE!$G$15,$M171-$A$15,CB$13)))</f>
        <v>1000000000000</v>
      </c>
      <c r="CC171" s="172" cm="1">
        <f t="array" aca="1" ref="CC171" ca="1">IF(OR($D171&lt;&gt;"Serviço",AND(AUTOEVENTO="Manual",$M171=$A$15),$M171&gt;(ROW(PLE.lastrow)-ROW(PLE.firstrow))),0,
           IF(OFFSET(PLE!$G$15,$M171-$A$15,CC$13)="",10^12,OFFSET(PLE!$G$15,$M171-$A$15,CC$13)))</f>
        <v>1000000000000</v>
      </c>
      <c r="CD171" s="172" cm="1">
        <f t="array" aca="1" ref="CD171" ca="1">IF(OR($D171&lt;&gt;"Serviço",AND(AUTOEVENTO="Manual",$M171=$A$15),$M171&gt;(ROW(PLE.lastrow)-ROW(PLE.firstrow))),0,
           IF(OFFSET(PLE!$G$15,$M171-$A$15,CD$13)="",10^12,OFFSET(PLE!$G$15,$M171-$A$15,CD$13)))</f>
        <v>1000000000000</v>
      </c>
      <c r="CE171" s="172" cm="1">
        <f t="array" aca="1" ref="CE171" ca="1">IF(OR($D171&lt;&gt;"Serviço",AND(AUTOEVENTO="Manual",$M171=$A$15),$M171&gt;(ROW(PLE.lastrow)-ROW(PLE.firstrow))),0,
           IF(OFFSET(PLE!$G$15,$M171-$A$15,CE$13)="",10^12,OFFSET(PLE!$G$15,$M171-$A$15,CE$13)))</f>
        <v>1000000000000</v>
      </c>
      <c r="CF171" s="172" cm="1">
        <f t="array" aca="1" ref="CF171" ca="1">IF(OR($D171&lt;&gt;"Serviço",AND(AUTOEVENTO="Manual",$M171=$A$15),$M171&gt;(ROW(PLE.lastrow)-ROW(PLE.firstrow))),0,
           IF(OFFSET(PLE!$G$15,$M171-$A$15,CF$13)="",10^12,OFFSET(PLE!$G$15,$M171-$A$15,CF$13)))</f>
        <v>1000000000000</v>
      </c>
      <c r="CG171" s="172" cm="1">
        <f t="array" aca="1" ref="CG171" ca="1">IF(OR($D171&lt;&gt;"Serviço",AND(AUTOEVENTO="Manual",$M171=$A$15),$M171&gt;(ROW(PLE.lastrow)-ROW(PLE.firstrow))),0,
           IF(OFFSET(PLE!$G$15,$M171-$A$15,CG$13)="",10^12,OFFSET(PLE!$G$15,$M171-$A$15,CG$13)))</f>
        <v>1000000000000</v>
      </c>
      <c r="CH171" s="172" cm="1">
        <f t="array" aca="1" ref="CH171" ca="1">IF(OR($D171&lt;&gt;"Serviço",AND(AUTOEVENTO="Manual",$M171=$A$15),$M171&gt;(ROW(PLE.lastrow)-ROW(PLE.firstrow))),0,
           IF(OFFSET(PLE!$G$15,$M171-$A$15,CH$13)="",10^12,OFFSET(PLE!$G$15,$M171-$A$15,CH$13)))</f>
        <v>1000000000000</v>
      </c>
      <c r="CI171" s="172" cm="1">
        <f t="array" aca="1" ref="CI171" ca="1">IF(OR($D171&lt;&gt;"Serviço",AND(AUTOEVENTO="Manual",$M171=$A$15),$M171&gt;(ROW(PLE.lastrow)-ROW(PLE.firstrow))),0,
           IF(OFFSET(PLE!$G$15,$M171-$A$15,CI$13)="",10^12,OFFSET(PLE!$G$15,$M171-$A$15,CI$13)))</f>
        <v>1000000000000</v>
      </c>
      <c r="CJ171" s="172" cm="1">
        <f t="array" aca="1" ref="CJ171" ca="1">IF(OR($D171&lt;&gt;"Serviço",AND(AUTOEVENTO="Manual",$M171=$A$15),$M171&gt;(ROW(PLE.lastrow)-ROW(PLE.firstrow))),0,
           IF(OFFSET(PLE!$G$15,$M171-$A$15,CJ$13)="",10^12,OFFSET(PLE!$G$15,$M171-$A$15,CJ$13)))</f>
        <v>1000000000000</v>
      </c>
      <c r="CK171" s="172" cm="1">
        <f t="array" aca="1" ref="CK171" ca="1">IF(OR($D171&lt;&gt;"Serviço",AND(AUTOEVENTO="Manual",$M171=$A$15),$M171&gt;(ROW(PLE.lastrow)-ROW(PLE.firstrow))),0,
           IF(OFFSET(PLE!$G$15,$M171-$A$15,CK$13)="",10^12,OFFSET(PLE!$G$15,$M171-$A$15,CK$13)))</f>
        <v>1000000000000</v>
      </c>
      <c r="CL171" s="172" cm="1">
        <f t="array" aca="1" ref="CL171" ca="1">IF(OR($D171&lt;&gt;"Serviço",AND(AUTOEVENTO="Manual",$M171=$A$15),$M171&gt;(ROW(PLE.lastrow)-ROW(PLE.firstrow))),0,
           IF(OFFSET(PLE!$G$15,$M171-$A$15,CL$13)="",10^12,OFFSET(PLE!$G$15,$M171-$A$15,CL$13)))</f>
        <v>1000000000000</v>
      </c>
      <c r="CM171" s="172" cm="1">
        <f t="array" aca="1" ref="CM171" ca="1">IF(OR($D171&lt;&gt;"Serviço",AND(AUTOEVENTO="Manual",$M171=$A$15),$M171&gt;(ROW(PLE.lastrow)-ROW(PLE.firstrow))),0,
           IF(OFFSET(PLE!$G$15,$M171-$A$15,CM$13)="",10^12,OFFSET(PLE!$G$15,$M171-$A$15,CM$13)))</f>
        <v>1000000000000</v>
      </c>
    </row>
    <row r="172" spans="1:91" s="670" customFormat="1" ht="38.25" x14ac:dyDescent="0.2">
      <c r="A172" s="668">
        <f t="shared" ca="1" si="14"/>
        <v>8</v>
      </c>
      <c r="B172" s="668" t="str">
        <f ca="1">OFFSET(ORÇAMENTO!C$15,$L172,0)</f>
        <v>S</v>
      </c>
      <c r="C172" s="668" t="str">
        <f ca="1">OFFSET(ORÇAMENTO!L$15,$L172,0)</f>
        <v>F</v>
      </c>
      <c r="D172" s="116" t="str">
        <f ca="1">OFFSET(ORÇAMENTO!N$15,$L172,0)</f>
        <v>Serviço</v>
      </c>
      <c r="E172" s="117" t="str">
        <f ca="1">OFFSET(ORÇAMENTO!O$15,$L172,0)</f>
        <v>1.23.2.</v>
      </c>
      <c r="F172" s="163" t="str">
        <f ca="1">OFFSET(ORÇAMENTO!R$15,$L172,0)</f>
        <v>ASSENTAMENTO DE TUBO DE PVC PBA PARA REDE DE ÁGUA, DN 50 MM, JUNTA ELÁSTICA INTEGRADA, INSTALADO EM LOCAL COM NÍVEL ALTO DE INTERFERÊNCIAS (NÃO INCLUI FORNECIMENTO). AF_05/2024</v>
      </c>
      <c r="G172" s="164" t="str">
        <f ca="1">IF($D172&lt;&gt;"Serviço","",OFFSET(ORÇAMENTO!S$15,$L172,0))</f>
        <v>M</v>
      </c>
      <c r="H172" s="122" cm="1">
        <f t="array" aca="1" ref="H172" ca="1">IF($D172&lt;&gt;"Serviço",0,IF(ACOMPANHAMENTO="BM",ROUND(OFFSET(ORÇAMENTO!AJ$15,$L172,0),15-13*ORÇAMENTO!$AF$7),IF(IFERROR(CÁLCULO.FrentesPreenchidas,0)=0,0,SUM(ROUND(OFFSET($P172,0,1,1,CÁLCULO.FrentesPreenchidas),15-13*ORÇAMENTO!$AF$7)))))</f>
        <v>6000</v>
      </c>
      <c r="I172" s="468" t="s">
        <v>1153</v>
      </c>
      <c r="J172" s="651" t="str" cm="1">
        <f t="array" aca="1" ref="J172" ca="1">IF(OR(B172&lt;&gt;"S",CÁLCULO.FrentesPreenchidas=0),"",IF(AND(ACOMPANHAMENTO="PLE",AUTOEVENTO="Manual",OR(H172&gt;0,ORÇAMENTO!AC172="QUANT."),OR(K172="",M172=0,N172="")),"►E",IF(AND(ACOMPANHAMENTO="PLE",ORÇAMENTO!AC172="QUANT."),"►Q",IF(AND(ACOMPANHAMENTO="PLE",H172&lt;&gt;SUMPRODUCT(($Q$1:$AI$1=1)*ROUND(Q172:AI172,15))),"►S",IF(AND(COUNTIF($P$11:$AI$11,"▼")=0,H172&gt;0,I172=""),"◄M","")))))</f>
        <v/>
      </c>
      <c r="K172" s="652" t="s">
        <v>1352</v>
      </c>
      <c r="L172" s="165">
        <f t="shared" ca="1" si="15"/>
        <v>157</v>
      </c>
      <c r="M172" s="166">
        <f ca="1">IF($D172&lt;&gt;"Serviço","",
          IF(AUTOEVENTO="manual",$A172,
                IF(ISERROR(MATCH($A172,$A$15:OFFSET($A172,-1,0),0)),MAX($M$15:OFFSET(M172,-1,0))+1,
                      INDEX($M$15:OFFSET(M172,-1,0),MATCH($A172,$A$15:OFFSET($A172,-1,0),0)))))</f>
        <v>8</v>
      </c>
      <c r="N172" s="167" t="str">
        <f ca="1">IF($D172&lt;&gt;"Serviço","",
         IF(AUTOEVENTO="Manual",
                IF($A172=0,"&lt;-- defina o número do agrupador",
                       OFFSET(EVENTOS!$D$15,$A172-$A$15,0)),
                OFFSET($F$15,$A172,0)))</f>
        <v>Assentamento de tubulação</v>
      </c>
      <c r="O172" s="168"/>
      <c r="Q172" s="168"/>
      <c r="R172" s="169"/>
      <c r="S172" s="169"/>
      <c r="T172" s="169"/>
      <c r="U172" s="169"/>
      <c r="V172" s="169"/>
      <c r="W172" s="169">
        <v>6000</v>
      </c>
      <c r="X172" s="169"/>
      <c r="Y172" s="169"/>
      <c r="Z172" s="170"/>
      <c r="AA172" s="705"/>
      <c r="AB172" s="705"/>
      <c r="AC172" s="705"/>
      <c r="AD172" s="705"/>
      <c r="AE172" s="705"/>
      <c r="AF172" s="705"/>
      <c r="AG172" s="705"/>
      <c r="AH172" s="706"/>
      <c r="AJ172" s="453">
        <f ca="1">IF(AND($D172="Serviço",AJ$12&lt;&gt;0,$H172&gt;0,OR(AUTOEVENTO&lt;&gt;"manual",$M172&lt;&gt;$A$15)),
        IF(Import.TipoArredondamento&lt;&gt;"TransfereGOV",
              ROUND(OFFSET($P172,0,AJ$13),15-13*ORÇAMENTO!$AF$7)/$H172*OFFSET(ORÇAMENTO!$X$15,ROW(AJ172)-ROW(AJ$15),0),
              ROUND(ROUND(OFFSET($P172,0,AJ$13),15-13*ORÇAMENTO!$AF$7)*OFFSET(ORÇAMENTO!$W$15,ROW(AJ172)-ROW(AJ$15),0),15-13*ORÇAMENTO!$AF$11)),
         0)</f>
        <v>0</v>
      </c>
      <c r="AK172" s="453">
        <f ca="1">IF(AND($D172="Serviço",AK$12&lt;&gt;0,$H172&gt;0,OR(AUTOEVENTO&lt;&gt;"manual",$M172&lt;&gt;$A$15)),
        IF(Import.TipoArredondamento&lt;&gt;"TransfereGOV",
              ROUND(OFFSET($P172,0,AK$13),15-13*ORÇAMENTO!$AF$7)/$H172*OFFSET(ORÇAMENTO!$X$15,ROW(AK172)-ROW(AK$15),0),
              ROUND(ROUND(OFFSET($P172,0,AK$13),15-13*ORÇAMENTO!$AF$7)*OFFSET(ORÇAMENTO!$W$15,ROW(AK172)-ROW(AK$15),0),15-13*ORÇAMENTO!$AF$11)),
         0)</f>
        <v>0</v>
      </c>
      <c r="AL172" s="453">
        <f ca="1">IF(AND($D172="Serviço",AL$12&lt;&gt;0,$H172&gt;0,OR(AUTOEVENTO&lt;&gt;"manual",$M172&lt;&gt;$A$15)),
        IF(Import.TipoArredondamento&lt;&gt;"TransfereGOV",
              ROUND(OFFSET($P172,0,AL$13),15-13*ORÇAMENTO!$AF$7)/$H172*OFFSET(ORÇAMENTO!$X$15,ROW(AL172)-ROW(AL$15),0),
              ROUND(ROUND(OFFSET($P172,0,AL$13),15-13*ORÇAMENTO!$AF$7)*OFFSET(ORÇAMENTO!$W$15,ROW(AL172)-ROW(AL$15),0),15-13*ORÇAMENTO!$AF$11)),
         0)</f>
        <v>0</v>
      </c>
      <c r="AM172" s="453">
        <f ca="1">IF(AND($D172="Serviço",AM$12&lt;&gt;0,$H172&gt;0,OR(AUTOEVENTO&lt;&gt;"manual",$M172&lt;&gt;$A$15)),
        IF(Import.TipoArredondamento&lt;&gt;"TransfereGOV",
              ROUND(OFFSET($P172,0,AM$13),15-13*ORÇAMENTO!$AF$7)/$H172*OFFSET(ORÇAMENTO!$X$15,ROW(AM172)-ROW(AM$15),0),
              ROUND(ROUND(OFFSET($P172,0,AM$13),15-13*ORÇAMENTO!$AF$7)*OFFSET(ORÇAMENTO!$W$15,ROW(AM172)-ROW(AM$15),0),15-13*ORÇAMENTO!$AF$11)),
         0)</f>
        <v>0</v>
      </c>
      <c r="AN172" s="453">
        <f ca="1">IF(AND($D172="Serviço",AN$12&lt;&gt;0,$H172&gt;0,OR(AUTOEVENTO&lt;&gt;"manual",$M172&lt;&gt;$A$15)),
        IF(Import.TipoArredondamento&lt;&gt;"TransfereGOV",
              ROUND(OFFSET($P172,0,AN$13),15-13*ORÇAMENTO!$AF$7)/$H172*OFFSET(ORÇAMENTO!$X$15,ROW(AN172)-ROW(AN$15),0),
              ROUND(ROUND(OFFSET($P172,0,AN$13),15-13*ORÇAMENTO!$AF$7)*OFFSET(ORÇAMENTO!$W$15,ROW(AN172)-ROW(AN$15),0),15-13*ORÇAMENTO!$AF$11)),
         0)</f>
        <v>0</v>
      </c>
      <c r="AO172" s="453">
        <f ca="1">IF(AND($D172="Serviço",AO$12&lt;&gt;0,$H172&gt;0,OR(AUTOEVENTO&lt;&gt;"manual",$M172&lt;&gt;$A$15)),
        IF(Import.TipoArredondamento&lt;&gt;"TransfereGOV",
              ROUND(OFFSET($P172,0,AO$13),15-13*ORÇAMENTO!$AF$7)/$H172*OFFSET(ORÇAMENTO!$X$15,ROW(AO172)-ROW(AO$15),0),
              ROUND(ROUND(OFFSET($P172,0,AO$13),15-13*ORÇAMENTO!$AF$7)*OFFSET(ORÇAMENTO!$W$15,ROW(AO172)-ROW(AO$15),0),15-13*ORÇAMENTO!$AF$11)),
         0)</f>
        <v>0</v>
      </c>
      <c r="AP172" s="453">
        <f ca="1">IF(AND($D172="Serviço",AP$12&lt;&gt;0,$H172&gt;0,OR(AUTOEVENTO&lt;&gt;"manual",$M172&lt;&gt;$A$15)),
        IF(Import.TipoArredondamento&lt;&gt;"TransfereGOV",
              ROUND(OFFSET($P172,0,AP$13),15-13*ORÇAMENTO!$AF$7)/$H172*OFFSET(ORÇAMENTO!$X$15,ROW(AP172)-ROW(AP$15),0),
              ROUND(ROUND(OFFSET($P172,0,AP$13),15-13*ORÇAMENTO!$AF$7)*OFFSET(ORÇAMENTO!$W$15,ROW(AP172)-ROW(AP$15),0),15-13*ORÇAMENTO!$AF$11)),
         0)</f>
        <v>25140</v>
      </c>
      <c r="AQ172" s="453">
        <f ca="1">IF(AND($D172="Serviço",AQ$12&lt;&gt;0,$H172&gt;0,OR(AUTOEVENTO&lt;&gt;"manual",$M172&lt;&gt;$A$15)),
        IF(Import.TipoArredondamento&lt;&gt;"TransfereGOV",
              ROUND(OFFSET($P172,0,AQ$13),15-13*ORÇAMENTO!$AF$7)/$H172*OFFSET(ORÇAMENTO!$X$15,ROW(AQ172)-ROW(AQ$15),0),
              ROUND(ROUND(OFFSET($P172,0,AQ$13),15-13*ORÇAMENTO!$AF$7)*OFFSET(ORÇAMENTO!$W$15,ROW(AQ172)-ROW(AQ$15),0),15-13*ORÇAMENTO!$AF$11)),
         0)</f>
        <v>0</v>
      </c>
      <c r="AR172" s="453">
        <f ca="1">IF(AND($D172="Serviço",AR$12&lt;&gt;0,$H172&gt;0,OR(AUTOEVENTO&lt;&gt;"manual",$M172&lt;&gt;$A$15)),
        IF(Import.TipoArredondamento&lt;&gt;"TransfereGOV",
              ROUND(OFFSET($P172,0,AR$13),15-13*ORÇAMENTO!$AF$7)/$H172*OFFSET(ORÇAMENTO!$X$15,ROW(AR172)-ROW(AR$15),0),
              ROUND(ROUND(OFFSET($P172,0,AR$13),15-13*ORÇAMENTO!$AF$7)*OFFSET(ORÇAMENTO!$W$15,ROW(AR172)-ROW(AR$15),0),15-13*ORÇAMENTO!$AF$11)),
         0)</f>
        <v>0</v>
      </c>
      <c r="AS172" s="453">
        <f ca="1">IF(AND($D172="Serviço",AS$12&lt;&gt;0,$H172&gt;0,OR(AUTOEVENTO&lt;&gt;"manual",$M172&lt;&gt;$A$15)),
        IF(Import.TipoArredondamento&lt;&gt;"TransfereGOV",
              ROUND(OFFSET($P172,0,AS$13),15-13*ORÇAMENTO!$AF$7)/$H172*OFFSET(ORÇAMENTO!$X$15,ROW(AS172)-ROW(AS$15),0),
              ROUND(ROUND(OFFSET($P172,0,AS$13),15-13*ORÇAMENTO!$AF$7)*OFFSET(ORÇAMENTO!$W$15,ROW(AS172)-ROW(AS$15),0),15-13*ORÇAMENTO!$AF$11)),
         0)</f>
        <v>0</v>
      </c>
      <c r="AT172" s="453">
        <f ca="1">IF(AND($D172="Serviço",AT$12&lt;&gt;0,$H172&gt;0,OR(AUTOEVENTO&lt;&gt;"manual",$M172&lt;&gt;$A$15)),
        IF(Import.TipoArredondamento&lt;&gt;"TransfereGOV",
              ROUND(OFFSET($P172,0,AT$13),15-13*ORÇAMENTO!$AF$7)/$H172*OFFSET(ORÇAMENTO!$X$15,ROW(AT172)-ROW(AT$15),0),
              ROUND(ROUND(OFFSET($P172,0,AT$13),15-13*ORÇAMENTO!$AF$7)*OFFSET(ORÇAMENTO!$W$15,ROW(AT172)-ROW(AT$15),0),15-13*ORÇAMENTO!$AF$11)),
         0)</f>
        <v>0</v>
      </c>
      <c r="AU172" s="453">
        <f ca="1">IF(AND($D172="Serviço",AU$12&lt;&gt;0,$H172&gt;0,OR(AUTOEVENTO&lt;&gt;"manual",$M172&lt;&gt;$A$15)),
        IF(Import.TipoArredondamento&lt;&gt;"TransfereGOV",
              ROUND(OFFSET($P172,0,AU$13),15-13*ORÇAMENTO!$AF$7)/$H172*OFFSET(ORÇAMENTO!$X$15,ROW(AU172)-ROW(AU$15),0),
              ROUND(ROUND(OFFSET($P172,0,AU$13),15-13*ORÇAMENTO!$AF$7)*OFFSET(ORÇAMENTO!$W$15,ROW(AU172)-ROW(AU$15),0),15-13*ORÇAMENTO!$AF$11)),
         0)</f>
        <v>0</v>
      </c>
      <c r="AV172" s="453">
        <f ca="1">IF(AND($D172="Serviço",AV$12&lt;&gt;0,$H172&gt;0,OR(AUTOEVENTO&lt;&gt;"manual",$M172&lt;&gt;$A$15)),
        IF(Import.TipoArredondamento&lt;&gt;"TransfereGOV",
              ROUND(OFFSET($P172,0,AV$13),15-13*ORÇAMENTO!$AF$7)/$H172*OFFSET(ORÇAMENTO!$X$15,ROW(AV172)-ROW(AV$15),0),
              ROUND(ROUND(OFFSET($P172,0,AV$13),15-13*ORÇAMENTO!$AF$7)*OFFSET(ORÇAMENTO!$W$15,ROW(AV172)-ROW(AV$15),0),15-13*ORÇAMENTO!$AF$11)),
         0)</f>
        <v>0</v>
      </c>
      <c r="AW172" s="453">
        <f ca="1">IF(AND($D172="Serviço",AW$12&lt;&gt;0,$H172&gt;0,OR(AUTOEVENTO&lt;&gt;"manual",$M172&lt;&gt;$A$15)),
        IF(Import.TipoArredondamento&lt;&gt;"TransfereGOV",
              ROUND(OFFSET($P172,0,AW$13),15-13*ORÇAMENTO!$AF$7)/$H172*OFFSET(ORÇAMENTO!$X$15,ROW(AW172)-ROW(AW$15),0),
              ROUND(ROUND(OFFSET($P172,0,AW$13),15-13*ORÇAMENTO!$AF$7)*OFFSET(ORÇAMENTO!$W$15,ROW(AW172)-ROW(AW$15),0),15-13*ORÇAMENTO!$AF$11)),
         0)</f>
        <v>0</v>
      </c>
      <c r="AX172" s="453">
        <f ca="1">IF(AND($D172="Serviço",AX$12&lt;&gt;0,$H172&gt;0,OR(AUTOEVENTO&lt;&gt;"manual",$M172&lt;&gt;$A$15)),
        IF(Import.TipoArredondamento&lt;&gt;"TransfereGOV",
              ROUND(OFFSET($P172,0,AX$13),15-13*ORÇAMENTO!$AF$7)/$H172*OFFSET(ORÇAMENTO!$X$15,ROW(AX172)-ROW(AX$15),0),
              ROUND(ROUND(OFFSET($P172,0,AX$13),15-13*ORÇAMENTO!$AF$7)*OFFSET(ORÇAMENTO!$W$15,ROW(AX172)-ROW(AX$15),0),15-13*ORÇAMENTO!$AF$11)),
         0)</f>
        <v>0</v>
      </c>
      <c r="AY172" s="453">
        <f ca="1">IF(AND($D172="Serviço",AY$12&lt;&gt;0,$H172&gt;0,OR(AUTOEVENTO&lt;&gt;"manual",$M172&lt;&gt;$A$15)),
        IF(Import.TipoArredondamento&lt;&gt;"TransfereGOV",
              ROUND(OFFSET($P172,0,AY$13),15-13*ORÇAMENTO!$AF$7)/$H172*OFFSET(ORÇAMENTO!$X$15,ROW(AY172)-ROW(AY$15),0),
              ROUND(ROUND(OFFSET($P172,0,AY$13),15-13*ORÇAMENTO!$AF$7)*OFFSET(ORÇAMENTO!$W$15,ROW(AY172)-ROW(AY$15),0),15-13*ORÇAMENTO!$AF$11)),
         0)</f>
        <v>0</v>
      </c>
      <c r="AZ172" s="453">
        <f ca="1">IF(AND($D172="Serviço",AZ$12&lt;&gt;0,$H172&gt;0,OR(AUTOEVENTO&lt;&gt;"manual",$M172&lt;&gt;$A$15)),
        IF(Import.TipoArredondamento&lt;&gt;"TransfereGOV",
              ROUND(OFFSET($P172,0,AZ$13),15-13*ORÇAMENTO!$AF$7)/$H172*OFFSET(ORÇAMENTO!$X$15,ROW(AZ172)-ROW(AZ$15),0),
              ROUND(ROUND(OFFSET($P172,0,AZ$13),15-13*ORÇAMENTO!$AF$7)*OFFSET(ORÇAMENTO!$W$15,ROW(AZ172)-ROW(AZ$15),0),15-13*ORÇAMENTO!$AF$11)),
         0)</f>
        <v>0</v>
      </c>
      <c r="BA172" s="453">
        <f ca="1">IF(AND($D172="Serviço",BA$12&lt;&gt;0,$H172&gt;0,OR(AUTOEVENTO&lt;&gt;"manual",$M172&lt;&gt;$A$15)),
        IF(Import.TipoArredondamento&lt;&gt;"TransfereGOV",
              ROUND(OFFSET($P172,0,BA$13),15-13*ORÇAMENTO!$AF$7)/$H172*OFFSET(ORÇAMENTO!$X$15,ROW(BA172)-ROW(BA$15),0),
              ROUND(ROUND(OFFSET($P172,0,BA$13),15-13*ORÇAMENTO!$AF$7)*OFFSET(ORÇAMENTO!$W$15,ROW(BA172)-ROW(BA$15),0),15-13*ORÇAMENTO!$AF$11)),
         0)</f>
        <v>0</v>
      </c>
      <c r="BC172" s="171">
        <f ca="1">IF(OR($D172&lt;&gt;"Serviço",AND(AUTOEVENTO="Manual",$M172=$A$15)),0,
         IF(OFFSET(CRONOPLE!$F$15,$M172-$A$15,BC$13)=0,10^12,OFFSET(CRONOPLE!$F$15,$M172-$A$15,BC$13)))</f>
        <v>1000000000000</v>
      </c>
      <c r="BD172" s="171">
        <f ca="1">IF(OR($D172&lt;&gt;"Serviço",AND(AUTOEVENTO="Manual",$M172=$A$15)),0,
         IF(OFFSET(CRONOPLE!$F$15,$M172-$A$15,BD$13)=0,10^12,OFFSET(CRONOPLE!$F$15,$M172-$A$15,BD$13)))</f>
        <v>1000000000000</v>
      </c>
      <c r="BE172" s="171">
        <f ca="1">IF(OR($D172&lt;&gt;"Serviço",AND(AUTOEVENTO="Manual",$M172=$A$15)),0,
         IF(OFFSET(CRONOPLE!$F$15,$M172-$A$15,BE$13)=0,10^12,OFFSET(CRONOPLE!$F$15,$M172-$A$15,BE$13)))</f>
        <v>1000000000000</v>
      </c>
      <c r="BF172" s="171">
        <f ca="1">IF(OR($D172&lt;&gt;"Serviço",AND(AUTOEVENTO="Manual",$M172=$A$15)),0,
         IF(OFFSET(CRONOPLE!$F$15,$M172-$A$15,BF$13)=0,10^12,OFFSET(CRONOPLE!$F$15,$M172-$A$15,BF$13)))</f>
        <v>1000000000000</v>
      </c>
      <c r="BG172" s="171">
        <f ca="1">IF(OR($D172&lt;&gt;"Serviço",AND(AUTOEVENTO="Manual",$M172=$A$15)),0,
         IF(OFFSET(CRONOPLE!$F$15,$M172-$A$15,BG$13)=0,10^12,OFFSET(CRONOPLE!$F$15,$M172-$A$15,BG$13)))</f>
        <v>7</v>
      </c>
      <c r="BH172" s="171">
        <f ca="1">IF(OR($D172&lt;&gt;"Serviço",AND(AUTOEVENTO="Manual",$M172=$A$15)),0,
         IF(OFFSET(CRONOPLE!$F$15,$M172-$A$15,BH$13)=0,10^12,OFFSET(CRONOPLE!$F$15,$M172-$A$15,BH$13)))</f>
        <v>1000000000000</v>
      </c>
      <c r="BI172" s="171">
        <f ca="1">IF(OR($D172&lt;&gt;"Serviço",AND(AUTOEVENTO="Manual",$M172=$A$15)),0,
         IF(OFFSET(CRONOPLE!$F$15,$M172-$A$15,BI$13)=0,10^12,OFFSET(CRONOPLE!$F$15,$M172-$A$15,BI$13)))</f>
        <v>11</v>
      </c>
      <c r="BJ172" s="171">
        <f ca="1">IF(OR($D172&lt;&gt;"Serviço",AND(AUTOEVENTO="Manual",$M172=$A$15)),0,
         IF(OFFSET(CRONOPLE!$F$15,$M172-$A$15,BJ$13)=0,10^12,OFFSET(CRONOPLE!$F$15,$M172-$A$15,BJ$13)))</f>
        <v>1000000000000</v>
      </c>
      <c r="BK172" s="171">
        <f ca="1">IF(OR($D172&lt;&gt;"Serviço",AND(AUTOEVENTO="Manual",$M172=$A$15)),0,
         IF(OFFSET(CRONOPLE!$F$15,$M172-$A$15,BK$13)=0,10^12,OFFSET(CRONOPLE!$F$15,$M172-$A$15,BK$13)))</f>
        <v>1000000000000</v>
      </c>
      <c r="BL172" s="171">
        <f ca="1">IF(OR($D172&lt;&gt;"Serviço",AND(AUTOEVENTO="Manual",$M172=$A$15)),0,
         IF(OFFSET(CRONOPLE!$F$15,$M172-$A$15,BL$13)=0,10^12,OFFSET(CRONOPLE!$F$15,$M172-$A$15,BL$13)))</f>
        <v>1000000000000</v>
      </c>
      <c r="BM172" s="171">
        <f ca="1">IF(OR($D172&lt;&gt;"Serviço",AND(AUTOEVENTO="Manual",$M172=$A$15)),0,
         IF(OFFSET(CRONOPLE!$F$15,$M172-$A$15,BM$13)=0,10^12,OFFSET(CRONOPLE!$F$15,$M172-$A$15,BM$13)))</f>
        <v>1000000000000</v>
      </c>
      <c r="BN172" s="171">
        <f ca="1">IF(OR($D172&lt;&gt;"Serviço",AND(AUTOEVENTO="Manual",$M172=$A$15)),0,
         IF(OFFSET(CRONOPLE!$F$15,$M172-$A$15,BN$13)=0,10^12,OFFSET(CRONOPLE!$F$15,$M172-$A$15,BN$13)))</f>
        <v>1000000000000</v>
      </c>
      <c r="BO172" s="171">
        <f ca="1">IF(OR($D172&lt;&gt;"Serviço",AND(AUTOEVENTO="Manual",$M172=$A$15)),0,
         IF(OFFSET(CRONOPLE!$F$15,$M172-$A$15,BO$13)=0,10^12,OFFSET(CRONOPLE!$F$15,$M172-$A$15,BO$13)))</f>
        <v>1000000000000</v>
      </c>
      <c r="BP172" s="171">
        <f ca="1">IF(OR($D172&lt;&gt;"Serviço",AND(AUTOEVENTO="Manual",$M172=$A$15)),0,
         IF(OFFSET(CRONOPLE!$F$15,$M172-$A$15,BP$13)=0,10^12,OFFSET(CRONOPLE!$F$15,$M172-$A$15,BP$13)))</f>
        <v>1000000000000</v>
      </c>
      <c r="BQ172" s="171">
        <f ca="1">IF(OR($D172&lt;&gt;"Serviço",AND(AUTOEVENTO="Manual",$M172=$A$15)),0,
         IF(OFFSET(CRONOPLE!$F$15,$M172-$A$15,BQ$13)=0,10^12,OFFSET(CRONOPLE!$F$15,$M172-$A$15,BQ$13)))</f>
        <v>1000000000000</v>
      </c>
      <c r="BR172" s="171">
        <f ca="1">IF(OR($D172&lt;&gt;"Serviço",AND(AUTOEVENTO="Manual",$M172=$A$15)),0,
         IF(OFFSET(CRONOPLE!$F$15,$M172-$A$15,BR$13)=0,10^12,OFFSET(CRONOPLE!$F$15,$M172-$A$15,BR$13)))</f>
        <v>1000000000000</v>
      </c>
      <c r="BS172" s="171">
        <f ca="1">IF(OR($D172&lt;&gt;"Serviço",AND(AUTOEVENTO="Manual",$M172=$A$15)),0,
         IF(OFFSET(CRONOPLE!$F$15,$M172-$A$15,BS$13)=0,10^12,OFFSET(CRONOPLE!$F$15,$M172-$A$15,BS$13)))</f>
        <v>1000000000000</v>
      </c>
      <c r="BT172" s="171">
        <f ca="1">IF(OR($D172&lt;&gt;"Serviço",AND(AUTOEVENTO="Manual",$M172=$A$15)),0,
         IF(OFFSET(CRONOPLE!$F$15,$M172-$A$15,BT$13)=0,10^12,OFFSET(CRONOPLE!$F$15,$M172-$A$15,BT$13)))</f>
        <v>1000000000000</v>
      </c>
      <c r="BV172" s="172" cm="1">
        <f t="array" aca="1" ref="BV172" ca="1">IF(OR($D172&lt;&gt;"Serviço",AND(AUTOEVENTO="Manual",$M172=$A$15),$M172&gt;(ROW(PLE.lastrow)-ROW(PLE.firstrow))),0,
           IF(OFFSET(PLE!$G$15,$M172-$A$15,BV$13)="",10^12,OFFSET(PLE!$G$15,$M172-$A$15,BV$13)))</f>
        <v>1000000000000</v>
      </c>
      <c r="BW172" s="172" cm="1">
        <f t="array" aca="1" ref="BW172" ca="1">IF(OR($D172&lt;&gt;"Serviço",AND(AUTOEVENTO="Manual",$M172=$A$15),$M172&gt;(ROW(PLE.lastrow)-ROW(PLE.firstrow))),0,
           IF(OFFSET(PLE!$G$15,$M172-$A$15,BW$13)="",10^12,OFFSET(PLE!$G$15,$M172-$A$15,BW$13)))</f>
        <v>1000000000000</v>
      </c>
      <c r="BX172" s="172" cm="1">
        <f t="array" aca="1" ref="BX172" ca="1">IF(OR($D172&lt;&gt;"Serviço",AND(AUTOEVENTO="Manual",$M172=$A$15),$M172&gt;(ROW(PLE.lastrow)-ROW(PLE.firstrow))),0,
           IF(OFFSET(PLE!$G$15,$M172-$A$15,BX$13)="",10^12,OFFSET(PLE!$G$15,$M172-$A$15,BX$13)))</f>
        <v>1000000000000</v>
      </c>
      <c r="BY172" s="172" cm="1">
        <f t="array" aca="1" ref="BY172" ca="1">IF(OR($D172&lt;&gt;"Serviço",AND(AUTOEVENTO="Manual",$M172=$A$15),$M172&gt;(ROW(PLE.lastrow)-ROW(PLE.firstrow))),0,
           IF(OFFSET(PLE!$G$15,$M172-$A$15,BY$13)="",10^12,OFFSET(PLE!$G$15,$M172-$A$15,BY$13)))</f>
        <v>1000000000000</v>
      </c>
      <c r="BZ172" s="172" cm="1">
        <f t="array" aca="1" ref="BZ172" ca="1">IF(OR($D172&lt;&gt;"Serviço",AND(AUTOEVENTO="Manual",$M172=$A$15),$M172&gt;(ROW(PLE.lastrow)-ROW(PLE.firstrow))),0,
           IF(OFFSET(PLE!$G$15,$M172-$A$15,BZ$13)="",10^12,OFFSET(PLE!$G$15,$M172-$A$15,BZ$13)))</f>
        <v>1000000000000</v>
      </c>
      <c r="CA172" s="172" cm="1">
        <f t="array" aca="1" ref="CA172" ca="1">IF(OR($D172&lt;&gt;"Serviço",AND(AUTOEVENTO="Manual",$M172=$A$15),$M172&gt;(ROW(PLE.lastrow)-ROW(PLE.firstrow))),0,
           IF(OFFSET(PLE!$G$15,$M172-$A$15,CA$13)="",10^12,OFFSET(PLE!$G$15,$M172-$A$15,CA$13)))</f>
        <v>1000000000000</v>
      </c>
      <c r="CB172" s="172" cm="1">
        <f t="array" aca="1" ref="CB172" ca="1">IF(OR($D172&lt;&gt;"Serviço",AND(AUTOEVENTO="Manual",$M172=$A$15),$M172&gt;(ROW(PLE.lastrow)-ROW(PLE.firstrow))),0,
           IF(OFFSET(PLE!$G$15,$M172-$A$15,CB$13)="",10^12,OFFSET(PLE!$G$15,$M172-$A$15,CB$13)))</f>
        <v>1000000000000</v>
      </c>
      <c r="CC172" s="172" cm="1">
        <f t="array" aca="1" ref="CC172" ca="1">IF(OR($D172&lt;&gt;"Serviço",AND(AUTOEVENTO="Manual",$M172=$A$15),$M172&gt;(ROW(PLE.lastrow)-ROW(PLE.firstrow))),0,
           IF(OFFSET(PLE!$G$15,$M172-$A$15,CC$13)="",10^12,OFFSET(PLE!$G$15,$M172-$A$15,CC$13)))</f>
        <v>1000000000000</v>
      </c>
      <c r="CD172" s="172" cm="1">
        <f t="array" aca="1" ref="CD172" ca="1">IF(OR($D172&lt;&gt;"Serviço",AND(AUTOEVENTO="Manual",$M172=$A$15),$M172&gt;(ROW(PLE.lastrow)-ROW(PLE.firstrow))),0,
           IF(OFFSET(PLE!$G$15,$M172-$A$15,CD$13)="",10^12,OFFSET(PLE!$G$15,$M172-$A$15,CD$13)))</f>
        <v>1000000000000</v>
      </c>
      <c r="CE172" s="172" cm="1">
        <f t="array" aca="1" ref="CE172" ca="1">IF(OR($D172&lt;&gt;"Serviço",AND(AUTOEVENTO="Manual",$M172=$A$15),$M172&gt;(ROW(PLE.lastrow)-ROW(PLE.firstrow))),0,
           IF(OFFSET(PLE!$G$15,$M172-$A$15,CE$13)="",10^12,OFFSET(PLE!$G$15,$M172-$A$15,CE$13)))</f>
        <v>1000000000000</v>
      </c>
      <c r="CF172" s="172" cm="1">
        <f t="array" aca="1" ref="CF172" ca="1">IF(OR($D172&lt;&gt;"Serviço",AND(AUTOEVENTO="Manual",$M172=$A$15),$M172&gt;(ROW(PLE.lastrow)-ROW(PLE.firstrow))),0,
           IF(OFFSET(PLE!$G$15,$M172-$A$15,CF$13)="",10^12,OFFSET(PLE!$G$15,$M172-$A$15,CF$13)))</f>
        <v>1000000000000</v>
      </c>
      <c r="CG172" s="172" cm="1">
        <f t="array" aca="1" ref="CG172" ca="1">IF(OR($D172&lt;&gt;"Serviço",AND(AUTOEVENTO="Manual",$M172=$A$15),$M172&gt;(ROW(PLE.lastrow)-ROW(PLE.firstrow))),0,
           IF(OFFSET(PLE!$G$15,$M172-$A$15,CG$13)="",10^12,OFFSET(PLE!$G$15,$M172-$A$15,CG$13)))</f>
        <v>1000000000000</v>
      </c>
      <c r="CH172" s="172" cm="1">
        <f t="array" aca="1" ref="CH172" ca="1">IF(OR($D172&lt;&gt;"Serviço",AND(AUTOEVENTO="Manual",$M172=$A$15),$M172&gt;(ROW(PLE.lastrow)-ROW(PLE.firstrow))),0,
           IF(OFFSET(PLE!$G$15,$M172-$A$15,CH$13)="",10^12,OFFSET(PLE!$G$15,$M172-$A$15,CH$13)))</f>
        <v>1000000000000</v>
      </c>
      <c r="CI172" s="172" cm="1">
        <f t="array" aca="1" ref="CI172" ca="1">IF(OR($D172&lt;&gt;"Serviço",AND(AUTOEVENTO="Manual",$M172=$A$15),$M172&gt;(ROW(PLE.lastrow)-ROW(PLE.firstrow))),0,
           IF(OFFSET(PLE!$G$15,$M172-$A$15,CI$13)="",10^12,OFFSET(PLE!$G$15,$M172-$A$15,CI$13)))</f>
        <v>1000000000000</v>
      </c>
      <c r="CJ172" s="172" cm="1">
        <f t="array" aca="1" ref="CJ172" ca="1">IF(OR($D172&lt;&gt;"Serviço",AND(AUTOEVENTO="Manual",$M172=$A$15),$M172&gt;(ROW(PLE.lastrow)-ROW(PLE.firstrow))),0,
           IF(OFFSET(PLE!$G$15,$M172-$A$15,CJ$13)="",10^12,OFFSET(PLE!$G$15,$M172-$A$15,CJ$13)))</f>
        <v>1000000000000</v>
      </c>
      <c r="CK172" s="172" cm="1">
        <f t="array" aca="1" ref="CK172" ca="1">IF(OR($D172&lt;&gt;"Serviço",AND(AUTOEVENTO="Manual",$M172=$A$15),$M172&gt;(ROW(PLE.lastrow)-ROW(PLE.firstrow))),0,
           IF(OFFSET(PLE!$G$15,$M172-$A$15,CK$13)="",10^12,OFFSET(PLE!$G$15,$M172-$A$15,CK$13)))</f>
        <v>1000000000000</v>
      </c>
      <c r="CL172" s="172" cm="1">
        <f t="array" aca="1" ref="CL172" ca="1">IF(OR($D172&lt;&gt;"Serviço",AND(AUTOEVENTO="Manual",$M172=$A$15),$M172&gt;(ROW(PLE.lastrow)-ROW(PLE.firstrow))),0,
           IF(OFFSET(PLE!$G$15,$M172-$A$15,CL$13)="",10^12,OFFSET(PLE!$G$15,$M172-$A$15,CL$13)))</f>
        <v>1000000000000</v>
      </c>
      <c r="CM172" s="172" cm="1">
        <f t="array" aca="1" ref="CM172" ca="1">IF(OR($D172&lt;&gt;"Serviço",AND(AUTOEVENTO="Manual",$M172=$A$15),$M172&gt;(ROW(PLE.lastrow)-ROW(PLE.firstrow))),0,
           IF(OFFSET(PLE!$G$15,$M172-$A$15,CM$13)="",10^12,OFFSET(PLE!$G$15,$M172-$A$15,CM$13)))</f>
        <v>1000000000000</v>
      </c>
    </row>
    <row r="173" spans="1:91" s="670" customFormat="1" ht="38.25" x14ac:dyDescent="0.2">
      <c r="A173" s="668">
        <f t="shared" ca="1" si="14"/>
        <v>8</v>
      </c>
      <c r="B173" s="668" t="str">
        <f ca="1">OFFSET(ORÇAMENTO!C$15,$L173,0)</f>
        <v>S</v>
      </c>
      <c r="C173" s="668" t="str">
        <f ca="1">OFFSET(ORÇAMENTO!L$15,$L173,0)</f>
        <v>F</v>
      </c>
      <c r="D173" s="116" t="str">
        <f ca="1">OFFSET(ORÇAMENTO!N$15,$L173,0)</f>
        <v>Serviço</v>
      </c>
      <c r="E173" s="117" t="str">
        <f ca="1">OFFSET(ORÇAMENTO!O$15,$L173,0)</f>
        <v>1.23.3.</v>
      </c>
      <c r="F173" s="163" t="str">
        <f ca="1">OFFSET(ORÇAMENTO!R$15,$L173,0)</f>
        <v>JOELHO 90 GRAUS, PVC, SOLDÁVEL, DN 50MM, INSTALADO EM RAMAL DE DISTRIBUIÇÃO DE ÁGUA - FORNECIMENTO E INSTALAÇÃO. AF_06/2022</v>
      </c>
      <c r="G173" s="164" t="str">
        <f ca="1">IF($D173&lt;&gt;"Serviço","",OFFSET(ORÇAMENTO!S$15,$L173,0))</f>
        <v>UN</v>
      </c>
      <c r="H173" s="122" cm="1">
        <f t="array" aca="1" ref="H173" ca="1">IF($D173&lt;&gt;"Serviço",0,IF(ACOMPANHAMENTO="BM",ROUND(OFFSET(ORÇAMENTO!AJ$15,$L173,0),15-13*ORÇAMENTO!$AF$7),IF(IFERROR(CÁLCULO.FrentesPreenchidas,0)=0,0,SUM(ROUND(OFFSET($P173,0,1,1,CÁLCULO.FrentesPreenchidas),15-13*ORÇAMENTO!$AF$7)))))</f>
        <v>4</v>
      </c>
      <c r="I173" s="720" t="s">
        <v>1209</v>
      </c>
      <c r="J173" s="651" t="str" cm="1">
        <f t="array" aca="1" ref="J173" ca="1">IF(OR(B173&lt;&gt;"S",CÁLCULO.FrentesPreenchidas=0),"",IF(AND(ACOMPANHAMENTO="PLE",AUTOEVENTO="Manual",OR(H173&gt;0,ORÇAMENTO!AC173="QUANT."),OR(K173="",M173=0,N173="")),"►E",IF(AND(ACOMPANHAMENTO="PLE",ORÇAMENTO!AC173="QUANT."),"►Q",IF(AND(ACOMPANHAMENTO="PLE",H173&lt;&gt;SUMPRODUCT(($Q$1:$AI$1=1)*ROUND(Q173:AI173,15))),"►S",IF(AND(COUNTIF($P$11:$AI$11,"▼")=0,H173&gt;0,I173=""),"◄M","")))))</f>
        <v/>
      </c>
      <c r="K173" s="652" t="s">
        <v>1352</v>
      </c>
      <c r="L173" s="165">
        <f t="shared" ca="1" si="15"/>
        <v>158</v>
      </c>
      <c r="M173" s="166">
        <f ca="1">IF($D173&lt;&gt;"Serviço","",
          IF(AUTOEVENTO="manual",$A173,
                IF(ISERROR(MATCH($A173,$A$15:OFFSET($A173,-1,0),0)),MAX($M$15:OFFSET(M173,-1,0))+1,
                      INDEX($M$15:OFFSET(M173,-1,0),MATCH($A173,$A$15:OFFSET($A173,-1,0),0)))))</f>
        <v>8</v>
      </c>
      <c r="N173" s="167" t="str">
        <f ca="1">IF($D173&lt;&gt;"Serviço","",
         IF(AUTOEVENTO="Manual",
                IF($A173=0,"&lt;-- defina o número do agrupador",
                       OFFSET(EVENTOS!$D$15,$A173-$A$15,0)),
                OFFSET($F$15,$A173,0)))</f>
        <v>Assentamento de tubulação</v>
      </c>
      <c r="O173" s="168"/>
      <c r="Q173" s="168"/>
      <c r="R173" s="169"/>
      <c r="S173" s="169"/>
      <c r="T173" s="169"/>
      <c r="U173" s="169"/>
      <c r="V173" s="169"/>
      <c r="W173" s="169">
        <v>4</v>
      </c>
      <c r="X173" s="169"/>
      <c r="Y173" s="169"/>
      <c r="Z173" s="170"/>
      <c r="AA173" s="705"/>
      <c r="AB173" s="705"/>
      <c r="AC173" s="705"/>
      <c r="AD173" s="705"/>
      <c r="AE173" s="705"/>
      <c r="AF173" s="705"/>
      <c r="AG173" s="705"/>
      <c r="AH173" s="706"/>
      <c r="AJ173" s="453">
        <f ca="1">IF(AND($D173="Serviço",AJ$12&lt;&gt;0,$H173&gt;0,OR(AUTOEVENTO&lt;&gt;"manual",$M173&lt;&gt;$A$15)),
        IF(Import.TipoArredondamento&lt;&gt;"TransfereGOV",
              ROUND(OFFSET($P173,0,AJ$13),15-13*ORÇAMENTO!$AF$7)/$H173*OFFSET(ORÇAMENTO!$X$15,ROW(AJ173)-ROW(AJ$15),0),
              ROUND(ROUND(OFFSET($P173,0,AJ$13),15-13*ORÇAMENTO!$AF$7)*OFFSET(ORÇAMENTO!$W$15,ROW(AJ173)-ROW(AJ$15),0),15-13*ORÇAMENTO!$AF$11)),
         0)</f>
        <v>0</v>
      </c>
      <c r="AK173" s="453">
        <f ca="1">IF(AND($D173="Serviço",AK$12&lt;&gt;0,$H173&gt;0,OR(AUTOEVENTO&lt;&gt;"manual",$M173&lt;&gt;$A$15)),
        IF(Import.TipoArredondamento&lt;&gt;"TransfereGOV",
              ROUND(OFFSET($P173,0,AK$13),15-13*ORÇAMENTO!$AF$7)/$H173*OFFSET(ORÇAMENTO!$X$15,ROW(AK173)-ROW(AK$15),0),
              ROUND(ROUND(OFFSET($P173,0,AK$13),15-13*ORÇAMENTO!$AF$7)*OFFSET(ORÇAMENTO!$W$15,ROW(AK173)-ROW(AK$15),0),15-13*ORÇAMENTO!$AF$11)),
         0)</f>
        <v>0</v>
      </c>
      <c r="AL173" s="453">
        <f ca="1">IF(AND($D173="Serviço",AL$12&lt;&gt;0,$H173&gt;0,OR(AUTOEVENTO&lt;&gt;"manual",$M173&lt;&gt;$A$15)),
        IF(Import.TipoArredondamento&lt;&gt;"TransfereGOV",
              ROUND(OFFSET($P173,0,AL$13),15-13*ORÇAMENTO!$AF$7)/$H173*OFFSET(ORÇAMENTO!$X$15,ROW(AL173)-ROW(AL$15),0),
              ROUND(ROUND(OFFSET($P173,0,AL$13),15-13*ORÇAMENTO!$AF$7)*OFFSET(ORÇAMENTO!$W$15,ROW(AL173)-ROW(AL$15),0),15-13*ORÇAMENTO!$AF$11)),
         0)</f>
        <v>0</v>
      </c>
      <c r="AM173" s="453">
        <f ca="1">IF(AND($D173="Serviço",AM$12&lt;&gt;0,$H173&gt;0,OR(AUTOEVENTO&lt;&gt;"manual",$M173&lt;&gt;$A$15)),
        IF(Import.TipoArredondamento&lt;&gt;"TransfereGOV",
              ROUND(OFFSET($P173,0,AM$13),15-13*ORÇAMENTO!$AF$7)/$H173*OFFSET(ORÇAMENTO!$X$15,ROW(AM173)-ROW(AM$15),0),
              ROUND(ROUND(OFFSET($P173,0,AM$13),15-13*ORÇAMENTO!$AF$7)*OFFSET(ORÇAMENTO!$W$15,ROW(AM173)-ROW(AM$15),0),15-13*ORÇAMENTO!$AF$11)),
         0)</f>
        <v>0</v>
      </c>
      <c r="AN173" s="453">
        <f ca="1">IF(AND($D173="Serviço",AN$12&lt;&gt;0,$H173&gt;0,OR(AUTOEVENTO&lt;&gt;"manual",$M173&lt;&gt;$A$15)),
        IF(Import.TipoArredondamento&lt;&gt;"TransfereGOV",
              ROUND(OFFSET($P173,0,AN$13),15-13*ORÇAMENTO!$AF$7)/$H173*OFFSET(ORÇAMENTO!$X$15,ROW(AN173)-ROW(AN$15),0),
              ROUND(ROUND(OFFSET($P173,0,AN$13),15-13*ORÇAMENTO!$AF$7)*OFFSET(ORÇAMENTO!$W$15,ROW(AN173)-ROW(AN$15),0),15-13*ORÇAMENTO!$AF$11)),
         0)</f>
        <v>0</v>
      </c>
      <c r="AO173" s="453">
        <f ca="1">IF(AND($D173="Serviço",AO$12&lt;&gt;0,$H173&gt;0,OR(AUTOEVENTO&lt;&gt;"manual",$M173&lt;&gt;$A$15)),
        IF(Import.TipoArredondamento&lt;&gt;"TransfereGOV",
              ROUND(OFFSET($P173,0,AO$13),15-13*ORÇAMENTO!$AF$7)/$H173*OFFSET(ORÇAMENTO!$X$15,ROW(AO173)-ROW(AO$15),0),
              ROUND(ROUND(OFFSET($P173,0,AO$13),15-13*ORÇAMENTO!$AF$7)*OFFSET(ORÇAMENTO!$W$15,ROW(AO173)-ROW(AO$15),0),15-13*ORÇAMENTO!$AF$11)),
         0)</f>
        <v>0</v>
      </c>
      <c r="AP173" s="453">
        <f ca="1">IF(AND($D173="Serviço",AP$12&lt;&gt;0,$H173&gt;0,OR(AUTOEVENTO&lt;&gt;"manual",$M173&lt;&gt;$A$15)),
        IF(Import.TipoArredondamento&lt;&gt;"TransfereGOV",
              ROUND(OFFSET($P173,0,AP$13),15-13*ORÇAMENTO!$AF$7)/$H173*OFFSET(ORÇAMENTO!$X$15,ROW(AP173)-ROW(AP$15),0),
              ROUND(ROUND(OFFSET($P173,0,AP$13),15-13*ORÇAMENTO!$AF$7)*OFFSET(ORÇAMENTO!$W$15,ROW(AP173)-ROW(AP$15),0),15-13*ORÇAMENTO!$AF$11)),
         0)</f>
        <v>110.08</v>
      </c>
      <c r="AQ173" s="453">
        <f ca="1">IF(AND($D173="Serviço",AQ$12&lt;&gt;0,$H173&gt;0,OR(AUTOEVENTO&lt;&gt;"manual",$M173&lt;&gt;$A$15)),
        IF(Import.TipoArredondamento&lt;&gt;"TransfereGOV",
              ROUND(OFFSET($P173,0,AQ$13),15-13*ORÇAMENTO!$AF$7)/$H173*OFFSET(ORÇAMENTO!$X$15,ROW(AQ173)-ROW(AQ$15),0),
              ROUND(ROUND(OFFSET($P173,0,AQ$13),15-13*ORÇAMENTO!$AF$7)*OFFSET(ORÇAMENTO!$W$15,ROW(AQ173)-ROW(AQ$15),0),15-13*ORÇAMENTO!$AF$11)),
         0)</f>
        <v>0</v>
      </c>
      <c r="AR173" s="453">
        <f ca="1">IF(AND($D173="Serviço",AR$12&lt;&gt;0,$H173&gt;0,OR(AUTOEVENTO&lt;&gt;"manual",$M173&lt;&gt;$A$15)),
        IF(Import.TipoArredondamento&lt;&gt;"TransfereGOV",
              ROUND(OFFSET($P173,0,AR$13),15-13*ORÇAMENTO!$AF$7)/$H173*OFFSET(ORÇAMENTO!$X$15,ROW(AR173)-ROW(AR$15),0),
              ROUND(ROUND(OFFSET($P173,0,AR$13),15-13*ORÇAMENTO!$AF$7)*OFFSET(ORÇAMENTO!$W$15,ROW(AR173)-ROW(AR$15),0),15-13*ORÇAMENTO!$AF$11)),
         0)</f>
        <v>0</v>
      </c>
      <c r="AS173" s="453">
        <f ca="1">IF(AND($D173="Serviço",AS$12&lt;&gt;0,$H173&gt;0,OR(AUTOEVENTO&lt;&gt;"manual",$M173&lt;&gt;$A$15)),
        IF(Import.TipoArredondamento&lt;&gt;"TransfereGOV",
              ROUND(OFFSET($P173,0,AS$13),15-13*ORÇAMENTO!$AF$7)/$H173*OFFSET(ORÇAMENTO!$X$15,ROW(AS173)-ROW(AS$15),0),
              ROUND(ROUND(OFFSET($P173,0,AS$13),15-13*ORÇAMENTO!$AF$7)*OFFSET(ORÇAMENTO!$W$15,ROW(AS173)-ROW(AS$15),0),15-13*ORÇAMENTO!$AF$11)),
         0)</f>
        <v>0</v>
      </c>
      <c r="AT173" s="453">
        <f ca="1">IF(AND($D173="Serviço",AT$12&lt;&gt;0,$H173&gt;0,OR(AUTOEVENTO&lt;&gt;"manual",$M173&lt;&gt;$A$15)),
        IF(Import.TipoArredondamento&lt;&gt;"TransfereGOV",
              ROUND(OFFSET($P173,0,AT$13),15-13*ORÇAMENTO!$AF$7)/$H173*OFFSET(ORÇAMENTO!$X$15,ROW(AT173)-ROW(AT$15),0),
              ROUND(ROUND(OFFSET($P173,0,AT$13),15-13*ORÇAMENTO!$AF$7)*OFFSET(ORÇAMENTO!$W$15,ROW(AT173)-ROW(AT$15),0),15-13*ORÇAMENTO!$AF$11)),
         0)</f>
        <v>0</v>
      </c>
      <c r="AU173" s="453">
        <f ca="1">IF(AND($D173="Serviço",AU$12&lt;&gt;0,$H173&gt;0,OR(AUTOEVENTO&lt;&gt;"manual",$M173&lt;&gt;$A$15)),
        IF(Import.TipoArredondamento&lt;&gt;"TransfereGOV",
              ROUND(OFFSET($P173,0,AU$13),15-13*ORÇAMENTO!$AF$7)/$H173*OFFSET(ORÇAMENTO!$X$15,ROW(AU173)-ROW(AU$15),0),
              ROUND(ROUND(OFFSET($P173,0,AU$13),15-13*ORÇAMENTO!$AF$7)*OFFSET(ORÇAMENTO!$W$15,ROW(AU173)-ROW(AU$15),0),15-13*ORÇAMENTO!$AF$11)),
         0)</f>
        <v>0</v>
      </c>
      <c r="AV173" s="453">
        <f ca="1">IF(AND($D173="Serviço",AV$12&lt;&gt;0,$H173&gt;0,OR(AUTOEVENTO&lt;&gt;"manual",$M173&lt;&gt;$A$15)),
        IF(Import.TipoArredondamento&lt;&gt;"TransfereGOV",
              ROUND(OFFSET($P173,0,AV$13),15-13*ORÇAMENTO!$AF$7)/$H173*OFFSET(ORÇAMENTO!$X$15,ROW(AV173)-ROW(AV$15),0),
              ROUND(ROUND(OFFSET($P173,0,AV$13),15-13*ORÇAMENTO!$AF$7)*OFFSET(ORÇAMENTO!$W$15,ROW(AV173)-ROW(AV$15),0),15-13*ORÇAMENTO!$AF$11)),
         0)</f>
        <v>0</v>
      </c>
      <c r="AW173" s="453">
        <f ca="1">IF(AND($D173="Serviço",AW$12&lt;&gt;0,$H173&gt;0,OR(AUTOEVENTO&lt;&gt;"manual",$M173&lt;&gt;$A$15)),
        IF(Import.TipoArredondamento&lt;&gt;"TransfereGOV",
              ROUND(OFFSET($P173,0,AW$13),15-13*ORÇAMENTO!$AF$7)/$H173*OFFSET(ORÇAMENTO!$X$15,ROW(AW173)-ROW(AW$15),0),
              ROUND(ROUND(OFFSET($P173,0,AW$13),15-13*ORÇAMENTO!$AF$7)*OFFSET(ORÇAMENTO!$W$15,ROW(AW173)-ROW(AW$15),0),15-13*ORÇAMENTO!$AF$11)),
         0)</f>
        <v>0</v>
      </c>
      <c r="AX173" s="453">
        <f ca="1">IF(AND($D173="Serviço",AX$12&lt;&gt;0,$H173&gt;0,OR(AUTOEVENTO&lt;&gt;"manual",$M173&lt;&gt;$A$15)),
        IF(Import.TipoArredondamento&lt;&gt;"TransfereGOV",
              ROUND(OFFSET($P173,0,AX$13),15-13*ORÇAMENTO!$AF$7)/$H173*OFFSET(ORÇAMENTO!$X$15,ROW(AX173)-ROW(AX$15),0),
              ROUND(ROUND(OFFSET($P173,0,AX$13),15-13*ORÇAMENTO!$AF$7)*OFFSET(ORÇAMENTO!$W$15,ROW(AX173)-ROW(AX$15),0),15-13*ORÇAMENTO!$AF$11)),
         0)</f>
        <v>0</v>
      </c>
      <c r="AY173" s="453">
        <f ca="1">IF(AND($D173="Serviço",AY$12&lt;&gt;0,$H173&gt;0,OR(AUTOEVENTO&lt;&gt;"manual",$M173&lt;&gt;$A$15)),
        IF(Import.TipoArredondamento&lt;&gt;"TransfereGOV",
              ROUND(OFFSET($P173,0,AY$13),15-13*ORÇAMENTO!$AF$7)/$H173*OFFSET(ORÇAMENTO!$X$15,ROW(AY173)-ROW(AY$15),0),
              ROUND(ROUND(OFFSET($P173,0,AY$13),15-13*ORÇAMENTO!$AF$7)*OFFSET(ORÇAMENTO!$W$15,ROW(AY173)-ROW(AY$15),0),15-13*ORÇAMENTO!$AF$11)),
         0)</f>
        <v>0</v>
      </c>
      <c r="AZ173" s="453">
        <f ca="1">IF(AND($D173="Serviço",AZ$12&lt;&gt;0,$H173&gt;0,OR(AUTOEVENTO&lt;&gt;"manual",$M173&lt;&gt;$A$15)),
        IF(Import.TipoArredondamento&lt;&gt;"TransfereGOV",
              ROUND(OFFSET($P173,0,AZ$13),15-13*ORÇAMENTO!$AF$7)/$H173*OFFSET(ORÇAMENTO!$X$15,ROW(AZ173)-ROW(AZ$15),0),
              ROUND(ROUND(OFFSET($P173,0,AZ$13),15-13*ORÇAMENTO!$AF$7)*OFFSET(ORÇAMENTO!$W$15,ROW(AZ173)-ROW(AZ$15),0),15-13*ORÇAMENTO!$AF$11)),
         0)</f>
        <v>0</v>
      </c>
      <c r="BA173" s="453">
        <f ca="1">IF(AND($D173="Serviço",BA$12&lt;&gt;0,$H173&gt;0,OR(AUTOEVENTO&lt;&gt;"manual",$M173&lt;&gt;$A$15)),
        IF(Import.TipoArredondamento&lt;&gt;"TransfereGOV",
              ROUND(OFFSET($P173,0,BA$13),15-13*ORÇAMENTO!$AF$7)/$H173*OFFSET(ORÇAMENTO!$X$15,ROW(BA173)-ROW(BA$15),0),
              ROUND(ROUND(OFFSET($P173,0,BA$13),15-13*ORÇAMENTO!$AF$7)*OFFSET(ORÇAMENTO!$W$15,ROW(BA173)-ROW(BA$15),0),15-13*ORÇAMENTO!$AF$11)),
         0)</f>
        <v>0</v>
      </c>
      <c r="BC173" s="171">
        <f ca="1">IF(OR($D173&lt;&gt;"Serviço",AND(AUTOEVENTO="Manual",$M173=$A$15)),0,
         IF(OFFSET(CRONOPLE!$F$15,$M173-$A$15,BC$13)=0,10^12,OFFSET(CRONOPLE!$F$15,$M173-$A$15,BC$13)))</f>
        <v>1000000000000</v>
      </c>
      <c r="BD173" s="171">
        <f ca="1">IF(OR($D173&lt;&gt;"Serviço",AND(AUTOEVENTO="Manual",$M173=$A$15)),0,
         IF(OFFSET(CRONOPLE!$F$15,$M173-$A$15,BD$13)=0,10^12,OFFSET(CRONOPLE!$F$15,$M173-$A$15,BD$13)))</f>
        <v>1000000000000</v>
      </c>
      <c r="BE173" s="171">
        <f ca="1">IF(OR($D173&lt;&gt;"Serviço",AND(AUTOEVENTO="Manual",$M173=$A$15)),0,
         IF(OFFSET(CRONOPLE!$F$15,$M173-$A$15,BE$13)=0,10^12,OFFSET(CRONOPLE!$F$15,$M173-$A$15,BE$13)))</f>
        <v>1000000000000</v>
      </c>
      <c r="BF173" s="171">
        <f ca="1">IF(OR($D173&lt;&gt;"Serviço",AND(AUTOEVENTO="Manual",$M173=$A$15)),0,
         IF(OFFSET(CRONOPLE!$F$15,$M173-$A$15,BF$13)=0,10^12,OFFSET(CRONOPLE!$F$15,$M173-$A$15,BF$13)))</f>
        <v>1000000000000</v>
      </c>
      <c r="BG173" s="171">
        <f ca="1">IF(OR($D173&lt;&gt;"Serviço",AND(AUTOEVENTO="Manual",$M173=$A$15)),0,
         IF(OFFSET(CRONOPLE!$F$15,$M173-$A$15,BG$13)=0,10^12,OFFSET(CRONOPLE!$F$15,$M173-$A$15,BG$13)))</f>
        <v>7</v>
      </c>
      <c r="BH173" s="171">
        <f ca="1">IF(OR($D173&lt;&gt;"Serviço",AND(AUTOEVENTO="Manual",$M173=$A$15)),0,
         IF(OFFSET(CRONOPLE!$F$15,$M173-$A$15,BH$13)=0,10^12,OFFSET(CRONOPLE!$F$15,$M173-$A$15,BH$13)))</f>
        <v>1000000000000</v>
      </c>
      <c r="BI173" s="171">
        <f ca="1">IF(OR($D173&lt;&gt;"Serviço",AND(AUTOEVENTO="Manual",$M173=$A$15)),0,
         IF(OFFSET(CRONOPLE!$F$15,$M173-$A$15,BI$13)=0,10^12,OFFSET(CRONOPLE!$F$15,$M173-$A$15,BI$13)))</f>
        <v>11</v>
      </c>
      <c r="BJ173" s="171">
        <f ca="1">IF(OR($D173&lt;&gt;"Serviço",AND(AUTOEVENTO="Manual",$M173=$A$15)),0,
         IF(OFFSET(CRONOPLE!$F$15,$M173-$A$15,BJ$13)=0,10^12,OFFSET(CRONOPLE!$F$15,$M173-$A$15,BJ$13)))</f>
        <v>1000000000000</v>
      </c>
      <c r="BK173" s="171">
        <f ca="1">IF(OR($D173&lt;&gt;"Serviço",AND(AUTOEVENTO="Manual",$M173=$A$15)),0,
         IF(OFFSET(CRONOPLE!$F$15,$M173-$A$15,BK$13)=0,10^12,OFFSET(CRONOPLE!$F$15,$M173-$A$15,BK$13)))</f>
        <v>1000000000000</v>
      </c>
      <c r="BL173" s="171">
        <f ca="1">IF(OR($D173&lt;&gt;"Serviço",AND(AUTOEVENTO="Manual",$M173=$A$15)),0,
         IF(OFFSET(CRONOPLE!$F$15,$M173-$A$15,BL$13)=0,10^12,OFFSET(CRONOPLE!$F$15,$M173-$A$15,BL$13)))</f>
        <v>1000000000000</v>
      </c>
      <c r="BM173" s="171">
        <f ca="1">IF(OR($D173&lt;&gt;"Serviço",AND(AUTOEVENTO="Manual",$M173=$A$15)),0,
         IF(OFFSET(CRONOPLE!$F$15,$M173-$A$15,BM$13)=0,10^12,OFFSET(CRONOPLE!$F$15,$M173-$A$15,BM$13)))</f>
        <v>1000000000000</v>
      </c>
      <c r="BN173" s="171">
        <f ca="1">IF(OR($D173&lt;&gt;"Serviço",AND(AUTOEVENTO="Manual",$M173=$A$15)),0,
         IF(OFFSET(CRONOPLE!$F$15,$M173-$A$15,BN$13)=0,10^12,OFFSET(CRONOPLE!$F$15,$M173-$A$15,BN$13)))</f>
        <v>1000000000000</v>
      </c>
      <c r="BO173" s="171">
        <f ca="1">IF(OR($D173&lt;&gt;"Serviço",AND(AUTOEVENTO="Manual",$M173=$A$15)),0,
         IF(OFFSET(CRONOPLE!$F$15,$M173-$A$15,BO$13)=0,10^12,OFFSET(CRONOPLE!$F$15,$M173-$A$15,BO$13)))</f>
        <v>1000000000000</v>
      </c>
      <c r="BP173" s="171">
        <f ca="1">IF(OR($D173&lt;&gt;"Serviço",AND(AUTOEVENTO="Manual",$M173=$A$15)),0,
         IF(OFFSET(CRONOPLE!$F$15,$M173-$A$15,BP$13)=0,10^12,OFFSET(CRONOPLE!$F$15,$M173-$A$15,BP$13)))</f>
        <v>1000000000000</v>
      </c>
      <c r="BQ173" s="171">
        <f ca="1">IF(OR($D173&lt;&gt;"Serviço",AND(AUTOEVENTO="Manual",$M173=$A$15)),0,
         IF(OFFSET(CRONOPLE!$F$15,$M173-$A$15,BQ$13)=0,10^12,OFFSET(CRONOPLE!$F$15,$M173-$A$15,BQ$13)))</f>
        <v>1000000000000</v>
      </c>
      <c r="BR173" s="171">
        <f ca="1">IF(OR($D173&lt;&gt;"Serviço",AND(AUTOEVENTO="Manual",$M173=$A$15)),0,
         IF(OFFSET(CRONOPLE!$F$15,$M173-$A$15,BR$13)=0,10^12,OFFSET(CRONOPLE!$F$15,$M173-$A$15,BR$13)))</f>
        <v>1000000000000</v>
      </c>
      <c r="BS173" s="171">
        <f ca="1">IF(OR($D173&lt;&gt;"Serviço",AND(AUTOEVENTO="Manual",$M173=$A$15)),0,
         IF(OFFSET(CRONOPLE!$F$15,$M173-$A$15,BS$13)=0,10^12,OFFSET(CRONOPLE!$F$15,$M173-$A$15,BS$13)))</f>
        <v>1000000000000</v>
      </c>
      <c r="BT173" s="171">
        <f ca="1">IF(OR($D173&lt;&gt;"Serviço",AND(AUTOEVENTO="Manual",$M173=$A$15)),0,
         IF(OFFSET(CRONOPLE!$F$15,$M173-$A$15,BT$13)=0,10^12,OFFSET(CRONOPLE!$F$15,$M173-$A$15,BT$13)))</f>
        <v>1000000000000</v>
      </c>
      <c r="BV173" s="172" cm="1">
        <f t="array" aca="1" ref="BV173" ca="1">IF(OR($D173&lt;&gt;"Serviço",AND(AUTOEVENTO="Manual",$M173=$A$15),$M173&gt;(ROW(PLE.lastrow)-ROW(PLE.firstrow))),0,
           IF(OFFSET(PLE!$G$15,$M173-$A$15,BV$13)="",10^12,OFFSET(PLE!$G$15,$M173-$A$15,BV$13)))</f>
        <v>1000000000000</v>
      </c>
      <c r="BW173" s="172" cm="1">
        <f t="array" aca="1" ref="BW173" ca="1">IF(OR($D173&lt;&gt;"Serviço",AND(AUTOEVENTO="Manual",$M173=$A$15),$M173&gt;(ROW(PLE.lastrow)-ROW(PLE.firstrow))),0,
           IF(OFFSET(PLE!$G$15,$M173-$A$15,BW$13)="",10^12,OFFSET(PLE!$G$15,$M173-$A$15,BW$13)))</f>
        <v>1000000000000</v>
      </c>
      <c r="BX173" s="172" cm="1">
        <f t="array" aca="1" ref="BX173" ca="1">IF(OR($D173&lt;&gt;"Serviço",AND(AUTOEVENTO="Manual",$M173=$A$15),$M173&gt;(ROW(PLE.lastrow)-ROW(PLE.firstrow))),0,
           IF(OFFSET(PLE!$G$15,$M173-$A$15,BX$13)="",10^12,OFFSET(PLE!$G$15,$M173-$A$15,BX$13)))</f>
        <v>1000000000000</v>
      </c>
      <c r="BY173" s="172" cm="1">
        <f t="array" aca="1" ref="BY173" ca="1">IF(OR($D173&lt;&gt;"Serviço",AND(AUTOEVENTO="Manual",$M173=$A$15),$M173&gt;(ROW(PLE.lastrow)-ROW(PLE.firstrow))),0,
           IF(OFFSET(PLE!$G$15,$M173-$A$15,BY$13)="",10^12,OFFSET(PLE!$G$15,$M173-$A$15,BY$13)))</f>
        <v>1000000000000</v>
      </c>
      <c r="BZ173" s="172" cm="1">
        <f t="array" aca="1" ref="BZ173" ca="1">IF(OR($D173&lt;&gt;"Serviço",AND(AUTOEVENTO="Manual",$M173=$A$15),$M173&gt;(ROW(PLE.lastrow)-ROW(PLE.firstrow))),0,
           IF(OFFSET(PLE!$G$15,$M173-$A$15,BZ$13)="",10^12,OFFSET(PLE!$G$15,$M173-$A$15,BZ$13)))</f>
        <v>1000000000000</v>
      </c>
      <c r="CA173" s="172" cm="1">
        <f t="array" aca="1" ref="CA173" ca="1">IF(OR($D173&lt;&gt;"Serviço",AND(AUTOEVENTO="Manual",$M173=$A$15),$M173&gt;(ROW(PLE.lastrow)-ROW(PLE.firstrow))),0,
           IF(OFFSET(PLE!$G$15,$M173-$A$15,CA$13)="",10^12,OFFSET(PLE!$G$15,$M173-$A$15,CA$13)))</f>
        <v>1000000000000</v>
      </c>
      <c r="CB173" s="172" cm="1">
        <f t="array" aca="1" ref="CB173" ca="1">IF(OR($D173&lt;&gt;"Serviço",AND(AUTOEVENTO="Manual",$M173=$A$15),$M173&gt;(ROW(PLE.lastrow)-ROW(PLE.firstrow))),0,
           IF(OFFSET(PLE!$G$15,$M173-$A$15,CB$13)="",10^12,OFFSET(PLE!$G$15,$M173-$A$15,CB$13)))</f>
        <v>1000000000000</v>
      </c>
      <c r="CC173" s="172" cm="1">
        <f t="array" aca="1" ref="CC173" ca="1">IF(OR($D173&lt;&gt;"Serviço",AND(AUTOEVENTO="Manual",$M173=$A$15),$M173&gt;(ROW(PLE.lastrow)-ROW(PLE.firstrow))),0,
           IF(OFFSET(PLE!$G$15,$M173-$A$15,CC$13)="",10^12,OFFSET(PLE!$G$15,$M173-$A$15,CC$13)))</f>
        <v>1000000000000</v>
      </c>
      <c r="CD173" s="172" cm="1">
        <f t="array" aca="1" ref="CD173" ca="1">IF(OR($D173&lt;&gt;"Serviço",AND(AUTOEVENTO="Manual",$M173=$A$15),$M173&gt;(ROW(PLE.lastrow)-ROW(PLE.firstrow))),0,
           IF(OFFSET(PLE!$G$15,$M173-$A$15,CD$13)="",10^12,OFFSET(PLE!$G$15,$M173-$A$15,CD$13)))</f>
        <v>1000000000000</v>
      </c>
      <c r="CE173" s="172" cm="1">
        <f t="array" aca="1" ref="CE173" ca="1">IF(OR($D173&lt;&gt;"Serviço",AND(AUTOEVENTO="Manual",$M173=$A$15),$M173&gt;(ROW(PLE.lastrow)-ROW(PLE.firstrow))),0,
           IF(OFFSET(PLE!$G$15,$M173-$A$15,CE$13)="",10^12,OFFSET(PLE!$G$15,$M173-$A$15,CE$13)))</f>
        <v>1000000000000</v>
      </c>
      <c r="CF173" s="172" cm="1">
        <f t="array" aca="1" ref="CF173" ca="1">IF(OR($D173&lt;&gt;"Serviço",AND(AUTOEVENTO="Manual",$M173=$A$15),$M173&gt;(ROW(PLE.lastrow)-ROW(PLE.firstrow))),0,
           IF(OFFSET(PLE!$G$15,$M173-$A$15,CF$13)="",10^12,OFFSET(PLE!$G$15,$M173-$A$15,CF$13)))</f>
        <v>1000000000000</v>
      </c>
      <c r="CG173" s="172" cm="1">
        <f t="array" aca="1" ref="CG173" ca="1">IF(OR($D173&lt;&gt;"Serviço",AND(AUTOEVENTO="Manual",$M173=$A$15),$M173&gt;(ROW(PLE.lastrow)-ROW(PLE.firstrow))),0,
           IF(OFFSET(PLE!$G$15,$M173-$A$15,CG$13)="",10^12,OFFSET(PLE!$G$15,$M173-$A$15,CG$13)))</f>
        <v>1000000000000</v>
      </c>
      <c r="CH173" s="172" cm="1">
        <f t="array" aca="1" ref="CH173" ca="1">IF(OR($D173&lt;&gt;"Serviço",AND(AUTOEVENTO="Manual",$M173=$A$15),$M173&gt;(ROW(PLE.lastrow)-ROW(PLE.firstrow))),0,
           IF(OFFSET(PLE!$G$15,$M173-$A$15,CH$13)="",10^12,OFFSET(PLE!$G$15,$M173-$A$15,CH$13)))</f>
        <v>1000000000000</v>
      </c>
      <c r="CI173" s="172" cm="1">
        <f t="array" aca="1" ref="CI173" ca="1">IF(OR($D173&lt;&gt;"Serviço",AND(AUTOEVENTO="Manual",$M173=$A$15),$M173&gt;(ROW(PLE.lastrow)-ROW(PLE.firstrow))),0,
           IF(OFFSET(PLE!$G$15,$M173-$A$15,CI$13)="",10^12,OFFSET(PLE!$G$15,$M173-$A$15,CI$13)))</f>
        <v>1000000000000</v>
      </c>
      <c r="CJ173" s="172" cm="1">
        <f t="array" aca="1" ref="CJ173" ca="1">IF(OR($D173&lt;&gt;"Serviço",AND(AUTOEVENTO="Manual",$M173=$A$15),$M173&gt;(ROW(PLE.lastrow)-ROW(PLE.firstrow))),0,
           IF(OFFSET(PLE!$G$15,$M173-$A$15,CJ$13)="",10^12,OFFSET(PLE!$G$15,$M173-$A$15,CJ$13)))</f>
        <v>1000000000000</v>
      </c>
      <c r="CK173" s="172" cm="1">
        <f t="array" aca="1" ref="CK173" ca="1">IF(OR($D173&lt;&gt;"Serviço",AND(AUTOEVENTO="Manual",$M173=$A$15),$M173&gt;(ROW(PLE.lastrow)-ROW(PLE.firstrow))),0,
           IF(OFFSET(PLE!$G$15,$M173-$A$15,CK$13)="",10^12,OFFSET(PLE!$G$15,$M173-$A$15,CK$13)))</f>
        <v>1000000000000</v>
      </c>
      <c r="CL173" s="172" cm="1">
        <f t="array" aca="1" ref="CL173" ca="1">IF(OR($D173&lt;&gt;"Serviço",AND(AUTOEVENTO="Manual",$M173=$A$15),$M173&gt;(ROW(PLE.lastrow)-ROW(PLE.firstrow))),0,
           IF(OFFSET(PLE!$G$15,$M173-$A$15,CL$13)="",10^12,OFFSET(PLE!$G$15,$M173-$A$15,CL$13)))</f>
        <v>1000000000000</v>
      </c>
      <c r="CM173" s="172" cm="1">
        <f t="array" aca="1" ref="CM173" ca="1">IF(OR($D173&lt;&gt;"Serviço",AND(AUTOEVENTO="Manual",$M173=$A$15),$M173&gt;(ROW(PLE.lastrow)-ROW(PLE.firstrow))),0,
           IF(OFFSET(PLE!$G$15,$M173-$A$15,CM$13)="",10^12,OFFSET(PLE!$G$15,$M173-$A$15,CM$13)))</f>
        <v>1000000000000</v>
      </c>
    </row>
    <row r="174" spans="1:91" s="670" customFormat="1" ht="38.25" x14ac:dyDescent="0.2">
      <c r="A174" s="668">
        <f t="shared" ca="1" si="14"/>
        <v>8</v>
      </c>
      <c r="B174" s="668" t="str">
        <f ca="1">OFFSET(ORÇAMENTO!C$15,$L174,0)</f>
        <v>S</v>
      </c>
      <c r="C174" s="668" t="str">
        <f ca="1">OFFSET(ORÇAMENTO!L$15,$L174,0)</f>
        <v>F</v>
      </c>
      <c r="D174" s="116" t="str">
        <f ca="1">OFFSET(ORÇAMENTO!N$15,$L174,0)</f>
        <v>Serviço</v>
      </c>
      <c r="E174" s="117" t="str">
        <f ca="1">OFFSET(ORÇAMENTO!O$15,$L174,0)</f>
        <v>1.23.4.</v>
      </c>
      <c r="F174" s="163" t="str">
        <f ca="1">OFFSET(ORÇAMENTO!R$15,$L174,0)</f>
        <v>JUNÇÃO SIMPLES, PVC, SERIE R, ÁGUA PLUVIAL, DN 50 MM, JUNTA ELÁSTICA, FORNECIDO E INSTALADO EM RAMAL DE ENCAMINHAMENTO. AF_06/2022</v>
      </c>
      <c r="G174" s="164" t="str">
        <f ca="1">IF($D174&lt;&gt;"Serviço","",OFFSET(ORÇAMENTO!S$15,$L174,0))</f>
        <v>UN</v>
      </c>
      <c r="H174" s="122" cm="1">
        <f t="array" aca="1" ref="H174" ca="1">IF($D174&lt;&gt;"Serviço",0,IF(ACOMPANHAMENTO="BM",ROUND(OFFSET(ORÇAMENTO!AJ$15,$L174,0),15-13*ORÇAMENTO!$AF$7),IF(IFERROR(CÁLCULO.FrentesPreenchidas,0)=0,0,SUM(ROUND(OFFSET($P174,0,1,1,CÁLCULO.FrentesPreenchidas),15-13*ORÇAMENTO!$AF$7)))))</f>
        <v>4</v>
      </c>
      <c r="I174" s="720" t="s">
        <v>1209</v>
      </c>
      <c r="J174" s="651" t="str" cm="1">
        <f t="array" aca="1" ref="J174" ca="1">IF(OR(B174&lt;&gt;"S",CÁLCULO.FrentesPreenchidas=0),"",IF(AND(ACOMPANHAMENTO="PLE",AUTOEVENTO="Manual",OR(H174&gt;0,ORÇAMENTO!AC174="QUANT."),OR(K174="",M174=0,N174="")),"►E",IF(AND(ACOMPANHAMENTO="PLE",ORÇAMENTO!AC174="QUANT."),"►Q",IF(AND(ACOMPANHAMENTO="PLE",H174&lt;&gt;SUMPRODUCT(($Q$1:$AI$1=1)*ROUND(Q174:AI174,15))),"►S",IF(AND(COUNTIF($P$11:$AI$11,"▼")=0,H174&gt;0,I174=""),"◄M","")))))</f>
        <v/>
      </c>
      <c r="K174" s="652" t="s">
        <v>1352</v>
      </c>
      <c r="L174" s="165">
        <f t="shared" ca="1" si="15"/>
        <v>159</v>
      </c>
      <c r="M174" s="166">
        <f ca="1">IF($D174&lt;&gt;"Serviço","",
          IF(AUTOEVENTO="manual",$A174,
                IF(ISERROR(MATCH($A174,$A$15:OFFSET($A174,-1,0),0)),MAX($M$15:OFFSET(M174,-1,0))+1,
                      INDEX($M$15:OFFSET(M174,-1,0),MATCH($A174,$A$15:OFFSET($A174,-1,0),0)))))</f>
        <v>8</v>
      </c>
      <c r="N174" s="167" t="str">
        <f ca="1">IF($D174&lt;&gt;"Serviço","",
         IF(AUTOEVENTO="Manual",
                IF($A174=0,"&lt;-- defina o número do agrupador",
                       OFFSET(EVENTOS!$D$15,$A174-$A$15,0)),
                OFFSET($F$15,$A174,0)))</f>
        <v>Assentamento de tubulação</v>
      </c>
      <c r="O174" s="168"/>
      <c r="Q174" s="168"/>
      <c r="R174" s="169"/>
      <c r="S174" s="169"/>
      <c r="T174" s="169"/>
      <c r="U174" s="169"/>
      <c r="V174" s="169"/>
      <c r="W174" s="169">
        <v>4</v>
      </c>
      <c r="X174" s="169"/>
      <c r="Y174" s="169"/>
      <c r="Z174" s="170"/>
      <c r="AA174" s="705"/>
      <c r="AB174" s="705"/>
      <c r="AC174" s="705"/>
      <c r="AD174" s="705"/>
      <c r="AE174" s="705"/>
      <c r="AF174" s="705"/>
      <c r="AG174" s="705"/>
      <c r="AH174" s="706"/>
      <c r="AJ174" s="453">
        <f ca="1">IF(AND($D174="Serviço",AJ$12&lt;&gt;0,$H174&gt;0,OR(AUTOEVENTO&lt;&gt;"manual",$M174&lt;&gt;$A$15)),
        IF(Import.TipoArredondamento&lt;&gt;"TransfereGOV",
              ROUND(OFFSET($P174,0,AJ$13),15-13*ORÇAMENTO!$AF$7)/$H174*OFFSET(ORÇAMENTO!$X$15,ROW(AJ174)-ROW(AJ$15),0),
              ROUND(ROUND(OFFSET($P174,0,AJ$13),15-13*ORÇAMENTO!$AF$7)*OFFSET(ORÇAMENTO!$W$15,ROW(AJ174)-ROW(AJ$15),0),15-13*ORÇAMENTO!$AF$11)),
         0)</f>
        <v>0</v>
      </c>
      <c r="AK174" s="453">
        <f ca="1">IF(AND($D174="Serviço",AK$12&lt;&gt;0,$H174&gt;0,OR(AUTOEVENTO&lt;&gt;"manual",$M174&lt;&gt;$A$15)),
        IF(Import.TipoArredondamento&lt;&gt;"TransfereGOV",
              ROUND(OFFSET($P174,0,AK$13),15-13*ORÇAMENTO!$AF$7)/$H174*OFFSET(ORÇAMENTO!$X$15,ROW(AK174)-ROW(AK$15),0),
              ROUND(ROUND(OFFSET($P174,0,AK$13),15-13*ORÇAMENTO!$AF$7)*OFFSET(ORÇAMENTO!$W$15,ROW(AK174)-ROW(AK$15),0),15-13*ORÇAMENTO!$AF$11)),
         0)</f>
        <v>0</v>
      </c>
      <c r="AL174" s="453">
        <f ca="1">IF(AND($D174="Serviço",AL$12&lt;&gt;0,$H174&gt;0,OR(AUTOEVENTO&lt;&gt;"manual",$M174&lt;&gt;$A$15)),
        IF(Import.TipoArredondamento&lt;&gt;"TransfereGOV",
              ROUND(OFFSET($P174,0,AL$13),15-13*ORÇAMENTO!$AF$7)/$H174*OFFSET(ORÇAMENTO!$X$15,ROW(AL174)-ROW(AL$15),0),
              ROUND(ROUND(OFFSET($P174,0,AL$13),15-13*ORÇAMENTO!$AF$7)*OFFSET(ORÇAMENTO!$W$15,ROW(AL174)-ROW(AL$15),0),15-13*ORÇAMENTO!$AF$11)),
         0)</f>
        <v>0</v>
      </c>
      <c r="AM174" s="453">
        <f ca="1">IF(AND($D174="Serviço",AM$12&lt;&gt;0,$H174&gt;0,OR(AUTOEVENTO&lt;&gt;"manual",$M174&lt;&gt;$A$15)),
        IF(Import.TipoArredondamento&lt;&gt;"TransfereGOV",
              ROUND(OFFSET($P174,0,AM$13),15-13*ORÇAMENTO!$AF$7)/$H174*OFFSET(ORÇAMENTO!$X$15,ROW(AM174)-ROW(AM$15),0),
              ROUND(ROUND(OFFSET($P174,0,AM$13),15-13*ORÇAMENTO!$AF$7)*OFFSET(ORÇAMENTO!$W$15,ROW(AM174)-ROW(AM$15),0),15-13*ORÇAMENTO!$AF$11)),
         0)</f>
        <v>0</v>
      </c>
      <c r="AN174" s="453">
        <f ca="1">IF(AND($D174="Serviço",AN$12&lt;&gt;0,$H174&gt;0,OR(AUTOEVENTO&lt;&gt;"manual",$M174&lt;&gt;$A$15)),
        IF(Import.TipoArredondamento&lt;&gt;"TransfereGOV",
              ROUND(OFFSET($P174,0,AN$13),15-13*ORÇAMENTO!$AF$7)/$H174*OFFSET(ORÇAMENTO!$X$15,ROW(AN174)-ROW(AN$15),0),
              ROUND(ROUND(OFFSET($P174,0,AN$13),15-13*ORÇAMENTO!$AF$7)*OFFSET(ORÇAMENTO!$W$15,ROW(AN174)-ROW(AN$15),0),15-13*ORÇAMENTO!$AF$11)),
         0)</f>
        <v>0</v>
      </c>
      <c r="AO174" s="453">
        <f ca="1">IF(AND($D174="Serviço",AO$12&lt;&gt;0,$H174&gt;0,OR(AUTOEVENTO&lt;&gt;"manual",$M174&lt;&gt;$A$15)),
        IF(Import.TipoArredondamento&lt;&gt;"TransfereGOV",
              ROUND(OFFSET($P174,0,AO$13),15-13*ORÇAMENTO!$AF$7)/$H174*OFFSET(ORÇAMENTO!$X$15,ROW(AO174)-ROW(AO$15),0),
              ROUND(ROUND(OFFSET($P174,0,AO$13),15-13*ORÇAMENTO!$AF$7)*OFFSET(ORÇAMENTO!$W$15,ROW(AO174)-ROW(AO$15),0),15-13*ORÇAMENTO!$AF$11)),
         0)</f>
        <v>0</v>
      </c>
      <c r="AP174" s="453">
        <f ca="1">IF(AND($D174="Serviço",AP$12&lt;&gt;0,$H174&gt;0,OR(AUTOEVENTO&lt;&gt;"manual",$M174&lt;&gt;$A$15)),
        IF(Import.TipoArredondamento&lt;&gt;"TransfereGOV",
              ROUND(OFFSET($P174,0,AP$13),15-13*ORÇAMENTO!$AF$7)/$H174*OFFSET(ORÇAMENTO!$X$15,ROW(AP174)-ROW(AP$15),0),
              ROUND(ROUND(OFFSET($P174,0,AP$13),15-13*ORÇAMENTO!$AF$7)*OFFSET(ORÇAMENTO!$W$15,ROW(AP174)-ROW(AP$15),0),15-13*ORÇAMENTO!$AF$11)),
         0)</f>
        <v>181.32</v>
      </c>
      <c r="AQ174" s="453">
        <f ca="1">IF(AND($D174="Serviço",AQ$12&lt;&gt;0,$H174&gt;0,OR(AUTOEVENTO&lt;&gt;"manual",$M174&lt;&gt;$A$15)),
        IF(Import.TipoArredondamento&lt;&gt;"TransfereGOV",
              ROUND(OFFSET($P174,0,AQ$13),15-13*ORÇAMENTO!$AF$7)/$H174*OFFSET(ORÇAMENTO!$X$15,ROW(AQ174)-ROW(AQ$15),0),
              ROUND(ROUND(OFFSET($P174,0,AQ$13),15-13*ORÇAMENTO!$AF$7)*OFFSET(ORÇAMENTO!$W$15,ROW(AQ174)-ROW(AQ$15),0),15-13*ORÇAMENTO!$AF$11)),
         0)</f>
        <v>0</v>
      </c>
      <c r="AR174" s="453">
        <f ca="1">IF(AND($D174="Serviço",AR$12&lt;&gt;0,$H174&gt;0,OR(AUTOEVENTO&lt;&gt;"manual",$M174&lt;&gt;$A$15)),
        IF(Import.TipoArredondamento&lt;&gt;"TransfereGOV",
              ROUND(OFFSET($P174,0,AR$13),15-13*ORÇAMENTO!$AF$7)/$H174*OFFSET(ORÇAMENTO!$X$15,ROW(AR174)-ROW(AR$15),0),
              ROUND(ROUND(OFFSET($P174,0,AR$13),15-13*ORÇAMENTO!$AF$7)*OFFSET(ORÇAMENTO!$W$15,ROW(AR174)-ROW(AR$15),0),15-13*ORÇAMENTO!$AF$11)),
         0)</f>
        <v>0</v>
      </c>
      <c r="AS174" s="453">
        <f ca="1">IF(AND($D174="Serviço",AS$12&lt;&gt;0,$H174&gt;0,OR(AUTOEVENTO&lt;&gt;"manual",$M174&lt;&gt;$A$15)),
        IF(Import.TipoArredondamento&lt;&gt;"TransfereGOV",
              ROUND(OFFSET($P174,0,AS$13),15-13*ORÇAMENTO!$AF$7)/$H174*OFFSET(ORÇAMENTO!$X$15,ROW(AS174)-ROW(AS$15),0),
              ROUND(ROUND(OFFSET($P174,0,AS$13),15-13*ORÇAMENTO!$AF$7)*OFFSET(ORÇAMENTO!$W$15,ROW(AS174)-ROW(AS$15),0),15-13*ORÇAMENTO!$AF$11)),
         0)</f>
        <v>0</v>
      </c>
      <c r="AT174" s="453">
        <f ca="1">IF(AND($D174="Serviço",AT$12&lt;&gt;0,$H174&gt;0,OR(AUTOEVENTO&lt;&gt;"manual",$M174&lt;&gt;$A$15)),
        IF(Import.TipoArredondamento&lt;&gt;"TransfereGOV",
              ROUND(OFFSET($P174,0,AT$13),15-13*ORÇAMENTO!$AF$7)/$H174*OFFSET(ORÇAMENTO!$X$15,ROW(AT174)-ROW(AT$15),0),
              ROUND(ROUND(OFFSET($P174,0,AT$13),15-13*ORÇAMENTO!$AF$7)*OFFSET(ORÇAMENTO!$W$15,ROW(AT174)-ROW(AT$15),0),15-13*ORÇAMENTO!$AF$11)),
         0)</f>
        <v>0</v>
      </c>
      <c r="AU174" s="453">
        <f ca="1">IF(AND($D174="Serviço",AU$12&lt;&gt;0,$H174&gt;0,OR(AUTOEVENTO&lt;&gt;"manual",$M174&lt;&gt;$A$15)),
        IF(Import.TipoArredondamento&lt;&gt;"TransfereGOV",
              ROUND(OFFSET($P174,0,AU$13),15-13*ORÇAMENTO!$AF$7)/$H174*OFFSET(ORÇAMENTO!$X$15,ROW(AU174)-ROW(AU$15),0),
              ROUND(ROUND(OFFSET($P174,0,AU$13),15-13*ORÇAMENTO!$AF$7)*OFFSET(ORÇAMENTO!$W$15,ROW(AU174)-ROW(AU$15),0),15-13*ORÇAMENTO!$AF$11)),
         0)</f>
        <v>0</v>
      </c>
      <c r="AV174" s="453">
        <f ca="1">IF(AND($D174="Serviço",AV$12&lt;&gt;0,$H174&gt;0,OR(AUTOEVENTO&lt;&gt;"manual",$M174&lt;&gt;$A$15)),
        IF(Import.TipoArredondamento&lt;&gt;"TransfereGOV",
              ROUND(OFFSET($P174,0,AV$13),15-13*ORÇAMENTO!$AF$7)/$H174*OFFSET(ORÇAMENTO!$X$15,ROW(AV174)-ROW(AV$15),0),
              ROUND(ROUND(OFFSET($P174,0,AV$13),15-13*ORÇAMENTO!$AF$7)*OFFSET(ORÇAMENTO!$W$15,ROW(AV174)-ROW(AV$15),0),15-13*ORÇAMENTO!$AF$11)),
         0)</f>
        <v>0</v>
      </c>
      <c r="AW174" s="453">
        <f ca="1">IF(AND($D174="Serviço",AW$12&lt;&gt;0,$H174&gt;0,OR(AUTOEVENTO&lt;&gt;"manual",$M174&lt;&gt;$A$15)),
        IF(Import.TipoArredondamento&lt;&gt;"TransfereGOV",
              ROUND(OFFSET($P174,0,AW$13),15-13*ORÇAMENTO!$AF$7)/$H174*OFFSET(ORÇAMENTO!$X$15,ROW(AW174)-ROW(AW$15),0),
              ROUND(ROUND(OFFSET($P174,0,AW$13),15-13*ORÇAMENTO!$AF$7)*OFFSET(ORÇAMENTO!$W$15,ROW(AW174)-ROW(AW$15),0),15-13*ORÇAMENTO!$AF$11)),
         0)</f>
        <v>0</v>
      </c>
      <c r="AX174" s="453">
        <f ca="1">IF(AND($D174="Serviço",AX$12&lt;&gt;0,$H174&gt;0,OR(AUTOEVENTO&lt;&gt;"manual",$M174&lt;&gt;$A$15)),
        IF(Import.TipoArredondamento&lt;&gt;"TransfereGOV",
              ROUND(OFFSET($P174,0,AX$13),15-13*ORÇAMENTO!$AF$7)/$H174*OFFSET(ORÇAMENTO!$X$15,ROW(AX174)-ROW(AX$15),0),
              ROUND(ROUND(OFFSET($P174,0,AX$13),15-13*ORÇAMENTO!$AF$7)*OFFSET(ORÇAMENTO!$W$15,ROW(AX174)-ROW(AX$15),0),15-13*ORÇAMENTO!$AF$11)),
         0)</f>
        <v>0</v>
      </c>
      <c r="AY174" s="453">
        <f ca="1">IF(AND($D174="Serviço",AY$12&lt;&gt;0,$H174&gt;0,OR(AUTOEVENTO&lt;&gt;"manual",$M174&lt;&gt;$A$15)),
        IF(Import.TipoArredondamento&lt;&gt;"TransfereGOV",
              ROUND(OFFSET($P174,0,AY$13),15-13*ORÇAMENTO!$AF$7)/$H174*OFFSET(ORÇAMENTO!$X$15,ROW(AY174)-ROW(AY$15),0),
              ROUND(ROUND(OFFSET($P174,0,AY$13),15-13*ORÇAMENTO!$AF$7)*OFFSET(ORÇAMENTO!$W$15,ROW(AY174)-ROW(AY$15),0),15-13*ORÇAMENTO!$AF$11)),
         0)</f>
        <v>0</v>
      </c>
      <c r="AZ174" s="453">
        <f ca="1">IF(AND($D174="Serviço",AZ$12&lt;&gt;0,$H174&gt;0,OR(AUTOEVENTO&lt;&gt;"manual",$M174&lt;&gt;$A$15)),
        IF(Import.TipoArredondamento&lt;&gt;"TransfereGOV",
              ROUND(OFFSET($P174,0,AZ$13),15-13*ORÇAMENTO!$AF$7)/$H174*OFFSET(ORÇAMENTO!$X$15,ROW(AZ174)-ROW(AZ$15),0),
              ROUND(ROUND(OFFSET($P174,0,AZ$13),15-13*ORÇAMENTO!$AF$7)*OFFSET(ORÇAMENTO!$W$15,ROW(AZ174)-ROW(AZ$15),0),15-13*ORÇAMENTO!$AF$11)),
         0)</f>
        <v>0</v>
      </c>
      <c r="BA174" s="453">
        <f ca="1">IF(AND($D174="Serviço",BA$12&lt;&gt;0,$H174&gt;0,OR(AUTOEVENTO&lt;&gt;"manual",$M174&lt;&gt;$A$15)),
        IF(Import.TipoArredondamento&lt;&gt;"TransfereGOV",
              ROUND(OFFSET($P174,0,BA$13),15-13*ORÇAMENTO!$AF$7)/$H174*OFFSET(ORÇAMENTO!$X$15,ROW(BA174)-ROW(BA$15),0),
              ROUND(ROUND(OFFSET($P174,0,BA$13),15-13*ORÇAMENTO!$AF$7)*OFFSET(ORÇAMENTO!$W$15,ROW(BA174)-ROW(BA$15),0),15-13*ORÇAMENTO!$AF$11)),
         0)</f>
        <v>0</v>
      </c>
      <c r="BC174" s="171">
        <f ca="1">IF(OR($D174&lt;&gt;"Serviço",AND(AUTOEVENTO="Manual",$M174=$A$15)),0,
         IF(OFFSET(CRONOPLE!$F$15,$M174-$A$15,BC$13)=0,10^12,OFFSET(CRONOPLE!$F$15,$M174-$A$15,BC$13)))</f>
        <v>1000000000000</v>
      </c>
      <c r="BD174" s="171">
        <f ca="1">IF(OR($D174&lt;&gt;"Serviço",AND(AUTOEVENTO="Manual",$M174=$A$15)),0,
         IF(OFFSET(CRONOPLE!$F$15,$M174-$A$15,BD$13)=0,10^12,OFFSET(CRONOPLE!$F$15,$M174-$A$15,BD$13)))</f>
        <v>1000000000000</v>
      </c>
      <c r="BE174" s="171">
        <f ca="1">IF(OR($D174&lt;&gt;"Serviço",AND(AUTOEVENTO="Manual",$M174=$A$15)),0,
         IF(OFFSET(CRONOPLE!$F$15,$M174-$A$15,BE$13)=0,10^12,OFFSET(CRONOPLE!$F$15,$M174-$A$15,BE$13)))</f>
        <v>1000000000000</v>
      </c>
      <c r="BF174" s="171">
        <f ca="1">IF(OR($D174&lt;&gt;"Serviço",AND(AUTOEVENTO="Manual",$M174=$A$15)),0,
         IF(OFFSET(CRONOPLE!$F$15,$M174-$A$15,BF$13)=0,10^12,OFFSET(CRONOPLE!$F$15,$M174-$A$15,BF$13)))</f>
        <v>1000000000000</v>
      </c>
      <c r="BG174" s="171">
        <f ca="1">IF(OR($D174&lt;&gt;"Serviço",AND(AUTOEVENTO="Manual",$M174=$A$15)),0,
         IF(OFFSET(CRONOPLE!$F$15,$M174-$A$15,BG$13)=0,10^12,OFFSET(CRONOPLE!$F$15,$M174-$A$15,BG$13)))</f>
        <v>7</v>
      </c>
      <c r="BH174" s="171">
        <f ca="1">IF(OR($D174&lt;&gt;"Serviço",AND(AUTOEVENTO="Manual",$M174=$A$15)),0,
         IF(OFFSET(CRONOPLE!$F$15,$M174-$A$15,BH$13)=0,10^12,OFFSET(CRONOPLE!$F$15,$M174-$A$15,BH$13)))</f>
        <v>1000000000000</v>
      </c>
      <c r="BI174" s="171">
        <f ca="1">IF(OR($D174&lt;&gt;"Serviço",AND(AUTOEVENTO="Manual",$M174=$A$15)),0,
         IF(OFFSET(CRONOPLE!$F$15,$M174-$A$15,BI$13)=0,10^12,OFFSET(CRONOPLE!$F$15,$M174-$A$15,BI$13)))</f>
        <v>11</v>
      </c>
      <c r="BJ174" s="171">
        <f ca="1">IF(OR($D174&lt;&gt;"Serviço",AND(AUTOEVENTO="Manual",$M174=$A$15)),0,
         IF(OFFSET(CRONOPLE!$F$15,$M174-$A$15,BJ$13)=0,10^12,OFFSET(CRONOPLE!$F$15,$M174-$A$15,BJ$13)))</f>
        <v>1000000000000</v>
      </c>
      <c r="BK174" s="171">
        <f ca="1">IF(OR($D174&lt;&gt;"Serviço",AND(AUTOEVENTO="Manual",$M174=$A$15)),0,
         IF(OFFSET(CRONOPLE!$F$15,$M174-$A$15,BK$13)=0,10^12,OFFSET(CRONOPLE!$F$15,$M174-$A$15,BK$13)))</f>
        <v>1000000000000</v>
      </c>
      <c r="BL174" s="171">
        <f ca="1">IF(OR($D174&lt;&gt;"Serviço",AND(AUTOEVENTO="Manual",$M174=$A$15)),0,
         IF(OFFSET(CRONOPLE!$F$15,$M174-$A$15,BL$13)=0,10^12,OFFSET(CRONOPLE!$F$15,$M174-$A$15,BL$13)))</f>
        <v>1000000000000</v>
      </c>
      <c r="BM174" s="171">
        <f ca="1">IF(OR($D174&lt;&gt;"Serviço",AND(AUTOEVENTO="Manual",$M174=$A$15)),0,
         IF(OFFSET(CRONOPLE!$F$15,$M174-$A$15,BM$13)=0,10^12,OFFSET(CRONOPLE!$F$15,$M174-$A$15,BM$13)))</f>
        <v>1000000000000</v>
      </c>
      <c r="BN174" s="171">
        <f ca="1">IF(OR($D174&lt;&gt;"Serviço",AND(AUTOEVENTO="Manual",$M174=$A$15)),0,
         IF(OFFSET(CRONOPLE!$F$15,$M174-$A$15,BN$13)=0,10^12,OFFSET(CRONOPLE!$F$15,$M174-$A$15,BN$13)))</f>
        <v>1000000000000</v>
      </c>
      <c r="BO174" s="171">
        <f ca="1">IF(OR($D174&lt;&gt;"Serviço",AND(AUTOEVENTO="Manual",$M174=$A$15)),0,
         IF(OFFSET(CRONOPLE!$F$15,$M174-$A$15,BO$13)=0,10^12,OFFSET(CRONOPLE!$F$15,$M174-$A$15,BO$13)))</f>
        <v>1000000000000</v>
      </c>
      <c r="BP174" s="171">
        <f ca="1">IF(OR($D174&lt;&gt;"Serviço",AND(AUTOEVENTO="Manual",$M174=$A$15)),0,
         IF(OFFSET(CRONOPLE!$F$15,$M174-$A$15,BP$13)=0,10^12,OFFSET(CRONOPLE!$F$15,$M174-$A$15,BP$13)))</f>
        <v>1000000000000</v>
      </c>
      <c r="BQ174" s="171">
        <f ca="1">IF(OR($D174&lt;&gt;"Serviço",AND(AUTOEVENTO="Manual",$M174=$A$15)),0,
         IF(OFFSET(CRONOPLE!$F$15,$M174-$A$15,BQ$13)=0,10^12,OFFSET(CRONOPLE!$F$15,$M174-$A$15,BQ$13)))</f>
        <v>1000000000000</v>
      </c>
      <c r="BR174" s="171">
        <f ca="1">IF(OR($D174&lt;&gt;"Serviço",AND(AUTOEVENTO="Manual",$M174=$A$15)),0,
         IF(OFFSET(CRONOPLE!$F$15,$M174-$A$15,BR$13)=0,10^12,OFFSET(CRONOPLE!$F$15,$M174-$A$15,BR$13)))</f>
        <v>1000000000000</v>
      </c>
      <c r="BS174" s="171">
        <f ca="1">IF(OR($D174&lt;&gt;"Serviço",AND(AUTOEVENTO="Manual",$M174=$A$15)),0,
         IF(OFFSET(CRONOPLE!$F$15,$M174-$A$15,BS$13)=0,10^12,OFFSET(CRONOPLE!$F$15,$M174-$A$15,BS$13)))</f>
        <v>1000000000000</v>
      </c>
      <c r="BT174" s="171">
        <f ca="1">IF(OR($D174&lt;&gt;"Serviço",AND(AUTOEVENTO="Manual",$M174=$A$15)),0,
         IF(OFFSET(CRONOPLE!$F$15,$M174-$A$15,BT$13)=0,10^12,OFFSET(CRONOPLE!$F$15,$M174-$A$15,BT$13)))</f>
        <v>1000000000000</v>
      </c>
      <c r="BV174" s="172" cm="1">
        <f t="array" aca="1" ref="BV174" ca="1">IF(OR($D174&lt;&gt;"Serviço",AND(AUTOEVENTO="Manual",$M174=$A$15),$M174&gt;(ROW(PLE.lastrow)-ROW(PLE.firstrow))),0,
           IF(OFFSET(PLE!$G$15,$M174-$A$15,BV$13)="",10^12,OFFSET(PLE!$G$15,$M174-$A$15,BV$13)))</f>
        <v>1000000000000</v>
      </c>
      <c r="BW174" s="172" cm="1">
        <f t="array" aca="1" ref="BW174" ca="1">IF(OR($D174&lt;&gt;"Serviço",AND(AUTOEVENTO="Manual",$M174=$A$15),$M174&gt;(ROW(PLE.lastrow)-ROW(PLE.firstrow))),0,
           IF(OFFSET(PLE!$G$15,$M174-$A$15,BW$13)="",10^12,OFFSET(PLE!$G$15,$M174-$A$15,BW$13)))</f>
        <v>1000000000000</v>
      </c>
      <c r="BX174" s="172" cm="1">
        <f t="array" aca="1" ref="BX174" ca="1">IF(OR($D174&lt;&gt;"Serviço",AND(AUTOEVENTO="Manual",$M174=$A$15),$M174&gt;(ROW(PLE.lastrow)-ROW(PLE.firstrow))),0,
           IF(OFFSET(PLE!$G$15,$M174-$A$15,BX$13)="",10^12,OFFSET(PLE!$G$15,$M174-$A$15,BX$13)))</f>
        <v>1000000000000</v>
      </c>
      <c r="BY174" s="172" cm="1">
        <f t="array" aca="1" ref="BY174" ca="1">IF(OR($D174&lt;&gt;"Serviço",AND(AUTOEVENTO="Manual",$M174=$A$15),$M174&gt;(ROW(PLE.lastrow)-ROW(PLE.firstrow))),0,
           IF(OFFSET(PLE!$G$15,$M174-$A$15,BY$13)="",10^12,OFFSET(PLE!$G$15,$M174-$A$15,BY$13)))</f>
        <v>1000000000000</v>
      </c>
      <c r="BZ174" s="172" cm="1">
        <f t="array" aca="1" ref="BZ174" ca="1">IF(OR($D174&lt;&gt;"Serviço",AND(AUTOEVENTO="Manual",$M174=$A$15),$M174&gt;(ROW(PLE.lastrow)-ROW(PLE.firstrow))),0,
           IF(OFFSET(PLE!$G$15,$M174-$A$15,BZ$13)="",10^12,OFFSET(PLE!$G$15,$M174-$A$15,BZ$13)))</f>
        <v>1000000000000</v>
      </c>
      <c r="CA174" s="172" cm="1">
        <f t="array" aca="1" ref="CA174" ca="1">IF(OR($D174&lt;&gt;"Serviço",AND(AUTOEVENTO="Manual",$M174=$A$15),$M174&gt;(ROW(PLE.lastrow)-ROW(PLE.firstrow))),0,
           IF(OFFSET(PLE!$G$15,$M174-$A$15,CA$13)="",10^12,OFFSET(PLE!$G$15,$M174-$A$15,CA$13)))</f>
        <v>1000000000000</v>
      </c>
      <c r="CB174" s="172" cm="1">
        <f t="array" aca="1" ref="CB174" ca="1">IF(OR($D174&lt;&gt;"Serviço",AND(AUTOEVENTO="Manual",$M174=$A$15),$M174&gt;(ROW(PLE.lastrow)-ROW(PLE.firstrow))),0,
           IF(OFFSET(PLE!$G$15,$M174-$A$15,CB$13)="",10^12,OFFSET(PLE!$G$15,$M174-$A$15,CB$13)))</f>
        <v>1000000000000</v>
      </c>
      <c r="CC174" s="172" cm="1">
        <f t="array" aca="1" ref="CC174" ca="1">IF(OR($D174&lt;&gt;"Serviço",AND(AUTOEVENTO="Manual",$M174=$A$15),$M174&gt;(ROW(PLE.lastrow)-ROW(PLE.firstrow))),0,
           IF(OFFSET(PLE!$G$15,$M174-$A$15,CC$13)="",10^12,OFFSET(PLE!$G$15,$M174-$A$15,CC$13)))</f>
        <v>1000000000000</v>
      </c>
      <c r="CD174" s="172" cm="1">
        <f t="array" aca="1" ref="CD174" ca="1">IF(OR($D174&lt;&gt;"Serviço",AND(AUTOEVENTO="Manual",$M174=$A$15),$M174&gt;(ROW(PLE.lastrow)-ROW(PLE.firstrow))),0,
           IF(OFFSET(PLE!$G$15,$M174-$A$15,CD$13)="",10^12,OFFSET(PLE!$G$15,$M174-$A$15,CD$13)))</f>
        <v>1000000000000</v>
      </c>
      <c r="CE174" s="172" cm="1">
        <f t="array" aca="1" ref="CE174" ca="1">IF(OR($D174&lt;&gt;"Serviço",AND(AUTOEVENTO="Manual",$M174=$A$15),$M174&gt;(ROW(PLE.lastrow)-ROW(PLE.firstrow))),0,
           IF(OFFSET(PLE!$G$15,$M174-$A$15,CE$13)="",10^12,OFFSET(PLE!$G$15,$M174-$A$15,CE$13)))</f>
        <v>1000000000000</v>
      </c>
      <c r="CF174" s="172" cm="1">
        <f t="array" aca="1" ref="CF174" ca="1">IF(OR($D174&lt;&gt;"Serviço",AND(AUTOEVENTO="Manual",$M174=$A$15),$M174&gt;(ROW(PLE.lastrow)-ROW(PLE.firstrow))),0,
           IF(OFFSET(PLE!$G$15,$M174-$A$15,CF$13)="",10^12,OFFSET(PLE!$G$15,$M174-$A$15,CF$13)))</f>
        <v>1000000000000</v>
      </c>
      <c r="CG174" s="172" cm="1">
        <f t="array" aca="1" ref="CG174" ca="1">IF(OR($D174&lt;&gt;"Serviço",AND(AUTOEVENTO="Manual",$M174=$A$15),$M174&gt;(ROW(PLE.lastrow)-ROW(PLE.firstrow))),0,
           IF(OFFSET(PLE!$G$15,$M174-$A$15,CG$13)="",10^12,OFFSET(PLE!$G$15,$M174-$A$15,CG$13)))</f>
        <v>1000000000000</v>
      </c>
      <c r="CH174" s="172" cm="1">
        <f t="array" aca="1" ref="CH174" ca="1">IF(OR($D174&lt;&gt;"Serviço",AND(AUTOEVENTO="Manual",$M174=$A$15),$M174&gt;(ROW(PLE.lastrow)-ROW(PLE.firstrow))),0,
           IF(OFFSET(PLE!$G$15,$M174-$A$15,CH$13)="",10^12,OFFSET(PLE!$G$15,$M174-$A$15,CH$13)))</f>
        <v>1000000000000</v>
      </c>
      <c r="CI174" s="172" cm="1">
        <f t="array" aca="1" ref="CI174" ca="1">IF(OR($D174&lt;&gt;"Serviço",AND(AUTOEVENTO="Manual",$M174=$A$15),$M174&gt;(ROW(PLE.lastrow)-ROW(PLE.firstrow))),0,
           IF(OFFSET(PLE!$G$15,$M174-$A$15,CI$13)="",10^12,OFFSET(PLE!$G$15,$M174-$A$15,CI$13)))</f>
        <v>1000000000000</v>
      </c>
      <c r="CJ174" s="172" cm="1">
        <f t="array" aca="1" ref="CJ174" ca="1">IF(OR($D174&lt;&gt;"Serviço",AND(AUTOEVENTO="Manual",$M174=$A$15),$M174&gt;(ROW(PLE.lastrow)-ROW(PLE.firstrow))),0,
           IF(OFFSET(PLE!$G$15,$M174-$A$15,CJ$13)="",10^12,OFFSET(PLE!$G$15,$M174-$A$15,CJ$13)))</f>
        <v>1000000000000</v>
      </c>
      <c r="CK174" s="172" cm="1">
        <f t="array" aca="1" ref="CK174" ca="1">IF(OR($D174&lt;&gt;"Serviço",AND(AUTOEVENTO="Manual",$M174=$A$15),$M174&gt;(ROW(PLE.lastrow)-ROW(PLE.firstrow))),0,
           IF(OFFSET(PLE!$G$15,$M174-$A$15,CK$13)="",10^12,OFFSET(PLE!$G$15,$M174-$A$15,CK$13)))</f>
        <v>1000000000000</v>
      </c>
      <c r="CL174" s="172" cm="1">
        <f t="array" aca="1" ref="CL174" ca="1">IF(OR($D174&lt;&gt;"Serviço",AND(AUTOEVENTO="Manual",$M174=$A$15),$M174&gt;(ROW(PLE.lastrow)-ROW(PLE.firstrow))),0,
           IF(OFFSET(PLE!$G$15,$M174-$A$15,CL$13)="",10^12,OFFSET(PLE!$G$15,$M174-$A$15,CL$13)))</f>
        <v>1000000000000</v>
      </c>
      <c r="CM174" s="172" cm="1">
        <f t="array" aca="1" ref="CM174" ca="1">IF(OR($D174&lt;&gt;"Serviço",AND(AUTOEVENTO="Manual",$M174=$A$15),$M174&gt;(ROW(PLE.lastrow)-ROW(PLE.firstrow))),0,
           IF(OFFSET(PLE!$G$15,$M174-$A$15,CM$13)="",10^12,OFFSET(PLE!$G$15,$M174-$A$15,CM$13)))</f>
        <v>1000000000000</v>
      </c>
    </row>
    <row r="175" spans="1:91" s="670" customFormat="1" ht="38.25" x14ac:dyDescent="0.2">
      <c r="A175" s="668">
        <f t="shared" ca="1" si="14"/>
        <v>8</v>
      </c>
      <c r="B175" s="668" t="str">
        <f ca="1">OFFSET(ORÇAMENTO!C$15,$L175,0)</f>
        <v>S</v>
      </c>
      <c r="C175" s="668" t="str">
        <f ca="1">OFFSET(ORÇAMENTO!L$15,$L175,0)</f>
        <v>F</v>
      </c>
      <c r="D175" s="116" t="str">
        <f ca="1">OFFSET(ORÇAMENTO!N$15,$L175,0)</f>
        <v>Serviço</v>
      </c>
      <c r="E175" s="117" t="str">
        <f ca="1">OFFSET(ORÇAMENTO!O$15,$L175,0)</f>
        <v>1.23.5.</v>
      </c>
      <c r="F175" s="163" t="str">
        <f ca="1">OFFSET(ORÇAMENTO!R$15,$L175,0)</f>
        <v xml:space="preserve">CRUZETA PVC RIGIDO SOLDAVEL 50mm- </v>
      </c>
      <c r="G175" s="164" t="str">
        <f ca="1">IF($D175&lt;&gt;"Serviço","",OFFSET(ORÇAMENTO!S$15,$L175,0))</f>
        <v>UNIDADE</v>
      </c>
      <c r="H175" s="122" cm="1">
        <f t="array" aca="1" ref="H175" ca="1">IF($D175&lt;&gt;"Serviço",0,IF(ACOMPANHAMENTO="BM",ROUND(OFFSET(ORÇAMENTO!AJ$15,$L175,0),15-13*ORÇAMENTO!$AF$7),IF(IFERROR(CÁLCULO.FrentesPreenchidas,0)=0,0,SUM(ROUND(OFFSET($P175,0,1,1,CÁLCULO.FrentesPreenchidas),15-13*ORÇAMENTO!$AF$7)))))</f>
        <v>5</v>
      </c>
      <c r="I175" s="720" t="s">
        <v>1209</v>
      </c>
      <c r="J175" s="651" t="str" cm="1">
        <f t="array" aca="1" ref="J175" ca="1">IF(OR(B175&lt;&gt;"S",CÁLCULO.FrentesPreenchidas=0),"",IF(AND(ACOMPANHAMENTO="PLE",AUTOEVENTO="Manual",OR(H175&gt;0,ORÇAMENTO!AC175="QUANT."),OR(K175="",M175=0,N175="")),"►E",IF(AND(ACOMPANHAMENTO="PLE",ORÇAMENTO!AC175="QUANT."),"►Q",IF(AND(ACOMPANHAMENTO="PLE",H175&lt;&gt;SUMPRODUCT(($Q$1:$AI$1=1)*ROUND(Q175:AI175,15))),"►S",IF(AND(COUNTIF($P$11:$AI$11,"▼")=0,H175&gt;0,I175=""),"◄M","")))))</f>
        <v/>
      </c>
      <c r="K175" s="652" t="s">
        <v>1352</v>
      </c>
      <c r="L175" s="165">
        <f t="shared" ca="1" si="15"/>
        <v>160</v>
      </c>
      <c r="M175" s="166">
        <f ca="1">IF($D175&lt;&gt;"Serviço","",
          IF(AUTOEVENTO="manual",$A175,
                IF(ISERROR(MATCH($A175,$A$15:OFFSET($A175,-1,0),0)),MAX($M$15:OFFSET(M175,-1,0))+1,
                      INDEX($M$15:OFFSET(M175,-1,0),MATCH($A175,$A$15:OFFSET($A175,-1,0),0)))))</f>
        <v>8</v>
      </c>
      <c r="N175" s="167" t="str">
        <f ca="1">IF($D175&lt;&gt;"Serviço","",
         IF(AUTOEVENTO="Manual",
                IF($A175=0,"&lt;-- defina o número do agrupador",
                       OFFSET(EVENTOS!$D$15,$A175-$A$15,0)),
                OFFSET($F$15,$A175,0)))</f>
        <v>Assentamento de tubulação</v>
      </c>
      <c r="O175" s="168"/>
      <c r="Q175" s="168"/>
      <c r="R175" s="169"/>
      <c r="S175" s="169"/>
      <c r="T175" s="169"/>
      <c r="U175" s="169"/>
      <c r="V175" s="169"/>
      <c r="W175" s="169">
        <v>5</v>
      </c>
      <c r="X175" s="169"/>
      <c r="Y175" s="169"/>
      <c r="Z175" s="170"/>
      <c r="AA175" s="705"/>
      <c r="AB175" s="705"/>
      <c r="AC175" s="705"/>
      <c r="AD175" s="705"/>
      <c r="AE175" s="705"/>
      <c r="AF175" s="705"/>
      <c r="AG175" s="705"/>
      <c r="AH175" s="706"/>
      <c r="AJ175" s="453">
        <f ca="1">IF(AND($D175="Serviço",AJ$12&lt;&gt;0,$H175&gt;0,OR(AUTOEVENTO&lt;&gt;"manual",$M175&lt;&gt;$A$15)),
        IF(Import.TipoArredondamento&lt;&gt;"TransfereGOV",
              ROUND(OFFSET($P175,0,AJ$13),15-13*ORÇAMENTO!$AF$7)/$H175*OFFSET(ORÇAMENTO!$X$15,ROW(AJ175)-ROW(AJ$15),0),
              ROUND(ROUND(OFFSET($P175,0,AJ$13),15-13*ORÇAMENTO!$AF$7)*OFFSET(ORÇAMENTO!$W$15,ROW(AJ175)-ROW(AJ$15),0),15-13*ORÇAMENTO!$AF$11)),
         0)</f>
        <v>0</v>
      </c>
      <c r="AK175" s="453">
        <f ca="1">IF(AND($D175="Serviço",AK$12&lt;&gt;0,$H175&gt;0,OR(AUTOEVENTO&lt;&gt;"manual",$M175&lt;&gt;$A$15)),
        IF(Import.TipoArredondamento&lt;&gt;"TransfereGOV",
              ROUND(OFFSET($P175,0,AK$13),15-13*ORÇAMENTO!$AF$7)/$H175*OFFSET(ORÇAMENTO!$X$15,ROW(AK175)-ROW(AK$15),0),
              ROUND(ROUND(OFFSET($P175,0,AK$13),15-13*ORÇAMENTO!$AF$7)*OFFSET(ORÇAMENTO!$W$15,ROW(AK175)-ROW(AK$15),0),15-13*ORÇAMENTO!$AF$11)),
         0)</f>
        <v>0</v>
      </c>
      <c r="AL175" s="453">
        <f ca="1">IF(AND($D175="Serviço",AL$12&lt;&gt;0,$H175&gt;0,OR(AUTOEVENTO&lt;&gt;"manual",$M175&lt;&gt;$A$15)),
        IF(Import.TipoArredondamento&lt;&gt;"TransfereGOV",
              ROUND(OFFSET($P175,0,AL$13),15-13*ORÇAMENTO!$AF$7)/$H175*OFFSET(ORÇAMENTO!$X$15,ROW(AL175)-ROW(AL$15),0),
              ROUND(ROUND(OFFSET($P175,0,AL$13),15-13*ORÇAMENTO!$AF$7)*OFFSET(ORÇAMENTO!$W$15,ROW(AL175)-ROW(AL$15),0),15-13*ORÇAMENTO!$AF$11)),
         0)</f>
        <v>0</v>
      </c>
      <c r="AM175" s="453">
        <f ca="1">IF(AND($D175="Serviço",AM$12&lt;&gt;0,$H175&gt;0,OR(AUTOEVENTO&lt;&gt;"manual",$M175&lt;&gt;$A$15)),
        IF(Import.TipoArredondamento&lt;&gt;"TransfereGOV",
              ROUND(OFFSET($P175,0,AM$13),15-13*ORÇAMENTO!$AF$7)/$H175*OFFSET(ORÇAMENTO!$X$15,ROW(AM175)-ROW(AM$15),0),
              ROUND(ROUND(OFFSET($P175,0,AM$13),15-13*ORÇAMENTO!$AF$7)*OFFSET(ORÇAMENTO!$W$15,ROW(AM175)-ROW(AM$15),0),15-13*ORÇAMENTO!$AF$11)),
         0)</f>
        <v>0</v>
      </c>
      <c r="AN175" s="453">
        <f ca="1">IF(AND($D175="Serviço",AN$12&lt;&gt;0,$H175&gt;0,OR(AUTOEVENTO&lt;&gt;"manual",$M175&lt;&gt;$A$15)),
        IF(Import.TipoArredondamento&lt;&gt;"TransfereGOV",
              ROUND(OFFSET($P175,0,AN$13),15-13*ORÇAMENTO!$AF$7)/$H175*OFFSET(ORÇAMENTO!$X$15,ROW(AN175)-ROW(AN$15),0),
              ROUND(ROUND(OFFSET($P175,0,AN$13),15-13*ORÇAMENTO!$AF$7)*OFFSET(ORÇAMENTO!$W$15,ROW(AN175)-ROW(AN$15),0),15-13*ORÇAMENTO!$AF$11)),
         0)</f>
        <v>0</v>
      </c>
      <c r="AO175" s="453">
        <f ca="1">IF(AND($D175="Serviço",AO$12&lt;&gt;0,$H175&gt;0,OR(AUTOEVENTO&lt;&gt;"manual",$M175&lt;&gt;$A$15)),
        IF(Import.TipoArredondamento&lt;&gt;"TransfereGOV",
              ROUND(OFFSET($P175,0,AO$13),15-13*ORÇAMENTO!$AF$7)/$H175*OFFSET(ORÇAMENTO!$X$15,ROW(AO175)-ROW(AO$15),0),
              ROUND(ROUND(OFFSET($P175,0,AO$13),15-13*ORÇAMENTO!$AF$7)*OFFSET(ORÇAMENTO!$W$15,ROW(AO175)-ROW(AO$15),0),15-13*ORÇAMENTO!$AF$11)),
         0)</f>
        <v>0</v>
      </c>
      <c r="AP175" s="453">
        <f ca="1">IF(AND($D175="Serviço",AP$12&lt;&gt;0,$H175&gt;0,OR(AUTOEVENTO&lt;&gt;"manual",$M175&lt;&gt;$A$15)),
        IF(Import.TipoArredondamento&lt;&gt;"TransfereGOV",
              ROUND(OFFSET($P175,0,AP$13),15-13*ORÇAMENTO!$AF$7)/$H175*OFFSET(ORÇAMENTO!$X$15,ROW(AP175)-ROW(AP$15),0),
              ROUND(ROUND(OFFSET($P175,0,AP$13),15-13*ORÇAMENTO!$AF$7)*OFFSET(ORÇAMENTO!$W$15,ROW(AP175)-ROW(AP$15),0),15-13*ORÇAMENTO!$AF$11)),
         0)</f>
        <v>442.7</v>
      </c>
      <c r="AQ175" s="453">
        <f ca="1">IF(AND($D175="Serviço",AQ$12&lt;&gt;0,$H175&gt;0,OR(AUTOEVENTO&lt;&gt;"manual",$M175&lt;&gt;$A$15)),
        IF(Import.TipoArredondamento&lt;&gt;"TransfereGOV",
              ROUND(OFFSET($P175,0,AQ$13),15-13*ORÇAMENTO!$AF$7)/$H175*OFFSET(ORÇAMENTO!$X$15,ROW(AQ175)-ROW(AQ$15),0),
              ROUND(ROUND(OFFSET($P175,0,AQ$13),15-13*ORÇAMENTO!$AF$7)*OFFSET(ORÇAMENTO!$W$15,ROW(AQ175)-ROW(AQ$15),0),15-13*ORÇAMENTO!$AF$11)),
         0)</f>
        <v>0</v>
      </c>
      <c r="AR175" s="453">
        <f ca="1">IF(AND($D175="Serviço",AR$12&lt;&gt;0,$H175&gt;0,OR(AUTOEVENTO&lt;&gt;"manual",$M175&lt;&gt;$A$15)),
        IF(Import.TipoArredondamento&lt;&gt;"TransfereGOV",
              ROUND(OFFSET($P175,0,AR$13),15-13*ORÇAMENTO!$AF$7)/$H175*OFFSET(ORÇAMENTO!$X$15,ROW(AR175)-ROW(AR$15),0),
              ROUND(ROUND(OFFSET($P175,0,AR$13),15-13*ORÇAMENTO!$AF$7)*OFFSET(ORÇAMENTO!$W$15,ROW(AR175)-ROW(AR$15),0),15-13*ORÇAMENTO!$AF$11)),
         0)</f>
        <v>0</v>
      </c>
      <c r="AS175" s="453">
        <f ca="1">IF(AND($D175="Serviço",AS$12&lt;&gt;0,$H175&gt;0,OR(AUTOEVENTO&lt;&gt;"manual",$M175&lt;&gt;$A$15)),
        IF(Import.TipoArredondamento&lt;&gt;"TransfereGOV",
              ROUND(OFFSET($P175,0,AS$13),15-13*ORÇAMENTO!$AF$7)/$H175*OFFSET(ORÇAMENTO!$X$15,ROW(AS175)-ROW(AS$15),0),
              ROUND(ROUND(OFFSET($P175,0,AS$13),15-13*ORÇAMENTO!$AF$7)*OFFSET(ORÇAMENTO!$W$15,ROW(AS175)-ROW(AS$15),0),15-13*ORÇAMENTO!$AF$11)),
         0)</f>
        <v>0</v>
      </c>
      <c r="AT175" s="453">
        <f ca="1">IF(AND($D175="Serviço",AT$12&lt;&gt;0,$H175&gt;0,OR(AUTOEVENTO&lt;&gt;"manual",$M175&lt;&gt;$A$15)),
        IF(Import.TipoArredondamento&lt;&gt;"TransfereGOV",
              ROUND(OFFSET($P175,0,AT$13),15-13*ORÇAMENTO!$AF$7)/$H175*OFFSET(ORÇAMENTO!$X$15,ROW(AT175)-ROW(AT$15),0),
              ROUND(ROUND(OFFSET($P175,0,AT$13),15-13*ORÇAMENTO!$AF$7)*OFFSET(ORÇAMENTO!$W$15,ROW(AT175)-ROW(AT$15),0),15-13*ORÇAMENTO!$AF$11)),
         0)</f>
        <v>0</v>
      </c>
      <c r="AU175" s="453">
        <f ca="1">IF(AND($D175="Serviço",AU$12&lt;&gt;0,$H175&gt;0,OR(AUTOEVENTO&lt;&gt;"manual",$M175&lt;&gt;$A$15)),
        IF(Import.TipoArredondamento&lt;&gt;"TransfereGOV",
              ROUND(OFFSET($P175,0,AU$13),15-13*ORÇAMENTO!$AF$7)/$H175*OFFSET(ORÇAMENTO!$X$15,ROW(AU175)-ROW(AU$15),0),
              ROUND(ROUND(OFFSET($P175,0,AU$13),15-13*ORÇAMENTO!$AF$7)*OFFSET(ORÇAMENTO!$W$15,ROW(AU175)-ROW(AU$15),0),15-13*ORÇAMENTO!$AF$11)),
         0)</f>
        <v>0</v>
      </c>
      <c r="AV175" s="453">
        <f ca="1">IF(AND($D175="Serviço",AV$12&lt;&gt;0,$H175&gt;0,OR(AUTOEVENTO&lt;&gt;"manual",$M175&lt;&gt;$A$15)),
        IF(Import.TipoArredondamento&lt;&gt;"TransfereGOV",
              ROUND(OFFSET($P175,0,AV$13),15-13*ORÇAMENTO!$AF$7)/$H175*OFFSET(ORÇAMENTO!$X$15,ROW(AV175)-ROW(AV$15),0),
              ROUND(ROUND(OFFSET($P175,0,AV$13),15-13*ORÇAMENTO!$AF$7)*OFFSET(ORÇAMENTO!$W$15,ROW(AV175)-ROW(AV$15),0),15-13*ORÇAMENTO!$AF$11)),
         0)</f>
        <v>0</v>
      </c>
      <c r="AW175" s="453">
        <f ca="1">IF(AND($D175="Serviço",AW$12&lt;&gt;0,$H175&gt;0,OR(AUTOEVENTO&lt;&gt;"manual",$M175&lt;&gt;$A$15)),
        IF(Import.TipoArredondamento&lt;&gt;"TransfereGOV",
              ROUND(OFFSET($P175,0,AW$13),15-13*ORÇAMENTO!$AF$7)/$H175*OFFSET(ORÇAMENTO!$X$15,ROW(AW175)-ROW(AW$15),0),
              ROUND(ROUND(OFFSET($P175,0,AW$13),15-13*ORÇAMENTO!$AF$7)*OFFSET(ORÇAMENTO!$W$15,ROW(AW175)-ROW(AW$15),0),15-13*ORÇAMENTO!$AF$11)),
         0)</f>
        <v>0</v>
      </c>
      <c r="AX175" s="453">
        <f ca="1">IF(AND($D175="Serviço",AX$12&lt;&gt;0,$H175&gt;0,OR(AUTOEVENTO&lt;&gt;"manual",$M175&lt;&gt;$A$15)),
        IF(Import.TipoArredondamento&lt;&gt;"TransfereGOV",
              ROUND(OFFSET($P175,0,AX$13),15-13*ORÇAMENTO!$AF$7)/$H175*OFFSET(ORÇAMENTO!$X$15,ROW(AX175)-ROW(AX$15),0),
              ROUND(ROUND(OFFSET($P175,0,AX$13),15-13*ORÇAMENTO!$AF$7)*OFFSET(ORÇAMENTO!$W$15,ROW(AX175)-ROW(AX$15),0),15-13*ORÇAMENTO!$AF$11)),
         0)</f>
        <v>0</v>
      </c>
      <c r="AY175" s="453">
        <f ca="1">IF(AND($D175="Serviço",AY$12&lt;&gt;0,$H175&gt;0,OR(AUTOEVENTO&lt;&gt;"manual",$M175&lt;&gt;$A$15)),
        IF(Import.TipoArredondamento&lt;&gt;"TransfereGOV",
              ROUND(OFFSET($P175,0,AY$13),15-13*ORÇAMENTO!$AF$7)/$H175*OFFSET(ORÇAMENTO!$X$15,ROW(AY175)-ROW(AY$15),0),
              ROUND(ROUND(OFFSET($P175,0,AY$13),15-13*ORÇAMENTO!$AF$7)*OFFSET(ORÇAMENTO!$W$15,ROW(AY175)-ROW(AY$15),0),15-13*ORÇAMENTO!$AF$11)),
         0)</f>
        <v>0</v>
      </c>
      <c r="AZ175" s="453">
        <f ca="1">IF(AND($D175="Serviço",AZ$12&lt;&gt;0,$H175&gt;0,OR(AUTOEVENTO&lt;&gt;"manual",$M175&lt;&gt;$A$15)),
        IF(Import.TipoArredondamento&lt;&gt;"TransfereGOV",
              ROUND(OFFSET($P175,0,AZ$13),15-13*ORÇAMENTO!$AF$7)/$H175*OFFSET(ORÇAMENTO!$X$15,ROW(AZ175)-ROW(AZ$15),0),
              ROUND(ROUND(OFFSET($P175,0,AZ$13),15-13*ORÇAMENTO!$AF$7)*OFFSET(ORÇAMENTO!$W$15,ROW(AZ175)-ROW(AZ$15),0),15-13*ORÇAMENTO!$AF$11)),
         0)</f>
        <v>0</v>
      </c>
      <c r="BA175" s="453">
        <f ca="1">IF(AND($D175="Serviço",BA$12&lt;&gt;0,$H175&gt;0,OR(AUTOEVENTO&lt;&gt;"manual",$M175&lt;&gt;$A$15)),
        IF(Import.TipoArredondamento&lt;&gt;"TransfereGOV",
              ROUND(OFFSET($P175,0,BA$13),15-13*ORÇAMENTO!$AF$7)/$H175*OFFSET(ORÇAMENTO!$X$15,ROW(BA175)-ROW(BA$15),0),
              ROUND(ROUND(OFFSET($P175,0,BA$13),15-13*ORÇAMENTO!$AF$7)*OFFSET(ORÇAMENTO!$W$15,ROW(BA175)-ROW(BA$15),0),15-13*ORÇAMENTO!$AF$11)),
         0)</f>
        <v>0</v>
      </c>
      <c r="BC175" s="171">
        <f ca="1">IF(OR($D175&lt;&gt;"Serviço",AND(AUTOEVENTO="Manual",$M175=$A$15)),0,
         IF(OFFSET(CRONOPLE!$F$15,$M175-$A$15,BC$13)=0,10^12,OFFSET(CRONOPLE!$F$15,$M175-$A$15,BC$13)))</f>
        <v>1000000000000</v>
      </c>
      <c r="BD175" s="171">
        <f ca="1">IF(OR($D175&lt;&gt;"Serviço",AND(AUTOEVENTO="Manual",$M175=$A$15)),0,
         IF(OFFSET(CRONOPLE!$F$15,$M175-$A$15,BD$13)=0,10^12,OFFSET(CRONOPLE!$F$15,$M175-$A$15,BD$13)))</f>
        <v>1000000000000</v>
      </c>
      <c r="BE175" s="171">
        <f ca="1">IF(OR($D175&lt;&gt;"Serviço",AND(AUTOEVENTO="Manual",$M175=$A$15)),0,
         IF(OFFSET(CRONOPLE!$F$15,$M175-$A$15,BE$13)=0,10^12,OFFSET(CRONOPLE!$F$15,$M175-$A$15,BE$13)))</f>
        <v>1000000000000</v>
      </c>
      <c r="BF175" s="171">
        <f ca="1">IF(OR($D175&lt;&gt;"Serviço",AND(AUTOEVENTO="Manual",$M175=$A$15)),0,
         IF(OFFSET(CRONOPLE!$F$15,$M175-$A$15,BF$13)=0,10^12,OFFSET(CRONOPLE!$F$15,$M175-$A$15,BF$13)))</f>
        <v>1000000000000</v>
      </c>
      <c r="BG175" s="171">
        <f ca="1">IF(OR($D175&lt;&gt;"Serviço",AND(AUTOEVENTO="Manual",$M175=$A$15)),0,
         IF(OFFSET(CRONOPLE!$F$15,$M175-$A$15,BG$13)=0,10^12,OFFSET(CRONOPLE!$F$15,$M175-$A$15,BG$13)))</f>
        <v>7</v>
      </c>
      <c r="BH175" s="171">
        <f ca="1">IF(OR($D175&lt;&gt;"Serviço",AND(AUTOEVENTO="Manual",$M175=$A$15)),0,
         IF(OFFSET(CRONOPLE!$F$15,$M175-$A$15,BH$13)=0,10^12,OFFSET(CRONOPLE!$F$15,$M175-$A$15,BH$13)))</f>
        <v>1000000000000</v>
      </c>
      <c r="BI175" s="171">
        <f ca="1">IF(OR($D175&lt;&gt;"Serviço",AND(AUTOEVENTO="Manual",$M175=$A$15)),0,
         IF(OFFSET(CRONOPLE!$F$15,$M175-$A$15,BI$13)=0,10^12,OFFSET(CRONOPLE!$F$15,$M175-$A$15,BI$13)))</f>
        <v>11</v>
      </c>
      <c r="BJ175" s="171">
        <f ca="1">IF(OR($D175&lt;&gt;"Serviço",AND(AUTOEVENTO="Manual",$M175=$A$15)),0,
         IF(OFFSET(CRONOPLE!$F$15,$M175-$A$15,BJ$13)=0,10^12,OFFSET(CRONOPLE!$F$15,$M175-$A$15,BJ$13)))</f>
        <v>1000000000000</v>
      </c>
      <c r="BK175" s="171">
        <f ca="1">IF(OR($D175&lt;&gt;"Serviço",AND(AUTOEVENTO="Manual",$M175=$A$15)),0,
         IF(OFFSET(CRONOPLE!$F$15,$M175-$A$15,BK$13)=0,10^12,OFFSET(CRONOPLE!$F$15,$M175-$A$15,BK$13)))</f>
        <v>1000000000000</v>
      </c>
      <c r="BL175" s="171">
        <f ca="1">IF(OR($D175&lt;&gt;"Serviço",AND(AUTOEVENTO="Manual",$M175=$A$15)),0,
         IF(OFFSET(CRONOPLE!$F$15,$M175-$A$15,BL$13)=0,10^12,OFFSET(CRONOPLE!$F$15,$M175-$A$15,BL$13)))</f>
        <v>1000000000000</v>
      </c>
      <c r="BM175" s="171">
        <f ca="1">IF(OR($D175&lt;&gt;"Serviço",AND(AUTOEVENTO="Manual",$M175=$A$15)),0,
         IF(OFFSET(CRONOPLE!$F$15,$M175-$A$15,BM$13)=0,10^12,OFFSET(CRONOPLE!$F$15,$M175-$A$15,BM$13)))</f>
        <v>1000000000000</v>
      </c>
      <c r="BN175" s="171">
        <f ca="1">IF(OR($D175&lt;&gt;"Serviço",AND(AUTOEVENTO="Manual",$M175=$A$15)),0,
         IF(OFFSET(CRONOPLE!$F$15,$M175-$A$15,BN$13)=0,10^12,OFFSET(CRONOPLE!$F$15,$M175-$A$15,BN$13)))</f>
        <v>1000000000000</v>
      </c>
      <c r="BO175" s="171">
        <f ca="1">IF(OR($D175&lt;&gt;"Serviço",AND(AUTOEVENTO="Manual",$M175=$A$15)),0,
         IF(OFFSET(CRONOPLE!$F$15,$M175-$A$15,BO$13)=0,10^12,OFFSET(CRONOPLE!$F$15,$M175-$A$15,BO$13)))</f>
        <v>1000000000000</v>
      </c>
      <c r="BP175" s="171">
        <f ca="1">IF(OR($D175&lt;&gt;"Serviço",AND(AUTOEVENTO="Manual",$M175=$A$15)),0,
         IF(OFFSET(CRONOPLE!$F$15,$M175-$A$15,BP$13)=0,10^12,OFFSET(CRONOPLE!$F$15,$M175-$A$15,BP$13)))</f>
        <v>1000000000000</v>
      </c>
      <c r="BQ175" s="171">
        <f ca="1">IF(OR($D175&lt;&gt;"Serviço",AND(AUTOEVENTO="Manual",$M175=$A$15)),0,
         IF(OFFSET(CRONOPLE!$F$15,$M175-$A$15,BQ$13)=0,10^12,OFFSET(CRONOPLE!$F$15,$M175-$A$15,BQ$13)))</f>
        <v>1000000000000</v>
      </c>
      <c r="BR175" s="171">
        <f ca="1">IF(OR($D175&lt;&gt;"Serviço",AND(AUTOEVENTO="Manual",$M175=$A$15)),0,
         IF(OFFSET(CRONOPLE!$F$15,$M175-$A$15,BR$13)=0,10^12,OFFSET(CRONOPLE!$F$15,$M175-$A$15,BR$13)))</f>
        <v>1000000000000</v>
      </c>
      <c r="BS175" s="171">
        <f ca="1">IF(OR($D175&lt;&gt;"Serviço",AND(AUTOEVENTO="Manual",$M175=$A$15)),0,
         IF(OFFSET(CRONOPLE!$F$15,$M175-$A$15,BS$13)=0,10^12,OFFSET(CRONOPLE!$F$15,$M175-$A$15,BS$13)))</f>
        <v>1000000000000</v>
      </c>
      <c r="BT175" s="171">
        <f ca="1">IF(OR($D175&lt;&gt;"Serviço",AND(AUTOEVENTO="Manual",$M175=$A$15)),0,
         IF(OFFSET(CRONOPLE!$F$15,$M175-$A$15,BT$13)=0,10^12,OFFSET(CRONOPLE!$F$15,$M175-$A$15,BT$13)))</f>
        <v>1000000000000</v>
      </c>
      <c r="BV175" s="172" cm="1">
        <f t="array" aca="1" ref="BV175" ca="1">IF(OR($D175&lt;&gt;"Serviço",AND(AUTOEVENTO="Manual",$M175=$A$15),$M175&gt;(ROW(PLE.lastrow)-ROW(PLE.firstrow))),0,
           IF(OFFSET(PLE!$G$15,$M175-$A$15,BV$13)="",10^12,OFFSET(PLE!$G$15,$M175-$A$15,BV$13)))</f>
        <v>1000000000000</v>
      </c>
      <c r="BW175" s="172" cm="1">
        <f t="array" aca="1" ref="BW175" ca="1">IF(OR($D175&lt;&gt;"Serviço",AND(AUTOEVENTO="Manual",$M175=$A$15),$M175&gt;(ROW(PLE.lastrow)-ROW(PLE.firstrow))),0,
           IF(OFFSET(PLE!$G$15,$M175-$A$15,BW$13)="",10^12,OFFSET(PLE!$G$15,$M175-$A$15,BW$13)))</f>
        <v>1000000000000</v>
      </c>
      <c r="BX175" s="172" cm="1">
        <f t="array" aca="1" ref="BX175" ca="1">IF(OR($D175&lt;&gt;"Serviço",AND(AUTOEVENTO="Manual",$M175=$A$15),$M175&gt;(ROW(PLE.lastrow)-ROW(PLE.firstrow))),0,
           IF(OFFSET(PLE!$G$15,$M175-$A$15,BX$13)="",10^12,OFFSET(PLE!$G$15,$M175-$A$15,BX$13)))</f>
        <v>1000000000000</v>
      </c>
      <c r="BY175" s="172" cm="1">
        <f t="array" aca="1" ref="BY175" ca="1">IF(OR($D175&lt;&gt;"Serviço",AND(AUTOEVENTO="Manual",$M175=$A$15),$M175&gt;(ROW(PLE.lastrow)-ROW(PLE.firstrow))),0,
           IF(OFFSET(PLE!$G$15,$M175-$A$15,BY$13)="",10^12,OFFSET(PLE!$G$15,$M175-$A$15,BY$13)))</f>
        <v>1000000000000</v>
      </c>
      <c r="BZ175" s="172" cm="1">
        <f t="array" aca="1" ref="BZ175" ca="1">IF(OR($D175&lt;&gt;"Serviço",AND(AUTOEVENTO="Manual",$M175=$A$15),$M175&gt;(ROW(PLE.lastrow)-ROW(PLE.firstrow))),0,
           IF(OFFSET(PLE!$G$15,$M175-$A$15,BZ$13)="",10^12,OFFSET(PLE!$G$15,$M175-$A$15,BZ$13)))</f>
        <v>1000000000000</v>
      </c>
      <c r="CA175" s="172" cm="1">
        <f t="array" aca="1" ref="CA175" ca="1">IF(OR($D175&lt;&gt;"Serviço",AND(AUTOEVENTO="Manual",$M175=$A$15),$M175&gt;(ROW(PLE.lastrow)-ROW(PLE.firstrow))),0,
           IF(OFFSET(PLE!$G$15,$M175-$A$15,CA$13)="",10^12,OFFSET(PLE!$G$15,$M175-$A$15,CA$13)))</f>
        <v>1000000000000</v>
      </c>
      <c r="CB175" s="172" cm="1">
        <f t="array" aca="1" ref="CB175" ca="1">IF(OR($D175&lt;&gt;"Serviço",AND(AUTOEVENTO="Manual",$M175=$A$15),$M175&gt;(ROW(PLE.lastrow)-ROW(PLE.firstrow))),0,
           IF(OFFSET(PLE!$G$15,$M175-$A$15,CB$13)="",10^12,OFFSET(PLE!$G$15,$M175-$A$15,CB$13)))</f>
        <v>1000000000000</v>
      </c>
      <c r="CC175" s="172" cm="1">
        <f t="array" aca="1" ref="CC175" ca="1">IF(OR($D175&lt;&gt;"Serviço",AND(AUTOEVENTO="Manual",$M175=$A$15),$M175&gt;(ROW(PLE.lastrow)-ROW(PLE.firstrow))),0,
           IF(OFFSET(PLE!$G$15,$M175-$A$15,CC$13)="",10^12,OFFSET(PLE!$G$15,$M175-$A$15,CC$13)))</f>
        <v>1000000000000</v>
      </c>
      <c r="CD175" s="172" cm="1">
        <f t="array" aca="1" ref="CD175" ca="1">IF(OR($D175&lt;&gt;"Serviço",AND(AUTOEVENTO="Manual",$M175=$A$15),$M175&gt;(ROW(PLE.lastrow)-ROW(PLE.firstrow))),0,
           IF(OFFSET(PLE!$G$15,$M175-$A$15,CD$13)="",10^12,OFFSET(PLE!$G$15,$M175-$A$15,CD$13)))</f>
        <v>1000000000000</v>
      </c>
      <c r="CE175" s="172" cm="1">
        <f t="array" aca="1" ref="CE175" ca="1">IF(OR($D175&lt;&gt;"Serviço",AND(AUTOEVENTO="Manual",$M175=$A$15),$M175&gt;(ROW(PLE.lastrow)-ROW(PLE.firstrow))),0,
           IF(OFFSET(PLE!$G$15,$M175-$A$15,CE$13)="",10^12,OFFSET(PLE!$G$15,$M175-$A$15,CE$13)))</f>
        <v>1000000000000</v>
      </c>
      <c r="CF175" s="172" cm="1">
        <f t="array" aca="1" ref="CF175" ca="1">IF(OR($D175&lt;&gt;"Serviço",AND(AUTOEVENTO="Manual",$M175=$A$15),$M175&gt;(ROW(PLE.lastrow)-ROW(PLE.firstrow))),0,
           IF(OFFSET(PLE!$G$15,$M175-$A$15,CF$13)="",10^12,OFFSET(PLE!$G$15,$M175-$A$15,CF$13)))</f>
        <v>1000000000000</v>
      </c>
      <c r="CG175" s="172" cm="1">
        <f t="array" aca="1" ref="CG175" ca="1">IF(OR($D175&lt;&gt;"Serviço",AND(AUTOEVENTO="Manual",$M175=$A$15),$M175&gt;(ROW(PLE.lastrow)-ROW(PLE.firstrow))),0,
           IF(OFFSET(PLE!$G$15,$M175-$A$15,CG$13)="",10^12,OFFSET(PLE!$G$15,$M175-$A$15,CG$13)))</f>
        <v>1000000000000</v>
      </c>
      <c r="CH175" s="172" cm="1">
        <f t="array" aca="1" ref="CH175" ca="1">IF(OR($D175&lt;&gt;"Serviço",AND(AUTOEVENTO="Manual",$M175=$A$15),$M175&gt;(ROW(PLE.lastrow)-ROW(PLE.firstrow))),0,
           IF(OFFSET(PLE!$G$15,$M175-$A$15,CH$13)="",10^12,OFFSET(PLE!$G$15,$M175-$A$15,CH$13)))</f>
        <v>1000000000000</v>
      </c>
      <c r="CI175" s="172" cm="1">
        <f t="array" aca="1" ref="CI175" ca="1">IF(OR($D175&lt;&gt;"Serviço",AND(AUTOEVENTO="Manual",$M175=$A$15),$M175&gt;(ROW(PLE.lastrow)-ROW(PLE.firstrow))),0,
           IF(OFFSET(PLE!$G$15,$M175-$A$15,CI$13)="",10^12,OFFSET(PLE!$G$15,$M175-$A$15,CI$13)))</f>
        <v>1000000000000</v>
      </c>
      <c r="CJ175" s="172" cm="1">
        <f t="array" aca="1" ref="CJ175" ca="1">IF(OR($D175&lt;&gt;"Serviço",AND(AUTOEVENTO="Manual",$M175=$A$15),$M175&gt;(ROW(PLE.lastrow)-ROW(PLE.firstrow))),0,
           IF(OFFSET(PLE!$G$15,$M175-$A$15,CJ$13)="",10^12,OFFSET(PLE!$G$15,$M175-$A$15,CJ$13)))</f>
        <v>1000000000000</v>
      </c>
      <c r="CK175" s="172" cm="1">
        <f t="array" aca="1" ref="CK175" ca="1">IF(OR($D175&lt;&gt;"Serviço",AND(AUTOEVENTO="Manual",$M175=$A$15),$M175&gt;(ROW(PLE.lastrow)-ROW(PLE.firstrow))),0,
           IF(OFFSET(PLE!$G$15,$M175-$A$15,CK$13)="",10^12,OFFSET(PLE!$G$15,$M175-$A$15,CK$13)))</f>
        <v>1000000000000</v>
      </c>
      <c r="CL175" s="172" cm="1">
        <f t="array" aca="1" ref="CL175" ca="1">IF(OR($D175&lt;&gt;"Serviço",AND(AUTOEVENTO="Manual",$M175=$A$15),$M175&gt;(ROW(PLE.lastrow)-ROW(PLE.firstrow))),0,
           IF(OFFSET(PLE!$G$15,$M175-$A$15,CL$13)="",10^12,OFFSET(PLE!$G$15,$M175-$A$15,CL$13)))</f>
        <v>1000000000000</v>
      </c>
      <c r="CM175" s="172" cm="1">
        <f t="array" aca="1" ref="CM175" ca="1">IF(OR($D175&lt;&gt;"Serviço",AND(AUTOEVENTO="Manual",$M175=$A$15),$M175&gt;(ROW(PLE.lastrow)-ROW(PLE.firstrow))),0,
           IF(OFFSET(PLE!$G$15,$M175-$A$15,CM$13)="",10^12,OFFSET(PLE!$G$15,$M175-$A$15,CM$13)))</f>
        <v>1000000000000</v>
      </c>
    </row>
    <row r="176" spans="1:91" s="670" customFormat="1" ht="38.25" x14ac:dyDescent="0.2">
      <c r="A176" s="668">
        <f t="shared" ca="1" si="14"/>
        <v>8</v>
      </c>
      <c r="B176" s="668" t="str">
        <f ca="1">OFFSET(ORÇAMENTO!C$15,$L176,0)</f>
        <v>S</v>
      </c>
      <c r="C176" s="668" t="str">
        <f ca="1">OFFSET(ORÇAMENTO!L$15,$L176,0)</f>
        <v>F</v>
      </c>
      <c r="D176" s="116" t="str">
        <f ca="1">OFFSET(ORÇAMENTO!N$15,$L176,0)</f>
        <v>Serviço</v>
      </c>
      <c r="E176" s="117" t="str">
        <f ca="1">OFFSET(ORÇAMENTO!O$15,$L176,0)</f>
        <v>1.23.6.</v>
      </c>
      <c r="F176" s="163" t="str">
        <f ca="1">OFFSET(ORÇAMENTO!R$15,$L176,0)</f>
        <v>PASTA LUBRIFICANTE PARA TUBOS E CONEXOES COM JUNTA ELASTICA, EMBALAGEM DE *400* GR (USO EM PVC, ACO, POLIETILENO E OUTROS)</v>
      </c>
      <c r="G176" s="164" t="str">
        <f ca="1">IF($D176&lt;&gt;"Serviço","",OFFSET(ORÇAMENTO!S$15,$L176,0))</f>
        <v>UN</v>
      </c>
      <c r="H176" s="122" cm="1">
        <f t="array" aca="1" ref="H176" ca="1">IF($D176&lt;&gt;"Serviço",0,IF(ACOMPANHAMENTO="BM",ROUND(OFFSET(ORÇAMENTO!AJ$15,$L176,0),15-13*ORÇAMENTO!$AF$7),IF(IFERROR(CÁLCULO.FrentesPreenchidas,0)=0,0,SUM(ROUND(OFFSET($P176,0,1,1,CÁLCULO.FrentesPreenchidas),15-13*ORÇAMENTO!$AF$7)))))</f>
        <v>110</v>
      </c>
      <c r="I176" s="468"/>
      <c r="J176" s="651" t="str" cm="1">
        <f t="array" aca="1" ref="J176" ca="1">IF(OR(B176&lt;&gt;"S",CÁLCULO.FrentesPreenchidas=0),"",IF(AND(ACOMPANHAMENTO="PLE",AUTOEVENTO="Manual",OR(H176&gt;0,ORÇAMENTO!AC176="QUANT."),OR(K176="",M176=0,N176="")),"►E",IF(AND(ACOMPANHAMENTO="PLE",ORÇAMENTO!AC176="QUANT."),"►Q",IF(AND(ACOMPANHAMENTO="PLE",H176&lt;&gt;SUMPRODUCT(($Q$1:$AI$1=1)*ROUND(Q176:AI176,15))),"►S",IF(AND(COUNTIF($P$11:$AI$11,"▼")=0,H176&gt;0,I176=""),"◄M","")))))</f>
        <v>◄M</v>
      </c>
      <c r="K176" s="652" t="s">
        <v>1352</v>
      </c>
      <c r="L176" s="165">
        <f t="shared" ca="1" si="15"/>
        <v>161</v>
      </c>
      <c r="M176" s="166">
        <f ca="1">IF($D176&lt;&gt;"Serviço","",
          IF(AUTOEVENTO="manual",$A176,
                IF(ISERROR(MATCH($A176,$A$15:OFFSET($A176,-1,0),0)),MAX($M$15:OFFSET(M176,-1,0))+1,
                      INDEX($M$15:OFFSET(M176,-1,0),MATCH($A176,$A$15:OFFSET($A176,-1,0),0)))))</f>
        <v>8</v>
      </c>
      <c r="N176" s="167" t="str">
        <f ca="1">IF($D176&lt;&gt;"Serviço","",
         IF(AUTOEVENTO="Manual",
                IF($A176=0,"&lt;-- defina o número do agrupador",
                       OFFSET(EVENTOS!$D$15,$A176-$A$15,0)),
                OFFSET($F$15,$A176,0)))</f>
        <v>Assentamento de tubulação</v>
      </c>
      <c r="O176" s="168"/>
      <c r="Q176" s="168"/>
      <c r="R176" s="169"/>
      <c r="S176" s="169"/>
      <c r="T176" s="169"/>
      <c r="U176" s="169"/>
      <c r="V176" s="169"/>
      <c r="W176" s="169">
        <v>110</v>
      </c>
      <c r="X176" s="169"/>
      <c r="Y176" s="169"/>
      <c r="Z176" s="170"/>
      <c r="AA176" s="705"/>
      <c r="AB176" s="705"/>
      <c r="AC176" s="705"/>
      <c r="AD176" s="705"/>
      <c r="AE176" s="705"/>
      <c r="AF176" s="705"/>
      <c r="AG176" s="705"/>
      <c r="AH176" s="706"/>
      <c r="AJ176" s="453">
        <f ca="1">IF(AND($D176="Serviço",AJ$12&lt;&gt;0,$H176&gt;0,OR(AUTOEVENTO&lt;&gt;"manual",$M176&lt;&gt;$A$15)),
        IF(Import.TipoArredondamento&lt;&gt;"TransfereGOV",
              ROUND(OFFSET($P176,0,AJ$13),15-13*ORÇAMENTO!$AF$7)/$H176*OFFSET(ORÇAMENTO!$X$15,ROW(AJ176)-ROW(AJ$15),0),
              ROUND(ROUND(OFFSET($P176,0,AJ$13),15-13*ORÇAMENTO!$AF$7)*OFFSET(ORÇAMENTO!$W$15,ROW(AJ176)-ROW(AJ$15),0),15-13*ORÇAMENTO!$AF$11)),
         0)</f>
        <v>0</v>
      </c>
      <c r="AK176" s="453">
        <f ca="1">IF(AND($D176="Serviço",AK$12&lt;&gt;0,$H176&gt;0,OR(AUTOEVENTO&lt;&gt;"manual",$M176&lt;&gt;$A$15)),
        IF(Import.TipoArredondamento&lt;&gt;"TransfereGOV",
              ROUND(OFFSET($P176,0,AK$13),15-13*ORÇAMENTO!$AF$7)/$H176*OFFSET(ORÇAMENTO!$X$15,ROW(AK176)-ROW(AK$15),0),
              ROUND(ROUND(OFFSET($P176,0,AK$13),15-13*ORÇAMENTO!$AF$7)*OFFSET(ORÇAMENTO!$W$15,ROW(AK176)-ROW(AK$15),0),15-13*ORÇAMENTO!$AF$11)),
         0)</f>
        <v>0</v>
      </c>
      <c r="AL176" s="453">
        <f ca="1">IF(AND($D176="Serviço",AL$12&lt;&gt;0,$H176&gt;0,OR(AUTOEVENTO&lt;&gt;"manual",$M176&lt;&gt;$A$15)),
        IF(Import.TipoArredondamento&lt;&gt;"TransfereGOV",
              ROUND(OFFSET($P176,0,AL$13),15-13*ORÇAMENTO!$AF$7)/$H176*OFFSET(ORÇAMENTO!$X$15,ROW(AL176)-ROW(AL$15),0),
              ROUND(ROUND(OFFSET($P176,0,AL$13),15-13*ORÇAMENTO!$AF$7)*OFFSET(ORÇAMENTO!$W$15,ROW(AL176)-ROW(AL$15),0),15-13*ORÇAMENTO!$AF$11)),
         0)</f>
        <v>0</v>
      </c>
      <c r="AM176" s="453">
        <f ca="1">IF(AND($D176="Serviço",AM$12&lt;&gt;0,$H176&gt;0,OR(AUTOEVENTO&lt;&gt;"manual",$M176&lt;&gt;$A$15)),
        IF(Import.TipoArredondamento&lt;&gt;"TransfereGOV",
              ROUND(OFFSET($P176,0,AM$13),15-13*ORÇAMENTO!$AF$7)/$H176*OFFSET(ORÇAMENTO!$X$15,ROW(AM176)-ROW(AM$15),0),
              ROUND(ROUND(OFFSET($P176,0,AM$13),15-13*ORÇAMENTO!$AF$7)*OFFSET(ORÇAMENTO!$W$15,ROW(AM176)-ROW(AM$15),0),15-13*ORÇAMENTO!$AF$11)),
         0)</f>
        <v>0</v>
      </c>
      <c r="AN176" s="453">
        <f ca="1">IF(AND($D176="Serviço",AN$12&lt;&gt;0,$H176&gt;0,OR(AUTOEVENTO&lt;&gt;"manual",$M176&lt;&gt;$A$15)),
        IF(Import.TipoArredondamento&lt;&gt;"TransfereGOV",
              ROUND(OFFSET($P176,0,AN$13),15-13*ORÇAMENTO!$AF$7)/$H176*OFFSET(ORÇAMENTO!$X$15,ROW(AN176)-ROW(AN$15),0),
              ROUND(ROUND(OFFSET($P176,0,AN$13),15-13*ORÇAMENTO!$AF$7)*OFFSET(ORÇAMENTO!$W$15,ROW(AN176)-ROW(AN$15),0),15-13*ORÇAMENTO!$AF$11)),
         0)</f>
        <v>0</v>
      </c>
      <c r="AO176" s="453">
        <f ca="1">IF(AND($D176="Serviço",AO$12&lt;&gt;0,$H176&gt;0,OR(AUTOEVENTO&lt;&gt;"manual",$M176&lt;&gt;$A$15)),
        IF(Import.TipoArredondamento&lt;&gt;"TransfereGOV",
              ROUND(OFFSET($P176,0,AO$13),15-13*ORÇAMENTO!$AF$7)/$H176*OFFSET(ORÇAMENTO!$X$15,ROW(AO176)-ROW(AO$15),0),
              ROUND(ROUND(OFFSET($P176,0,AO$13),15-13*ORÇAMENTO!$AF$7)*OFFSET(ORÇAMENTO!$W$15,ROW(AO176)-ROW(AO$15),0),15-13*ORÇAMENTO!$AF$11)),
         0)</f>
        <v>0</v>
      </c>
      <c r="AP176" s="453">
        <f ca="1">IF(AND($D176="Serviço",AP$12&lt;&gt;0,$H176&gt;0,OR(AUTOEVENTO&lt;&gt;"manual",$M176&lt;&gt;$A$15)),
        IF(Import.TipoArredondamento&lt;&gt;"TransfereGOV",
              ROUND(OFFSET($P176,0,AP$13),15-13*ORÇAMENTO!$AF$7)/$H176*OFFSET(ORÇAMENTO!$X$15,ROW(AP176)-ROW(AP$15),0),
              ROUND(ROUND(OFFSET($P176,0,AP$13),15-13*ORÇAMENTO!$AF$7)*OFFSET(ORÇAMENTO!$W$15,ROW(AP176)-ROW(AP$15),0),15-13*ORÇAMENTO!$AF$11)),
         0)</f>
        <v>3974.3</v>
      </c>
      <c r="AQ176" s="453">
        <f ca="1">IF(AND($D176="Serviço",AQ$12&lt;&gt;0,$H176&gt;0,OR(AUTOEVENTO&lt;&gt;"manual",$M176&lt;&gt;$A$15)),
        IF(Import.TipoArredondamento&lt;&gt;"TransfereGOV",
              ROUND(OFFSET($P176,0,AQ$13),15-13*ORÇAMENTO!$AF$7)/$H176*OFFSET(ORÇAMENTO!$X$15,ROW(AQ176)-ROW(AQ$15),0),
              ROUND(ROUND(OFFSET($P176,0,AQ$13),15-13*ORÇAMENTO!$AF$7)*OFFSET(ORÇAMENTO!$W$15,ROW(AQ176)-ROW(AQ$15),0),15-13*ORÇAMENTO!$AF$11)),
         0)</f>
        <v>0</v>
      </c>
      <c r="AR176" s="453">
        <f ca="1">IF(AND($D176="Serviço",AR$12&lt;&gt;0,$H176&gt;0,OR(AUTOEVENTO&lt;&gt;"manual",$M176&lt;&gt;$A$15)),
        IF(Import.TipoArredondamento&lt;&gt;"TransfereGOV",
              ROUND(OFFSET($P176,0,AR$13),15-13*ORÇAMENTO!$AF$7)/$H176*OFFSET(ORÇAMENTO!$X$15,ROW(AR176)-ROW(AR$15),0),
              ROUND(ROUND(OFFSET($P176,0,AR$13),15-13*ORÇAMENTO!$AF$7)*OFFSET(ORÇAMENTO!$W$15,ROW(AR176)-ROW(AR$15),0),15-13*ORÇAMENTO!$AF$11)),
         0)</f>
        <v>0</v>
      </c>
      <c r="AS176" s="453">
        <f ca="1">IF(AND($D176="Serviço",AS$12&lt;&gt;0,$H176&gt;0,OR(AUTOEVENTO&lt;&gt;"manual",$M176&lt;&gt;$A$15)),
        IF(Import.TipoArredondamento&lt;&gt;"TransfereGOV",
              ROUND(OFFSET($P176,0,AS$13),15-13*ORÇAMENTO!$AF$7)/$H176*OFFSET(ORÇAMENTO!$X$15,ROW(AS176)-ROW(AS$15),0),
              ROUND(ROUND(OFFSET($P176,0,AS$13),15-13*ORÇAMENTO!$AF$7)*OFFSET(ORÇAMENTO!$W$15,ROW(AS176)-ROW(AS$15),0),15-13*ORÇAMENTO!$AF$11)),
         0)</f>
        <v>0</v>
      </c>
      <c r="AT176" s="453">
        <f ca="1">IF(AND($D176="Serviço",AT$12&lt;&gt;0,$H176&gt;0,OR(AUTOEVENTO&lt;&gt;"manual",$M176&lt;&gt;$A$15)),
        IF(Import.TipoArredondamento&lt;&gt;"TransfereGOV",
              ROUND(OFFSET($P176,0,AT$13),15-13*ORÇAMENTO!$AF$7)/$H176*OFFSET(ORÇAMENTO!$X$15,ROW(AT176)-ROW(AT$15),0),
              ROUND(ROUND(OFFSET($P176,0,AT$13),15-13*ORÇAMENTO!$AF$7)*OFFSET(ORÇAMENTO!$W$15,ROW(AT176)-ROW(AT$15),0),15-13*ORÇAMENTO!$AF$11)),
         0)</f>
        <v>0</v>
      </c>
      <c r="AU176" s="453">
        <f ca="1">IF(AND($D176="Serviço",AU$12&lt;&gt;0,$H176&gt;0,OR(AUTOEVENTO&lt;&gt;"manual",$M176&lt;&gt;$A$15)),
        IF(Import.TipoArredondamento&lt;&gt;"TransfereGOV",
              ROUND(OFFSET($P176,0,AU$13),15-13*ORÇAMENTO!$AF$7)/$H176*OFFSET(ORÇAMENTO!$X$15,ROW(AU176)-ROW(AU$15),0),
              ROUND(ROUND(OFFSET($P176,0,AU$13),15-13*ORÇAMENTO!$AF$7)*OFFSET(ORÇAMENTO!$W$15,ROW(AU176)-ROW(AU$15),0),15-13*ORÇAMENTO!$AF$11)),
         0)</f>
        <v>0</v>
      </c>
      <c r="AV176" s="453">
        <f ca="1">IF(AND($D176="Serviço",AV$12&lt;&gt;0,$H176&gt;0,OR(AUTOEVENTO&lt;&gt;"manual",$M176&lt;&gt;$A$15)),
        IF(Import.TipoArredondamento&lt;&gt;"TransfereGOV",
              ROUND(OFFSET($P176,0,AV$13),15-13*ORÇAMENTO!$AF$7)/$H176*OFFSET(ORÇAMENTO!$X$15,ROW(AV176)-ROW(AV$15),0),
              ROUND(ROUND(OFFSET($P176,0,AV$13),15-13*ORÇAMENTO!$AF$7)*OFFSET(ORÇAMENTO!$W$15,ROW(AV176)-ROW(AV$15),0),15-13*ORÇAMENTO!$AF$11)),
         0)</f>
        <v>0</v>
      </c>
      <c r="AW176" s="453">
        <f ca="1">IF(AND($D176="Serviço",AW$12&lt;&gt;0,$H176&gt;0,OR(AUTOEVENTO&lt;&gt;"manual",$M176&lt;&gt;$A$15)),
        IF(Import.TipoArredondamento&lt;&gt;"TransfereGOV",
              ROUND(OFFSET($P176,0,AW$13),15-13*ORÇAMENTO!$AF$7)/$H176*OFFSET(ORÇAMENTO!$X$15,ROW(AW176)-ROW(AW$15),0),
              ROUND(ROUND(OFFSET($P176,0,AW$13),15-13*ORÇAMENTO!$AF$7)*OFFSET(ORÇAMENTO!$W$15,ROW(AW176)-ROW(AW$15),0),15-13*ORÇAMENTO!$AF$11)),
         0)</f>
        <v>0</v>
      </c>
      <c r="AX176" s="453">
        <f ca="1">IF(AND($D176="Serviço",AX$12&lt;&gt;0,$H176&gt;0,OR(AUTOEVENTO&lt;&gt;"manual",$M176&lt;&gt;$A$15)),
        IF(Import.TipoArredondamento&lt;&gt;"TransfereGOV",
              ROUND(OFFSET($P176,0,AX$13),15-13*ORÇAMENTO!$AF$7)/$H176*OFFSET(ORÇAMENTO!$X$15,ROW(AX176)-ROW(AX$15),0),
              ROUND(ROUND(OFFSET($P176,0,AX$13),15-13*ORÇAMENTO!$AF$7)*OFFSET(ORÇAMENTO!$W$15,ROW(AX176)-ROW(AX$15),0),15-13*ORÇAMENTO!$AF$11)),
         0)</f>
        <v>0</v>
      </c>
      <c r="AY176" s="453">
        <f ca="1">IF(AND($D176="Serviço",AY$12&lt;&gt;0,$H176&gt;0,OR(AUTOEVENTO&lt;&gt;"manual",$M176&lt;&gt;$A$15)),
        IF(Import.TipoArredondamento&lt;&gt;"TransfereGOV",
              ROUND(OFFSET($P176,0,AY$13),15-13*ORÇAMENTO!$AF$7)/$H176*OFFSET(ORÇAMENTO!$X$15,ROW(AY176)-ROW(AY$15),0),
              ROUND(ROUND(OFFSET($P176,0,AY$13),15-13*ORÇAMENTO!$AF$7)*OFFSET(ORÇAMENTO!$W$15,ROW(AY176)-ROW(AY$15),0),15-13*ORÇAMENTO!$AF$11)),
         0)</f>
        <v>0</v>
      </c>
      <c r="AZ176" s="453">
        <f ca="1">IF(AND($D176="Serviço",AZ$12&lt;&gt;0,$H176&gt;0,OR(AUTOEVENTO&lt;&gt;"manual",$M176&lt;&gt;$A$15)),
        IF(Import.TipoArredondamento&lt;&gt;"TransfereGOV",
              ROUND(OFFSET($P176,0,AZ$13),15-13*ORÇAMENTO!$AF$7)/$H176*OFFSET(ORÇAMENTO!$X$15,ROW(AZ176)-ROW(AZ$15),0),
              ROUND(ROUND(OFFSET($P176,0,AZ$13),15-13*ORÇAMENTO!$AF$7)*OFFSET(ORÇAMENTO!$W$15,ROW(AZ176)-ROW(AZ$15),0),15-13*ORÇAMENTO!$AF$11)),
         0)</f>
        <v>0</v>
      </c>
      <c r="BA176" s="453">
        <f ca="1">IF(AND($D176="Serviço",BA$12&lt;&gt;0,$H176&gt;0,OR(AUTOEVENTO&lt;&gt;"manual",$M176&lt;&gt;$A$15)),
        IF(Import.TipoArredondamento&lt;&gt;"TransfereGOV",
              ROUND(OFFSET($P176,0,BA$13),15-13*ORÇAMENTO!$AF$7)/$H176*OFFSET(ORÇAMENTO!$X$15,ROW(BA176)-ROW(BA$15),0),
              ROUND(ROUND(OFFSET($P176,0,BA$13),15-13*ORÇAMENTO!$AF$7)*OFFSET(ORÇAMENTO!$W$15,ROW(BA176)-ROW(BA$15),0),15-13*ORÇAMENTO!$AF$11)),
         0)</f>
        <v>0</v>
      </c>
      <c r="BC176" s="171">
        <f ca="1">IF(OR($D176&lt;&gt;"Serviço",AND(AUTOEVENTO="Manual",$M176=$A$15)),0,
         IF(OFFSET(CRONOPLE!$F$15,$M176-$A$15,BC$13)=0,10^12,OFFSET(CRONOPLE!$F$15,$M176-$A$15,BC$13)))</f>
        <v>1000000000000</v>
      </c>
      <c r="BD176" s="171">
        <f ca="1">IF(OR($D176&lt;&gt;"Serviço",AND(AUTOEVENTO="Manual",$M176=$A$15)),0,
         IF(OFFSET(CRONOPLE!$F$15,$M176-$A$15,BD$13)=0,10^12,OFFSET(CRONOPLE!$F$15,$M176-$A$15,BD$13)))</f>
        <v>1000000000000</v>
      </c>
      <c r="BE176" s="171">
        <f ca="1">IF(OR($D176&lt;&gt;"Serviço",AND(AUTOEVENTO="Manual",$M176=$A$15)),0,
         IF(OFFSET(CRONOPLE!$F$15,$M176-$A$15,BE$13)=0,10^12,OFFSET(CRONOPLE!$F$15,$M176-$A$15,BE$13)))</f>
        <v>1000000000000</v>
      </c>
      <c r="BF176" s="171">
        <f ca="1">IF(OR($D176&lt;&gt;"Serviço",AND(AUTOEVENTO="Manual",$M176=$A$15)),0,
         IF(OFFSET(CRONOPLE!$F$15,$M176-$A$15,BF$13)=0,10^12,OFFSET(CRONOPLE!$F$15,$M176-$A$15,BF$13)))</f>
        <v>1000000000000</v>
      </c>
      <c r="BG176" s="171">
        <f ca="1">IF(OR($D176&lt;&gt;"Serviço",AND(AUTOEVENTO="Manual",$M176=$A$15)),0,
         IF(OFFSET(CRONOPLE!$F$15,$M176-$A$15,BG$13)=0,10^12,OFFSET(CRONOPLE!$F$15,$M176-$A$15,BG$13)))</f>
        <v>7</v>
      </c>
      <c r="BH176" s="171">
        <f ca="1">IF(OR($D176&lt;&gt;"Serviço",AND(AUTOEVENTO="Manual",$M176=$A$15)),0,
         IF(OFFSET(CRONOPLE!$F$15,$M176-$A$15,BH$13)=0,10^12,OFFSET(CRONOPLE!$F$15,$M176-$A$15,BH$13)))</f>
        <v>1000000000000</v>
      </c>
      <c r="BI176" s="171">
        <f ca="1">IF(OR($D176&lt;&gt;"Serviço",AND(AUTOEVENTO="Manual",$M176=$A$15)),0,
         IF(OFFSET(CRONOPLE!$F$15,$M176-$A$15,BI$13)=0,10^12,OFFSET(CRONOPLE!$F$15,$M176-$A$15,BI$13)))</f>
        <v>11</v>
      </c>
      <c r="BJ176" s="171">
        <f ca="1">IF(OR($D176&lt;&gt;"Serviço",AND(AUTOEVENTO="Manual",$M176=$A$15)),0,
         IF(OFFSET(CRONOPLE!$F$15,$M176-$A$15,BJ$13)=0,10^12,OFFSET(CRONOPLE!$F$15,$M176-$A$15,BJ$13)))</f>
        <v>1000000000000</v>
      </c>
      <c r="BK176" s="171">
        <f ca="1">IF(OR($D176&lt;&gt;"Serviço",AND(AUTOEVENTO="Manual",$M176=$A$15)),0,
         IF(OFFSET(CRONOPLE!$F$15,$M176-$A$15,BK$13)=0,10^12,OFFSET(CRONOPLE!$F$15,$M176-$A$15,BK$13)))</f>
        <v>1000000000000</v>
      </c>
      <c r="BL176" s="171">
        <f ca="1">IF(OR($D176&lt;&gt;"Serviço",AND(AUTOEVENTO="Manual",$M176=$A$15)),0,
         IF(OFFSET(CRONOPLE!$F$15,$M176-$A$15,BL$13)=0,10^12,OFFSET(CRONOPLE!$F$15,$M176-$A$15,BL$13)))</f>
        <v>1000000000000</v>
      </c>
      <c r="BM176" s="171">
        <f ca="1">IF(OR($D176&lt;&gt;"Serviço",AND(AUTOEVENTO="Manual",$M176=$A$15)),0,
         IF(OFFSET(CRONOPLE!$F$15,$M176-$A$15,BM$13)=0,10^12,OFFSET(CRONOPLE!$F$15,$M176-$A$15,BM$13)))</f>
        <v>1000000000000</v>
      </c>
      <c r="BN176" s="171">
        <f ca="1">IF(OR($D176&lt;&gt;"Serviço",AND(AUTOEVENTO="Manual",$M176=$A$15)),0,
         IF(OFFSET(CRONOPLE!$F$15,$M176-$A$15,BN$13)=0,10^12,OFFSET(CRONOPLE!$F$15,$M176-$A$15,BN$13)))</f>
        <v>1000000000000</v>
      </c>
      <c r="BO176" s="171">
        <f ca="1">IF(OR($D176&lt;&gt;"Serviço",AND(AUTOEVENTO="Manual",$M176=$A$15)),0,
         IF(OFFSET(CRONOPLE!$F$15,$M176-$A$15,BO$13)=0,10^12,OFFSET(CRONOPLE!$F$15,$M176-$A$15,BO$13)))</f>
        <v>1000000000000</v>
      </c>
      <c r="BP176" s="171">
        <f ca="1">IF(OR($D176&lt;&gt;"Serviço",AND(AUTOEVENTO="Manual",$M176=$A$15)),0,
         IF(OFFSET(CRONOPLE!$F$15,$M176-$A$15,BP$13)=0,10^12,OFFSET(CRONOPLE!$F$15,$M176-$A$15,BP$13)))</f>
        <v>1000000000000</v>
      </c>
      <c r="BQ176" s="171">
        <f ca="1">IF(OR($D176&lt;&gt;"Serviço",AND(AUTOEVENTO="Manual",$M176=$A$15)),0,
         IF(OFFSET(CRONOPLE!$F$15,$M176-$A$15,BQ$13)=0,10^12,OFFSET(CRONOPLE!$F$15,$M176-$A$15,BQ$13)))</f>
        <v>1000000000000</v>
      </c>
      <c r="BR176" s="171">
        <f ca="1">IF(OR($D176&lt;&gt;"Serviço",AND(AUTOEVENTO="Manual",$M176=$A$15)),0,
         IF(OFFSET(CRONOPLE!$F$15,$M176-$A$15,BR$13)=0,10^12,OFFSET(CRONOPLE!$F$15,$M176-$A$15,BR$13)))</f>
        <v>1000000000000</v>
      </c>
      <c r="BS176" s="171">
        <f ca="1">IF(OR($D176&lt;&gt;"Serviço",AND(AUTOEVENTO="Manual",$M176=$A$15)),0,
         IF(OFFSET(CRONOPLE!$F$15,$M176-$A$15,BS$13)=0,10^12,OFFSET(CRONOPLE!$F$15,$M176-$A$15,BS$13)))</f>
        <v>1000000000000</v>
      </c>
      <c r="BT176" s="171">
        <f ca="1">IF(OR($D176&lt;&gt;"Serviço",AND(AUTOEVENTO="Manual",$M176=$A$15)),0,
         IF(OFFSET(CRONOPLE!$F$15,$M176-$A$15,BT$13)=0,10^12,OFFSET(CRONOPLE!$F$15,$M176-$A$15,BT$13)))</f>
        <v>1000000000000</v>
      </c>
      <c r="BV176" s="172" cm="1">
        <f t="array" aca="1" ref="BV176" ca="1">IF(OR($D176&lt;&gt;"Serviço",AND(AUTOEVENTO="Manual",$M176=$A$15),$M176&gt;(ROW(PLE.lastrow)-ROW(PLE.firstrow))),0,
           IF(OFFSET(PLE!$G$15,$M176-$A$15,BV$13)="",10^12,OFFSET(PLE!$G$15,$M176-$A$15,BV$13)))</f>
        <v>1000000000000</v>
      </c>
      <c r="BW176" s="172" cm="1">
        <f t="array" aca="1" ref="BW176" ca="1">IF(OR($D176&lt;&gt;"Serviço",AND(AUTOEVENTO="Manual",$M176=$A$15),$M176&gt;(ROW(PLE.lastrow)-ROW(PLE.firstrow))),0,
           IF(OFFSET(PLE!$G$15,$M176-$A$15,BW$13)="",10^12,OFFSET(PLE!$G$15,$M176-$A$15,BW$13)))</f>
        <v>1000000000000</v>
      </c>
      <c r="BX176" s="172" cm="1">
        <f t="array" aca="1" ref="BX176" ca="1">IF(OR($D176&lt;&gt;"Serviço",AND(AUTOEVENTO="Manual",$M176=$A$15),$M176&gt;(ROW(PLE.lastrow)-ROW(PLE.firstrow))),0,
           IF(OFFSET(PLE!$G$15,$M176-$A$15,BX$13)="",10^12,OFFSET(PLE!$G$15,$M176-$A$15,BX$13)))</f>
        <v>1000000000000</v>
      </c>
      <c r="BY176" s="172" cm="1">
        <f t="array" aca="1" ref="BY176" ca="1">IF(OR($D176&lt;&gt;"Serviço",AND(AUTOEVENTO="Manual",$M176=$A$15),$M176&gt;(ROW(PLE.lastrow)-ROW(PLE.firstrow))),0,
           IF(OFFSET(PLE!$G$15,$M176-$A$15,BY$13)="",10^12,OFFSET(PLE!$G$15,$M176-$A$15,BY$13)))</f>
        <v>1000000000000</v>
      </c>
      <c r="BZ176" s="172" cm="1">
        <f t="array" aca="1" ref="BZ176" ca="1">IF(OR($D176&lt;&gt;"Serviço",AND(AUTOEVENTO="Manual",$M176=$A$15),$M176&gt;(ROW(PLE.lastrow)-ROW(PLE.firstrow))),0,
           IF(OFFSET(PLE!$G$15,$M176-$A$15,BZ$13)="",10^12,OFFSET(PLE!$G$15,$M176-$A$15,BZ$13)))</f>
        <v>1000000000000</v>
      </c>
      <c r="CA176" s="172" cm="1">
        <f t="array" aca="1" ref="CA176" ca="1">IF(OR($D176&lt;&gt;"Serviço",AND(AUTOEVENTO="Manual",$M176=$A$15),$M176&gt;(ROW(PLE.lastrow)-ROW(PLE.firstrow))),0,
           IF(OFFSET(PLE!$G$15,$M176-$A$15,CA$13)="",10^12,OFFSET(PLE!$G$15,$M176-$A$15,CA$13)))</f>
        <v>1000000000000</v>
      </c>
      <c r="CB176" s="172" cm="1">
        <f t="array" aca="1" ref="CB176" ca="1">IF(OR($D176&lt;&gt;"Serviço",AND(AUTOEVENTO="Manual",$M176=$A$15),$M176&gt;(ROW(PLE.lastrow)-ROW(PLE.firstrow))),0,
           IF(OFFSET(PLE!$G$15,$M176-$A$15,CB$13)="",10^12,OFFSET(PLE!$G$15,$M176-$A$15,CB$13)))</f>
        <v>1000000000000</v>
      </c>
      <c r="CC176" s="172" cm="1">
        <f t="array" aca="1" ref="CC176" ca="1">IF(OR($D176&lt;&gt;"Serviço",AND(AUTOEVENTO="Manual",$M176=$A$15),$M176&gt;(ROW(PLE.lastrow)-ROW(PLE.firstrow))),0,
           IF(OFFSET(PLE!$G$15,$M176-$A$15,CC$13)="",10^12,OFFSET(PLE!$G$15,$M176-$A$15,CC$13)))</f>
        <v>1000000000000</v>
      </c>
      <c r="CD176" s="172" cm="1">
        <f t="array" aca="1" ref="CD176" ca="1">IF(OR($D176&lt;&gt;"Serviço",AND(AUTOEVENTO="Manual",$M176=$A$15),$M176&gt;(ROW(PLE.lastrow)-ROW(PLE.firstrow))),0,
           IF(OFFSET(PLE!$G$15,$M176-$A$15,CD$13)="",10^12,OFFSET(PLE!$G$15,$M176-$A$15,CD$13)))</f>
        <v>1000000000000</v>
      </c>
      <c r="CE176" s="172" cm="1">
        <f t="array" aca="1" ref="CE176" ca="1">IF(OR($D176&lt;&gt;"Serviço",AND(AUTOEVENTO="Manual",$M176=$A$15),$M176&gt;(ROW(PLE.lastrow)-ROW(PLE.firstrow))),0,
           IF(OFFSET(PLE!$G$15,$M176-$A$15,CE$13)="",10^12,OFFSET(PLE!$G$15,$M176-$A$15,CE$13)))</f>
        <v>1000000000000</v>
      </c>
      <c r="CF176" s="172" cm="1">
        <f t="array" aca="1" ref="CF176" ca="1">IF(OR($D176&lt;&gt;"Serviço",AND(AUTOEVENTO="Manual",$M176=$A$15),$M176&gt;(ROW(PLE.lastrow)-ROW(PLE.firstrow))),0,
           IF(OFFSET(PLE!$G$15,$M176-$A$15,CF$13)="",10^12,OFFSET(PLE!$G$15,$M176-$A$15,CF$13)))</f>
        <v>1000000000000</v>
      </c>
      <c r="CG176" s="172" cm="1">
        <f t="array" aca="1" ref="CG176" ca="1">IF(OR($D176&lt;&gt;"Serviço",AND(AUTOEVENTO="Manual",$M176=$A$15),$M176&gt;(ROW(PLE.lastrow)-ROW(PLE.firstrow))),0,
           IF(OFFSET(PLE!$G$15,$M176-$A$15,CG$13)="",10^12,OFFSET(PLE!$G$15,$M176-$A$15,CG$13)))</f>
        <v>1000000000000</v>
      </c>
      <c r="CH176" s="172" cm="1">
        <f t="array" aca="1" ref="CH176" ca="1">IF(OR($D176&lt;&gt;"Serviço",AND(AUTOEVENTO="Manual",$M176=$A$15),$M176&gt;(ROW(PLE.lastrow)-ROW(PLE.firstrow))),0,
           IF(OFFSET(PLE!$G$15,$M176-$A$15,CH$13)="",10^12,OFFSET(PLE!$G$15,$M176-$A$15,CH$13)))</f>
        <v>1000000000000</v>
      </c>
      <c r="CI176" s="172" cm="1">
        <f t="array" aca="1" ref="CI176" ca="1">IF(OR($D176&lt;&gt;"Serviço",AND(AUTOEVENTO="Manual",$M176=$A$15),$M176&gt;(ROW(PLE.lastrow)-ROW(PLE.firstrow))),0,
           IF(OFFSET(PLE!$G$15,$M176-$A$15,CI$13)="",10^12,OFFSET(PLE!$G$15,$M176-$A$15,CI$13)))</f>
        <v>1000000000000</v>
      </c>
      <c r="CJ176" s="172" cm="1">
        <f t="array" aca="1" ref="CJ176" ca="1">IF(OR($D176&lt;&gt;"Serviço",AND(AUTOEVENTO="Manual",$M176=$A$15),$M176&gt;(ROW(PLE.lastrow)-ROW(PLE.firstrow))),0,
           IF(OFFSET(PLE!$G$15,$M176-$A$15,CJ$13)="",10^12,OFFSET(PLE!$G$15,$M176-$A$15,CJ$13)))</f>
        <v>1000000000000</v>
      </c>
      <c r="CK176" s="172" cm="1">
        <f t="array" aca="1" ref="CK176" ca="1">IF(OR($D176&lt;&gt;"Serviço",AND(AUTOEVENTO="Manual",$M176=$A$15),$M176&gt;(ROW(PLE.lastrow)-ROW(PLE.firstrow))),0,
           IF(OFFSET(PLE!$G$15,$M176-$A$15,CK$13)="",10^12,OFFSET(PLE!$G$15,$M176-$A$15,CK$13)))</f>
        <v>1000000000000</v>
      </c>
      <c r="CL176" s="172" cm="1">
        <f t="array" aca="1" ref="CL176" ca="1">IF(OR($D176&lt;&gt;"Serviço",AND(AUTOEVENTO="Manual",$M176=$A$15),$M176&gt;(ROW(PLE.lastrow)-ROW(PLE.firstrow))),0,
           IF(OFFSET(PLE!$G$15,$M176-$A$15,CL$13)="",10^12,OFFSET(PLE!$G$15,$M176-$A$15,CL$13)))</f>
        <v>1000000000000</v>
      </c>
      <c r="CM176" s="172" cm="1">
        <f t="array" aca="1" ref="CM176" ca="1">IF(OR($D176&lt;&gt;"Serviço",AND(AUTOEVENTO="Manual",$M176=$A$15),$M176&gt;(ROW(PLE.lastrow)-ROW(PLE.firstrow))),0,
           IF(OFFSET(PLE!$G$15,$M176-$A$15,CM$13)="",10^12,OFFSET(PLE!$G$15,$M176-$A$15,CM$13)))</f>
        <v>1000000000000</v>
      </c>
    </row>
    <row r="177" spans="1:91" s="670" customFormat="1" ht="38.25" x14ac:dyDescent="0.2">
      <c r="A177" s="668">
        <f t="shared" ca="1" si="14"/>
        <v>8</v>
      </c>
      <c r="B177" s="668" t="str">
        <f ca="1">OFFSET(ORÇAMENTO!C$15,$L177,0)</f>
        <v>S</v>
      </c>
      <c r="C177" s="668" t="str">
        <f ca="1">OFFSET(ORÇAMENTO!L$15,$L177,0)</f>
        <v>F</v>
      </c>
      <c r="D177" s="116" t="str">
        <f ca="1">OFFSET(ORÇAMENTO!N$15,$L177,0)</f>
        <v>Serviço</v>
      </c>
      <c r="E177" s="117" t="str">
        <f ca="1">OFFSET(ORÇAMENTO!O$15,$L177,0)</f>
        <v>1.23.7.</v>
      </c>
      <c r="F177" s="163" t="str">
        <f ca="1">OFFSET(ORÇAMENTO!R$15,$L177,0)</f>
        <v>REGISTRO DE GAVETA BRUTO, LATÃO, ROSCÁVEL, 1 1/2", COM ACABAMENTO E CANOPLA CROMADOS - FORNECIMENTO E INSTALAÇÃO. AF_08/2021</v>
      </c>
      <c r="G177" s="164" t="str">
        <f ca="1">IF($D177&lt;&gt;"Serviço","",OFFSET(ORÇAMENTO!S$15,$L177,0))</f>
        <v>UN</v>
      </c>
      <c r="H177" s="122" cm="1">
        <f t="array" aca="1" ref="H177" ca="1">IF($D177&lt;&gt;"Serviço",0,IF(ACOMPANHAMENTO="BM",ROUND(OFFSET(ORÇAMENTO!AJ$15,$L177,0),15-13*ORÇAMENTO!$AF$7),IF(IFERROR(CÁLCULO.FrentesPreenchidas,0)=0,0,SUM(ROUND(OFFSET($P177,0,1,1,CÁLCULO.FrentesPreenchidas),15-13*ORÇAMENTO!$AF$7)))))</f>
        <v>8</v>
      </c>
      <c r="I177" s="468"/>
      <c r="J177" s="651" t="str" cm="1">
        <f t="array" aca="1" ref="J177" ca="1">IF(OR(B177&lt;&gt;"S",CÁLCULO.FrentesPreenchidas=0),"",IF(AND(ACOMPANHAMENTO="PLE",AUTOEVENTO="Manual",OR(H177&gt;0,ORÇAMENTO!AC177="QUANT."),OR(K177="",M177=0,N177="")),"►E",IF(AND(ACOMPANHAMENTO="PLE",ORÇAMENTO!AC177="QUANT."),"►Q",IF(AND(ACOMPANHAMENTO="PLE",H177&lt;&gt;SUMPRODUCT(($Q$1:$AI$1=1)*ROUND(Q177:AI177,15))),"►S",IF(AND(COUNTIF($P$11:$AI$11,"▼")=0,H177&gt;0,I177=""),"◄M","")))))</f>
        <v>◄M</v>
      </c>
      <c r="K177" s="652" t="s">
        <v>1352</v>
      </c>
      <c r="L177" s="165">
        <f t="shared" ca="1" si="15"/>
        <v>162</v>
      </c>
      <c r="M177" s="166">
        <f ca="1">IF($D177&lt;&gt;"Serviço","",
          IF(AUTOEVENTO="manual",$A177,
                IF(ISERROR(MATCH($A177,$A$15:OFFSET($A177,-1,0),0)),MAX($M$15:OFFSET(M177,-1,0))+1,
                      INDEX($M$15:OFFSET(M177,-1,0),MATCH($A177,$A$15:OFFSET($A177,-1,0),0)))))</f>
        <v>8</v>
      </c>
      <c r="N177" s="167" t="str">
        <f ca="1">IF($D177&lt;&gt;"Serviço","",
         IF(AUTOEVENTO="Manual",
                IF($A177=0,"&lt;-- defina o número do agrupador",
                       OFFSET(EVENTOS!$D$15,$A177-$A$15,0)),
                OFFSET($F$15,$A177,0)))</f>
        <v>Assentamento de tubulação</v>
      </c>
      <c r="O177" s="168"/>
      <c r="Q177" s="168"/>
      <c r="R177" s="169"/>
      <c r="S177" s="169"/>
      <c r="T177" s="169"/>
      <c r="U177" s="169"/>
      <c r="V177" s="169"/>
      <c r="W177" s="169">
        <v>8</v>
      </c>
      <c r="X177" s="169"/>
      <c r="Y177" s="169"/>
      <c r="Z177" s="170"/>
      <c r="AA177" s="705"/>
      <c r="AB177" s="705"/>
      <c r="AC177" s="705"/>
      <c r="AD177" s="705"/>
      <c r="AE177" s="705"/>
      <c r="AF177" s="705"/>
      <c r="AG177" s="705"/>
      <c r="AH177" s="706"/>
      <c r="AJ177" s="453">
        <f ca="1">IF(AND($D177="Serviço",AJ$12&lt;&gt;0,$H177&gt;0,OR(AUTOEVENTO&lt;&gt;"manual",$M177&lt;&gt;$A$15)),
        IF(Import.TipoArredondamento&lt;&gt;"TransfereGOV",
              ROUND(OFFSET($P177,0,AJ$13),15-13*ORÇAMENTO!$AF$7)/$H177*OFFSET(ORÇAMENTO!$X$15,ROW(AJ177)-ROW(AJ$15),0),
              ROUND(ROUND(OFFSET($P177,0,AJ$13),15-13*ORÇAMENTO!$AF$7)*OFFSET(ORÇAMENTO!$W$15,ROW(AJ177)-ROW(AJ$15),0),15-13*ORÇAMENTO!$AF$11)),
         0)</f>
        <v>0</v>
      </c>
      <c r="AK177" s="453">
        <f ca="1">IF(AND($D177="Serviço",AK$12&lt;&gt;0,$H177&gt;0,OR(AUTOEVENTO&lt;&gt;"manual",$M177&lt;&gt;$A$15)),
        IF(Import.TipoArredondamento&lt;&gt;"TransfereGOV",
              ROUND(OFFSET($P177,0,AK$13),15-13*ORÇAMENTO!$AF$7)/$H177*OFFSET(ORÇAMENTO!$X$15,ROW(AK177)-ROW(AK$15),0),
              ROUND(ROUND(OFFSET($P177,0,AK$13),15-13*ORÇAMENTO!$AF$7)*OFFSET(ORÇAMENTO!$W$15,ROW(AK177)-ROW(AK$15),0),15-13*ORÇAMENTO!$AF$11)),
         0)</f>
        <v>0</v>
      </c>
      <c r="AL177" s="453">
        <f ca="1">IF(AND($D177="Serviço",AL$12&lt;&gt;0,$H177&gt;0,OR(AUTOEVENTO&lt;&gt;"manual",$M177&lt;&gt;$A$15)),
        IF(Import.TipoArredondamento&lt;&gt;"TransfereGOV",
              ROUND(OFFSET($P177,0,AL$13),15-13*ORÇAMENTO!$AF$7)/$H177*OFFSET(ORÇAMENTO!$X$15,ROW(AL177)-ROW(AL$15),0),
              ROUND(ROUND(OFFSET($P177,0,AL$13),15-13*ORÇAMENTO!$AF$7)*OFFSET(ORÇAMENTO!$W$15,ROW(AL177)-ROW(AL$15),0),15-13*ORÇAMENTO!$AF$11)),
         0)</f>
        <v>0</v>
      </c>
      <c r="AM177" s="453">
        <f ca="1">IF(AND($D177="Serviço",AM$12&lt;&gt;0,$H177&gt;0,OR(AUTOEVENTO&lt;&gt;"manual",$M177&lt;&gt;$A$15)),
        IF(Import.TipoArredondamento&lt;&gt;"TransfereGOV",
              ROUND(OFFSET($P177,0,AM$13),15-13*ORÇAMENTO!$AF$7)/$H177*OFFSET(ORÇAMENTO!$X$15,ROW(AM177)-ROW(AM$15),0),
              ROUND(ROUND(OFFSET($P177,0,AM$13),15-13*ORÇAMENTO!$AF$7)*OFFSET(ORÇAMENTO!$W$15,ROW(AM177)-ROW(AM$15),0),15-13*ORÇAMENTO!$AF$11)),
         0)</f>
        <v>0</v>
      </c>
      <c r="AN177" s="453">
        <f ca="1">IF(AND($D177="Serviço",AN$12&lt;&gt;0,$H177&gt;0,OR(AUTOEVENTO&lt;&gt;"manual",$M177&lt;&gt;$A$15)),
        IF(Import.TipoArredondamento&lt;&gt;"TransfereGOV",
              ROUND(OFFSET($P177,0,AN$13),15-13*ORÇAMENTO!$AF$7)/$H177*OFFSET(ORÇAMENTO!$X$15,ROW(AN177)-ROW(AN$15),0),
              ROUND(ROUND(OFFSET($P177,0,AN$13),15-13*ORÇAMENTO!$AF$7)*OFFSET(ORÇAMENTO!$W$15,ROW(AN177)-ROW(AN$15),0),15-13*ORÇAMENTO!$AF$11)),
         0)</f>
        <v>0</v>
      </c>
      <c r="AO177" s="453">
        <f ca="1">IF(AND($D177="Serviço",AO$12&lt;&gt;0,$H177&gt;0,OR(AUTOEVENTO&lt;&gt;"manual",$M177&lt;&gt;$A$15)),
        IF(Import.TipoArredondamento&lt;&gt;"TransfereGOV",
              ROUND(OFFSET($P177,0,AO$13),15-13*ORÇAMENTO!$AF$7)/$H177*OFFSET(ORÇAMENTO!$X$15,ROW(AO177)-ROW(AO$15),0),
              ROUND(ROUND(OFFSET($P177,0,AO$13),15-13*ORÇAMENTO!$AF$7)*OFFSET(ORÇAMENTO!$W$15,ROW(AO177)-ROW(AO$15),0),15-13*ORÇAMENTO!$AF$11)),
         0)</f>
        <v>0</v>
      </c>
      <c r="AP177" s="453">
        <f ca="1">IF(AND($D177="Serviço",AP$12&lt;&gt;0,$H177&gt;0,OR(AUTOEVENTO&lt;&gt;"manual",$M177&lt;&gt;$A$15)),
        IF(Import.TipoArredondamento&lt;&gt;"TransfereGOV",
              ROUND(OFFSET($P177,0,AP$13),15-13*ORÇAMENTO!$AF$7)/$H177*OFFSET(ORÇAMENTO!$X$15,ROW(AP177)-ROW(AP$15),0),
              ROUND(ROUND(OFFSET($P177,0,AP$13),15-13*ORÇAMENTO!$AF$7)*OFFSET(ORÇAMENTO!$W$15,ROW(AP177)-ROW(AP$15),0),15-13*ORÇAMENTO!$AF$11)),
         0)</f>
        <v>2669.6</v>
      </c>
      <c r="AQ177" s="453">
        <f ca="1">IF(AND($D177="Serviço",AQ$12&lt;&gt;0,$H177&gt;0,OR(AUTOEVENTO&lt;&gt;"manual",$M177&lt;&gt;$A$15)),
        IF(Import.TipoArredondamento&lt;&gt;"TransfereGOV",
              ROUND(OFFSET($P177,0,AQ$13),15-13*ORÇAMENTO!$AF$7)/$H177*OFFSET(ORÇAMENTO!$X$15,ROW(AQ177)-ROW(AQ$15),0),
              ROUND(ROUND(OFFSET($P177,0,AQ$13),15-13*ORÇAMENTO!$AF$7)*OFFSET(ORÇAMENTO!$W$15,ROW(AQ177)-ROW(AQ$15),0),15-13*ORÇAMENTO!$AF$11)),
         0)</f>
        <v>0</v>
      </c>
      <c r="AR177" s="453">
        <f ca="1">IF(AND($D177="Serviço",AR$12&lt;&gt;0,$H177&gt;0,OR(AUTOEVENTO&lt;&gt;"manual",$M177&lt;&gt;$A$15)),
        IF(Import.TipoArredondamento&lt;&gt;"TransfereGOV",
              ROUND(OFFSET($P177,0,AR$13),15-13*ORÇAMENTO!$AF$7)/$H177*OFFSET(ORÇAMENTO!$X$15,ROW(AR177)-ROW(AR$15),0),
              ROUND(ROUND(OFFSET($P177,0,AR$13),15-13*ORÇAMENTO!$AF$7)*OFFSET(ORÇAMENTO!$W$15,ROW(AR177)-ROW(AR$15),0),15-13*ORÇAMENTO!$AF$11)),
         0)</f>
        <v>0</v>
      </c>
      <c r="AS177" s="453">
        <f ca="1">IF(AND($D177="Serviço",AS$12&lt;&gt;0,$H177&gt;0,OR(AUTOEVENTO&lt;&gt;"manual",$M177&lt;&gt;$A$15)),
        IF(Import.TipoArredondamento&lt;&gt;"TransfereGOV",
              ROUND(OFFSET($P177,0,AS$13),15-13*ORÇAMENTO!$AF$7)/$H177*OFFSET(ORÇAMENTO!$X$15,ROW(AS177)-ROW(AS$15),0),
              ROUND(ROUND(OFFSET($P177,0,AS$13),15-13*ORÇAMENTO!$AF$7)*OFFSET(ORÇAMENTO!$W$15,ROW(AS177)-ROW(AS$15),0),15-13*ORÇAMENTO!$AF$11)),
         0)</f>
        <v>0</v>
      </c>
      <c r="AT177" s="453">
        <f ca="1">IF(AND($D177="Serviço",AT$12&lt;&gt;0,$H177&gt;0,OR(AUTOEVENTO&lt;&gt;"manual",$M177&lt;&gt;$A$15)),
        IF(Import.TipoArredondamento&lt;&gt;"TransfereGOV",
              ROUND(OFFSET($P177,0,AT$13),15-13*ORÇAMENTO!$AF$7)/$H177*OFFSET(ORÇAMENTO!$X$15,ROW(AT177)-ROW(AT$15),0),
              ROUND(ROUND(OFFSET($P177,0,AT$13),15-13*ORÇAMENTO!$AF$7)*OFFSET(ORÇAMENTO!$W$15,ROW(AT177)-ROW(AT$15),0),15-13*ORÇAMENTO!$AF$11)),
         0)</f>
        <v>0</v>
      </c>
      <c r="AU177" s="453">
        <f ca="1">IF(AND($D177="Serviço",AU$12&lt;&gt;0,$H177&gt;0,OR(AUTOEVENTO&lt;&gt;"manual",$M177&lt;&gt;$A$15)),
        IF(Import.TipoArredondamento&lt;&gt;"TransfereGOV",
              ROUND(OFFSET($P177,0,AU$13),15-13*ORÇAMENTO!$AF$7)/$H177*OFFSET(ORÇAMENTO!$X$15,ROW(AU177)-ROW(AU$15),0),
              ROUND(ROUND(OFFSET($P177,0,AU$13),15-13*ORÇAMENTO!$AF$7)*OFFSET(ORÇAMENTO!$W$15,ROW(AU177)-ROW(AU$15),0),15-13*ORÇAMENTO!$AF$11)),
         0)</f>
        <v>0</v>
      </c>
      <c r="AV177" s="453">
        <f ca="1">IF(AND($D177="Serviço",AV$12&lt;&gt;0,$H177&gt;0,OR(AUTOEVENTO&lt;&gt;"manual",$M177&lt;&gt;$A$15)),
        IF(Import.TipoArredondamento&lt;&gt;"TransfereGOV",
              ROUND(OFFSET($P177,0,AV$13),15-13*ORÇAMENTO!$AF$7)/$H177*OFFSET(ORÇAMENTO!$X$15,ROW(AV177)-ROW(AV$15),0),
              ROUND(ROUND(OFFSET($P177,0,AV$13),15-13*ORÇAMENTO!$AF$7)*OFFSET(ORÇAMENTO!$W$15,ROW(AV177)-ROW(AV$15),0),15-13*ORÇAMENTO!$AF$11)),
         0)</f>
        <v>0</v>
      </c>
      <c r="AW177" s="453">
        <f ca="1">IF(AND($D177="Serviço",AW$12&lt;&gt;0,$H177&gt;0,OR(AUTOEVENTO&lt;&gt;"manual",$M177&lt;&gt;$A$15)),
        IF(Import.TipoArredondamento&lt;&gt;"TransfereGOV",
              ROUND(OFFSET($P177,0,AW$13),15-13*ORÇAMENTO!$AF$7)/$H177*OFFSET(ORÇAMENTO!$X$15,ROW(AW177)-ROW(AW$15),0),
              ROUND(ROUND(OFFSET($P177,0,AW$13),15-13*ORÇAMENTO!$AF$7)*OFFSET(ORÇAMENTO!$W$15,ROW(AW177)-ROW(AW$15),0),15-13*ORÇAMENTO!$AF$11)),
         0)</f>
        <v>0</v>
      </c>
      <c r="AX177" s="453">
        <f ca="1">IF(AND($D177="Serviço",AX$12&lt;&gt;0,$H177&gt;0,OR(AUTOEVENTO&lt;&gt;"manual",$M177&lt;&gt;$A$15)),
        IF(Import.TipoArredondamento&lt;&gt;"TransfereGOV",
              ROUND(OFFSET($P177,0,AX$13),15-13*ORÇAMENTO!$AF$7)/$H177*OFFSET(ORÇAMENTO!$X$15,ROW(AX177)-ROW(AX$15),0),
              ROUND(ROUND(OFFSET($P177,0,AX$13),15-13*ORÇAMENTO!$AF$7)*OFFSET(ORÇAMENTO!$W$15,ROW(AX177)-ROW(AX$15),0),15-13*ORÇAMENTO!$AF$11)),
         0)</f>
        <v>0</v>
      </c>
      <c r="AY177" s="453">
        <f ca="1">IF(AND($D177="Serviço",AY$12&lt;&gt;0,$H177&gt;0,OR(AUTOEVENTO&lt;&gt;"manual",$M177&lt;&gt;$A$15)),
        IF(Import.TipoArredondamento&lt;&gt;"TransfereGOV",
              ROUND(OFFSET($P177,0,AY$13),15-13*ORÇAMENTO!$AF$7)/$H177*OFFSET(ORÇAMENTO!$X$15,ROW(AY177)-ROW(AY$15),0),
              ROUND(ROUND(OFFSET($P177,0,AY$13),15-13*ORÇAMENTO!$AF$7)*OFFSET(ORÇAMENTO!$W$15,ROW(AY177)-ROW(AY$15),0),15-13*ORÇAMENTO!$AF$11)),
         0)</f>
        <v>0</v>
      </c>
      <c r="AZ177" s="453">
        <f ca="1">IF(AND($D177="Serviço",AZ$12&lt;&gt;0,$H177&gt;0,OR(AUTOEVENTO&lt;&gt;"manual",$M177&lt;&gt;$A$15)),
        IF(Import.TipoArredondamento&lt;&gt;"TransfereGOV",
              ROUND(OFFSET($P177,0,AZ$13),15-13*ORÇAMENTO!$AF$7)/$H177*OFFSET(ORÇAMENTO!$X$15,ROW(AZ177)-ROW(AZ$15),0),
              ROUND(ROUND(OFFSET($P177,0,AZ$13),15-13*ORÇAMENTO!$AF$7)*OFFSET(ORÇAMENTO!$W$15,ROW(AZ177)-ROW(AZ$15),0),15-13*ORÇAMENTO!$AF$11)),
         0)</f>
        <v>0</v>
      </c>
      <c r="BA177" s="453">
        <f ca="1">IF(AND($D177="Serviço",BA$12&lt;&gt;0,$H177&gt;0,OR(AUTOEVENTO&lt;&gt;"manual",$M177&lt;&gt;$A$15)),
        IF(Import.TipoArredondamento&lt;&gt;"TransfereGOV",
              ROUND(OFFSET($P177,0,BA$13),15-13*ORÇAMENTO!$AF$7)/$H177*OFFSET(ORÇAMENTO!$X$15,ROW(BA177)-ROW(BA$15),0),
              ROUND(ROUND(OFFSET($P177,0,BA$13),15-13*ORÇAMENTO!$AF$7)*OFFSET(ORÇAMENTO!$W$15,ROW(BA177)-ROW(BA$15),0),15-13*ORÇAMENTO!$AF$11)),
         0)</f>
        <v>0</v>
      </c>
      <c r="BC177" s="171">
        <f ca="1">IF(OR($D177&lt;&gt;"Serviço",AND(AUTOEVENTO="Manual",$M177=$A$15)),0,
         IF(OFFSET(CRONOPLE!$F$15,$M177-$A$15,BC$13)=0,10^12,OFFSET(CRONOPLE!$F$15,$M177-$A$15,BC$13)))</f>
        <v>1000000000000</v>
      </c>
      <c r="BD177" s="171">
        <f ca="1">IF(OR($D177&lt;&gt;"Serviço",AND(AUTOEVENTO="Manual",$M177=$A$15)),0,
         IF(OFFSET(CRONOPLE!$F$15,$M177-$A$15,BD$13)=0,10^12,OFFSET(CRONOPLE!$F$15,$M177-$A$15,BD$13)))</f>
        <v>1000000000000</v>
      </c>
      <c r="BE177" s="171">
        <f ca="1">IF(OR($D177&lt;&gt;"Serviço",AND(AUTOEVENTO="Manual",$M177=$A$15)),0,
         IF(OFFSET(CRONOPLE!$F$15,$M177-$A$15,BE$13)=0,10^12,OFFSET(CRONOPLE!$F$15,$M177-$A$15,BE$13)))</f>
        <v>1000000000000</v>
      </c>
      <c r="BF177" s="171">
        <f ca="1">IF(OR($D177&lt;&gt;"Serviço",AND(AUTOEVENTO="Manual",$M177=$A$15)),0,
         IF(OFFSET(CRONOPLE!$F$15,$M177-$A$15,BF$13)=0,10^12,OFFSET(CRONOPLE!$F$15,$M177-$A$15,BF$13)))</f>
        <v>1000000000000</v>
      </c>
      <c r="BG177" s="171">
        <f ca="1">IF(OR($D177&lt;&gt;"Serviço",AND(AUTOEVENTO="Manual",$M177=$A$15)),0,
         IF(OFFSET(CRONOPLE!$F$15,$M177-$A$15,BG$13)=0,10^12,OFFSET(CRONOPLE!$F$15,$M177-$A$15,BG$13)))</f>
        <v>7</v>
      </c>
      <c r="BH177" s="171">
        <f ca="1">IF(OR($D177&lt;&gt;"Serviço",AND(AUTOEVENTO="Manual",$M177=$A$15)),0,
         IF(OFFSET(CRONOPLE!$F$15,$M177-$A$15,BH$13)=0,10^12,OFFSET(CRONOPLE!$F$15,$M177-$A$15,BH$13)))</f>
        <v>1000000000000</v>
      </c>
      <c r="BI177" s="171">
        <f ca="1">IF(OR($D177&lt;&gt;"Serviço",AND(AUTOEVENTO="Manual",$M177=$A$15)),0,
         IF(OFFSET(CRONOPLE!$F$15,$M177-$A$15,BI$13)=0,10^12,OFFSET(CRONOPLE!$F$15,$M177-$A$15,BI$13)))</f>
        <v>11</v>
      </c>
      <c r="BJ177" s="171">
        <f ca="1">IF(OR($D177&lt;&gt;"Serviço",AND(AUTOEVENTO="Manual",$M177=$A$15)),0,
         IF(OFFSET(CRONOPLE!$F$15,$M177-$A$15,BJ$13)=0,10^12,OFFSET(CRONOPLE!$F$15,$M177-$A$15,BJ$13)))</f>
        <v>1000000000000</v>
      </c>
      <c r="BK177" s="171">
        <f ca="1">IF(OR($D177&lt;&gt;"Serviço",AND(AUTOEVENTO="Manual",$M177=$A$15)),0,
         IF(OFFSET(CRONOPLE!$F$15,$M177-$A$15,BK$13)=0,10^12,OFFSET(CRONOPLE!$F$15,$M177-$A$15,BK$13)))</f>
        <v>1000000000000</v>
      </c>
      <c r="BL177" s="171">
        <f ca="1">IF(OR($D177&lt;&gt;"Serviço",AND(AUTOEVENTO="Manual",$M177=$A$15)),0,
         IF(OFFSET(CRONOPLE!$F$15,$M177-$A$15,BL$13)=0,10^12,OFFSET(CRONOPLE!$F$15,$M177-$A$15,BL$13)))</f>
        <v>1000000000000</v>
      </c>
      <c r="BM177" s="171">
        <f ca="1">IF(OR($D177&lt;&gt;"Serviço",AND(AUTOEVENTO="Manual",$M177=$A$15)),0,
         IF(OFFSET(CRONOPLE!$F$15,$M177-$A$15,BM$13)=0,10^12,OFFSET(CRONOPLE!$F$15,$M177-$A$15,BM$13)))</f>
        <v>1000000000000</v>
      </c>
      <c r="BN177" s="171">
        <f ca="1">IF(OR($D177&lt;&gt;"Serviço",AND(AUTOEVENTO="Manual",$M177=$A$15)),0,
         IF(OFFSET(CRONOPLE!$F$15,$M177-$A$15,BN$13)=0,10^12,OFFSET(CRONOPLE!$F$15,$M177-$A$15,BN$13)))</f>
        <v>1000000000000</v>
      </c>
      <c r="BO177" s="171">
        <f ca="1">IF(OR($D177&lt;&gt;"Serviço",AND(AUTOEVENTO="Manual",$M177=$A$15)),0,
         IF(OFFSET(CRONOPLE!$F$15,$M177-$A$15,BO$13)=0,10^12,OFFSET(CRONOPLE!$F$15,$M177-$A$15,BO$13)))</f>
        <v>1000000000000</v>
      </c>
      <c r="BP177" s="171">
        <f ca="1">IF(OR($D177&lt;&gt;"Serviço",AND(AUTOEVENTO="Manual",$M177=$A$15)),0,
         IF(OFFSET(CRONOPLE!$F$15,$M177-$A$15,BP$13)=0,10^12,OFFSET(CRONOPLE!$F$15,$M177-$A$15,BP$13)))</f>
        <v>1000000000000</v>
      </c>
      <c r="BQ177" s="171">
        <f ca="1">IF(OR($D177&lt;&gt;"Serviço",AND(AUTOEVENTO="Manual",$M177=$A$15)),0,
         IF(OFFSET(CRONOPLE!$F$15,$M177-$A$15,BQ$13)=0,10^12,OFFSET(CRONOPLE!$F$15,$M177-$A$15,BQ$13)))</f>
        <v>1000000000000</v>
      </c>
      <c r="BR177" s="171">
        <f ca="1">IF(OR($D177&lt;&gt;"Serviço",AND(AUTOEVENTO="Manual",$M177=$A$15)),0,
         IF(OFFSET(CRONOPLE!$F$15,$M177-$A$15,BR$13)=0,10^12,OFFSET(CRONOPLE!$F$15,$M177-$A$15,BR$13)))</f>
        <v>1000000000000</v>
      </c>
      <c r="BS177" s="171">
        <f ca="1">IF(OR($D177&lt;&gt;"Serviço",AND(AUTOEVENTO="Manual",$M177=$A$15)),0,
         IF(OFFSET(CRONOPLE!$F$15,$M177-$A$15,BS$13)=0,10^12,OFFSET(CRONOPLE!$F$15,$M177-$A$15,BS$13)))</f>
        <v>1000000000000</v>
      </c>
      <c r="BT177" s="171">
        <f ca="1">IF(OR($D177&lt;&gt;"Serviço",AND(AUTOEVENTO="Manual",$M177=$A$15)),0,
         IF(OFFSET(CRONOPLE!$F$15,$M177-$A$15,BT$13)=0,10^12,OFFSET(CRONOPLE!$F$15,$M177-$A$15,BT$13)))</f>
        <v>1000000000000</v>
      </c>
      <c r="BV177" s="172" cm="1">
        <f t="array" aca="1" ref="BV177" ca="1">IF(OR($D177&lt;&gt;"Serviço",AND(AUTOEVENTO="Manual",$M177=$A$15),$M177&gt;(ROW(PLE.lastrow)-ROW(PLE.firstrow))),0,
           IF(OFFSET(PLE!$G$15,$M177-$A$15,BV$13)="",10^12,OFFSET(PLE!$G$15,$M177-$A$15,BV$13)))</f>
        <v>1000000000000</v>
      </c>
      <c r="BW177" s="172" cm="1">
        <f t="array" aca="1" ref="BW177" ca="1">IF(OR($D177&lt;&gt;"Serviço",AND(AUTOEVENTO="Manual",$M177=$A$15),$M177&gt;(ROW(PLE.lastrow)-ROW(PLE.firstrow))),0,
           IF(OFFSET(PLE!$G$15,$M177-$A$15,BW$13)="",10^12,OFFSET(PLE!$G$15,$M177-$A$15,BW$13)))</f>
        <v>1000000000000</v>
      </c>
      <c r="BX177" s="172" cm="1">
        <f t="array" aca="1" ref="BX177" ca="1">IF(OR($D177&lt;&gt;"Serviço",AND(AUTOEVENTO="Manual",$M177=$A$15),$M177&gt;(ROW(PLE.lastrow)-ROW(PLE.firstrow))),0,
           IF(OFFSET(PLE!$G$15,$M177-$A$15,BX$13)="",10^12,OFFSET(PLE!$G$15,$M177-$A$15,BX$13)))</f>
        <v>1000000000000</v>
      </c>
      <c r="BY177" s="172" cm="1">
        <f t="array" aca="1" ref="BY177" ca="1">IF(OR($D177&lt;&gt;"Serviço",AND(AUTOEVENTO="Manual",$M177=$A$15),$M177&gt;(ROW(PLE.lastrow)-ROW(PLE.firstrow))),0,
           IF(OFFSET(PLE!$G$15,$M177-$A$15,BY$13)="",10^12,OFFSET(PLE!$G$15,$M177-$A$15,BY$13)))</f>
        <v>1000000000000</v>
      </c>
      <c r="BZ177" s="172" cm="1">
        <f t="array" aca="1" ref="BZ177" ca="1">IF(OR($D177&lt;&gt;"Serviço",AND(AUTOEVENTO="Manual",$M177=$A$15),$M177&gt;(ROW(PLE.lastrow)-ROW(PLE.firstrow))),0,
           IF(OFFSET(PLE!$G$15,$M177-$A$15,BZ$13)="",10^12,OFFSET(PLE!$G$15,$M177-$A$15,BZ$13)))</f>
        <v>1000000000000</v>
      </c>
      <c r="CA177" s="172" cm="1">
        <f t="array" aca="1" ref="CA177" ca="1">IF(OR($D177&lt;&gt;"Serviço",AND(AUTOEVENTO="Manual",$M177=$A$15),$M177&gt;(ROW(PLE.lastrow)-ROW(PLE.firstrow))),0,
           IF(OFFSET(PLE!$G$15,$M177-$A$15,CA$13)="",10^12,OFFSET(PLE!$G$15,$M177-$A$15,CA$13)))</f>
        <v>1000000000000</v>
      </c>
      <c r="CB177" s="172" cm="1">
        <f t="array" aca="1" ref="CB177" ca="1">IF(OR($D177&lt;&gt;"Serviço",AND(AUTOEVENTO="Manual",$M177=$A$15),$M177&gt;(ROW(PLE.lastrow)-ROW(PLE.firstrow))),0,
           IF(OFFSET(PLE!$G$15,$M177-$A$15,CB$13)="",10^12,OFFSET(PLE!$G$15,$M177-$A$15,CB$13)))</f>
        <v>1000000000000</v>
      </c>
      <c r="CC177" s="172" cm="1">
        <f t="array" aca="1" ref="CC177" ca="1">IF(OR($D177&lt;&gt;"Serviço",AND(AUTOEVENTO="Manual",$M177=$A$15),$M177&gt;(ROW(PLE.lastrow)-ROW(PLE.firstrow))),0,
           IF(OFFSET(PLE!$G$15,$M177-$A$15,CC$13)="",10^12,OFFSET(PLE!$G$15,$M177-$A$15,CC$13)))</f>
        <v>1000000000000</v>
      </c>
      <c r="CD177" s="172" cm="1">
        <f t="array" aca="1" ref="CD177" ca="1">IF(OR($D177&lt;&gt;"Serviço",AND(AUTOEVENTO="Manual",$M177=$A$15),$M177&gt;(ROW(PLE.lastrow)-ROW(PLE.firstrow))),0,
           IF(OFFSET(PLE!$G$15,$M177-$A$15,CD$13)="",10^12,OFFSET(PLE!$G$15,$M177-$A$15,CD$13)))</f>
        <v>1000000000000</v>
      </c>
      <c r="CE177" s="172" cm="1">
        <f t="array" aca="1" ref="CE177" ca="1">IF(OR($D177&lt;&gt;"Serviço",AND(AUTOEVENTO="Manual",$M177=$A$15),$M177&gt;(ROW(PLE.lastrow)-ROW(PLE.firstrow))),0,
           IF(OFFSET(PLE!$G$15,$M177-$A$15,CE$13)="",10^12,OFFSET(PLE!$G$15,$M177-$A$15,CE$13)))</f>
        <v>1000000000000</v>
      </c>
      <c r="CF177" s="172" cm="1">
        <f t="array" aca="1" ref="CF177" ca="1">IF(OR($D177&lt;&gt;"Serviço",AND(AUTOEVENTO="Manual",$M177=$A$15),$M177&gt;(ROW(PLE.lastrow)-ROW(PLE.firstrow))),0,
           IF(OFFSET(PLE!$G$15,$M177-$A$15,CF$13)="",10^12,OFFSET(PLE!$G$15,$M177-$A$15,CF$13)))</f>
        <v>1000000000000</v>
      </c>
      <c r="CG177" s="172" cm="1">
        <f t="array" aca="1" ref="CG177" ca="1">IF(OR($D177&lt;&gt;"Serviço",AND(AUTOEVENTO="Manual",$M177=$A$15),$M177&gt;(ROW(PLE.lastrow)-ROW(PLE.firstrow))),0,
           IF(OFFSET(PLE!$G$15,$M177-$A$15,CG$13)="",10^12,OFFSET(PLE!$G$15,$M177-$A$15,CG$13)))</f>
        <v>1000000000000</v>
      </c>
      <c r="CH177" s="172" cm="1">
        <f t="array" aca="1" ref="CH177" ca="1">IF(OR($D177&lt;&gt;"Serviço",AND(AUTOEVENTO="Manual",$M177=$A$15),$M177&gt;(ROW(PLE.lastrow)-ROW(PLE.firstrow))),0,
           IF(OFFSET(PLE!$G$15,$M177-$A$15,CH$13)="",10^12,OFFSET(PLE!$G$15,$M177-$A$15,CH$13)))</f>
        <v>1000000000000</v>
      </c>
      <c r="CI177" s="172" cm="1">
        <f t="array" aca="1" ref="CI177" ca="1">IF(OR($D177&lt;&gt;"Serviço",AND(AUTOEVENTO="Manual",$M177=$A$15),$M177&gt;(ROW(PLE.lastrow)-ROW(PLE.firstrow))),0,
           IF(OFFSET(PLE!$G$15,$M177-$A$15,CI$13)="",10^12,OFFSET(PLE!$G$15,$M177-$A$15,CI$13)))</f>
        <v>1000000000000</v>
      </c>
      <c r="CJ177" s="172" cm="1">
        <f t="array" aca="1" ref="CJ177" ca="1">IF(OR($D177&lt;&gt;"Serviço",AND(AUTOEVENTO="Manual",$M177=$A$15),$M177&gt;(ROW(PLE.lastrow)-ROW(PLE.firstrow))),0,
           IF(OFFSET(PLE!$G$15,$M177-$A$15,CJ$13)="",10^12,OFFSET(PLE!$G$15,$M177-$A$15,CJ$13)))</f>
        <v>1000000000000</v>
      </c>
      <c r="CK177" s="172" cm="1">
        <f t="array" aca="1" ref="CK177" ca="1">IF(OR($D177&lt;&gt;"Serviço",AND(AUTOEVENTO="Manual",$M177=$A$15),$M177&gt;(ROW(PLE.lastrow)-ROW(PLE.firstrow))),0,
           IF(OFFSET(PLE!$G$15,$M177-$A$15,CK$13)="",10^12,OFFSET(PLE!$G$15,$M177-$A$15,CK$13)))</f>
        <v>1000000000000</v>
      </c>
      <c r="CL177" s="172" cm="1">
        <f t="array" aca="1" ref="CL177" ca="1">IF(OR($D177&lt;&gt;"Serviço",AND(AUTOEVENTO="Manual",$M177=$A$15),$M177&gt;(ROW(PLE.lastrow)-ROW(PLE.firstrow))),0,
           IF(OFFSET(PLE!$G$15,$M177-$A$15,CL$13)="",10^12,OFFSET(PLE!$G$15,$M177-$A$15,CL$13)))</f>
        <v>1000000000000</v>
      </c>
      <c r="CM177" s="172" cm="1">
        <f t="array" aca="1" ref="CM177" ca="1">IF(OR($D177&lt;&gt;"Serviço",AND(AUTOEVENTO="Manual",$M177=$A$15),$M177&gt;(ROW(PLE.lastrow)-ROW(PLE.firstrow))),0,
           IF(OFFSET(PLE!$G$15,$M177-$A$15,CM$13)="",10^12,OFFSET(PLE!$G$15,$M177-$A$15,CM$13)))</f>
        <v>1000000000000</v>
      </c>
    </row>
    <row r="178" spans="1:91" s="670" customFormat="1" ht="25.5" x14ac:dyDescent="0.2">
      <c r="A178" s="668">
        <f t="shared" ca="1" si="14"/>
        <v>8</v>
      </c>
      <c r="B178" s="668" t="str">
        <f ca="1">OFFSET(ORÇAMENTO!C$15,$L178,0)</f>
        <v>S</v>
      </c>
      <c r="C178" s="668" t="str">
        <f ca="1">OFFSET(ORÇAMENTO!L$15,$L178,0)</f>
        <v>F</v>
      </c>
      <c r="D178" s="116" t="str">
        <f ca="1">OFFSET(ORÇAMENTO!N$15,$L178,0)</f>
        <v>Serviço</v>
      </c>
      <c r="E178" s="117" t="str">
        <f ca="1">OFFSET(ORÇAMENTO!O$15,$L178,0)</f>
        <v>1.23.8.</v>
      </c>
      <c r="F178" s="163" t="str">
        <f ca="1">OFFSET(ORÇAMENTO!R$15,$L178,0)</f>
        <v>TE DE PVC-PBA,COM TRES BOLSAS DE JUNTA ELASTICA, DIAMETRO NO MINAL DE 50MM. FORNECIMENTO</v>
      </c>
      <c r="G178" s="164" t="str">
        <f ca="1">IF($D178&lt;&gt;"Serviço","",OFFSET(ORÇAMENTO!S$15,$L178,0))</f>
        <v>UNIDADE</v>
      </c>
      <c r="H178" s="122" cm="1">
        <f t="array" aca="1" ref="H178" ca="1">IF($D178&lt;&gt;"Serviço",0,IF(ACOMPANHAMENTO="BM",ROUND(OFFSET(ORÇAMENTO!AJ$15,$L178,0),15-13*ORÇAMENTO!$AF$7),IF(IFERROR(CÁLCULO.FrentesPreenchidas,0)=0,0,SUM(ROUND(OFFSET($P178,0,1,1,CÁLCULO.FrentesPreenchidas),15-13*ORÇAMENTO!$AF$7)))))</f>
        <v>18</v>
      </c>
      <c r="I178" s="468"/>
      <c r="J178" s="651" t="str" cm="1">
        <f t="array" aca="1" ref="J178" ca="1">IF(OR(B178&lt;&gt;"S",CÁLCULO.FrentesPreenchidas=0),"",IF(AND(ACOMPANHAMENTO="PLE",AUTOEVENTO="Manual",OR(H178&gt;0,ORÇAMENTO!AC178="QUANT."),OR(K178="",M178=0,N178="")),"►E",IF(AND(ACOMPANHAMENTO="PLE",ORÇAMENTO!AC178="QUANT."),"►Q",IF(AND(ACOMPANHAMENTO="PLE",H178&lt;&gt;SUMPRODUCT(($Q$1:$AI$1=1)*ROUND(Q178:AI178,15))),"►S",IF(AND(COUNTIF($P$11:$AI$11,"▼")=0,H178&gt;0,I178=""),"◄M","")))))</f>
        <v>◄M</v>
      </c>
      <c r="K178" s="652" t="s">
        <v>1352</v>
      </c>
      <c r="L178" s="165">
        <f t="shared" ca="1" si="15"/>
        <v>163</v>
      </c>
      <c r="M178" s="166">
        <f ca="1">IF($D178&lt;&gt;"Serviço","",
          IF(AUTOEVENTO="manual",$A178,
                IF(ISERROR(MATCH($A178,$A$15:OFFSET($A178,-1,0),0)),MAX($M$15:OFFSET(M178,-1,0))+1,
                      INDEX($M$15:OFFSET(M178,-1,0),MATCH($A178,$A$15:OFFSET($A178,-1,0),0)))))</f>
        <v>8</v>
      </c>
      <c r="N178" s="167" t="str">
        <f ca="1">IF($D178&lt;&gt;"Serviço","",
         IF(AUTOEVENTO="Manual",
                IF($A178=0,"&lt;-- defina o número do agrupador",
                       OFFSET(EVENTOS!$D$15,$A178-$A$15,0)),
                OFFSET($F$15,$A178,0)))</f>
        <v>Assentamento de tubulação</v>
      </c>
      <c r="O178" s="168"/>
      <c r="Q178" s="168"/>
      <c r="R178" s="169"/>
      <c r="S178" s="169"/>
      <c r="T178" s="169"/>
      <c r="U178" s="169"/>
      <c r="V178" s="169"/>
      <c r="W178" s="169">
        <v>18</v>
      </c>
      <c r="X178" s="169"/>
      <c r="Y178" s="169"/>
      <c r="Z178" s="170"/>
      <c r="AA178" s="705"/>
      <c r="AB178" s="705"/>
      <c r="AC178" s="705"/>
      <c r="AD178" s="705"/>
      <c r="AE178" s="705"/>
      <c r="AF178" s="705"/>
      <c r="AG178" s="705"/>
      <c r="AH178" s="706"/>
      <c r="AJ178" s="453">
        <f ca="1">IF(AND($D178="Serviço",AJ$12&lt;&gt;0,$H178&gt;0,OR(AUTOEVENTO&lt;&gt;"manual",$M178&lt;&gt;$A$15)),
        IF(Import.TipoArredondamento&lt;&gt;"TransfereGOV",
              ROUND(OFFSET($P178,0,AJ$13),15-13*ORÇAMENTO!$AF$7)/$H178*OFFSET(ORÇAMENTO!$X$15,ROW(AJ178)-ROW(AJ$15),0),
              ROUND(ROUND(OFFSET($P178,0,AJ$13),15-13*ORÇAMENTO!$AF$7)*OFFSET(ORÇAMENTO!$W$15,ROW(AJ178)-ROW(AJ$15),0),15-13*ORÇAMENTO!$AF$11)),
         0)</f>
        <v>0</v>
      </c>
      <c r="AK178" s="453">
        <f ca="1">IF(AND($D178="Serviço",AK$12&lt;&gt;0,$H178&gt;0,OR(AUTOEVENTO&lt;&gt;"manual",$M178&lt;&gt;$A$15)),
        IF(Import.TipoArredondamento&lt;&gt;"TransfereGOV",
              ROUND(OFFSET($P178,0,AK$13),15-13*ORÇAMENTO!$AF$7)/$H178*OFFSET(ORÇAMENTO!$X$15,ROW(AK178)-ROW(AK$15),0),
              ROUND(ROUND(OFFSET($P178,0,AK$13),15-13*ORÇAMENTO!$AF$7)*OFFSET(ORÇAMENTO!$W$15,ROW(AK178)-ROW(AK$15),0),15-13*ORÇAMENTO!$AF$11)),
         0)</f>
        <v>0</v>
      </c>
      <c r="AL178" s="453">
        <f ca="1">IF(AND($D178="Serviço",AL$12&lt;&gt;0,$H178&gt;0,OR(AUTOEVENTO&lt;&gt;"manual",$M178&lt;&gt;$A$15)),
        IF(Import.TipoArredondamento&lt;&gt;"TransfereGOV",
              ROUND(OFFSET($P178,0,AL$13),15-13*ORÇAMENTO!$AF$7)/$H178*OFFSET(ORÇAMENTO!$X$15,ROW(AL178)-ROW(AL$15),0),
              ROUND(ROUND(OFFSET($P178,0,AL$13),15-13*ORÇAMENTO!$AF$7)*OFFSET(ORÇAMENTO!$W$15,ROW(AL178)-ROW(AL$15),0),15-13*ORÇAMENTO!$AF$11)),
         0)</f>
        <v>0</v>
      </c>
      <c r="AM178" s="453">
        <f ca="1">IF(AND($D178="Serviço",AM$12&lt;&gt;0,$H178&gt;0,OR(AUTOEVENTO&lt;&gt;"manual",$M178&lt;&gt;$A$15)),
        IF(Import.TipoArredondamento&lt;&gt;"TransfereGOV",
              ROUND(OFFSET($P178,0,AM$13),15-13*ORÇAMENTO!$AF$7)/$H178*OFFSET(ORÇAMENTO!$X$15,ROW(AM178)-ROW(AM$15),0),
              ROUND(ROUND(OFFSET($P178,0,AM$13),15-13*ORÇAMENTO!$AF$7)*OFFSET(ORÇAMENTO!$W$15,ROW(AM178)-ROW(AM$15),0),15-13*ORÇAMENTO!$AF$11)),
         0)</f>
        <v>0</v>
      </c>
      <c r="AN178" s="453">
        <f ca="1">IF(AND($D178="Serviço",AN$12&lt;&gt;0,$H178&gt;0,OR(AUTOEVENTO&lt;&gt;"manual",$M178&lt;&gt;$A$15)),
        IF(Import.TipoArredondamento&lt;&gt;"TransfereGOV",
              ROUND(OFFSET($P178,0,AN$13),15-13*ORÇAMENTO!$AF$7)/$H178*OFFSET(ORÇAMENTO!$X$15,ROW(AN178)-ROW(AN$15),0),
              ROUND(ROUND(OFFSET($P178,0,AN$13),15-13*ORÇAMENTO!$AF$7)*OFFSET(ORÇAMENTO!$W$15,ROW(AN178)-ROW(AN$15),0),15-13*ORÇAMENTO!$AF$11)),
         0)</f>
        <v>0</v>
      </c>
      <c r="AO178" s="453">
        <f ca="1">IF(AND($D178="Serviço",AO$12&lt;&gt;0,$H178&gt;0,OR(AUTOEVENTO&lt;&gt;"manual",$M178&lt;&gt;$A$15)),
        IF(Import.TipoArredondamento&lt;&gt;"TransfereGOV",
              ROUND(OFFSET($P178,0,AO$13),15-13*ORÇAMENTO!$AF$7)/$H178*OFFSET(ORÇAMENTO!$X$15,ROW(AO178)-ROW(AO$15),0),
              ROUND(ROUND(OFFSET($P178,0,AO$13),15-13*ORÇAMENTO!$AF$7)*OFFSET(ORÇAMENTO!$W$15,ROW(AO178)-ROW(AO$15),0),15-13*ORÇAMENTO!$AF$11)),
         0)</f>
        <v>0</v>
      </c>
      <c r="AP178" s="453">
        <f ca="1">IF(AND($D178="Serviço",AP$12&lt;&gt;0,$H178&gt;0,OR(AUTOEVENTO&lt;&gt;"manual",$M178&lt;&gt;$A$15)),
        IF(Import.TipoArredondamento&lt;&gt;"TransfereGOV",
              ROUND(OFFSET($P178,0,AP$13),15-13*ORÇAMENTO!$AF$7)/$H178*OFFSET(ORÇAMENTO!$X$15,ROW(AP178)-ROW(AP$15),0),
              ROUND(ROUND(OFFSET($P178,0,AP$13),15-13*ORÇAMENTO!$AF$7)*OFFSET(ORÇAMENTO!$W$15,ROW(AP178)-ROW(AP$15),0),15-13*ORÇAMENTO!$AF$11)),
         0)</f>
        <v>564.48</v>
      </c>
      <c r="AQ178" s="453">
        <f ca="1">IF(AND($D178="Serviço",AQ$12&lt;&gt;0,$H178&gt;0,OR(AUTOEVENTO&lt;&gt;"manual",$M178&lt;&gt;$A$15)),
        IF(Import.TipoArredondamento&lt;&gt;"TransfereGOV",
              ROUND(OFFSET($P178,0,AQ$13),15-13*ORÇAMENTO!$AF$7)/$H178*OFFSET(ORÇAMENTO!$X$15,ROW(AQ178)-ROW(AQ$15),0),
              ROUND(ROUND(OFFSET($P178,0,AQ$13),15-13*ORÇAMENTO!$AF$7)*OFFSET(ORÇAMENTO!$W$15,ROW(AQ178)-ROW(AQ$15),0),15-13*ORÇAMENTO!$AF$11)),
         0)</f>
        <v>0</v>
      </c>
      <c r="AR178" s="453">
        <f ca="1">IF(AND($D178="Serviço",AR$12&lt;&gt;0,$H178&gt;0,OR(AUTOEVENTO&lt;&gt;"manual",$M178&lt;&gt;$A$15)),
        IF(Import.TipoArredondamento&lt;&gt;"TransfereGOV",
              ROUND(OFFSET($P178,0,AR$13),15-13*ORÇAMENTO!$AF$7)/$H178*OFFSET(ORÇAMENTO!$X$15,ROW(AR178)-ROW(AR$15),0),
              ROUND(ROUND(OFFSET($P178,0,AR$13),15-13*ORÇAMENTO!$AF$7)*OFFSET(ORÇAMENTO!$W$15,ROW(AR178)-ROW(AR$15),0),15-13*ORÇAMENTO!$AF$11)),
         0)</f>
        <v>0</v>
      </c>
      <c r="AS178" s="453">
        <f ca="1">IF(AND($D178="Serviço",AS$12&lt;&gt;0,$H178&gt;0,OR(AUTOEVENTO&lt;&gt;"manual",$M178&lt;&gt;$A$15)),
        IF(Import.TipoArredondamento&lt;&gt;"TransfereGOV",
              ROUND(OFFSET($P178,0,AS$13),15-13*ORÇAMENTO!$AF$7)/$H178*OFFSET(ORÇAMENTO!$X$15,ROW(AS178)-ROW(AS$15),0),
              ROUND(ROUND(OFFSET($P178,0,AS$13),15-13*ORÇAMENTO!$AF$7)*OFFSET(ORÇAMENTO!$W$15,ROW(AS178)-ROW(AS$15),0),15-13*ORÇAMENTO!$AF$11)),
         0)</f>
        <v>0</v>
      </c>
      <c r="AT178" s="453">
        <f ca="1">IF(AND($D178="Serviço",AT$12&lt;&gt;0,$H178&gt;0,OR(AUTOEVENTO&lt;&gt;"manual",$M178&lt;&gt;$A$15)),
        IF(Import.TipoArredondamento&lt;&gt;"TransfereGOV",
              ROUND(OFFSET($P178,0,AT$13),15-13*ORÇAMENTO!$AF$7)/$H178*OFFSET(ORÇAMENTO!$X$15,ROW(AT178)-ROW(AT$15),0),
              ROUND(ROUND(OFFSET($P178,0,AT$13),15-13*ORÇAMENTO!$AF$7)*OFFSET(ORÇAMENTO!$W$15,ROW(AT178)-ROW(AT$15),0),15-13*ORÇAMENTO!$AF$11)),
         0)</f>
        <v>0</v>
      </c>
      <c r="AU178" s="453">
        <f ca="1">IF(AND($D178="Serviço",AU$12&lt;&gt;0,$H178&gt;0,OR(AUTOEVENTO&lt;&gt;"manual",$M178&lt;&gt;$A$15)),
        IF(Import.TipoArredondamento&lt;&gt;"TransfereGOV",
              ROUND(OFFSET($P178,0,AU$13),15-13*ORÇAMENTO!$AF$7)/$H178*OFFSET(ORÇAMENTO!$X$15,ROW(AU178)-ROW(AU$15),0),
              ROUND(ROUND(OFFSET($P178,0,AU$13),15-13*ORÇAMENTO!$AF$7)*OFFSET(ORÇAMENTO!$W$15,ROW(AU178)-ROW(AU$15),0),15-13*ORÇAMENTO!$AF$11)),
         0)</f>
        <v>0</v>
      </c>
      <c r="AV178" s="453">
        <f ca="1">IF(AND($D178="Serviço",AV$12&lt;&gt;0,$H178&gt;0,OR(AUTOEVENTO&lt;&gt;"manual",$M178&lt;&gt;$A$15)),
        IF(Import.TipoArredondamento&lt;&gt;"TransfereGOV",
              ROUND(OFFSET($P178,0,AV$13),15-13*ORÇAMENTO!$AF$7)/$H178*OFFSET(ORÇAMENTO!$X$15,ROW(AV178)-ROW(AV$15),0),
              ROUND(ROUND(OFFSET($P178,0,AV$13),15-13*ORÇAMENTO!$AF$7)*OFFSET(ORÇAMENTO!$W$15,ROW(AV178)-ROW(AV$15),0),15-13*ORÇAMENTO!$AF$11)),
         0)</f>
        <v>0</v>
      </c>
      <c r="AW178" s="453">
        <f ca="1">IF(AND($D178="Serviço",AW$12&lt;&gt;0,$H178&gt;0,OR(AUTOEVENTO&lt;&gt;"manual",$M178&lt;&gt;$A$15)),
        IF(Import.TipoArredondamento&lt;&gt;"TransfereGOV",
              ROUND(OFFSET($P178,0,AW$13),15-13*ORÇAMENTO!$AF$7)/$H178*OFFSET(ORÇAMENTO!$X$15,ROW(AW178)-ROW(AW$15),0),
              ROUND(ROUND(OFFSET($P178,0,AW$13),15-13*ORÇAMENTO!$AF$7)*OFFSET(ORÇAMENTO!$W$15,ROW(AW178)-ROW(AW$15),0),15-13*ORÇAMENTO!$AF$11)),
         0)</f>
        <v>0</v>
      </c>
      <c r="AX178" s="453">
        <f ca="1">IF(AND($D178="Serviço",AX$12&lt;&gt;0,$H178&gt;0,OR(AUTOEVENTO&lt;&gt;"manual",$M178&lt;&gt;$A$15)),
        IF(Import.TipoArredondamento&lt;&gt;"TransfereGOV",
              ROUND(OFFSET($P178,0,AX$13),15-13*ORÇAMENTO!$AF$7)/$H178*OFFSET(ORÇAMENTO!$X$15,ROW(AX178)-ROW(AX$15),0),
              ROUND(ROUND(OFFSET($P178,0,AX$13),15-13*ORÇAMENTO!$AF$7)*OFFSET(ORÇAMENTO!$W$15,ROW(AX178)-ROW(AX$15),0),15-13*ORÇAMENTO!$AF$11)),
         0)</f>
        <v>0</v>
      </c>
      <c r="AY178" s="453">
        <f ca="1">IF(AND($D178="Serviço",AY$12&lt;&gt;0,$H178&gt;0,OR(AUTOEVENTO&lt;&gt;"manual",$M178&lt;&gt;$A$15)),
        IF(Import.TipoArredondamento&lt;&gt;"TransfereGOV",
              ROUND(OFFSET($P178,0,AY$13),15-13*ORÇAMENTO!$AF$7)/$H178*OFFSET(ORÇAMENTO!$X$15,ROW(AY178)-ROW(AY$15),0),
              ROUND(ROUND(OFFSET($P178,0,AY$13),15-13*ORÇAMENTO!$AF$7)*OFFSET(ORÇAMENTO!$W$15,ROW(AY178)-ROW(AY$15),0),15-13*ORÇAMENTO!$AF$11)),
         0)</f>
        <v>0</v>
      </c>
      <c r="AZ178" s="453">
        <f ca="1">IF(AND($D178="Serviço",AZ$12&lt;&gt;0,$H178&gt;0,OR(AUTOEVENTO&lt;&gt;"manual",$M178&lt;&gt;$A$15)),
        IF(Import.TipoArredondamento&lt;&gt;"TransfereGOV",
              ROUND(OFFSET($P178,0,AZ$13),15-13*ORÇAMENTO!$AF$7)/$H178*OFFSET(ORÇAMENTO!$X$15,ROW(AZ178)-ROW(AZ$15),0),
              ROUND(ROUND(OFFSET($P178,0,AZ$13),15-13*ORÇAMENTO!$AF$7)*OFFSET(ORÇAMENTO!$W$15,ROW(AZ178)-ROW(AZ$15),0),15-13*ORÇAMENTO!$AF$11)),
         0)</f>
        <v>0</v>
      </c>
      <c r="BA178" s="453">
        <f ca="1">IF(AND($D178="Serviço",BA$12&lt;&gt;0,$H178&gt;0,OR(AUTOEVENTO&lt;&gt;"manual",$M178&lt;&gt;$A$15)),
        IF(Import.TipoArredondamento&lt;&gt;"TransfereGOV",
              ROUND(OFFSET($P178,0,BA$13),15-13*ORÇAMENTO!$AF$7)/$H178*OFFSET(ORÇAMENTO!$X$15,ROW(BA178)-ROW(BA$15),0),
              ROUND(ROUND(OFFSET($P178,0,BA$13),15-13*ORÇAMENTO!$AF$7)*OFFSET(ORÇAMENTO!$W$15,ROW(BA178)-ROW(BA$15),0),15-13*ORÇAMENTO!$AF$11)),
         0)</f>
        <v>0</v>
      </c>
      <c r="BC178" s="171">
        <f ca="1">IF(OR($D178&lt;&gt;"Serviço",AND(AUTOEVENTO="Manual",$M178=$A$15)),0,
         IF(OFFSET(CRONOPLE!$F$15,$M178-$A$15,BC$13)=0,10^12,OFFSET(CRONOPLE!$F$15,$M178-$A$15,BC$13)))</f>
        <v>1000000000000</v>
      </c>
      <c r="BD178" s="171">
        <f ca="1">IF(OR($D178&lt;&gt;"Serviço",AND(AUTOEVENTO="Manual",$M178=$A$15)),0,
         IF(OFFSET(CRONOPLE!$F$15,$M178-$A$15,BD$13)=0,10^12,OFFSET(CRONOPLE!$F$15,$M178-$A$15,BD$13)))</f>
        <v>1000000000000</v>
      </c>
      <c r="BE178" s="171">
        <f ca="1">IF(OR($D178&lt;&gt;"Serviço",AND(AUTOEVENTO="Manual",$M178=$A$15)),0,
         IF(OFFSET(CRONOPLE!$F$15,$M178-$A$15,BE$13)=0,10^12,OFFSET(CRONOPLE!$F$15,$M178-$A$15,BE$13)))</f>
        <v>1000000000000</v>
      </c>
      <c r="BF178" s="171">
        <f ca="1">IF(OR($D178&lt;&gt;"Serviço",AND(AUTOEVENTO="Manual",$M178=$A$15)),0,
         IF(OFFSET(CRONOPLE!$F$15,$M178-$A$15,BF$13)=0,10^12,OFFSET(CRONOPLE!$F$15,$M178-$A$15,BF$13)))</f>
        <v>1000000000000</v>
      </c>
      <c r="BG178" s="171">
        <f ca="1">IF(OR($D178&lt;&gt;"Serviço",AND(AUTOEVENTO="Manual",$M178=$A$15)),0,
         IF(OFFSET(CRONOPLE!$F$15,$M178-$A$15,BG$13)=0,10^12,OFFSET(CRONOPLE!$F$15,$M178-$A$15,BG$13)))</f>
        <v>7</v>
      </c>
      <c r="BH178" s="171">
        <f ca="1">IF(OR($D178&lt;&gt;"Serviço",AND(AUTOEVENTO="Manual",$M178=$A$15)),0,
         IF(OFFSET(CRONOPLE!$F$15,$M178-$A$15,BH$13)=0,10^12,OFFSET(CRONOPLE!$F$15,$M178-$A$15,BH$13)))</f>
        <v>1000000000000</v>
      </c>
      <c r="BI178" s="171">
        <f ca="1">IF(OR($D178&lt;&gt;"Serviço",AND(AUTOEVENTO="Manual",$M178=$A$15)),0,
         IF(OFFSET(CRONOPLE!$F$15,$M178-$A$15,BI$13)=0,10^12,OFFSET(CRONOPLE!$F$15,$M178-$A$15,BI$13)))</f>
        <v>11</v>
      </c>
      <c r="BJ178" s="171">
        <f ca="1">IF(OR($D178&lt;&gt;"Serviço",AND(AUTOEVENTO="Manual",$M178=$A$15)),0,
         IF(OFFSET(CRONOPLE!$F$15,$M178-$A$15,BJ$13)=0,10^12,OFFSET(CRONOPLE!$F$15,$M178-$A$15,BJ$13)))</f>
        <v>1000000000000</v>
      </c>
      <c r="BK178" s="171">
        <f ca="1">IF(OR($D178&lt;&gt;"Serviço",AND(AUTOEVENTO="Manual",$M178=$A$15)),0,
         IF(OFFSET(CRONOPLE!$F$15,$M178-$A$15,BK$13)=0,10^12,OFFSET(CRONOPLE!$F$15,$M178-$A$15,BK$13)))</f>
        <v>1000000000000</v>
      </c>
      <c r="BL178" s="171">
        <f ca="1">IF(OR($D178&lt;&gt;"Serviço",AND(AUTOEVENTO="Manual",$M178=$A$15)),0,
         IF(OFFSET(CRONOPLE!$F$15,$M178-$A$15,BL$13)=0,10^12,OFFSET(CRONOPLE!$F$15,$M178-$A$15,BL$13)))</f>
        <v>1000000000000</v>
      </c>
      <c r="BM178" s="171">
        <f ca="1">IF(OR($D178&lt;&gt;"Serviço",AND(AUTOEVENTO="Manual",$M178=$A$15)),0,
         IF(OFFSET(CRONOPLE!$F$15,$M178-$A$15,BM$13)=0,10^12,OFFSET(CRONOPLE!$F$15,$M178-$A$15,BM$13)))</f>
        <v>1000000000000</v>
      </c>
      <c r="BN178" s="171">
        <f ca="1">IF(OR($D178&lt;&gt;"Serviço",AND(AUTOEVENTO="Manual",$M178=$A$15)),0,
         IF(OFFSET(CRONOPLE!$F$15,$M178-$A$15,BN$13)=0,10^12,OFFSET(CRONOPLE!$F$15,$M178-$A$15,BN$13)))</f>
        <v>1000000000000</v>
      </c>
      <c r="BO178" s="171">
        <f ca="1">IF(OR($D178&lt;&gt;"Serviço",AND(AUTOEVENTO="Manual",$M178=$A$15)),0,
         IF(OFFSET(CRONOPLE!$F$15,$M178-$A$15,BO$13)=0,10^12,OFFSET(CRONOPLE!$F$15,$M178-$A$15,BO$13)))</f>
        <v>1000000000000</v>
      </c>
      <c r="BP178" s="171">
        <f ca="1">IF(OR($D178&lt;&gt;"Serviço",AND(AUTOEVENTO="Manual",$M178=$A$15)),0,
         IF(OFFSET(CRONOPLE!$F$15,$M178-$A$15,BP$13)=0,10^12,OFFSET(CRONOPLE!$F$15,$M178-$A$15,BP$13)))</f>
        <v>1000000000000</v>
      </c>
      <c r="BQ178" s="171">
        <f ca="1">IF(OR($D178&lt;&gt;"Serviço",AND(AUTOEVENTO="Manual",$M178=$A$15)),0,
         IF(OFFSET(CRONOPLE!$F$15,$M178-$A$15,BQ$13)=0,10^12,OFFSET(CRONOPLE!$F$15,$M178-$A$15,BQ$13)))</f>
        <v>1000000000000</v>
      </c>
      <c r="BR178" s="171">
        <f ca="1">IF(OR($D178&lt;&gt;"Serviço",AND(AUTOEVENTO="Manual",$M178=$A$15)),0,
         IF(OFFSET(CRONOPLE!$F$15,$M178-$A$15,BR$13)=0,10^12,OFFSET(CRONOPLE!$F$15,$M178-$A$15,BR$13)))</f>
        <v>1000000000000</v>
      </c>
      <c r="BS178" s="171">
        <f ca="1">IF(OR($D178&lt;&gt;"Serviço",AND(AUTOEVENTO="Manual",$M178=$A$15)),0,
         IF(OFFSET(CRONOPLE!$F$15,$M178-$A$15,BS$13)=0,10^12,OFFSET(CRONOPLE!$F$15,$M178-$A$15,BS$13)))</f>
        <v>1000000000000</v>
      </c>
      <c r="BT178" s="171">
        <f ca="1">IF(OR($D178&lt;&gt;"Serviço",AND(AUTOEVENTO="Manual",$M178=$A$15)),0,
         IF(OFFSET(CRONOPLE!$F$15,$M178-$A$15,BT$13)=0,10^12,OFFSET(CRONOPLE!$F$15,$M178-$A$15,BT$13)))</f>
        <v>1000000000000</v>
      </c>
      <c r="BV178" s="172" cm="1">
        <f t="array" aca="1" ref="BV178" ca="1">IF(OR($D178&lt;&gt;"Serviço",AND(AUTOEVENTO="Manual",$M178=$A$15),$M178&gt;(ROW(PLE.lastrow)-ROW(PLE.firstrow))),0,
           IF(OFFSET(PLE!$G$15,$M178-$A$15,BV$13)="",10^12,OFFSET(PLE!$G$15,$M178-$A$15,BV$13)))</f>
        <v>1000000000000</v>
      </c>
      <c r="BW178" s="172" cm="1">
        <f t="array" aca="1" ref="BW178" ca="1">IF(OR($D178&lt;&gt;"Serviço",AND(AUTOEVENTO="Manual",$M178=$A$15),$M178&gt;(ROW(PLE.lastrow)-ROW(PLE.firstrow))),0,
           IF(OFFSET(PLE!$G$15,$M178-$A$15,BW$13)="",10^12,OFFSET(PLE!$G$15,$M178-$A$15,BW$13)))</f>
        <v>1000000000000</v>
      </c>
      <c r="BX178" s="172" cm="1">
        <f t="array" aca="1" ref="BX178" ca="1">IF(OR($D178&lt;&gt;"Serviço",AND(AUTOEVENTO="Manual",$M178=$A$15),$M178&gt;(ROW(PLE.lastrow)-ROW(PLE.firstrow))),0,
           IF(OFFSET(PLE!$G$15,$M178-$A$15,BX$13)="",10^12,OFFSET(PLE!$G$15,$M178-$A$15,BX$13)))</f>
        <v>1000000000000</v>
      </c>
      <c r="BY178" s="172" cm="1">
        <f t="array" aca="1" ref="BY178" ca="1">IF(OR($D178&lt;&gt;"Serviço",AND(AUTOEVENTO="Manual",$M178=$A$15),$M178&gt;(ROW(PLE.lastrow)-ROW(PLE.firstrow))),0,
           IF(OFFSET(PLE!$G$15,$M178-$A$15,BY$13)="",10^12,OFFSET(PLE!$G$15,$M178-$A$15,BY$13)))</f>
        <v>1000000000000</v>
      </c>
      <c r="BZ178" s="172" cm="1">
        <f t="array" aca="1" ref="BZ178" ca="1">IF(OR($D178&lt;&gt;"Serviço",AND(AUTOEVENTO="Manual",$M178=$A$15),$M178&gt;(ROW(PLE.lastrow)-ROW(PLE.firstrow))),0,
           IF(OFFSET(PLE!$G$15,$M178-$A$15,BZ$13)="",10^12,OFFSET(PLE!$G$15,$M178-$A$15,BZ$13)))</f>
        <v>1000000000000</v>
      </c>
      <c r="CA178" s="172" cm="1">
        <f t="array" aca="1" ref="CA178" ca="1">IF(OR($D178&lt;&gt;"Serviço",AND(AUTOEVENTO="Manual",$M178=$A$15),$M178&gt;(ROW(PLE.lastrow)-ROW(PLE.firstrow))),0,
           IF(OFFSET(PLE!$G$15,$M178-$A$15,CA$13)="",10^12,OFFSET(PLE!$G$15,$M178-$A$15,CA$13)))</f>
        <v>1000000000000</v>
      </c>
      <c r="CB178" s="172" cm="1">
        <f t="array" aca="1" ref="CB178" ca="1">IF(OR($D178&lt;&gt;"Serviço",AND(AUTOEVENTO="Manual",$M178=$A$15),$M178&gt;(ROW(PLE.lastrow)-ROW(PLE.firstrow))),0,
           IF(OFFSET(PLE!$G$15,$M178-$A$15,CB$13)="",10^12,OFFSET(PLE!$G$15,$M178-$A$15,CB$13)))</f>
        <v>1000000000000</v>
      </c>
      <c r="CC178" s="172" cm="1">
        <f t="array" aca="1" ref="CC178" ca="1">IF(OR($D178&lt;&gt;"Serviço",AND(AUTOEVENTO="Manual",$M178=$A$15),$M178&gt;(ROW(PLE.lastrow)-ROW(PLE.firstrow))),0,
           IF(OFFSET(PLE!$G$15,$M178-$A$15,CC$13)="",10^12,OFFSET(PLE!$G$15,$M178-$A$15,CC$13)))</f>
        <v>1000000000000</v>
      </c>
      <c r="CD178" s="172" cm="1">
        <f t="array" aca="1" ref="CD178" ca="1">IF(OR($D178&lt;&gt;"Serviço",AND(AUTOEVENTO="Manual",$M178=$A$15),$M178&gt;(ROW(PLE.lastrow)-ROW(PLE.firstrow))),0,
           IF(OFFSET(PLE!$G$15,$M178-$A$15,CD$13)="",10^12,OFFSET(PLE!$G$15,$M178-$A$15,CD$13)))</f>
        <v>1000000000000</v>
      </c>
      <c r="CE178" s="172" cm="1">
        <f t="array" aca="1" ref="CE178" ca="1">IF(OR($D178&lt;&gt;"Serviço",AND(AUTOEVENTO="Manual",$M178=$A$15),$M178&gt;(ROW(PLE.lastrow)-ROW(PLE.firstrow))),0,
           IF(OFFSET(PLE!$G$15,$M178-$A$15,CE$13)="",10^12,OFFSET(PLE!$G$15,$M178-$A$15,CE$13)))</f>
        <v>1000000000000</v>
      </c>
      <c r="CF178" s="172" cm="1">
        <f t="array" aca="1" ref="CF178" ca="1">IF(OR($D178&lt;&gt;"Serviço",AND(AUTOEVENTO="Manual",$M178=$A$15),$M178&gt;(ROW(PLE.lastrow)-ROW(PLE.firstrow))),0,
           IF(OFFSET(PLE!$G$15,$M178-$A$15,CF$13)="",10^12,OFFSET(PLE!$G$15,$M178-$A$15,CF$13)))</f>
        <v>1000000000000</v>
      </c>
      <c r="CG178" s="172" cm="1">
        <f t="array" aca="1" ref="CG178" ca="1">IF(OR($D178&lt;&gt;"Serviço",AND(AUTOEVENTO="Manual",$M178=$A$15),$M178&gt;(ROW(PLE.lastrow)-ROW(PLE.firstrow))),0,
           IF(OFFSET(PLE!$G$15,$M178-$A$15,CG$13)="",10^12,OFFSET(PLE!$G$15,$M178-$A$15,CG$13)))</f>
        <v>1000000000000</v>
      </c>
      <c r="CH178" s="172" cm="1">
        <f t="array" aca="1" ref="CH178" ca="1">IF(OR($D178&lt;&gt;"Serviço",AND(AUTOEVENTO="Manual",$M178=$A$15),$M178&gt;(ROW(PLE.lastrow)-ROW(PLE.firstrow))),0,
           IF(OFFSET(PLE!$G$15,$M178-$A$15,CH$13)="",10^12,OFFSET(PLE!$G$15,$M178-$A$15,CH$13)))</f>
        <v>1000000000000</v>
      </c>
      <c r="CI178" s="172" cm="1">
        <f t="array" aca="1" ref="CI178" ca="1">IF(OR($D178&lt;&gt;"Serviço",AND(AUTOEVENTO="Manual",$M178=$A$15),$M178&gt;(ROW(PLE.lastrow)-ROW(PLE.firstrow))),0,
           IF(OFFSET(PLE!$G$15,$M178-$A$15,CI$13)="",10^12,OFFSET(PLE!$G$15,$M178-$A$15,CI$13)))</f>
        <v>1000000000000</v>
      </c>
      <c r="CJ178" s="172" cm="1">
        <f t="array" aca="1" ref="CJ178" ca="1">IF(OR($D178&lt;&gt;"Serviço",AND(AUTOEVENTO="Manual",$M178=$A$15),$M178&gt;(ROW(PLE.lastrow)-ROW(PLE.firstrow))),0,
           IF(OFFSET(PLE!$G$15,$M178-$A$15,CJ$13)="",10^12,OFFSET(PLE!$G$15,$M178-$A$15,CJ$13)))</f>
        <v>1000000000000</v>
      </c>
      <c r="CK178" s="172" cm="1">
        <f t="array" aca="1" ref="CK178" ca="1">IF(OR($D178&lt;&gt;"Serviço",AND(AUTOEVENTO="Manual",$M178=$A$15),$M178&gt;(ROW(PLE.lastrow)-ROW(PLE.firstrow))),0,
           IF(OFFSET(PLE!$G$15,$M178-$A$15,CK$13)="",10^12,OFFSET(PLE!$G$15,$M178-$A$15,CK$13)))</f>
        <v>1000000000000</v>
      </c>
      <c r="CL178" s="172" cm="1">
        <f t="array" aca="1" ref="CL178" ca="1">IF(OR($D178&lt;&gt;"Serviço",AND(AUTOEVENTO="Manual",$M178=$A$15),$M178&gt;(ROW(PLE.lastrow)-ROW(PLE.firstrow))),0,
           IF(OFFSET(PLE!$G$15,$M178-$A$15,CL$13)="",10^12,OFFSET(PLE!$G$15,$M178-$A$15,CL$13)))</f>
        <v>1000000000000</v>
      </c>
      <c r="CM178" s="172" cm="1">
        <f t="array" aca="1" ref="CM178" ca="1">IF(OR($D178&lt;&gt;"Serviço",AND(AUTOEVENTO="Manual",$M178=$A$15),$M178&gt;(ROW(PLE.lastrow)-ROW(PLE.firstrow))),0,
           IF(OFFSET(PLE!$G$15,$M178-$A$15,CM$13)="",10^12,OFFSET(PLE!$G$15,$M178-$A$15,CM$13)))</f>
        <v>1000000000000</v>
      </c>
    </row>
    <row r="179" spans="1:91" s="670" customFormat="1" ht="63.75" x14ac:dyDescent="0.2">
      <c r="A179" s="668">
        <f t="shared" ca="1" si="14"/>
        <v>7</v>
      </c>
      <c r="B179" s="668" t="str">
        <f ca="1">OFFSET(ORÇAMENTO!C$15,$L179,0)</f>
        <v>S</v>
      </c>
      <c r="C179" s="668" t="str">
        <f ca="1">OFFSET(ORÇAMENTO!L$15,$L179,0)</f>
        <v>F</v>
      </c>
      <c r="D179" s="116" t="str">
        <f ca="1">OFFSET(ORÇAMENTO!N$15,$L179,0)</f>
        <v>Serviço</v>
      </c>
      <c r="E179" s="117" t="str">
        <f ca="1">OFFSET(ORÇAMENTO!O$15,$L179,0)</f>
        <v>1.23.9.</v>
      </c>
      <c r="F179" s="163" t="str">
        <f ca="1">OFFSET(ORÇAMENTO!R$15,$L179,0)</f>
        <v>ESCAVAÇÃO MECANIZADA DE VALA COM PROF. ATÉ 1,5 M (MÉDIA MONTANTE E JUSANTE/UMA COMPOSIÇÃO POR TRECHO), ESCAVADEIRA (0,8 M3), LARG. DE 1,5 M A 2,5 M, EM SOLO DE 2A CATEGORIA, LOCAIS COM BAIXO NÍVEL DE INTERFERÊNCIA. AF_09/2024</v>
      </c>
      <c r="G179" s="164" t="str">
        <f ca="1">IF($D179&lt;&gt;"Serviço","",OFFSET(ORÇAMENTO!S$15,$L179,0))</f>
        <v>M3</v>
      </c>
      <c r="H179" s="122" cm="1">
        <f t="array" aca="1" ref="H179" ca="1">IF($D179&lt;&gt;"Serviço",0,IF(ACOMPANHAMENTO="BM",ROUND(OFFSET(ORÇAMENTO!AJ$15,$L179,0),15-13*ORÇAMENTO!$AF$7),IF(IFERROR(CÁLCULO.FrentesPreenchidas,0)=0,0,SUM(ROUND(OFFSET($P179,0,1,1,CÁLCULO.FrentesPreenchidas),15-13*ORÇAMENTO!$AF$7)))))</f>
        <v>9000</v>
      </c>
      <c r="I179" s="468" t="s">
        <v>1233</v>
      </c>
      <c r="J179" s="651" t="str" cm="1">
        <f t="array" aca="1" ref="J179" ca="1">IF(OR(B179&lt;&gt;"S",CÁLCULO.FrentesPreenchidas=0),"",IF(AND(ACOMPANHAMENTO="PLE",AUTOEVENTO="Manual",OR(H179&gt;0,ORÇAMENTO!AC179="QUANT."),OR(K179="",M179=0,N179="")),"►E",IF(AND(ACOMPANHAMENTO="PLE",ORÇAMENTO!AC179="QUANT."),"►Q",IF(AND(ACOMPANHAMENTO="PLE",H179&lt;&gt;SUMPRODUCT(($Q$1:$AI$1=1)*ROUND(Q179:AI179,15))),"►S",IF(AND(COUNTIF($P$11:$AI$11,"▼")=0,H179&gt;0,I179=""),"◄M","")))))</f>
        <v/>
      </c>
      <c r="K179" s="652" t="s">
        <v>1351</v>
      </c>
      <c r="L179" s="165">
        <f t="shared" ca="1" si="15"/>
        <v>164</v>
      </c>
      <c r="M179" s="166">
        <f ca="1">IF($D179&lt;&gt;"Serviço","",
          IF(AUTOEVENTO="manual",$A179,
                IF(ISERROR(MATCH($A179,$A$15:OFFSET($A179,-1,0),0)),MAX($M$15:OFFSET(M179,-1,0))+1,
                      INDEX($M$15:OFFSET(M179,-1,0),MATCH($A179,$A$15:OFFSET($A179,-1,0),0)))))</f>
        <v>7</v>
      </c>
      <c r="N179" s="167" t="str">
        <f ca="1">IF($D179&lt;&gt;"Serviço","",
         IF(AUTOEVENTO="Manual",
                IF($A179=0,"&lt;-- defina o número do agrupador",
                       OFFSET(EVENTOS!$D$15,$A179-$A$15,0)),
                OFFSET($F$15,$A179,0)))</f>
        <v>Escavação - preparo de fundo de vala</v>
      </c>
      <c r="O179" s="168"/>
      <c r="Q179" s="168"/>
      <c r="R179" s="169"/>
      <c r="S179" s="169"/>
      <c r="T179" s="169"/>
      <c r="U179" s="169"/>
      <c r="V179" s="169"/>
      <c r="W179" s="169">
        <v>9000</v>
      </c>
      <c r="X179" s="169"/>
      <c r="Y179" s="169"/>
      <c r="Z179" s="170"/>
      <c r="AA179" s="705"/>
      <c r="AB179" s="705"/>
      <c r="AC179" s="705"/>
      <c r="AD179" s="705"/>
      <c r="AE179" s="705"/>
      <c r="AF179" s="705"/>
      <c r="AG179" s="705"/>
      <c r="AH179" s="706"/>
      <c r="AJ179" s="453">
        <f ca="1">IF(AND($D179="Serviço",AJ$12&lt;&gt;0,$H179&gt;0,OR(AUTOEVENTO&lt;&gt;"manual",$M179&lt;&gt;$A$15)),
        IF(Import.TipoArredondamento&lt;&gt;"TransfereGOV",
              ROUND(OFFSET($P179,0,AJ$13),15-13*ORÇAMENTO!$AF$7)/$H179*OFFSET(ORÇAMENTO!$X$15,ROW(AJ179)-ROW(AJ$15),0),
              ROUND(ROUND(OFFSET($P179,0,AJ$13),15-13*ORÇAMENTO!$AF$7)*OFFSET(ORÇAMENTO!$W$15,ROW(AJ179)-ROW(AJ$15),0),15-13*ORÇAMENTO!$AF$11)),
         0)</f>
        <v>0</v>
      </c>
      <c r="AK179" s="453">
        <f ca="1">IF(AND($D179="Serviço",AK$12&lt;&gt;0,$H179&gt;0,OR(AUTOEVENTO&lt;&gt;"manual",$M179&lt;&gt;$A$15)),
        IF(Import.TipoArredondamento&lt;&gt;"TransfereGOV",
              ROUND(OFFSET($P179,0,AK$13),15-13*ORÇAMENTO!$AF$7)/$H179*OFFSET(ORÇAMENTO!$X$15,ROW(AK179)-ROW(AK$15),0),
              ROUND(ROUND(OFFSET($P179,0,AK$13),15-13*ORÇAMENTO!$AF$7)*OFFSET(ORÇAMENTO!$W$15,ROW(AK179)-ROW(AK$15),0),15-13*ORÇAMENTO!$AF$11)),
         0)</f>
        <v>0</v>
      </c>
      <c r="AL179" s="453">
        <f ca="1">IF(AND($D179="Serviço",AL$12&lt;&gt;0,$H179&gt;0,OR(AUTOEVENTO&lt;&gt;"manual",$M179&lt;&gt;$A$15)),
        IF(Import.TipoArredondamento&lt;&gt;"TransfereGOV",
              ROUND(OFFSET($P179,0,AL$13),15-13*ORÇAMENTO!$AF$7)/$H179*OFFSET(ORÇAMENTO!$X$15,ROW(AL179)-ROW(AL$15),0),
              ROUND(ROUND(OFFSET($P179,0,AL$13),15-13*ORÇAMENTO!$AF$7)*OFFSET(ORÇAMENTO!$W$15,ROW(AL179)-ROW(AL$15),0),15-13*ORÇAMENTO!$AF$11)),
         0)</f>
        <v>0</v>
      </c>
      <c r="AM179" s="453">
        <f ca="1">IF(AND($D179="Serviço",AM$12&lt;&gt;0,$H179&gt;0,OR(AUTOEVENTO&lt;&gt;"manual",$M179&lt;&gt;$A$15)),
        IF(Import.TipoArredondamento&lt;&gt;"TransfereGOV",
              ROUND(OFFSET($P179,0,AM$13),15-13*ORÇAMENTO!$AF$7)/$H179*OFFSET(ORÇAMENTO!$X$15,ROW(AM179)-ROW(AM$15),0),
              ROUND(ROUND(OFFSET($P179,0,AM$13),15-13*ORÇAMENTO!$AF$7)*OFFSET(ORÇAMENTO!$W$15,ROW(AM179)-ROW(AM$15),0),15-13*ORÇAMENTO!$AF$11)),
         0)</f>
        <v>0</v>
      </c>
      <c r="AN179" s="453">
        <f ca="1">IF(AND($D179="Serviço",AN$12&lt;&gt;0,$H179&gt;0,OR(AUTOEVENTO&lt;&gt;"manual",$M179&lt;&gt;$A$15)),
        IF(Import.TipoArredondamento&lt;&gt;"TransfereGOV",
              ROUND(OFFSET($P179,0,AN$13),15-13*ORÇAMENTO!$AF$7)/$H179*OFFSET(ORÇAMENTO!$X$15,ROW(AN179)-ROW(AN$15),0),
              ROUND(ROUND(OFFSET($P179,0,AN$13),15-13*ORÇAMENTO!$AF$7)*OFFSET(ORÇAMENTO!$W$15,ROW(AN179)-ROW(AN$15),0),15-13*ORÇAMENTO!$AF$11)),
         0)</f>
        <v>0</v>
      </c>
      <c r="AO179" s="453">
        <f ca="1">IF(AND($D179="Serviço",AO$12&lt;&gt;0,$H179&gt;0,OR(AUTOEVENTO&lt;&gt;"manual",$M179&lt;&gt;$A$15)),
        IF(Import.TipoArredondamento&lt;&gt;"TransfereGOV",
              ROUND(OFFSET($P179,0,AO$13),15-13*ORÇAMENTO!$AF$7)/$H179*OFFSET(ORÇAMENTO!$X$15,ROW(AO179)-ROW(AO$15),0),
              ROUND(ROUND(OFFSET($P179,0,AO$13),15-13*ORÇAMENTO!$AF$7)*OFFSET(ORÇAMENTO!$W$15,ROW(AO179)-ROW(AO$15),0),15-13*ORÇAMENTO!$AF$11)),
         0)</f>
        <v>0</v>
      </c>
      <c r="AP179" s="453">
        <f ca="1">IF(AND($D179="Serviço",AP$12&lt;&gt;0,$H179&gt;0,OR(AUTOEVENTO&lt;&gt;"manual",$M179&lt;&gt;$A$15)),
        IF(Import.TipoArredondamento&lt;&gt;"TransfereGOV",
              ROUND(OFFSET($P179,0,AP$13),15-13*ORÇAMENTO!$AF$7)/$H179*OFFSET(ORÇAMENTO!$X$15,ROW(AP179)-ROW(AP$15),0),
              ROUND(ROUND(OFFSET($P179,0,AP$13),15-13*ORÇAMENTO!$AF$7)*OFFSET(ORÇAMENTO!$W$15,ROW(AP179)-ROW(AP$15),0),15-13*ORÇAMENTO!$AF$11)),
         0)</f>
        <v>87840</v>
      </c>
      <c r="AQ179" s="453">
        <f ca="1">IF(AND($D179="Serviço",AQ$12&lt;&gt;0,$H179&gt;0,OR(AUTOEVENTO&lt;&gt;"manual",$M179&lt;&gt;$A$15)),
        IF(Import.TipoArredondamento&lt;&gt;"TransfereGOV",
              ROUND(OFFSET($P179,0,AQ$13),15-13*ORÇAMENTO!$AF$7)/$H179*OFFSET(ORÇAMENTO!$X$15,ROW(AQ179)-ROW(AQ$15),0),
              ROUND(ROUND(OFFSET($P179,0,AQ$13),15-13*ORÇAMENTO!$AF$7)*OFFSET(ORÇAMENTO!$W$15,ROW(AQ179)-ROW(AQ$15),0),15-13*ORÇAMENTO!$AF$11)),
         0)</f>
        <v>0</v>
      </c>
      <c r="AR179" s="453">
        <f ca="1">IF(AND($D179="Serviço",AR$12&lt;&gt;0,$H179&gt;0,OR(AUTOEVENTO&lt;&gt;"manual",$M179&lt;&gt;$A$15)),
        IF(Import.TipoArredondamento&lt;&gt;"TransfereGOV",
              ROUND(OFFSET($P179,0,AR$13),15-13*ORÇAMENTO!$AF$7)/$H179*OFFSET(ORÇAMENTO!$X$15,ROW(AR179)-ROW(AR$15),0),
              ROUND(ROUND(OFFSET($P179,0,AR$13),15-13*ORÇAMENTO!$AF$7)*OFFSET(ORÇAMENTO!$W$15,ROW(AR179)-ROW(AR$15),0),15-13*ORÇAMENTO!$AF$11)),
         0)</f>
        <v>0</v>
      </c>
      <c r="AS179" s="453">
        <f ca="1">IF(AND($D179="Serviço",AS$12&lt;&gt;0,$H179&gt;0,OR(AUTOEVENTO&lt;&gt;"manual",$M179&lt;&gt;$A$15)),
        IF(Import.TipoArredondamento&lt;&gt;"TransfereGOV",
              ROUND(OFFSET($P179,0,AS$13),15-13*ORÇAMENTO!$AF$7)/$H179*OFFSET(ORÇAMENTO!$X$15,ROW(AS179)-ROW(AS$15),0),
              ROUND(ROUND(OFFSET($P179,0,AS$13),15-13*ORÇAMENTO!$AF$7)*OFFSET(ORÇAMENTO!$W$15,ROW(AS179)-ROW(AS$15),0),15-13*ORÇAMENTO!$AF$11)),
         0)</f>
        <v>0</v>
      </c>
      <c r="AT179" s="453">
        <f ca="1">IF(AND($D179="Serviço",AT$12&lt;&gt;0,$H179&gt;0,OR(AUTOEVENTO&lt;&gt;"manual",$M179&lt;&gt;$A$15)),
        IF(Import.TipoArredondamento&lt;&gt;"TransfereGOV",
              ROUND(OFFSET($P179,0,AT$13),15-13*ORÇAMENTO!$AF$7)/$H179*OFFSET(ORÇAMENTO!$X$15,ROW(AT179)-ROW(AT$15),0),
              ROUND(ROUND(OFFSET($P179,0,AT$13),15-13*ORÇAMENTO!$AF$7)*OFFSET(ORÇAMENTO!$W$15,ROW(AT179)-ROW(AT$15),0),15-13*ORÇAMENTO!$AF$11)),
         0)</f>
        <v>0</v>
      </c>
      <c r="AU179" s="453">
        <f ca="1">IF(AND($D179="Serviço",AU$12&lt;&gt;0,$H179&gt;0,OR(AUTOEVENTO&lt;&gt;"manual",$M179&lt;&gt;$A$15)),
        IF(Import.TipoArredondamento&lt;&gt;"TransfereGOV",
              ROUND(OFFSET($P179,0,AU$13),15-13*ORÇAMENTO!$AF$7)/$H179*OFFSET(ORÇAMENTO!$X$15,ROW(AU179)-ROW(AU$15),0),
              ROUND(ROUND(OFFSET($P179,0,AU$13),15-13*ORÇAMENTO!$AF$7)*OFFSET(ORÇAMENTO!$W$15,ROW(AU179)-ROW(AU$15),0),15-13*ORÇAMENTO!$AF$11)),
         0)</f>
        <v>0</v>
      </c>
      <c r="AV179" s="453">
        <f ca="1">IF(AND($D179="Serviço",AV$12&lt;&gt;0,$H179&gt;0,OR(AUTOEVENTO&lt;&gt;"manual",$M179&lt;&gt;$A$15)),
        IF(Import.TipoArredondamento&lt;&gt;"TransfereGOV",
              ROUND(OFFSET($P179,0,AV$13),15-13*ORÇAMENTO!$AF$7)/$H179*OFFSET(ORÇAMENTO!$X$15,ROW(AV179)-ROW(AV$15),0),
              ROUND(ROUND(OFFSET($P179,0,AV$13),15-13*ORÇAMENTO!$AF$7)*OFFSET(ORÇAMENTO!$W$15,ROW(AV179)-ROW(AV$15),0),15-13*ORÇAMENTO!$AF$11)),
         0)</f>
        <v>0</v>
      </c>
      <c r="AW179" s="453">
        <f ca="1">IF(AND($D179="Serviço",AW$12&lt;&gt;0,$H179&gt;0,OR(AUTOEVENTO&lt;&gt;"manual",$M179&lt;&gt;$A$15)),
        IF(Import.TipoArredondamento&lt;&gt;"TransfereGOV",
              ROUND(OFFSET($P179,0,AW$13),15-13*ORÇAMENTO!$AF$7)/$H179*OFFSET(ORÇAMENTO!$X$15,ROW(AW179)-ROW(AW$15),0),
              ROUND(ROUND(OFFSET($P179,0,AW$13),15-13*ORÇAMENTO!$AF$7)*OFFSET(ORÇAMENTO!$W$15,ROW(AW179)-ROW(AW$15),0),15-13*ORÇAMENTO!$AF$11)),
         0)</f>
        <v>0</v>
      </c>
      <c r="AX179" s="453">
        <f ca="1">IF(AND($D179="Serviço",AX$12&lt;&gt;0,$H179&gt;0,OR(AUTOEVENTO&lt;&gt;"manual",$M179&lt;&gt;$A$15)),
        IF(Import.TipoArredondamento&lt;&gt;"TransfereGOV",
              ROUND(OFFSET($P179,0,AX$13),15-13*ORÇAMENTO!$AF$7)/$H179*OFFSET(ORÇAMENTO!$X$15,ROW(AX179)-ROW(AX$15),0),
              ROUND(ROUND(OFFSET($P179,0,AX$13),15-13*ORÇAMENTO!$AF$7)*OFFSET(ORÇAMENTO!$W$15,ROW(AX179)-ROW(AX$15),0),15-13*ORÇAMENTO!$AF$11)),
         0)</f>
        <v>0</v>
      </c>
      <c r="AY179" s="453">
        <f ca="1">IF(AND($D179="Serviço",AY$12&lt;&gt;0,$H179&gt;0,OR(AUTOEVENTO&lt;&gt;"manual",$M179&lt;&gt;$A$15)),
        IF(Import.TipoArredondamento&lt;&gt;"TransfereGOV",
              ROUND(OFFSET($P179,0,AY$13),15-13*ORÇAMENTO!$AF$7)/$H179*OFFSET(ORÇAMENTO!$X$15,ROW(AY179)-ROW(AY$15),0),
              ROUND(ROUND(OFFSET($P179,0,AY$13),15-13*ORÇAMENTO!$AF$7)*OFFSET(ORÇAMENTO!$W$15,ROW(AY179)-ROW(AY$15),0),15-13*ORÇAMENTO!$AF$11)),
         0)</f>
        <v>0</v>
      </c>
      <c r="AZ179" s="453">
        <f ca="1">IF(AND($D179="Serviço",AZ$12&lt;&gt;0,$H179&gt;0,OR(AUTOEVENTO&lt;&gt;"manual",$M179&lt;&gt;$A$15)),
        IF(Import.TipoArredondamento&lt;&gt;"TransfereGOV",
              ROUND(OFFSET($P179,0,AZ$13),15-13*ORÇAMENTO!$AF$7)/$H179*OFFSET(ORÇAMENTO!$X$15,ROW(AZ179)-ROW(AZ$15),0),
              ROUND(ROUND(OFFSET($P179,0,AZ$13),15-13*ORÇAMENTO!$AF$7)*OFFSET(ORÇAMENTO!$W$15,ROW(AZ179)-ROW(AZ$15),0),15-13*ORÇAMENTO!$AF$11)),
         0)</f>
        <v>0</v>
      </c>
      <c r="BA179" s="453">
        <f ca="1">IF(AND($D179="Serviço",BA$12&lt;&gt;0,$H179&gt;0,OR(AUTOEVENTO&lt;&gt;"manual",$M179&lt;&gt;$A$15)),
        IF(Import.TipoArredondamento&lt;&gt;"TransfereGOV",
              ROUND(OFFSET($P179,0,BA$13),15-13*ORÇAMENTO!$AF$7)/$H179*OFFSET(ORÇAMENTO!$X$15,ROW(BA179)-ROW(BA$15),0),
              ROUND(ROUND(OFFSET($P179,0,BA$13),15-13*ORÇAMENTO!$AF$7)*OFFSET(ORÇAMENTO!$W$15,ROW(BA179)-ROW(BA$15),0),15-13*ORÇAMENTO!$AF$11)),
         0)</f>
        <v>0</v>
      </c>
      <c r="BC179" s="171">
        <f ca="1">IF(OR($D179&lt;&gt;"Serviço",AND(AUTOEVENTO="Manual",$M179=$A$15)),0,
         IF(OFFSET(CRONOPLE!$F$15,$M179-$A$15,BC$13)=0,10^12,OFFSET(CRONOPLE!$F$15,$M179-$A$15,BC$13)))</f>
        <v>10</v>
      </c>
      <c r="BD179" s="171">
        <f ca="1">IF(OR($D179&lt;&gt;"Serviço",AND(AUTOEVENTO="Manual",$M179=$A$15)),0,
         IF(OFFSET(CRONOPLE!$F$15,$M179-$A$15,BD$13)=0,10^12,OFFSET(CRONOPLE!$F$15,$M179-$A$15,BD$13)))</f>
        <v>1000000000000</v>
      </c>
      <c r="BE179" s="171">
        <f ca="1">IF(OR($D179&lt;&gt;"Serviço",AND(AUTOEVENTO="Manual",$M179=$A$15)),0,
         IF(OFFSET(CRONOPLE!$F$15,$M179-$A$15,BE$13)=0,10^12,OFFSET(CRONOPLE!$F$15,$M179-$A$15,BE$13)))</f>
        <v>4</v>
      </c>
      <c r="BF179" s="171">
        <f ca="1">IF(OR($D179&lt;&gt;"Serviço",AND(AUTOEVENTO="Manual",$M179=$A$15)),0,
         IF(OFFSET(CRONOPLE!$F$15,$M179-$A$15,BF$13)=0,10^12,OFFSET(CRONOPLE!$F$15,$M179-$A$15,BF$13)))</f>
        <v>9</v>
      </c>
      <c r="BG179" s="171">
        <f ca="1">IF(OR($D179&lt;&gt;"Serviço",AND(AUTOEVENTO="Manual",$M179=$A$15)),0,
         IF(OFFSET(CRONOPLE!$F$15,$M179-$A$15,BG$13)=0,10^12,OFFSET(CRONOPLE!$F$15,$M179-$A$15,BG$13)))</f>
        <v>6</v>
      </c>
      <c r="BH179" s="171">
        <f ca="1">IF(OR($D179&lt;&gt;"Serviço",AND(AUTOEVENTO="Manual",$M179=$A$15)),0,
         IF(OFFSET(CRONOPLE!$F$15,$M179-$A$15,BH$13)=0,10^12,OFFSET(CRONOPLE!$F$15,$M179-$A$15,BH$13)))</f>
        <v>6</v>
      </c>
      <c r="BI179" s="171">
        <f ca="1">IF(OR($D179&lt;&gt;"Serviço",AND(AUTOEVENTO="Manual",$M179=$A$15)),0,
         IF(OFFSET(CRONOPLE!$F$15,$M179-$A$15,BI$13)=0,10^12,OFFSET(CRONOPLE!$F$15,$M179-$A$15,BI$13)))</f>
        <v>9</v>
      </c>
      <c r="BJ179" s="171">
        <f ca="1">IF(OR($D179&lt;&gt;"Serviço",AND(AUTOEVENTO="Manual",$M179=$A$15)),0,
         IF(OFFSET(CRONOPLE!$F$15,$M179-$A$15,BJ$13)=0,10^12,OFFSET(CRONOPLE!$F$15,$M179-$A$15,BJ$13)))</f>
        <v>1000000000000</v>
      </c>
      <c r="BK179" s="171">
        <f ca="1">IF(OR($D179&lt;&gt;"Serviço",AND(AUTOEVENTO="Manual",$M179=$A$15)),0,
         IF(OFFSET(CRONOPLE!$F$15,$M179-$A$15,BK$13)=0,10^12,OFFSET(CRONOPLE!$F$15,$M179-$A$15,BK$13)))</f>
        <v>1000000000000</v>
      </c>
      <c r="BL179" s="171">
        <f ca="1">IF(OR($D179&lt;&gt;"Serviço",AND(AUTOEVENTO="Manual",$M179=$A$15)),0,
         IF(OFFSET(CRONOPLE!$F$15,$M179-$A$15,BL$13)=0,10^12,OFFSET(CRONOPLE!$F$15,$M179-$A$15,BL$13)))</f>
        <v>1000000000000</v>
      </c>
      <c r="BM179" s="171">
        <f ca="1">IF(OR($D179&lt;&gt;"Serviço",AND(AUTOEVENTO="Manual",$M179=$A$15)),0,
         IF(OFFSET(CRONOPLE!$F$15,$M179-$A$15,BM$13)=0,10^12,OFFSET(CRONOPLE!$F$15,$M179-$A$15,BM$13)))</f>
        <v>1000000000000</v>
      </c>
      <c r="BN179" s="171">
        <f ca="1">IF(OR($D179&lt;&gt;"Serviço",AND(AUTOEVENTO="Manual",$M179=$A$15)),0,
         IF(OFFSET(CRONOPLE!$F$15,$M179-$A$15,BN$13)=0,10^12,OFFSET(CRONOPLE!$F$15,$M179-$A$15,BN$13)))</f>
        <v>1000000000000</v>
      </c>
      <c r="BO179" s="171">
        <f ca="1">IF(OR($D179&lt;&gt;"Serviço",AND(AUTOEVENTO="Manual",$M179=$A$15)),0,
         IF(OFFSET(CRONOPLE!$F$15,$M179-$A$15,BO$13)=0,10^12,OFFSET(CRONOPLE!$F$15,$M179-$A$15,BO$13)))</f>
        <v>1000000000000</v>
      </c>
      <c r="BP179" s="171">
        <f ca="1">IF(OR($D179&lt;&gt;"Serviço",AND(AUTOEVENTO="Manual",$M179=$A$15)),0,
         IF(OFFSET(CRONOPLE!$F$15,$M179-$A$15,BP$13)=0,10^12,OFFSET(CRONOPLE!$F$15,$M179-$A$15,BP$13)))</f>
        <v>1000000000000</v>
      </c>
      <c r="BQ179" s="171">
        <f ca="1">IF(OR($D179&lt;&gt;"Serviço",AND(AUTOEVENTO="Manual",$M179=$A$15)),0,
         IF(OFFSET(CRONOPLE!$F$15,$M179-$A$15,BQ$13)=0,10^12,OFFSET(CRONOPLE!$F$15,$M179-$A$15,BQ$13)))</f>
        <v>1000000000000</v>
      </c>
      <c r="BR179" s="171">
        <f ca="1">IF(OR($D179&lt;&gt;"Serviço",AND(AUTOEVENTO="Manual",$M179=$A$15)),0,
         IF(OFFSET(CRONOPLE!$F$15,$M179-$A$15,BR$13)=0,10^12,OFFSET(CRONOPLE!$F$15,$M179-$A$15,BR$13)))</f>
        <v>1000000000000</v>
      </c>
      <c r="BS179" s="171">
        <f ca="1">IF(OR($D179&lt;&gt;"Serviço",AND(AUTOEVENTO="Manual",$M179=$A$15)),0,
         IF(OFFSET(CRONOPLE!$F$15,$M179-$A$15,BS$13)=0,10^12,OFFSET(CRONOPLE!$F$15,$M179-$A$15,BS$13)))</f>
        <v>1000000000000</v>
      </c>
      <c r="BT179" s="171">
        <f ca="1">IF(OR($D179&lt;&gt;"Serviço",AND(AUTOEVENTO="Manual",$M179=$A$15)),0,
         IF(OFFSET(CRONOPLE!$F$15,$M179-$A$15,BT$13)=0,10^12,OFFSET(CRONOPLE!$F$15,$M179-$A$15,BT$13)))</f>
        <v>1000000000000</v>
      </c>
      <c r="BV179" s="172" cm="1">
        <f t="array" aca="1" ref="BV179" ca="1">IF(OR($D179&lt;&gt;"Serviço",AND(AUTOEVENTO="Manual",$M179=$A$15),$M179&gt;(ROW(PLE.lastrow)-ROW(PLE.firstrow))),0,
           IF(OFFSET(PLE!$G$15,$M179-$A$15,BV$13)="",10^12,OFFSET(PLE!$G$15,$M179-$A$15,BV$13)))</f>
        <v>1000000000000</v>
      </c>
      <c r="BW179" s="172" cm="1">
        <f t="array" aca="1" ref="BW179" ca="1">IF(OR($D179&lt;&gt;"Serviço",AND(AUTOEVENTO="Manual",$M179=$A$15),$M179&gt;(ROW(PLE.lastrow)-ROW(PLE.firstrow))),0,
           IF(OFFSET(PLE!$G$15,$M179-$A$15,BW$13)="",10^12,OFFSET(PLE!$G$15,$M179-$A$15,BW$13)))</f>
        <v>1000000000000</v>
      </c>
      <c r="BX179" s="172" cm="1">
        <f t="array" aca="1" ref="BX179" ca="1">IF(OR($D179&lt;&gt;"Serviço",AND(AUTOEVENTO="Manual",$M179=$A$15),$M179&gt;(ROW(PLE.lastrow)-ROW(PLE.firstrow))),0,
           IF(OFFSET(PLE!$G$15,$M179-$A$15,BX$13)="",10^12,OFFSET(PLE!$G$15,$M179-$A$15,BX$13)))</f>
        <v>1000000000000</v>
      </c>
      <c r="BY179" s="172" cm="1">
        <f t="array" aca="1" ref="BY179" ca="1">IF(OR($D179&lt;&gt;"Serviço",AND(AUTOEVENTO="Manual",$M179=$A$15),$M179&gt;(ROW(PLE.lastrow)-ROW(PLE.firstrow))),0,
           IF(OFFSET(PLE!$G$15,$M179-$A$15,BY$13)="",10^12,OFFSET(PLE!$G$15,$M179-$A$15,BY$13)))</f>
        <v>1000000000000</v>
      </c>
      <c r="BZ179" s="172" cm="1">
        <f t="array" aca="1" ref="BZ179" ca="1">IF(OR($D179&lt;&gt;"Serviço",AND(AUTOEVENTO="Manual",$M179=$A$15),$M179&gt;(ROW(PLE.lastrow)-ROW(PLE.firstrow))),0,
           IF(OFFSET(PLE!$G$15,$M179-$A$15,BZ$13)="",10^12,OFFSET(PLE!$G$15,$M179-$A$15,BZ$13)))</f>
        <v>1000000000000</v>
      </c>
      <c r="CA179" s="172" cm="1">
        <f t="array" aca="1" ref="CA179" ca="1">IF(OR($D179&lt;&gt;"Serviço",AND(AUTOEVENTO="Manual",$M179=$A$15),$M179&gt;(ROW(PLE.lastrow)-ROW(PLE.firstrow))),0,
           IF(OFFSET(PLE!$G$15,$M179-$A$15,CA$13)="",10^12,OFFSET(PLE!$G$15,$M179-$A$15,CA$13)))</f>
        <v>1000000000000</v>
      </c>
      <c r="CB179" s="172" cm="1">
        <f t="array" aca="1" ref="CB179" ca="1">IF(OR($D179&lt;&gt;"Serviço",AND(AUTOEVENTO="Manual",$M179=$A$15),$M179&gt;(ROW(PLE.lastrow)-ROW(PLE.firstrow))),0,
           IF(OFFSET(PLE!$G$15,$M179-$A$15,CB$13)="",10^12,OFFSET(PLE!$G$15,$M179-$A$15,CB$13)))</f>
        <v>1000000000000</v>
      </c>
      <c r="CC179" s="172" cm="1">
        <f t="array" aca="1" ref="CC179" ca="1">IF(OR($D179&lt;&gt;"Serviço",AND(AUTOEVENTO="Manual",$M179=$A$15),$M179&gt;(ROW(PLE.lastrow)-ROW(PLE.firstrow))),0,
           IF(OFFSET(PLE!$G$15,$M179-$A$15,CC$13)="",10^12,OFFSET(PLE!$G$15,$M179-$A$15,CC$13)))</f>
        <v>1000000000000</v>
      </c>
      <c r="CD179" s="172" cm="1">
        <f t="array" aca="1" ref="CD179" ca="1">IF(OR($D179&lt;&gt;"Serviço",AND(AUTOEVENTO="Manual",$M179=$A$15),$M179&gt;(ROW(PLE.lastrow)-ROW(PLE.firstrow))),0,
           IF(OFFSET(PLE!$G$15,$M179-$A$15,CD$13)="",10^12,OFFSET(PLE!$G$15,$M179-$A$15,CD$13)))</f>
        <v>1000000000000</v>
      </c>
      <c r="CE179" s="172" cm="1">
        <f t="array" aca="1" ref="CE179" ca="1">IF(OR($D179&lt;&gt;"Serviço",AND(AUTOEVENTO="Manual",$M179=$A$15),$M179&gt;(ROW(PLE.lastrow)-ROW(PLE.firstrow))),0,
           IF(OFFSET(PLE!$G$15,$M179-$A$15,CE$13)="",10^12,OFFSET(PLE!$G$15,$M179-$A$15,CE$13)))</f>
        <v>1000000000000</v>
      </c>
      <c r="CF179" s="172" cm="1">
        <f t="array" aca="1" ref="CF179" ca="1">IF(OR($D179&lt;&gt;"Serviço",AND(AUTOEVENTO="Manual",$M179=$A$15),$M179&gt;(ROW(PLE.lastrow)-ROW(PLE.firstrow))),0,
           IF(OFFSET(PLE!$G$15,$M179-$A$15,CF$13)="",10^12,OFFSET(PLE!$G$15,$M179-$A$15,CF$13)))</f>
        <v>1000000000000</v>
      </c>
      <c r="CG179" s="172" cm="1">
        <f t="array" aca="1" ref="CG179" ca="1">IF(OR($D179&lt;&gt;"Serviço",AND(AUTOEVENTO="Manual",$M179=$A$15),$M179&gt;(ROW(PLE.lastrow)-ROW(PLE.firstrow))),0,
           IF(OFFSET(PLE!$G$15,$M179-$A$15,CG$13)="",10^12,OFFSET(PLE!$G$15,$M179-$A$15,CG$13)))</f>
        <v>1000000000000</v>
      </c>
      <c r="CH179" s="172" cm="1">
        <f t="array" aca="1" ref="CH179" ca="1">IF(OR($D179&lt;&gt;"Serviço",AND(AUTOEVENTO="Manual",$M179=$A$15),$M179&gt;(ROW(PLE.lastrow)-ROW(PLE.firstrow))),0,
           IF(OFFSET(PLE!$G$15,$M179-$A$15,CH$13)="",10^12,OFFSET(PLE!$G$15,$M179-$A$15,CH$13)))</f>
        <v>1000000000000</v>
      </c>
      <c r="CI179" s="172" cm="1">
        <f t="array" aca="1" ref="CI179" ca="1">IF(OR($D179&lt;&gt;"Serviço",AND(AUTOEVENTO="Manual",$M179=$A$15),$M179&gt;(ROW(PLE.lastrow)-ROW(PLE.firstrow))),0,
           IF(OFFSET(PLE!$G$15,$M179-$A$15,CI$13)="",10^12,OFFSET(PLE!$G$15,$M179-$A$15,CI$13)))</f>
        <v>1000000000000</v>
      </c>
      <c r="CJ179" s="172" cm="1">
        <f t="array" aca="1" ref="CJ179" ca="1">IF(OR($D179&lt;&gt;"Serviço",AND(AUTOEVENTO="Manual",$M179=$A$15),$M179&gt;(ROW(PLE.lastrow)-ROW(PLE.firstrow))),0,
           IF(OFFSET(PLE!$G$15,$M179-$A$15,CJ$13)="",10^12,OFFSET(PLE!$G$15,$M179-$A$15,CJ$13)))</f>
        <v>1000000000000</v>
      </c>
      <c r="CK179" s="172" cm="1">
        <f t="array" aca="1" ref="CK179" ca="1">IF(OR($D179&lt;&gt;"Serviço",AND(AUTOEVENTO="Manual",$M179=$A$15),$M179&gt;(ROW(PLE.lastrow)-ROW(PLE.firstrow))),0,
           IF(OFFSET(PLE!$G$15,$M179-$A$15,CK$13)="",10^12,OFFSET(PLE!$G$15,$M179-$A$15,CK$13)))</f>
        <v>1000000000000</v>
      </c>
      <c r="CL179" s="172" cm="1">
        <f t="array" aca="1" ref="CL179" ca="1">IF(OR($D179&lt;&gt;"Serviço",AND(AUTOEVENTO="Manual",$M179=$A$15),$M179&gt;(ROW(PLE.lastrow)-ROW(PLE.firstrow))),0,
           IF(OFFSET(PLE!$G$15,$M179-$A$15,CL$13)="",10^12,OFFSET(PLE!$G$15,$M179-$A$15,CL$13)))</f>
        <v>1000000000000</v>
      </c>
      <c r="CM179" s="172" cm="1">
        <f t="array" aca="1" ref="CM179" ca="1">IF(OR($D179&lt;&gt;"Serviço",AND(AUTOEVENTO="Manual",$M179=$A$15),$M179&gt;(ROW(PLE.lastrow)-ROW(PLE.firstrow))),0,
           IF(OFFSET(PLE!$G$15,$M179-$A$15,CM$13)="",10^12,OFFSET(PLE!$G$15,$M179-$A$15,CM$13)))</f>
        <v>1000000000000</v>
      </c>
    </row>
    <row r="180" spans="1:91" s="670" customFormat="1" ht="38.25" x14ac:dyDescent="0.2">
      <c r="A180" s="668">
        <f t="shared" ca="1" si="14"/>
        <v>7</v>
      </c>
      <c r="B180" s="668" t="str">
        <f ca="1">OFFSET(ORÇAMENTO!C$15,$L180,0)</f>
        <v>S</v>
      </c>
      <c r="C180" s="668" t="str">
        <f ca="1">OFFSET(ORÇAMENTO!L$15,$L180,0)</f>
        <v>F</v>
      </c>
      <c r="D180" s="116" t="str">
        <f ca="1">OFFSET(ORÇAMENTO!N$15,$L180,0)</f>
        <v>Serviço</v>
      </c>
      <c r="E180" s="117" t="str">
        <f ca="1">OFFSET(ORÇAMENTO!O$15,$L180,0)</f>
        <v>1.23.10.</v>
      </c>
      <c r="F180" s="163" t="str">
        <f ca="1">OFFSET(ORÇAMENTO!R$15,$L180,0)</f>
        <v>PREPARO DE FUNDO DE VALA COM LARGURA MENOR QUE 1,5 M (ACERTO DO SOLO NATURAL), EM LOCAL COM NÍVEL BAIXO DE INTERFERÊNCIA. AF_01/2026</v>
      </c>
      <c r="G180" s="164" t="str">
        <f ca="1">IF($D180&lt;&gt;"Serviço","",OFFSET(ORÇAMENTO!S$15,$L180,0))</f>
        <v>M2</v>
      </c>
      <c r="H180" s="122" cm="1">
        <f t="array" aca="1" ref="H180" ca="1">IF($D180&lt;&gt;"Serviço",0,IF(ACOMPANHAMENTO="BM",ROUND(OFFSET(ORÇAMENTO!AJ$15,$L180,0),15-13*ORÇAMENTO!$AF$7),IF(IFERROR(CÁLCULO.FrentesPreenchidas,0)=0,0,SUM(ROUND(OFFSET($P180,0,1,1,CÁLCULO.FrentesPreenchidas),15-13*ORÇAMENTO!$AF$7)))))</f>
        <v>6000</v>
      </c>
      <c r="I180" s="468" t="s">
        <v>1130</v>
      </c>
      <c r="J180" s="651" t="str" cm="1">
        <f t="array" aca="1" ref="J180" ca="1">IF(OR(B180&lt;&gt;"S",CÁLCULO.FrentesPreenchidas=0),"",IF(AND(ACOMPANHAMENTO="PLE",AUTOEVENTO="Manual",OR(H180&gt;0,ORÇAMENTO!AC180="QUANT."),OR(K180="",M180=0,N180="")),"►E",IF(AND(ACOMPANHAMENTO="PLE",ORÇAMENTO!AC180="QUANT."),"►Q",IF(AND(ACOMPANHAMENTO="PLE",H180&lt;&gt;SUMPRODUCT(($Q$1:$AI$1=1)*ROUND(Q180:AI180,15))),"►S",IF(AND(COUNTIF($P$11:$AI$11,"▼")=0,H180&gt;0,I180=""),"◄M","")))))</f>
        <v/>
      </c>
      <c r="K180" s="652" t="s">
        <v>1346</v>
      </c>
      <c r="L180" s="165">
        <f t="shared" ca="1" si="15"/>
        <v>165</v>
      </c>
      <c r="M180" s="166">
        <f ca="1">IF($D180&lt;&gt;"Serviço","",
          IF(AUTOEVENTO="manual",$A180,
                IF(ISERROR(MATCH($A180,$A$15:OFFSET($A180,-1,0),0)),MAX($M$15:OFFSET(M180,-1,0))+1,
                      INDEX($M$15:OFFSET(M180,-1,0),MATCH($A180,$A$15:OFFSET($A180,-1,0),0)))))</f>
        <v>7</v>
      </c>
      <c r="N180" s="167" t="str">
        <f ca="1">IF($D180&lt;&gt;"Serviço","",
         IF(AUTOEVENTO="Manual",
                IF($A180=0,"&lt;-- defina o número do agrupador",
                       OFFSET(EVENTOS!$D$15,$A180-$A$15,0)),
                OFFSET($F$15,$A180,0)))</f>
        <v>Escavação - preparo de fundo de vala</v>
      </c>
      <c r="O180" s="168"/>
      <c r="Q180" s="168"/>
      <c r="R180" s="169"/>
      <c r="S180" s="169"/>
      <c r="T180" s="169"/>
      <c r="U180" s="169"/>
      <c r="V180" s="169"/>
      <c r="W180" s="169">
        <v>6000</v>
      </c>
      <c r="X180" s="169"/>
      <c r="Y180" s="169"/>
      <c r="Z180" s="170"/>
      <c r="AA180" s="705"/>
      <c r="AB180" s="705"/>
      <c r="AC180" s="705"/>
      <c r="AD180" s="705"/>
      <c r="AE180" s="705"/>
      <c r="AF180" s="705"/>
      <c r="AG180" s="705"/>
      <c r="AH180" s="706"/>
      <c r="AJ180" s="453">
        <f ca="1">IF(AND($D180="Serviço",AJ$12&lt;&gt;0,$H180&gt;0,OR(AUTOEVENTO&lt;&gt;"manual",$M180&lt;&gt;$A$15)),
        IF(Import.TipoArredondamento&lt;&gt;"TransfereGOV",
              ROUND(OFFSET($P180,0,AJ$13),15-13*ORÇAMENTO!$AF$7)/$H180*OFFSET(ORÇAMENTO!$X$15,ROW(AJ180)-ROW(AJ$15),0),
              ROUND(ROUND(OFFSET($P180,0,AJ$13),15-13*ORÇAMENTO!$AF$7)*OFFSET(ORÇAMENTO!$W$15,ROW(AJ180)-ROW(AJ$15),0),15-13*ORÇAMENTO!$AF$11)),
         0)</f>
        <v>0</v>
      </c>
      <c r="AK180" s="453">
        <f ca="1">IF(AND($D180="Serviço",AK$12&lt;&gt;0,$H180&gt;0,OR(AUTOEVENTO&lt;&gt;"manual",$M180&lt;&gt;$A$15)),
        IF(Import.TipoArredondamento&lt;&gt;"TransfereGOV",
              ROUND(OFFSET($P180,0,AK$13),15-13*ORÇAMENTO!$AF$7)/$H180*OFFSET(ORÇAMENTO!$X$15,ROW(AK180)-ROW(AK$15),0),
              ROUND(ROUND(OFFSET($P180,0,AK$13),15-13*ORÇAMENTO!$AF$7)*OFFSET(ORÇAMENTO!$W$15,ROW(AK180)-ROW(AK$15),0),15-13*ORÇAMENTO!$AF$11)),
         0)</f>
        <v>0</v>
      </c>
      <c r="AL180" s="453">
        <f ca="1">IF(AND($D180="Serviço",AL$12&lt;&gt;0,$H180&gt;0,OR(AUTOEVENTO&lt;&gt;"manual",$M180&lt;&gt;$A$15)),
        IF(Import.TipoArredondamento&lt;&gt;"TransfereGOV",
              ROUND(OFFSET($P180,0,AL$13),15-13*ORÇAMENTO!$AF$7)/$H180*OFFSET(ORÇAMENTO!$X$15,ROW(AL180)-ROW(AL$15),0),
              ROUND(ROUND(OFFSET($P180,0,AL$13),15-13*ORÇAMENTO!$AF$7)*OFFSET(ORÇAMENTO!$W$15,ROW(AL180)-ROW(AL$15),0),15-13*ORÇAMENTO!$AF$11)),
         0)</f>
        <v>0</v>
      </c>
      <c r="AM180" s="453">
        <f ca="1">IF(AND($D180="Serviço",AM$12&lt;&gt;0,$H180&gt;0,OR(AUTOEVENTO&lt;&gt;"manual",$M180&lt;&gt;$A$15)),
        IF(Import.TipoArredondamento&lt;&gt;"TransfereGOV",
              ROUND(OFFSET($P180,0,AM$13),15-13*ORÇAMENTO!$AF$7)/$H180*OFFSET(ORÇAMENTO!$X$15,ROW(AM180)-ROW(AM$15),0),
              ROUND(ROUND(OFFSET($P180,0,AM$13),15-13*ORÇAMENTO!$AF$7)*OFFSET(ORÇAMENTO!$W$15,ROW(AM180)-ROW(AM$15),0),15-13*ORÇAMENTO!$AF$11)),
         0)</f>
        <v>0</v>
      </c>
      <c r="AN180" s="453">
        <f ca="1">IF(AND($D180="Serviço",AN$12&lt;&gt;0,$H180&gt;0,OR(AUTOEVENTO&lt;&gt;"manual",$M180&lt;&gt;$A$15)),
        IF(Import.TipoArredondamento&lt;&gt;"TransfereGOV",
              ROUND(OFFSET($P180,0,AN$13),15-13*ORÇAMENTO!$AF$7)/$H180*OFFSET(ORÇAMENTO!$X$15,ROW(AN180)-ROW(AN$15),0),
              ROUND(ROUND(OFFSET($P180,0,AN$13),15-13*ORÇAMENTO!$AF$7)*OFFSET(ORÇAMENTO!$W$15,ROW(AN180)-ROW(AN$15),0),15-13*ORÇAMENTO!$AF$11)),
         0)</f>
        <v>0</v>
      </c>
      <c r="AO180" s="453">
        <f ca="1">IF(AND($D180="Serviço",AO$12&lt;&gt;0,$H180&gt;0,OR(AUTOEVENTO&lt;&gt;"manual",$M180&lt;&gt;$A$15)),
        IF(Import.TipoArredondamento&lt;&gt;"TransfereGOV",
              ROUND(OFFSET($P180,0,AO$13),15-13*ORÇAMENTO!$AF$7)/$H180*OFFSET(ORÇAMENTO!$X$15,ROW(AO180)-ROW(AO$15),0),
              ROUND(ROUND(OFFSET($P180,0,AO$13),15-13*ORÇAMENTO!$AF$7)*OFFSET(ORÇAMENTO!$W$15,ROW(AO180)-ROW(AO$15),0),15-13*ORÇAMENTO!$AF$11)),
         0)</f>
        <v>0</v>
      </c>
      <c r="AP180" s="453">
        <f ca="1">IF(AND($D180="Serviço",AP$12&lt;&gt;0,$H180&gt;0,OR(AUTOEVENTO&lt;&gt;"manual",$M180&lt;&gt;$A$15)),
        IF(Import.TipoArredondamento&lt;&gt;"TransfereGOV",
              ROUND(OFFSET($P180,0,AP$13),15-13*ORÇAMENTO!$AF$7)/$H180*OFFSET(ORÇAMENTO!$X$15,ROW(AP180)-ROW(AP$15),0),
              ROUND(ROUND(OFFSET($P180,0,AP$13),15-13*ORÇAMENTO!$AF$7)*OFFSET(ORÇAMENTO!$W$15,ROW(AP180)-ROW(AP$15),0),15-13*ORÇAMENTO!$AF$11)),
         0)</f>
        <v>65460</v>
      </c>
      <c r="AQ180" s="453">
        <f ca="1">IF(AND($D180="Serviço",AQ$12&lt;&gt;0,$H180&gt;0,OR(AUTOEVENTO&lt;&gt;"manual",$M180&lt;&gt;$A$15)),
        IF(Import.TipoArredondamento&lt;&gt;"TransfereGOV",
              ROUND(OFFSET($P180,0,AQ$13),15-13*ORÇAMENTO!$AF$7)/$H180*OFFSET(ORÇAMENTO!$X$15,ROW(AQ180)-ROW(AQ$15),0),
              ROUND(ROUND(OFFSET($P180,0,AQ$13),15-13*ORÇAMENTO!$AF$7)*OFFSET(ORÇAMENTO!$W$15,ROW(AQ180)-ROW(AQ$15),0),15-13*ORÇAMENTO!$AF$11)),
         0)</f>
        <v>0</v>
      </c>
      <c r="AR180" s="453">
        <f ca="1">IF(AND($D180="Serviço",AR$12&lt;&gt;0,$H180&gt;0,OR(AUTOEVENTO&lt;&gt;"manual",$M180&lt;&gt;$A$15)),
        IF(Import.TipoArredondamento&lt;&gt;"TransfereGOV",
              ROUND(OFFSET($P180,0,AR$13),15-13*ORÇAMENTO!$AF$7)/$H180*OFFSET(ORÇAMENTO!$X$15,ROW(AR180)-ROW(AR$15),0),
              ROUND(ROUND(OFFSET($P180,0,AR$13),15-13*ORÇAMENTO!$AF$7)*OFFSET(ORÇAMENTO!$W$15,ROW(AR180)-ROW(AR$15),0),15-13*ORÇAMENTO!$AF$11)),
         0)</f>
        <v>0</v>
      </c>
      <c r="AS180" s="453">
        <f ca="1">IF(AND($D180="Serviço",AS$12&lt;&gt;0,$H180&gt;0,OR(AUTOEVENTO&lt;&gt;"manual",$M180&lt;&gt;$A$15)),
        IF(Import.TipoArredondamento&lt;&gt;"TransfereGOV",
              ROUND(OFFSET($P180,0,AS$13),15-13*ORÇAMENTO!$AF$7)/$H180*OFFSET(ORÇAMENTO!$X$15,ROW(AS180)-ROW(AS$15),0),
              ROUND(ROUND(OFFSET($P180,0,AS$13),15-13*ORÇAMENTO!$AF$7)*OFFSET(ORÇAMENTO!$W$15,ROW(AS180)-ROW(AS$15),0),15-13*ORÇAMENTO!$AF$11)),
         0)</f>
        <v>0</v>
      </c>
      <c r="AT180" s="453">
        <f ca="1">IF(AND($D180="Serviço",AT$12&lt;&gt;0,$H180&gt;0,OR(AUTOEVENTO&lt;&gt;"manual",$M180&lt;&gt;$A$15)),
        IF(Import.TipoArredondamento&lt;&gt;"TransfereGOV",
              ROUND(OFFSET($P180,0,AT$13),15-13*ORÇAMENTO!$AF$7)/$H180*OFFSET(ORÇAMENTO!$X$15,ROW(AT180)-ROW(AT$15),0),
              ROUND(ROUND(OFFSET($P180,0,AT$13),15-13*ORÇAMENTO!$AF$7)*OFFSET(ORÇAMENTO!$W$15,ROW(AT180)-ROW(AT$15),0),15-13*ORÇAMENTO!$AF$11)),
         0)</f>
        <v>0</v>
      </c>
      <c r="AU180" s="453">
        <f ca="1">IF(AND($D180="Serviço",AU$12&lt;&gt;0,$H180&gt;0,OR(AUTOEVENTO&lt;&gt;"manual",$M180&lt;&gt;$A$15)),
        IF(Import.TipoArredondamento&lt;&gt;"TransfereGOV",
              ROUND(OFFSET($P180,0,AU$13),15-13*ORÇAMENTO!$AF$7)/$H180*OFFSET(ORÇAMENTO!$X$15,ROW(AU180)-ROW(AU$15),0),
              ROUND(ROUND(OFFSET($P180,0,AU$13),15-13*ORÇAMENTO!$AF$7)*OFFSET(ORÇAMENTO!$W$15,ROW(AU180)-ROW(AU$15),0),15-13*ORÇAMENTO!$AF$11)),
         0)</f>
        <v>0</v>
      </c>
      <c r="AV180" s="453">
        <f ca="1">IF(AND($D180="Serviço",AV$12&lt;&gt;0,$H180&gt;0,OR(AUTOEVENTO&lt;&gt;"manual",$M180&lt;&gt;$A$15)),
        IF(Import.TipoArredondamento&lt;&gt;"TransfereGOV",
              ROUND(OFFSET($P180,0,AV$13),15-13*ORÇAMENTO!$AF$7)/$H180*OFFSET(ORÇAMENTO!$X$15,ROW(AV180)-ROW(AV$15),0),
              ROUND(ROUND(OFFSET($P180,0,AV$13),15-13*ORÇAMENTO!$AF$7)*OFFSET(ORÇAMENTO!$W$15,ROW(AV180)-ROW(AV$15),0),15-13*ORÇAMENTO!$AF$11)),
         0)</f>
        <v>0</v>
      </c>
      <c r="AW180" s="453">
        <f ca="1">IF(AND($D180="Serviço",AW$12&lt;&gt;0,$H180&gt;0,OR(AUTOEVENTO&lt;&gt;"manual",$M180&lt;&gt;$A$15)),
        IF(Import.TipoArredondamento&lt;&gt;"TransfereGOV",
              ROUND(OFFSET($P180,0,AW$13),15-13*ORÇAMENTO!$AF$7)/$H180*OFFSET(ORÇAMENTO!$X$15,ROW(AW180)-ROW(AW$15),0),
              ROUND(ROUND(OFFSET($P180,0,AW$13),15-13*ORÇAMENTO!$AF$7)*OFFSET(ORÇAMENTO!$W$15,ROW(AW180)-ROW(AW$15),0),15-13*ORÇAMENTO!$AF$11)),
         0)</f>
        <v>0</v>
      </c>
      <c r="AX180" s="453">
        <f ca="1">IF(AND($D180="Serviço",AX$12&lt;&gt;0,$H180&gt;0,OR(AUTOEVENTO&lt;&gt;"manual",$M180&lt;&gt;$A$15)),
        IF(Import.TipoArredondamento&lt;&gt;"TransfereGOV",
              ROUND(OFFSET($P180,0,AX$13),15-13*ORÇAMENTO!$AF$7)/$H180*OFFSET(ORÇAMENTO!$X$15,ROW(AX180)-ROW(AX$15),0),
              ROUND(ROUND(OFFSET($P180,0,AX$13),15-13*ORÇAMENTO!$AF$7)*OFFSET(ORÇAMENTO!$W$15,ROW(AX180)-ROW(AX$15),0),15-13*ORÇAMENTO!$AF$11)),
         0)</f>
        <v>0</v>
      </c>
      <c r="AY180" s="453">
        <f ca="1">IF(AND($D180="Serviço",AY$12&lt;&gt;0,$H180&gt;0,OR(AUTOEVENTO&lt;&gt;"manual",$M180&lt;&gt;$A$15)),
        IF(Import.TipoArredondamento&lt;&gt;"TransfereGOV",
              ROUND(OFFSET($P180,0,AY$13),15-13*ORÇAMENTO!$AF$7)/$H180*OFFSET(ORÇAMENTO!$X$15,ROW(AY180)-ROW(AY$15),0),
              ROUND(ROUND(OFFSET($P180,0,AY$13),15-13*ORÇAMENTO!$AF$7)*OFFSET(ORÇAMENTO!$W$15,ROW(AY180)-ROW(AY$15),0),15-13*ORÇAMENTO!$AF$11)),
         0)</f>
        <v>0</v>
      </c>
      <c r="AZ180" s="453">
        <f ca="1">IF(AND($D180="Serviço",AZ$12&lt;&gt;0,$H180&gt;0,OR(AUTOEVENTO&lt;&gt;"manual",$M180&lt;&gt;$A$15)),
        IF(Import.TipoArredondamento&lt;&gt;"TransfereGOV",
              ROUND(OFFSET($P180,0,AZ$13),15-13*ORÇAMENTO!$AF$7)/$H180*OFFSET(ORÇAMENTO!$X$15,ROW(AZ180)-ROW(AZ$15),0),
              ROUND(ROUND(OFFSET($P180,0,AZ$13),15-13*ORÇAMENTO!$AF$7)*OFFSET(ORÇAMENTO!$W$15,ROW(AZ180)-ROW(AZ$15),0),15-13*ORÇAMENTO!$AF$11)),
         0)</f>
        <v>0</v>
      </c>
      <c r="BA180" s="453">
        <f ca="1">IF(AND($D180="Serviço",BA$12&lt;&gt;0,$H180&gt;0,OR(AUTOEVENTO&lt;&gt;"manual",$M180&lt;&gt;$A$15)),
        IF(Import.TipoArredondamento&lt;&gt;"TransfereGOV",
              ROUND(OFFSET($P180,0,BA$13),15-13*ORÇAMENTO!$AF$7)/$H180*OFFSET(ORÇAMENTO!$X$15,ROW(BA180)-ROW(BA$15),0),
              ROUND(ROUND(OFFSET($P180,0,BA$13),15-13*ORÇAMENTO!$AF$7)*OFFSET(ORÇAMENTO!$W$15,ROW(BA180)-ROW(BA$15),0),15-13*ORÇAMENTO!$AF$11)),
         0)</f>
        <v>0</v>
      </c>
      <c r="BC180" s="171">
        <f ca="1">IF(OR($D180&lt;&gt;"Serviço",AND(AUTOEVENTO="Manual",$M180=$A$15)),0,
         IF(OFFSET(CRONOPLE!$F$15,$M180-$A$15,BC$13)=0,10^12,OFFSET(CRONOPLE!$F$15,$M180-$A$15,BC$13)))</f>
        <v>10</v>
      </c>
      <c r="BD180" s="171">
        <f ca="1">IF(OR($D180&lt;&gt;"Serviço",AND(AUTOEVENTO="Manual",$M180=$A$15)),0,
         IF(OFFSET(CRONOPLE!$F$15,$M180-$A$15,BD$13)=0,10^12,OFFSET(CRONOPLE!$F$15,$M180-$A$15,BD$13)))</f>
        <v>1000000000000</v>
      </c>
      <c r="BE180" s="171">
        <f ca="1">IF(OR($D180&lt;&gt;"Serviço",AND(AUTOEVENTO="Manual",$M180=$A$15)),0,
         IF(OFFSET(CRONOPLE!$F$15,$M180-$A$15,BE$13)=0,10^12,OFFSET(CRONOPLE!$F$15,$M180-$A$15,BE$13)))</f>
        <v>4</v>
      </c>
      <c r="BF180" s="171">
        <f ca="1">IF(OR($D180&lt;&gt;"Serviço",AND(AUTOEVENTO="Manual",$M180=$A$15)),0,
         IF(OFFSET(CRONOPLE!$F$15,$M180-$A$15,BF$13)=0,10^12,OFFSET(CRONOPLE!$F$15,$M180-$A$15,BF$13)))</f>
        <v>9</v>
      </c>
      <c r="BG180" s="171">
        <f ca="1">IF(OR($D180&lt;&gt;"Serviço",AND(AUTOEVENTO="Manual",$M180=$A$15)),0,
         IF(OFFSET(CRONOPLE!$F$15,$M180-$A$15,BG$13)=0,10^12,OFFSET(CRONOPLE!$F$15,$M180-$A$15,BG$13)))</f>
        <v>6</v>
      </c>
      <c r="BH180" s="171">
        <f ca="1">IF(OR($D180&lt;&gt;"Serviço",AND(AUTOEVENTO="Manual",$M180=$A$15)),0,
         IF(OFFSET(CRONOPLE!$F$15,$M180-$A$15,BH$13)=0,10^12,OFFSET(CRONOPLE!$F$15,$M180-$A$15,BH$13)))</f>
        <v>6</v>
      </c>
      <c r="BI180" s="171">
        <f ca="1">IF(OR($D180&lt;&gt;"Serviço",AND(AUTOEVENTO="Manual",$M180=$A$15)),0,
         IF(OFFSET(CRONOPLE!$F$15,$M180-$A$15,BI$13)=0,10^12,OFFSET(CRONOPLE!$F$15,$M180-$A$15,BI$13)))</f>
        <v>9</v>
      </c>
      <c r="BJ180" s="171">
        <f ca="1">IF(OR($D180&lt;&gt;"Serviço",AND(AUTOEVENTO="Manual",$M180=$A$15)),0,
         IF(OFFSET(CRONOPLE!$F$15,$M180-$A$15,BJ$13)=0,10^12,OFFSET(CRONOPLE!$F$15,$M180-$A$15,BJ$13)))</f>
        <v>1000000000000</v>
      </c>
      <c r="BK180" s="171">
        <f ca="1">IF(OR($D180&lt;&gt;"Serviço",AND(AUTOEVENTO="Manual",$M180=$A$15)),0,
         IF(OFFSET(CRONOPLE!$F$15,$M180-$A$15,BK$13)=0,10^12,OFFSET(CRONOPLE!$F$15,$M180-$A$15,BK$13)))</f>
        <v>1000000000000</v>
      </c>
      <c r="BL180" s="171">
        <f ca="1">IF(OR($D180&lt;&gt;"Serviço",AND(AUTOEVENTO="Manual",$M180=$A$15)),0,
         IF(OFFSET(CRONOPLE!$F$15,$M180-$A$15,BL$13)=0,10^12,OFFSET(CRONOPLE!$F$15,$M180-$A$15,BL$13)))</f>
        <v>1000000000000</v>
      </c>
      <c r="BM180" s="171">
        <f ca="1">IF(OR($D180&lt;&gt;"Serviço",AND(AUTOEVENTO="Manual",$M180=$A$15)),0,
         IF(OFFSET(CRONOPLE!$F$15,$M180-$A$15,BM$13)=0,10^12,OFFSET(CRONOPLE!$F$15,$M180-$A$15,BM$13)))</f>
        <v>1000000000000</v>
      </c>
      <c r="BN180" s="171">
        <f ca="1">IF(OR($D180&lt;&gt;"Serviço",AND(AUTOEVENTO="Manual",$M180=$A$15)),0,
         IF(OFFSET(CRONOPLE!$F$15,$M180-$A$15,BN$13)=0,10^12,OFFSET(CRONOPLE!$F$15,$M180-$A$15,BN$13)))</f>
        <v>1000000000000</v>
      </c>
      <c r="BO180" s="171">
        <f ca="1">IF(OR($D180&lt;&gt;"Serviço",AND(AUTOEVENTO="Manual",$M180=$A$15)),0,
         IF(OFFSET(CRONOPLE!$F$15,$M180-$A$15,BO$13)=0,10^12,OFFSET(CRONOPLE!$F$15,$M180-$A$15,BO$13)))</f>
        <v>1000000000000</v>
      </c>
      <c r="BP180" s="171">
        <f ca="1">IF(OR($D180&lt;&gt;"Serviço",AND(AUTOEVENTO="Manual",$M180=$A$15)),0,
         IF(OFFSET(CRONOPLE!$F$15,$M180-$A$15,BP$13)=0,10^12,OFFSET(CRONOPLE!$F$15,$M180-$A$15,BP$13)))</f>
        <v>1000000000000</v>
      </c>
      <c r="BQ180" s="171">
        <f ca="1">IF(OR($D180&lt;&gt;"Serviço",AND(AUTOEVENTO="Manual",$M180=$A$15)),0,
         IF(OFFSET(CRONOPLE!$F$15,$M180-$A$15,BQ$13)=0,10^12,OFFSET(CRONOPLE!$F$15,$M180-$A$15,BQ$13)))</f>
        <v>1000000000000</v>
      </c>
      <c r="BR180" s="171">
        <f ca="1">IF(OR($D180&lt;&gt;"Serviço",AND(AUTOEVENTO="Manual",$M180=$A$15)),0,
         IF(OFFSET(CRONOPLE!$F$15,$M180-$A$15,BR$13)=0,10^12,OFFSET(CRONOPLE!$F$15,$M180-$A$15,BR$13)))</f>
        <v>1000000000000</v>
      </c>
      <c r="BS180" s="171">
        <f ca="1">IF(OR($D180&lt;&gt;"Serviço",AND(AUTOEVENTO="Manual",$M180=$A$15)),0,
         IF(OFFSET(CRONOPLE!$F$15,$M180-$A$15,BS$13)=0,10^12,OFFSET(CRONOPLE!$F$15,$M180-$A$15,BS$13)))</f>
        <v>1000000000000</v>
      </c>
      <c r="BT180" s="171">
        <f ca="1">IF(OR($D180&lt;&gt;"Serviço",AND(AUTOEVENTO="Manual",$M180=$A$15)),0,
         IF(OFFSET(CRONOPLE!$F$15,$M180-$A$15,BT$13)=0,10^12,OFFSET(CRONOPLE!$F$15,$M180-$A$15,BT$13)))</f>
        <v>1000000000000</v>
      </c>
      <c r="BV180" s="172" cm="1">
        <f t="array" aca="1" ref="BV180" ca="1">IF(OR($D180&lt;&gt;"Serviço",AND(AUTOEVENTO="Manual",$M180=$A$15),$M180&gt;(ROW(PLE.lastrow)-ROW(PLE.firstrow))),0,
           IF(OFFSET(PLE!$G$15,$M180-$A$15,BV$13)="",10^12,OFFSET(PLE!$G$15,$M180-$A$15,BV$13)))</f>
        <v>1000000000000</v>
      </c>
      <c r="BW180" s="172" cm="1">
        <f t="array" aca="1" ref="BW180" ca="1">IF(OR($D180&lt;&gt;"Serviço",AND(AUTOEVENTO="Manual",$M180=$A$15),$M180&gt;(ROW(PLE.lastrow)-ROW(PLE.firstrow))),0,
           IF(OFFSET(PLE!$G$15,$M180-$A$15,BW$13)="",10^12,OFFSET(PLE!$G$15,$M180-$A$15,BW$13)))</f>
        <v>1000000000000</v>
      </c>
      <c r="BX180" s="172" cm="1">
        <f t="array" aca="1" ref="BX180" ca="1">IF(OR($D180&lt;&gt;"Serviço",AND(AUTOEVENTO="Manual",$M180=$A$15),$M180&gt;(ROW(PLE.lastrow)-ROW(PLE.firstrow))),0,
           IF(OFFSET(PLE!$G$15,$M180-$A$15,BX$13)="",10^12,OFFSET(PLE!$G$15,$M180-$A$15,BX$13)))</f>
        <v>1000000000000</v>
      </c>
      <c r="BY180" s="172" cm="1">
        <f t="array" aca="1" ref="BY180" ca="1">IF(OR($D180&lt;&gt;"Serviço",AND(AUTOEVENTO="Manual",$M180=$A$15),$M180&gt;(ROW(PLE.lastrow)-ROW(PLE.firstrow))),0,
           IF(OFFSET(PLE!$G$15,$M180-$A$15,BY$13)="",10^12,OFFSET(PLE!$G$15,$M180-$A$15,BY$13)))</f>
        <v>1000000000000</v>
      </c>
      <c r="BZ180" s="172" cm="1">
        <f t="array" aca="1" ref="BZ180" ca="1">IF(OR($D180&lt;&gt;"Serviço",AND(AUTOEVENTO="Manual",$M180=$A$15),$M180&gt;(ROW(PLE.lastrow)-ROW(PLE.firstrow))),0,
           IF(OFFSET(PLE!$G$15,$M180-$A$15,BZ$13)="",10^12,OFFSET(PLE!$G$15,$M180-$A$15,BZ$13)))</f>
        <v>1000000000000</v>
      </c>
      <c r="CA180" s="172" cm="1">
        <f t="array" aca="1" ref="CA180" ca="1">IF(OR($D180&lt;&gt;"Serviço",AND(AUTOEVENTO="Manual",$M180=$A$15),$M180&gt;(ROW(PLE.lastrow)-ROW(PLE.firstrow))),0,
           IF(OFFSET(PLE!$G$15,$M180-$A$15,CA$13)="",10^12,OFFSET(PLE!$G$15,$M180-$A$15,CA$13)))</f>
        <v>1000000000000</v>
      </c>
      <c r="CB180" s="172" cm="1">
        <f t="array" aca="1" ref="CB180" ca="1">IF(OR($D180&lt;&gt;"Serviço",AND(AUTOEVENTO="Manual",$M180=$A$15),$M180&gt;(ROW(PLE.lastrow)-ROW(PLE.firstrow))),0,
           IF(OFFSET(PLE!$G$15,$M180-$A$15,CB$13)="",10^12,OFFSET(PLE!$G$15,$M180-$A$15,CB$13)))</f>
        <v>1000000000000</v>
      </c>
      <c r="CC180" s="172" cm="1">
        <f t="array" aca="1" ref="CC180" ca="1">IF(OR($D180&lt;&gt;"Serviço",AND(AUTOEVENTO="Manual",$M180=$A$15),$M180&gt;(ROW(PLE.lastrow)-ROW(PLE.firstrow))),0,
           IF(OFFSET(PLE!$G$15,$M180-$A$15,CC$13)="",10^12,OFFSET(PLE!$G$15,$M180-$A$15,CC$13)))</f>
        <v>1000000000000</v>
      </c>
      <c r="CD180" s="172" cm="1">
        <f t="array" aca="1" ref="CD180" ca="1">IF(OR($D180&lt;&gt;"Serviço",AND(AUTOEVENTO="Manual",$M180=$A$15),$M180&gt;(ROW(PLE.lastrow)-ROW(PLE.firstrow))),0,
           IF(OFFSET(PLE!$G$15,$M180-$A$15,CD$13)="",10^12,OFFSET(PLE!$G$15,$M180-$A$15,CD$13)))</f>
        <v>1000000000000</v>
      </c>
      <c r="CE180" s="172" cm="1">
        <f t="array" aca="1" ref="CE180" ca="1">IF(OR($D180&lt;&gt;"Serviço",AND(AUTOEVENTO="Manual",$M180=$A$15),$M180&gt;(ROW(PLE.lastrow)-ROW(PLE.firstrow))),0,
           IF(OFFSET(PLE!$G$15,$M180-$A$15,CE$13)="",10^12,OFFSET(PLE!$G$15,$M180-$A$15,CE$13)))</f>
        <v>1000000000000</v>
      </c>
      <c r="CF180" s="172" cm="1">
        <f t="array" aca="1" ref="CF180" ca="1">IF(OR($D180&lt;&gt;"Serviço",AND(AUTOEVENTO="Manual",$M180=$A$15),$M180&gt;(ROW(PLE.lastrow)-ROW(PLE.firstrow))),0,
           IF(OFFSET(PLE!$G$15,$M180-$A$15,CF$13)="",10^12,OFFSET(PLE!$G$15,$M180-$A$15,CF$13)))</f>
        <v>1000000000000</v>
      </c>
      <c r="CG180" s="172" cm="1">
        <f t="array" aca="1" ref="CG180" ca="1">IF(OR($D180&lt;&gt;"Serviço",AND(AUTOEVENTO="Manual",$M180=$A$15),$M180&gt;(ROW(PLE.lastrow)-ROW(PLE.firstrow))),0,
           IF(OFFSET(PLE!$G$15,$M180-$A$15,CG$13)="",10^12,OFFSET(PLE!$G$15,$M180-$A$15,CG$13)))</f>
        <v>1000000000000</v>
      </c>
      <c r="CH180" s="172" cm="1">
        <f t="array" aca="1" ref="CH180" ca="1">IF(OR($D180&lt;&gt;"Serviço",AND(AUTOEVENTO="Manual",$M180=$A$15),$M180&gt;(ROW(PLE.lastrow)-ROW(PLE.firstrow))),0,
           IF(OFFSET(PLE!$G$15,$M180-$A$15,CH$13)="",10^12,OFFSET(PLE!$G$15,$M180-$A$15,CH$13)))</f>
        <v>1000000000000</v>
      </c>
      <c r="CI180" s="172" cm="1">
        <f t="array" aca="1" ref="CI180" ca="1">IF(OR($D180&lt;&gt;"Serviço",AND(AUTOEVENTO="Manual",$M180=$A$15),$M180&gt;(ROW(PLE.lastrow)-ROW(PLE.firstrow))),0,
           IF(OFFSET(PLE!$G$15,$M180-$A$15,CI$13)="",10^12,OFFSET(PLE!$G$15,$M180-$A$15,CI$13)))</f>
        <v>1000000000000</v>
      </c>
      <c r="CJ180" s="172" cm="1">
        <f t="array" aca="1" ref="CJ180" ca="1">IF(OR($D180&lt;&gt;"Serviço",AND(AUTOEVENTO="Manual",$M180=$A$15),$M180&gt;(ROW(PLE.lastrow)-ROW(PLE.firstrow))),0,
           IF(OFFSET(PLE!$G$15,$M180-$A$15,CJ$13)="",10^12,OFFSET(PLE!$G$15,$M180-$A$15,CJ$13)))</f>
        <v>1000000000000</v>
      </c>
      <c r="CK180" s="172" cm="1">
        <f t="array" aca="1" ref="CK180" ca="1">IF(OR($D180&lt;&gt;"Serviço",AND(AUTOEVENTO="Manual",$M180=$A$15),$M180&gt;(ROW(PLE.lastrow)-ROW(PLE.firstrow))),0,
           IF(OFFSET(PLE!$G$15,$M180-$A$15,CK$13)="",10^12,OFFSET(PLE!$G$15,$M180-$A$15,CK$13)))</f>
        <v>1000000000000</v>
      </c>
      <c r="CL180" s="172" cm="1">
        <f t="array" aca="1" ref="CL180" ca="1">IF(OR($D180&lt;&gt;"Serviço",AND(AUTOEVENTO="Manual",$M180=$A$15),$M180&gt;(ROW(PLE.lastrow)-ROW(PLE.firstrow))),0,
           IF(OFFSET(PLE!$G$15,$M180-$A$15,CL$13)="",10^12,OFFSET(PLE!$G$15,$M180-$A$15,CL$13)))</f>
        <v>1000000000000</v>
      </c>
      <c r="CM180" s="172" cm="1">
        <f t="array" aca="1" ref="CM180" ca="1">IF(OR($D180&lt;&gt;"Serviço",AND(AUTOEVENTO="Manual",$M180=$A$15),$M180&gt;(ROW(PLE.lastrow)-ROW(PLE.firstrow))),0,
           IF(OFFSET(PLE!$G$15,$M180-$A$15,CM$13)="",10^12,OFFSET(PLE!$G$15,$M180-$A$15,CM$13)))</f>
        <v>1000000000000</v>
      </c>
    </row>
    <row r="181" spans="1:91" s="670" customFormat="1" ht="63.75" x14ac:dyDescent="0.2">
      <c r="A181" s="668">
        <f t="shared" ca="1" si="14"/>
        <v>9</v>
      </c>
      <c r="B181" s="668" t="str">
        <f ca="1">OFFSET(ORÇAMENTO!C$15,$L181,0)</f>
        <v>S</v>
      </c>
      <c r="C181" s="668" t="str">
        <f ca="1">OFFSET(ORÇAMENTO!L$15,$L181,0)</f>
        <v>F</v>
      </c>
      <c r="D181" s="116" t="str">
        <f ca="1">OFFSET(ORÇAMENTO!N$15,$L181,0)</f>
        <v>Serviço</v>
      </c>
      <c r="E181" s="117" t="str">
        <f ca="1">OFFSET(ORÇAMENTO!O$15,$L181,0)</f>
        <v>1.23.11.</v>
      </c>
      <c r="F181" s="163" t="str">
        <f ca="1">OFFSET(ORÇAMENTO!R$15,$L181,0)</f>
        <v>REATERRO MECANIZADO DE VALA COM RETROESCAVADEIRA (CAPACIDADE DA CAÇAMBA DA RETRO: 0,26 M³/POTÊNCIA: 88 HP), LARGURA ATÉ 0,8 M, PROFUNDIDADE ATÉ 1,5 M, COM SOLO (SEM SUBSTITUIÇÃO) DE 1ª CATEGORIA, COM COMPACTADOR DE SOLOS DE PERCUSSÃO. AF_08/2023</v>
      </c>
      <c r="G181" s="164" t="str">
        <f ca="1">IF($D181&lt;&gt;"Serviço","",OFFSET(ORÇAMENTO!S$15,$L181,0))</f>
        <v>M3</v>
      </c>
      <c r="H181" s="122" cm="1">
        <f t="array" aca="1" ref="H181" ca="1">IF($D181&lt;&gt;"Serviço",0,IF(ACOMPANHAMENTO="BM",ROUND(OFFSET(ORÇAMENTO!AJ$15,$L181,0),15-13*ORÇAMENTO!$AF$7),IF(IFERROR(CÁLCULO.FrentesPreenchidas,0)=0,0,SUM(ROUND(OFFSET($P181,0,1,1,CÁLCULO.FrentesPreenchidas),15-13*ORÇAMENTO!$AF$7)))))</f>
        <v>9000</v>
      </c>
      <c r="I181" s="468" t="s">
        <v>1131</v>
      </c>
      <c r="J181" s="651" t="str" cm="1">
        <f t="array" aca="1" ref="J181" ca="1">IF(OR(B181&lt;&gt;"S",CÁLCULO.FrentesPreenchidas=0),"",IF(AND(ACOMPANHAMENTO="PLE",AUTOEVENTO="Manual",OR(H181&gt;0,ORÇAMENTO!AC181="QUANT."),OR(K181="",M181=0,N181="")),"►E",IF(AND(ACOMPANHAMENTO="PLE",ORÇAMENTO!AC181="QUANT."),"►Q",IF(AND(ACOMPANHAMENTO="PLE",H181&lt;&gt;SUMPRODUCT(($Q$1:$AI$1=1)*ROUND(Q181:AI181,15))),"►S",IF(AND(COUNTIF($P$11:$AI$11,"▼")=0,H181&gt;0,I181=""),"◄M","")))))</f>
        <v/>
      </c>
      <c r="K181" s="652" t="s">
        <v>1347</v>
      </c>
      <c r="L181" s="165">
        <f t="shared" ca="1" si="15"/>
        <v>166</v>
      </c>
      <c r="M181" s="166">
        <f ca="1">IF($D181&lt;&gt;"Serviço","",
          IF(AUTOEVENTO="manual",$A181,
                IF(ISERROR(MATCH($A181,$A$15:OFFSET($A181,-1,0),0)),MAX($M$15:OFFSET(M181,-1,0))+1,
                      INDEX($M$15:OFFSET(M181,-1,0),MATCH($A181,$A$15:OFFSET($A181,-1,0),0)))))</f>
        <v>9</v>
      </c>
      <c r="N181" s="167" t="str">
        <f ca="1">IF($D181&lt;&gt;"Serviço","",
         IF(AUTOEVENTO="Manual",
                IF($A181=0,"&lt;-- defina o número do agrupador",
                       OFFSET(EVENTOS!$D$15,$A181-$A$15,0)),
                OFFSET($F$15,$A181,0)))</f>
        <v>Reaterro</v>
      </c>
      <c r="O181" s="168"/>
      <c r="Q181" s="168"/>
      <c r="R181" s="169"/>
      <c r="S181" s="169"/>
      <c r="T181" s="169"/>
      <c r="U181" s="169"/>
      <c r="V181" s="169"/>
      <c r="W181" s="169">
        <v>9000</v>
      </c>
      <c r="X181" s="169"/>
      <c r="Y181" s="169"/>
      <c r="Z181" s="170"/>
      <c r="AA181" s="705"/>
      <c r="AB181" s="705"/>
      <c r="AC181" s="705"/>
      <c r="AD181" s="705"/>
      <c r="AE181" s="705"/>
      <c r="AF181" s="705"/>
      <c r="AG181" s="705"/>
      <c r="AH181" s="706"/>
      <c r="AJ181" s="453">
        <f ca="1">IF(AND($D181="Serviço",AJ$12&lt;&gt;0,$H181&gt;0,OR(AUTOEVENTO&lt;&gt;"manual",$M181&lt;&gt;$A$15)),
        IF(Import.TipoArredondamento&lt;&gt;"TransfereGOV",
              ROUND(OFFSET($P181,0,AJ$13),15-13*ORÇAMENTO!$AF$7)/$H181*OFFSET(ORÇAMENTO!$X$15,ROW(AJ181)-ROW(AJ$15),0),
              ROUND(ROUND(OFFSET($P181,0,AJ$13),15-13*ORÇAMENTO!$AF$7)*OFFSET(ORÇAMENTO!$W$15,ROW(AJ181)-ROW(AJ$15),0),15-13*ORÇAMENTO!$AF$11)),
         0)</f>
        <v>0</v>
      </c>
      <c r="AK181" s="453">
        <f ca="1">IF(AND($D181="Serviço",AK$12&lt;&gt;0,$H181&gt;0,OR(AUTOEVENTO&lt;&gt;"manual",$M181&lt;&gt;$A$15)),
        IF(Import.TipoArredondamento&lt;&gt;"TransfereGOV",
              ROUND(OFFSET($P181,0,AK$13),15-13*ORÇAMENTO!$AF$7)/$H181*OFFSET(ORÇAMENTO!$X$15,ROW(AK181)-ROW(AK$15),0),
              ROUND(ROUND(OFFSET($P181,0,AK$13),15-13*ORÇAMENTO!$AF$7)*OFFSET(ORÇAMENTO!$W$15,ROW(AK181)-ROW(AK$15),0),15-13*ORÇAMENTO!$AF$11)),
         0)</f>
        <v>0</v>
      </c>
      <c r="AL181" s="453">
        <f ca="1">IF(AND($D181="Serviço",AL$12&lt;&gt;0,$H181&gt;0,OR(AUTOEVENTO&lt;&gt;"manual",$M181&lt;&gt;$A$15)),
        IF(Import.TipoArredondamento&lt;&gt;"TransfereGOV",
              ROUND(OFFSET($P181,0,AL$13),15-13*ORÇAMENTO!$AF$7)/$H181*OFFSET(ORÇAMENTO!$X$15,ROW(AL181)-ROW(AL$15),0),
              ROUND(ROUND(OFFSET($P181,0,AL$13),15-13*ORÇAMENTO!$AF$7)*OFFSET(ORÇAMENTO!$W$15,ROW(AL181)-ROW(AL$15),0),15-13*ORÇAMENTO!$AF$11)),
         0)</f>
        <v>0</v>
      </c>
      <c r="AM181" s="453">
        <f ca="1">IF(AND($D181="Serviço",AM$12&lt;&gt;0,$H181&gt;0,OR(AUTOEVENTO&lt;&gt;"manual",$M181&lt;&gt;$A$15)),
        IF(Import.TipoArredondamento&lt;&gt;"TransfereGOV",
              ROUND(OFFSET($P181,0,AM$13),15-13*ORÇAMENTO!$AF$7)/$H181*OFFSET(ORÇAMENTO!$X$15,ROW(AM181)-ROW(AM$15),0),
              ROUND(ROUND(OFFSET($P181,0,AM$13),15-13*ORÇAMENTO!$AF$7)*OFFSET(ORÇAMENTO!$W$15,ROW(AM181)-ROW(AM$15),0),15-13*ORÇAMENTO!$AF$11)),
         0)</f>
        <v>0</v>
      </c>
      <c r="AN181" s="453">
        <f ca="1">IF(AND($D181="Serviço",AN$12&lt;&gt;0,$H181&gt;0,OR(AUTOEVENTO&lt;&gt;"manual",$M181&lt;&gt;$A$15)),
        IF(Import.TipoArredondamento&lt;&gt;"TransfereGOV",
              ROUND(OFFSET($P181,0,AN$13),15-13*ORÇAMENTO!$AF$7)/$H181*OFFSET(ORÇAMENTO!$X$15,ROW(AN181)-ROW(AN$15),0),
              ROUND(ROUND(OFFSET($P181,0,AN$13),15-13*ORÇAMENTO!$AF$7)*OFFSET(ORÇAMENTO!$W$15,ROW(AN181)-ROW(AN$15),0),15-13*ORÇAMENTO!$AF$11)),
         0)</f>
        <v>0</v>
      </c>
      <c r="AO181" s="453">
        <f ca="1">IF(AND($D181="Serviço",AO$12&lt;&gt;0,$H181&gt;0,OR(AUTOEVENTO&lt;&gt;"manual",$M181&lt;&gt;$A$15)),
        IF(Import.TipoArredondamento&lt;&gt;"TransfereGOV",
              ROUND(OFFSET($P181,0,AO$13),15-13*ORÇAMENTO!$AF$7)/$H181*OFFSET(ORÇAMENTO!$X$15,ROW(AO181)-ROW(AO$15),0),
              ROUND(ROUND(OFFSET($P181,0,AO$13),15-13*ORÇAMENTO!$AF$7)*OFFSET(ORÇAMENTO!$W$15,ROW(AO181)-ROW(AO$15),0),15-13*ORÇAMENTO!$AF$11)),
         0)</f>
        <v>0</v>
      </c>
      <c r="AP181" s="453">
        <f ca="1">IF(AND($D181="Serviço",AP$12&lt;&gt;0,$H181&gt;0,OR(AUTOEVENTO&lt;&gt;"manual",$M181&lt;&gt;$A$15)),
        IF(Import.TipoArredondamento&lt;&gt;"TransfereGOV",
              ROUND(OFFSET($P181,0,AP$13),15-13*ORÇAMENTO!$AF$7)/$H181*OFFSET(ORÇAMENTO!$X$15,ROW(AP181)-ROW(AP$15),0),
              ROUND(ROUND(OFFSET($P181,0,AP$13),15-13*ORÇAMENTO!$AF$7)*OFFSET(ORÇAMENTO!$W$15,ROW(AP181)-ROW(AP$15),0),15-13*ORÇAMENTO!$AF$11)),
         0)</f>
        <v>310770</v>
      </c>
      <c r="AQ181" s="453">
        <f ca="1">IF(AND($D181="Serviço",AQ$12&lt;&gt;0,$H181&gt;0,OR(AUTOEVENTO&lt;&gt;"manual",$M181&lt;&gt;$A$15)),
        IF(Import.TipoArredondamento&lt;&gt;"TransfereGOV",
              ROUND(OFFSET($P181,0,AQ$13),15-13*ORÇAMENTO!$AF$7)/$H181*OFFSET(ORÇAMENTO!$X$15,ROW(AQ181)-ROW(AQ$15),0),
              ROUND(ROUND(OFFSET($P181,0,AQ$13),15-13*ORÇAMENTO!$AF$7)*OFFSET(ORÇAMENTO!$W$15,ROW(AQ181)-ROW(AQ$15),0),15-13*ORÇAMENTO!$AF$11)),
         0)</f>
        <v>0</v>
      </c>
      <c r="AR181" s="453">
        <f ca="1">IF(AND($D181="Serviço",AR$12&lt;&gt;0,$H181&gt;0,OR(AUTOEVENTO&lt;&gt;"manual",$M181&lt;&gt;$A$15)),
        IF(Import.TipoArredondamento&lt;&gt;"TransfereGOV",
              ROUND(OFFSET($P181,0,AR$13),15-13*ORÇAMENTO!$AF$7)/$H181*OFFSET(ORÇAMENTO!$X$15,ROW(AR181)-ROW(AR$15),0),
              ROUND(ROUND(OFFSET($P181,0,AR$13),15-13*ORÇAMENTO!$AF$7)*OFFSET(ORÇAMENTO!$W$15,ROW(AR181)-ROW(AR$15),0),15-13*ORÇAMENTO!$AF$11)),
         0)</f>
        <v>0</v>
      </c>
      <c r="AS181" s="453">
        <f ca="1">IF(AND($D181="Serviço",AS$12&lt;&gt;0,$H181&gt;0,OR(AUTOEVENTO&lt;&gt;"manual",$M181&lt;&gt;$A$15)),
        IF(Import.TipoArredondamento&lt;&gt;"TransfereGOV",
              ROUND(OFFSET($P181,0,AS$13),15-13*ORÇAMENTO!$AF$7)/$H181*OFFSET(ORÇAMENTO!$X$15,ROW(AS181)-ROW(AS$15),0),
              ROUND(ROUND(OFFSET($P181,0,AS$13),15-13*ORÇAMENTO!$AF$7)*OFFSET(ORÇAMENTO!$W$15,ROW(AS181)-ROW(AS$15),0),15-13*ORÇAMENTO!$AF$11)),
         0)</f>
        <v>0</v>
      </c>
      <c r="AT181" s="453">
        <f ca="1">IF(AND($D181="Serviço",AT$12&lt;&gt;0,$H181&gt;0,OR(AUTOEVENTO&lt;&gt;"manual",$M181&lt;&gt;$A$15)),
        IF(Import.TipoArredondamento&lt;&gt;"TransfereGOV",
              ROUND(OFFSET($P181,0,AT$13),15-13*ORÇAMENTO!$AF$7)/$H181*OFFSET(ORÇAMENTO!$X$15,ROW(AT181)-ROW(AT$15),0),
              ROUND(ROUND(OFFSET($P181,0,AT$13),15-13*ORÇAMENTO!$AF$7)*OFFSET(ORÇAMENTO!$W$15,ROW(AT181)-ROW(AT$15),0),15-13*ORÇAMENTO!$AF$11)),
         0)</f>
        <v>0</v>
      </c>
      <c r="AU181" s="453">
        <f ca="1">IF(AND($D181="Serviço",AU$12&lt;&gt;0,$H181&gt;0,OR(AUTOEVENTO&lt;&gt;"manual",$M181&lt;&gt;$A$15)),
        IF(Import.TipoArredondamento&lt;&gt;"TransfereGOV",
              ROUND(OFFSET($P181,0,AU$13),15-13*ORÇAMENTO!$AF$7)/$H181*OFFSET(ORÇAMENTO!$X$15,ROW(AU181)-ROW(AU$15),0),
              ROUND(ROUND(OFFSET($P181,0,AU$13),15-13*ORÇAMENTO!$AF$7)*OFFSET(ORÇAMENTO!$W$15,ROW(AU181)-ROW(AU$15),0),15-13*ORÇAMENTO!$AF$11)),
         0)</f>
        <v>0</v>
      </c>
      <c r="AV181" s="453">
        <f ca="1">IF(AND($D181="Serviço",AV$12&lt;&gt;0,$H181&gt;0,OR(AUTOEVENTO&lt;&gt;"manual",$M181&lt;&gt;$A$15)),
        IF(Import.TipoArredondamento&lt;&gt;"TransfereGOV",
              ROUND(OFFSET($P181,0,AV$13),15-13*ORÇAMENTO!$AF$7)/$H181*OFFSET(ORÇAMENTO!$X$15,ROW(AV181)-ROW(AV$15),0),
              ROUND(ROUND(OFFSET($P181,0,AV$13),15-13*ORÇAMENTO!$AF$7)*OFFSET(ORÇAMENTO!$W$15,ROW(AV181)-ROW(AV$15),0),15-13*ORÇAMENTO!$AF$11)),
         0)</f>
        <v>0</v>
      </c>
      <c r="AW181" s="453">
        <f ca="1">IF(AND($D181="Serviço",AW$12&lt;&gt;0,$H181&gt;0,OR(AUTOEVENTO&lt;&gt;"manual",$M181&lt;&gt;$A$15)),
        IF(Import.TipoArredondamento&lt;&gt;"TransfereGOV",
              ROUND(OFFSET($P181,0,AW$13),15-13*ORÇAMENTO!$AF$7)/$H181*OFFSET(ORÇAMENTO!$X$15,ROW(AW181)-ROW(AW$15),0),
              ROUND(ROUND(OFFSET($P181,0,AW$13),15-13*ORÇAMENTO!$AF$7)*OFFSET(ORÇAMENTO!$W$15,ROW(AW181)-ROW(AW$15),0),15-13*ORÇAMENTO!$AF$11)),
         0)</f>
        <v>0</v>
      </c>
      <c r="AX181" s="453">
        <f ca="1">IF(AND($D181="Serviço",AX$12&lt;&gt;0,$H181&gt;0,OR(AUTOEVENTO&lt;&gt;"manual",$M181&lt;&gt;$A$15)),
        IF(Import.TipoArredondamento&lt;&gt;"TransfereGOV",
              ROUND(OFFSET($P181,0,AX$13),15-13*ORÇAMENTO!$AF$7)/$H181*OFFSET(ORÇAMENTO!$X$15,ROW(AX181)-ROW(AX$15),0),
              ROUND(ROUND(OFFSET($P181,0,AX$13),15-13*ORÇAMENTO!$AF$7)*OFFSET(ORÇAMENTO!$W$15,ROW(AX181)-ROW(AX$15),0),15-13*ORÇAMENTO!$AF$11)),
         0)</f>
        <v>0</v>
      </c>
      <c r="AY181" s="453">
        <f ca="1">IF(AND($D181="Serviço",AY$12&lt;&gt;0,$H181&gt;0,OR(AUTOEVENTO&lt;&gt;"manual",$M181&lt;&gt;$A$15)),
        IF(Import.TipoArredondamento&lt;&gt;"TransfereGOV",
              ROUND(OFFSET($P181,0,AY$13),15-13*ORÇAMENTO!$AF$7)/$H181*OFFSET(ORÇAMENTO!$X$15,ROW(AY181)-ROW(AY$15),0),
              ROUND(ROUND(OFFSET($P181,0,AY$13),15-13*ORÇAMENTO!$AF$7)*OFFSET(ORÇAMENTO!$W$15,ROW(AY181)-ROW(AY$15),0),15-13*ORÇAMENTO!$AF$11)),
         0)</f>
        <v>0</v>
      </c>
      <c r="AZ181" s="453">
        <f ca="1">IF(AND($D181="Serviço",AZ$12&lt;&gt;0,$H181&gt;0,OR(AUTOEVENTO&lt;&gt;"manual",$M181&lt;&gt;$A$15)),
        IF(Import.TipoArredondamento&lt;&gt;"TransfereGOV",
              ROUND(OFFSET($P181,0,AZ$13),15-13*ORÇAMENTO!$AF$7)/$H181*OFFSET(ORÇAMENTO!$X$15,ROW(AZ181)-ROW(AZ$15),0),
              ROUND(ROUND(OFFSET($P181,0,AZ$13),15-13*ORÇAMENTO!$AF$7)*OFFSET(ORÇAMENTO!$W$15,ROW(AZ181)-ROW(AZ$15),0),15-13*ORÇAMENTO!$AF$11)),
         0)</f>
        <v>0</v>
      </c>
      <c r="BA181" s="453">
        <f ca="1">IF(AND($D181="Serviço",BA$12&lt;&gt;0,$H181&gt;0,OR(AUTOEVENTO&lt;&gt;"manual",$M181&lt;&gt;$A$15)),
        IF(Import.TipoArredondamento&lt;&gt;"TransfereGOV",
              ROUND(OFFSET($P181,0,BA$13),15-13*ORÇAMENTO!$AF$7)/$H181*OFFSET(ORÇAMENTO!$X$15,ROW(BA181)-ROW(BA$15),0),
              ROUND(ROUND(OFFSET($P181,0,BA$13),15-13*ORÇAMENTO!$AF$7)*OFFSET(ORÇAMENTO!$W$15,ROW(BA181)-ROW(BA$15),0),15-13*ORÇAMENTO!$AF$11)),
         0)</f>
        <v>0</v>
      </c>
      <c r="BC181" s="171">
        <f ca="1">IF(OR($D181&lt;&gt;"Serviço",AND(AUTOEVENTO="Manual",$M181=$A$15)),0,
         IF(OFFSET(CRONOPLE!$F$15,$M181-$A$15,BC$13)=0,10^12,OFFSET(CRONOPLE!$F$15,$M181-$A$15,BC$13)))</f>
        <v>1000000000000</v>
      </c>
      <c r="BD181" s="171">
        <f ca="1">IF(OR($D181&lt;&gt;"Serviço",AND(AUTOEVENTO="Manual",$M181=$A$15)),0,
         IF(OFFSET(CRONOPLE!$F$15,$M181-$A$15,BD$13)=0,10^12,OFFSET(CRONOPLE!$F$15,$M181-$A$15,BD$13)))</f>
        <v>1000000000000</v>
      </c>
      <c r="BE181" s="171">
        <f ca="1">IF(OR($D181&lt;&gt;"Serviço",AND(AUTOEVENTO="Manual",$M181=$A$15)),0,
         IF(OFFSET(CRONOPLE!$F$15,$M181-$A$15,BE$13)=0,10^12,OFFSET(CRONOPLE!$F$15,$M181-$A$15,BE$13)))</f>
        <v>1000000000000</v>
      </c>
      <c r="BF181" s="171">
        <f ca="1">IF(OR($D181&lt;&gt;"Serviço",AND(AUTOEVENTO="Manual",$M181=$A$15)),0,
         IF(OFFSET(CRONOPLE!$F$15,$M181-$A$15,BF$13)=0,10^12,OFFSET(CRONOPLE!$F$15,$M181-$A$15,BF$13)))</f>
        <v>11</v>
      </c>
      <c r="BG181" s="171">
        <f ca="1">IF(OR($D181&lt;&gt;"Serviço",AND(AUTOEVENTO="Manual",$M181=$A$15)),0,
         IF(OFFSET(CRONOPLE!$F$15,$M181-$A$15,BG$13)=0,10^12,OFFSET(CRONOPLE!$F$15,$M181-$A$15,BG$13)))</f>
        <v>7</v>
      </c>
      <c r="BH181" s="171">
        <f ca="1">IF(OR($D181&lt;&gt;"Serviço",AND(AUTOEVENTO="Manual",$M181=$A$15)),0,
         IF(OFFSET(CRONOPLE!$F$15,$M181-$A$15,BH$13)=0,10^12,OFFSET(CRONOPLE!$F$15,$M181-$A$15,BH$13)))</f>
        <v>1000000000000</v>
      </c>
      <c r="BI181" s="171">
        <f ca="1">IF(OR($D181&lt;&gt;"Serviço",AND(AUTOEVENTO="Manual",$M181=$A$15)),0,
         IF(OFFSET(CRONOPLE!$F$15,$M181-$A$15,BI$13)=0,10^12,OFFSET(CRONOPLE!$F$15,$M181-$A$15,BI$13)))</f>
        <v>12</v>
      </c>
      <c r="BJ181" s="171">
        <f ca="1">IF(OR($D181&lt;&gt;"Serviço",AND(AUTOEVENTO="Manual",$M181=$A$15)),0,
         IF(OFFSET(CRONOPLE!$F$15,$M181-$A$15,BJ$13)=0,10^12,OFFSET(CRONOPLE!$F$15,$M181-$A$15,BJ$13)))</f>
        <v>1000000000000</v>
      </c>
      <c r="BK181" s="171">
        <f ca="1">IF(OR($D181&lt;&gt;"Serviço",AND(AUTOEVENTO="Manual",$M181=$A$15)),0,
         IF(OFFSET(CRONOPLE!$F$15,$M181-$A$15,BK$13)=0,10^12,OFFSET(CRONOPLE!$F$15,$M181-$A$15,BK$13)))</f>
        <v>1000000000000</v>
      </c>
      <c r="BL181" s="171">
        <f ca="1">IF(OR($D181&lt;&gt;"Serviço",AND(AUTOEVENTO="Manual",$M181=$A$15)),0,
         IF(OFFSET(CRONOPLE!$F$15,$M181-$A$15,BL$13)=0,10^12,OFFSET(CRONOPLE!$F$15,$M181-$A$15,BL$13)))</f>
        <v>1000000000000</v>
      </c>
      <c r="BM181" s="171">
        <f ca="1">IF(OR($D181&lt;&gt;"Serviço",AND(AUTOEVENTO="Manual",$M181=$A$15)),0,
         IF(OFFSET(CRONOPLE!$F$15,$M181-$A$15,BM$13)=0,10^12,OFFSET(CRONOPLE!$F$15,$M181-$A$15,BM$13)))</f>
        <v>1000000000000</v>
      </c>
      <c r="BN181" s="171">
        <f ca="1">IF(OR($D181&lt;&gt;"Serviço",AND(AUTOEVENTO="Manual",$M181=$A$15)),0,
         IF(OFFSET(CRONOPLE!$F$15,$M181-$A$15,BN$13)=0,10^12,OFFSET(CRONOPLE!$F$15,$M181-$A$15,BN$13)))</f>
        <v>1000000000000</v>
      </c>
      <c r="BO181" s="171">
        <f ca="1">IF(OR($D181&lt;&gt;"Serviço",AND(AUTOEVENTO="Manual",$M181=$A$15)),0,
         IF(OFFSET(CRONOPLE!$F$15,$M181-$A$15,BO$13)=0,10^12,OFFSET(CRONOPLE!$F$15,$M181-$A$15,BO$13)))</f>
        <v>1000000000000</v>
      </c>
      <c r="BP181" s="171">
        <f ca="1">IF(OR($D181&lt;&gt;"Serviço",AND(AUTOEVENTO="Manual",$M181=$A$15)),0,
         IF(OFFSET(CRONOPLE!$F$15,$M181-$A$15,BP$13)=0,10^12,OFFSET(CRONOPLE!$F$15,$M181-$A$15,BP$13)))</f>
        <v>1000000000000</v>
      </c>
      <c r="BQ181" s="171">
        <f ca="1">IF(OR($D181&lt;&gt;"Serviço",AND(AUTOEVENTO="Manual",$M181=$A$15)),0,
         IF(OFFSET(CRONOPLE!$F$15,$M181-$A$15,BQ$13)=0,10^12,OFFSET(CRONOPLE!$F$15,$M181-$A$15,BQ$13)))</f>
        <v>1000000000000</v>
      </c>
      <c r="BR181" s="171">
        <f ca="1">IF(OR($D181&lt;&gt;"Serviço",AND(AUTOEVENTO="Manual",$M181=$A$15)),0,
         IF(OFFSET(CRONOPLE!$F$15,$M181-$A$15,BR$13)=0,10^12,OFFSET(CRONOPLE!$F$15,$M181-$A$15,BR$13)))</f>
        <v>1000000000000</v>
      </c>
      <c r="BS181" s="171">
        <f ca="1">IF(OR($D181&lt;&gt;"Serviço",AND(AUTOEVENTO="Manual",$M181=$A$15)),0,
         IF(OFFSET(CRONOPLE!$F$15,$M181-$A$15,BS$13)=0,10^12,OFFSET(CRONOPLE!$F$15,$M181-$A$15,BS$13)))</f>
        <v>1000000000000</v>
      </c>
      <c r="BT181" s="171">
        <f ca="1">IF(OR($D181&lt;&gt;"Serviço",AND(AUTOEVENTO="Manual",$M181=$A$15)),0,
         IF(OFFSET(CRONOPLE!$F$15,$M181-$A$15,BT$13)=0,10^12,OFFSET(CRONOPLE!$F$15,$M181-$A$15,BT$13)))</f>
        <v>1000000000000</v>
      </c>
      <c r="BV181" s="172" cm="1">
        <f t="array" aca="1" ref="BV181" ca="1">IF(OR($D181&lt;&gt;"Serviço",AND(AUTOEVENTO="Manual",$M181=$A$15),$M181&gt;(ROW(PLE.lastrow)-ROW(PLE.firstrow))),0,
           IF(OFFSET(PLE!$G$15,$M181-$A$15,BV$13)="",10^12,OFFSET(PLE!$G$15,$M181-$A$15,BV$13)))</f>
        <v>1000000000000</v>
      </c>
      <c r="BW181" s="172" cm="1">
        <f t="array" aca="1" ref="BW181" ca="1">IF(OR($D181&lt;&gt;"Serviço",AND(AUTOEVENTO="Manual",$M181=$A$15),$M181&gt;(ROW(PLE.lastrow)-ROW(PLE.firstrow))),0,
           IF(OFFSET(PLE!$G$15,$M181-$A$15,BW$13)="",10^12,OFFSET(PLE!$G$15,$M181-$A$15,BW$13)))</f>
        <v>1000000000000</v>
      </c>
      <c r="BX181" s="172" cm="1">
        <f t="array" aca="1" ref="BX181" ca="1">IF(OR($D181&lt;&gt;"Serviço",AND(AUTOEVENTO="Manual",$M181=$A$15),$M181&gt;(ROW(PLE.lastrow)-ROW(PLE.firstrow))),0,
           IF(OFFSET(PLE!$G$15,$M181-$A$15,BX$13)="",10^12,OFFSET(PLE!$G$15,$M181-$A$15,BX$13)))</f>
        <v>1000000000000</v>
      </c>
      <c r="BY181" s="172" cm="1">
        <f t="array" aca="1" ref="BY181" ca="1">IF(OR($D181&lt;&gt;"Serviço",AND(AUTOEVENTO="Manual",$M181=$A$15),$M181&gt;(ROW(PLE.lastrow)-ROW(PLE.firstrow))),0,
           IF(OFFSET(PLE!$G$15,$M181-$A$15,BY$13)="",10^12,OFFSET(PLE!$G$15,$M181-$A$15,BY$13)))</f>
        <v>1000000000000</v>
      </c>
      <c r="BZ181" s="172" cm="1">
        <f t="array" aca="1" ref="BZ181" ca="1">IF(OR($D181&lt;&gt;"Serviço",AND(AUTOEVENTO="Manual",$M181=$A$15),$M181&gt;(ROW(PLE.lastrow)-ROW(PLE.firstrow))),0,
           IF(OFFSET(PLE!$G$15,$M181-$A$15,BZ$13)="",10^12,OFFSET(PLE!$G$15,$M181-$A$15,BZ$13)))</f>
        <v>1000000000000</v>
      </c>
      <c r="CA181" s="172" cm="1">
        <f t="array" aca="1" ref="CA181" ca="1">IF(OR($D181&lt;&gt;"Serviço",AND(AUTOEVENTO="Manual",$M181=$A$15),$M181&gt;(ROW(PLE.lastrow)-ROW(PLE.firstrow))),0,
           IF(OFFSET(PLE!$G$15,$M181-$A$15,CA$13)="",10^12,OFFSET(PLE!$G$15,$M181-$A$15,CA$13)))</f>
        <v>1000000000000</v>
      </c>
      <c r="CB181" s="172" cm="1">
        <f t="array" aca="1" ref="CB181" ca="1">IF(OR($D181&lt;&gt;"Serviço",AND(AUTOEVENTO="Manual",$M181=$A$15),$M181&gt;(ROW(PLE.lastrow)-ROW(PLE.firstrow))),0,
           IF(OFFSET(PLE!$G$15,$M181-$A$15,CB$13)="",10^12,OFFSET(PLE!$G$15,$M181-$A$15,CB$13)))</f>
        <v>1000000000000</v>
      </c>
      <c r="CC181" s="172" cm="1">
        <f t="array" aca="1" ref="CC181" ca="1">IF(OR($D181&lt;&gt;"Serviço",AND(AUTOEVENTO="Manual",$M181=$A$15),$M181&gt;(ROW(PLE.lastrow)-ROW(PLE.firstrow))),0,
           IF(OFFSET(PLE!$G$15,$M181-$A$15,CC$13)="",10^12,OFFSET(PLE!$G$15,$M181-$A$15,CC$13)))</f>
        <v>1000000000000</v>
      </c>
      <c r="CD181" s="172" cm="1">
        <f t="array" aca="1" ref="CD181" ca="1">IF(OR($D181&lt;&gt;"Serviço",AND(AUTOEVENTO="Manual",$M181=$A$15),$M181&gt;(ROW(PLE.lastrow)-ROW(PLE.firstrow))),0,
           IF(OFFSET(PLE!$G$15,$M181-$A$15,CD$13)="",10^12,OFFSET(PLE!$G$15,$M181-$A$15,CD$13)))</f>
        <v>1000000000000</v>
      </c>
      <c r="CE181" s="172" cm="1">
        <f t="array" aca="1" ref="CE181" ca="1">IF(OR($D181&lt;&gt;"Serviço",AND(AUTOEVENTO="Manual",$M181=$A$15),$M181&gt;(ROW(PLE.lastrow)-ROW(PLE.firstrow))),0,
           IF(OFFSET(PLE!$G$15,$M181-$A$15,CE$13)="",10^12,OFFSET(PLE!$G$15,$M181-$A$15,CE$13)))</f>
        <v>1000000000000</v>
      </c>
      <c r="CF181" s="172" cm="1">
        <f t="array" aca="1" ref="CF181" ca="1">IF(OR($D181&lt;&gt;"Serviço",AND(AUTOEVENTO="Manual",$M181=$A$15),$M181&gt;(ROW(PLE.lastrow)-ROW(PLE.firstrow))),0,
           IF(OFFSET(PLE!$G$15,$M181-$A$15,CF$13)="",10^12,OFFSET(PLE!$G$15,$M181-$A$15,CF$13)))</f>
        <v>1000000000000</v>
      </c>
      <c r="CG181" s="172" cm="1">
        <f t="array" aca="1" ref="CG181" ca="1">IF(OR($D181&lt;&gt;"Serviço",AND(AUTOEVENTO="Manual",$M181=$A$15),$M181&gt;(ROW(PLE.lastrow)-ROW(PLE.firstrow))),0,
           IF(OFFSET(PLE!$G$15,$M181-$A$15,CG$13)="",10^12,OFFSET(PLE!$G$15,$M181-$A$15,CG$13)))</f>
        <v>1000000000000</v>
      </c>
      <c r="CH181" s="172" cm="1">
        <f t="array" aca="1" ref="CH181" ca="1">IF(OR($D181&lt;&gt;"Serviço",AND(AUTOEVENTO="Manual",$M181=$A$15),$M181&gt;(ROW(PLE.lastrow)-ROW(PLE.firstrow))),0,
           IF(OFFSET(PLE!$G$15,$M181-$A$15,CH$13)="",10^12,OFFSET(PLE!$G$15,$M181-$A$15,CH$13)))</f>
        <v>1000000000000</v>
      </c>
      <c r="CI181" s="172" cm="1">
        <f t="array" aca="1" ref="CI181" ca="1">IF(OR($D181&lt;&gt;"Serviço",AND(AUTOEVENTO="Manual",$M181=$A$15),$M181&gt;(ROW(PLE.lastrow)-ROW(PLE.firstrow))),0,
           IF(OFFSET(PLE!$G$15,$M181-$A$15,CI$13)="",10^12,OFFSET(PLE!$G$15,$M181-$A$15,CI$13)))</f>
        <v>1000000000000</v>
      </c>
      <c r="CJ181" s="172" cm="1">
        <f t="array" aca="1" ref="CJ181" ca="1">IF(OR($D181&lt;&gt;"Serviço",AND(AUTOEVENTO="Manual",$M181=$A$15),$M181&gt;(ROW(PLE.lastrow)-ROW(PLE.firstrow))),0,
           IF(OFFSET(PLE!$G$15,$M181-$A$15,CJ$13)="",10^12,OFFSET(PLE!$G$15,$M181-$A$15,CJ$13)))</f>
        <v>1000000000000</v>
      </c>
      <c r="CK181" s="172" cm="1">
        <f t="array" aca="1" ref="CK181" ca="1">IF(OR($D181&lt;&gt;"Serviço",AND(AUTOEVENTO="Manual",$M181=$A$15),$M181&gt;(ROW(PLE.lastrow)-ROW(PLE.firstrow))),0,
           IF(OFFSET(PLE!$G$15,$M181-$A$15,CK$13)="",10^12,OFFSET(PLE!$G$15,$M181-$A$15,CK$13)))</f>
        <v>1000000000000</v>
      </c>
      <c r="CL181" s="172" cm="1">
        <f t="array" aca="1" ref="CL181" ca="1">IF(OR($D181&lt;&gt;"Serviço",AND(AUTOEVENTO="Manual",$M181=$A$15),$M181&gt;(ROW(PLE.lastrow)-ROW(PLE.firstrow))),0,
           IF(OFFSET(PLE!$G$15,$M181-$A$15,CL$13)="",10^12,OFFSET(PLE!$G$15,$M181-$A$15,CL$13)))</f>
        <v>1000000000000</v>
      </c>
      <c r="CM181" s="172" cm="1">
        <f t="array" aca="1" ref="CM181" ca="1">IF(OR($D181&lt;&gt;"Serviço",AND(AUTOEVENTO="Manual",$M181=$A$15),$M181&gt;(ROW(PLE.lastrow)-ROW(PLE.firstrow))),0,
           IF(OFFSET(PLE!$G$15,$M181-$A$15,CM$13)="",10^12,OFFSET(PLE!$G$15,$M181-$A$15,CM$13)))</f>
        <v>1000000000000</v>
      </c>
    </row>
    <row r="182" spans="1:91" s="670" customFormat="1" ht="12.75" x14ac:dyDescent="0.2">
      <c r="A182" s="668">
        <f t="shared" ca="1" si="14"/>
        <v>11</v>
      </c>
      <c r="B182" s="668" t="str">
        <f ca="1">OFFSET(ORÇAMENTO!C$15,$L182,0)</f>
        <v>S</v>
      </c>
      <c r="C182" s="668" t="str">
        <f ca="1">OFFSET(ORÇAMENTO!L$15,$L182,0)</f>
        <v>F</v>
      </c>
      <c r="D182" s="116" t="str">
        <f ca="1">OFFSET(ORÇAMENTO!N$15,$L182,0)</f>
        <v>Serviço</v>
      </c>
      <c r="E182" s="117" t="str">
        <f ca="1">OFFSET(ORÇAMENTO!O$15,$L182,0)</f>
        <v>1.23.12.</v>
      </c>
      <c r="F182" s="163" t="str">
        <f ca="1">OFFSET(ORÇAMENTO!R$15,$L182,0)</f>
        <v>CORTE E DOBRA DE AÇO CA-25, DIÂMETRO DE 20,0 MM. AF_06/2022</v>
      </c>
      <c r="G182" s="164" t="str">
        <f ca="1">IF($D182&lt;&gt;"Serviço","",OFFSET(ORÇAMENTO!S$15,$L182,0))</f>
        <v>KG</v>
      </c>
      <c r="H182" s="122" cm="1">
        <f t="array" aca="1" ref="H182" ca="1">IF($D182&lt;&gt;"Serviço",0,IF(ACOMPANHAMENTO="BM",ROUND(OFFSET(ORÇAMENTO!AJ$15,$L182,0),15-13*ORÇAMENTO!$AF$7),IF(IFERROR(CÁLCULO.FrentesPreenchidas,0)=0,0,SUM(ROUND(OFFSET($P182,0,1,1,CÁLCULO.FrentesPreenchidas),15-13*ORÇAMENTO!$AF$7)))))</f>
        <v>660</v>
      </c>
      <c r="I182" s="468" t="s">
        <v>1208</v>
      </c>
      <c r="J182" s="651" t="str" cm="1">
        <f t="array" aca="1" ref="J182" ca="1">IF(OR(B182&lt;&gt;"S",CÁLCULO.FrentesPreenchidas=0),"",IF(AND(ACOMPANHAMENTO="PLE",AUTOEVENTO="Manual",OR(H182&gt;0,ORÇAMENTO!AC182="QUANT."),OR(K182="",M182=0,N182="")),"►E",IF(AND(ACOMPANHAMENTO="PLE",ORÇAMENTO!AC182="QUANT."),"►Q",IF(AND(ACOMPANHAMENTO="PLE",H182&lt;&gt;SUMPRODUCT(($Q$1:$AI$1=1)*ROUND(Q182:AI182,15))),"►S",IF(AND(COUNTIF($P$11:$AI$11,"▼")=0,H182&gt;0,I182=""),"◄M","")))))</f>
        <v/>
      </c>
      <c r="K182" s="652" t="s">
        <v>1340</v>
      </c>
      <c r="L182" s="165">
        <f t="shared" ca="1" si="15"/>
        <v>167</v>
      </c>
      <c r="M182" s="166">
        <f ca="1">IF($D182&lt;&gt;"Serviço","",
          IF(AUTOEVENTO="manual",$A182,
                IF(ISERROR(MATCH($A182,$A$15:OFFSET($A182,-1,0),0)),MAX($M$15:OFFSET(M182,-1,0))+1,
                      INDEX($M$15:OFFSET(M182,-1,0),MATCH($A182,$A$15:OFFSET($A182,-1,0),0)))))</f>
        <v>11</v>
      </c>
      <c r="N182" s="167" t="str">
        <f ca="1">IF($D182&lt;&gt;"Serviço","",
         IF(AUTOEVENTO="Manual",
                IF($A182=0,"&lt;-- defina o número do agrupador",
                       OFFSET(EVENTOS!$D$15,$A182-$A$15,0)),
                OFFSET($F$15,$A182,0)))</f>
        <v>Fundação - Armação</v>
      </c>
      <c r="O182" s="168"/>
      <c r="Q182" s="168"/>
      <c r="R182" s="169"/>
      <c r="S182" s="169"/>
      <c r="T182" s="169"/>
      <c r="U182" s="169"/>
      <c r="V182" s="169"/>
      <c r="W182" s="169">
        <v>660</v>
      </c>
      <c r="X182" s="169"/>
      <c r="Y182" s="169"/>
      <c r="Z182" s="170"/>
      <c r="AA182" s="705"/>
      <c r="AB182" s="705"/>
      <c r="AC182" s="705"/>
      <c r="AD182" s="705"/>
      <c r="AE182" s="705"/>
      <c r="AF182" s="705"/>
      <c r="AG182" s="705"/>
      <c r="AH182" s="706"/>
      <c r="AJ182" s="453">
        <f ca="1">IF(AND($D182="Serviço",AJ$12&lt;&gt;0,$H182&gt;0,OR(AUTOEVENTO&lt;&gt;"manual",$M182&lt;&gt;$A$15)),
        IF(Import.TipoArredondamento&lt;&gt;"TransfereGOV",
              ROUND(OFFSET($P182,0,AJ$13),15-13*ORÇAMENTO!$AF$7)/$H182*OFFSET(ORÇAMENTO!$X$15,ROW(AJ182)-ROW(AJ$15),0),
              ROUND(ROUND(OFFSET($P182,0,AJ$13),15-13*ORÇAMENTO!$AF$7)*OFFSET(ORÇAMENTO!$W$15,ROW(AJ182)-ROW(AJ$15),0),15-13*ORÇAMENTO!$AF$11)),
         0)</f>
        <v>0</v>
      </c>
      <c r="AK182" s="453">
        <f ca="1">IF(AND($D182="Serviço",AK$12&lt;&gt;0,$H182&gt;0,OR(AUTOEVENTO&lt;&gt;"manual",$M182&lt;&gt;$A$15)),
        IF(Import.TipoArredondamento&lt;&gt;"TransfereGOV",
              ROUND(OFFSET($P182,0,AK$13),15-13*ORÇAMENTO!$AF$7)/$H182*OFFSET(ORÇAMENTO!$X$15,ROW(AK182)-ROW(AK$15),0),
              ROUND(ROUND(OFFSET($P182,0,AK$13),15-13*ORÇAMENTO!$AF$7)*OFFSET(ORÇAMENTO!$W$15,ROW(AK182)-ROW(AK$15),0),15-13*ORÇAMENTO!$AF$11)),
         0)</f>
        <v>0</v>
      </c>
      <c r="AL182" s="453">
        <f ca="1">IF(AND($D182="Serviço",AL$12&lt;&gt;0,$H182&gt;0,OR(AUTOEVENTO&lt;&gt;"manual",$M182&lt;&gt;$A$15)),
        IF(Import.TipoArredondamento&lt;&gt;"TransfereGOV",
              ROUND(OFFSET($P182,0,AL$13),15-13*ORÇAMENTO!$AF$7)/$H182*OFFSET(ORÇAMENTO!$X$15,ROW(AL182)-ROW(AL$15),0),
              ROUND(ROUND(OFFSET($P182,0,AL$13),15-13*ORÇAMENTO!$AF$7)*OFFSET(ORÇAMENTO!$W$15,ROW(AL182)-ROW(AL$15),0),15-13*ORÇAMENTO!$AF$11)),
         0)</f>
        <v>0</v>
      </c>
      <c r="AM182" s="453">
        <f ca="1">IF(AND($D182="Serviço",AM$12&lt;&gt;0,$H182&gt;0,OR(AUTOEVENTO&lt;&gt;"manual",$M182&lt;&gt;$A$15)),
        IF(Import.TipoArredondamento&lt;&gt;"TransfereGOV",
              ROUND(OFFSET($P182,0,AM$13),15-13*ORÇAMENTO!$AF$7)/$H182*OFFSET(ORÇAMENTO!$X$15,ROW(AM182)-ROW(AM$15),0),
              ROUND(ROUND(OFFSET($P182,0,AM$13),15-13*ORÇAMENTO!$AF$7)*OFFSET(ORÇAMENTO!$W$15,ROW(AM182)-ROW(AM$15),0),15-13*ORÇAMENTO!$AF$11)),
         0)</f>
        <v>0</v>
      </c>
      <c r="AN182" s="453">
        <f ca="1">IF(AND($D182="Serviço",AN$12&lt;&gt;0,$H182&gt;0,OR(AUTOEVENTO&lt;&gt;"manual",$M182&lt;&gt;$A$15)),
        IF(Import.TipoArredondamento&lt;&gt;"TransfereGOV",
              ROUND(OFFSET($P182,0,AN$13),15-13*ORÇAMENTO!$AF$7)/$H182*OFFSET(ORÇAMENTO!$X$15,ROW(AN182)-ROW(AN$15),0),
              ROUND(ROUND(OFFSET($P182,0,AN$13),15-13*ORÇAMENTO!$AF$7)*OFFSET(ORÇAMENTO!$W$15,ROW(AN182)-ROW(AN$15),0),15-13*ORÇAMENTO!$AF$11)),
         0)</f>
        <v>0</v>
      </c>
      <c r="AO182" s="453">
        <f ca="1">IF(AND($D182="Serviço",AO$12&lt;&gt;0,$H182&gt;0,OR(AUTOEVENTO&lt;&gt;"manual",$M182&lt;&gt;$A$15)),
        IF(Import.TipoArredondamento&lt;&gt;"TransfereGOV",
              ROUND(OFFSET($P182,0,AO$13),15-13*ORÇAMENTO!$AF$7)/$H182*OFFSET(ORÇAMENTO!$X$15,ROW(AO182)-ROW(AO$15),0),
              ROUND(ROUND(OFFSET($P182,0,AO$13),15-13*ORÇAMENTO!$AF$7)*OFFSET(ORÇAMENTO!$W$15,ROW(AO182)-ROW(AO$15),0),15-13*ORÇAMENTO!$AF$11)),
         0)</f>
        <v>0</v>
      </c>
      <c r="AP182" s="453">
        <f ca="1">IF(AND($D182="Serviço",AP$12&lt;&gt;0,$H182&gt;0,OR(AUTOEVENTO&lt;&gt;"manual",$M182&lt;&gt;$A$15)),
        IF(Import.TipoArredondamento&lt;&gt;"TransfereGOV",
              ROUND(OFFSET($P182,0,AP$13),15-13*ORÇAMENTO!$AF$7)/$H182*OFFSET(ORÇAMENTO!$X$15,ROW(AP182)-ROW(AP$15),0),
              ROUND(ROUND(OFFSET($P182,0,AP$13),15-13*ORÇAMENTO!$AF$7)*OFFSET(ORÇAMENTO!$W$15,ROW(AP182)-ROW(AP$15),0),15-13*ORÇAMENTO!$AF$11)),
         0)</f>
        <v>6936.6</v>
      </c>
      <c r="AQ182" s="453">
        <f ca="1">IF(AND($D182="Serviço",AQ$12&lt;&gt;0,$H182&gt;0,OR(AUTOEVENTO&lt;&gt;"manual",$M182&lt;&gt;$A$15)),
        IF(Import.TipoArredondamento&lt;&gt;"TransfereGOV",
              ROUND(OFFSET($P182,0,AQ$13),15-13*ORÇAMENTO!$AF$7)/$H182*OFFSET(ORÇAMENTO!$X$15,ROW(AQ182)-ROW(AQ$15),0),
              ROUND(ROUND(OFFSET($P182,0,AQ$13),15-13*ORÇAMENTO!$AF$7)*OFFSET(ORÇAMENTO!$W$15,ROW(AQ182)-ROW(AQ$15),0),15-13*ORÇAMENTO!$AF$11)),
         0)</f>
        <v>0</v>
      </c>
      <c r="AR182" s="453">
        <f ca="1">IF(AND($D182="Serviço",AR$12&lt;&gt;0,$H182&gt;0,OR(AUTOEVENTO&lt;&gt;"manual",$M182&lt;&gt;$A$15)),
        IF(Import.TipoArredondamento&lt;&gt;"TransfereGOV",
              ROUND(OFFSET($P182,0,AR$13),15-13*ORÇAMENTO!$AF$7)/$H182*OFFSET(ORÇAMENTO!$X$15,ROW(AR182)-ROW(AR$15),0),
              ROUND(ROUND(OFFSET($P182,0,AR$13),15-13*ORÇAMENTO!$AF$7)*OFFSET(ORÇAMENTO!$W$15,ROW(AR182)-ROW(AR$15),0),15-13*ORÇAMENTO!$AF$11)),
         0)</f>
        <v>0</v>
      </c>
      <c r="AS182" s="453">
        <f ca="1">IF(AND($D182="Serviço",AS$12&lt;&gt;0,$H182&gt;0,OR(AUTOEVENTO&lt;&gt;"manual",$M182&lt;&gt;$A$15)),
        IF(Import.TipoArredondamento&lt;&gt;"TransfereGOV",
              ROUND(OFFSET($P182,0,AS$13),15-13*ORÇAMENTO!$AF$7)/$H182*OFFSET(ORÇAMENTO!$X$15,ROW(AS182)-ROW(AS$15),0),
              ROUND(ROUND(OFFSET($P182,0,AS$13),15-13*ORÇAMENTO!$AF$7)*OFFSET(ORÇAMENTO!$W$15,ROW(AS182)-ROW(AS$15),0),15-13*ORÇAMENTO!$AF$11)),
         0)</f>
        <v>0</v>
      </c>
      <c r="AT182" s="453">
        <f ca="1">IF(AND($D182="Serviço",AT$12&lt;&gt;0,$H182&gt;0,OR(AUTOEVENTO&lt;&gt;"manual",$M182&lt;&gt;$A$15)),
        IF(Import.TipoArredondamento&lt;&gt;"TransfereGOV",
              ROUND(OFFSET($P182,0,AT$13),15-13*ORÇAMENTO!$AF$7)/$H182*OFFSET(ORÇAMENTO!$X$15,ROW(AT182)-ROW(AT$15),0),
              ROUND(ROUND(OFFSET($P182,0,AT$13),15-13*ORÇAMENTO!$AF$7)*OFFSET(ORÇAMENTO!$W$15,ROW(AT182)-ROW(AT$15),0),15-13*ORÇAMENTO!$AF$11)),
         0)</f>
        <v>0</v>
      </c>
      <c r="AU182" s="453">
        <f ca="1">IF(AND($D182="Serviço",AU$12&lt;&gt;0,$H182&gt;0,OR(AUTOEVENTO&lt;&gt;"manual",$M182&lt;&gt;$A$15)),
        IF(Import.TipoArredondamento&lt;&gt;"TransfereGOV",
              ROUND(OFFSET($P182,0,AU$13),15-13*ORÇAMENTO!$AF$7)/$H182*OFFSET(ORÇAMENTO!$X$15,ROW(AU182)-ROW(AU$15),0),
              ROUND(ROUND(OFFSET($P182,0,AU$13),15-13*ORÇAMENTO!$AF$7)*OFFSET(ORÇAMENTO!$W$15,ROW(AU182)-ROW(AU$15),0),15-13*ORÇAMENTO!$AF$11)),
         0)</f>
        <v>0</v>
      </c>
      <c r="AV182" s="453">
        <f ca="1">IF(AND($D182="Serviço",AV$12&lt;&gt;0,$H182&gt;0,OR(AUTOEVENTO&lt;&gt;"manual",$M182&lt;&gt;$A$15)),
        IF(Import.TipoArredondamento&lt;&gt;"TransfereGOV",
              ROUND(OFFSET($P182,0,AV$13),15-13*ORÇAMENTO!$AF$7)/$H182*OFFSET(ORÇAMENTO!$X$15,ROW(AV182)-ROW(AV$15),0),
              ROUND(ROUND(OFFSET($P182,0,AV$13),15-13*ORÇAMENTO!$AF$7)*OFFSET(ORÇAMENTO!$W$15,ROW(AV182)-ROW(AV$15),0),15-13*ORÇAMENTO!$AF$11)),
         0)</f>
        <v>0</v>
      </c>
      <c r="AW182" s="453">
        <f ca="1">IF(AND($D182="Serviço",AW$12&lt;&gt;0,$H182&gt;0,OR(AUTOEVENTO&lt;&gt;"manual",$M182&lt;&gt;$A$15)),
        IF(Import.TipoArredondamento&lt;&gt;"TransfereGOV",
              ROUND(OFFSET($P182,0,AW$13),15-13*ORÇAMENTO!$AF$7)/$H182*OFFSET(ORÇAMENTO!$X$15,ROW(AW182)-ROW(AW$15),0),
              ROUND(ROUND(OFFSET($P182,0,AW$13),15-13*ORÇAMENTO!$AF$7)*OFFSET(ORÇAMENTO!$W$15,ROW(AW182)-ROW(AW$15),0),15-13*ORÇAMENTO!$AF$11)),
         0)</f>
        <v>0</v>
      </c>
      <c r="AX182" s="453">
        <f ca="1">IF(AND($D182="Serviço",AX$12&lt;&gt;0,$H182&gt;0,OR(AUTOEVENTO&lt;&gt;"manual",$M182&lt;&gt;$A$15)),
        IF(Import.TipoArredondamento&lt;&gt;"TransfereGOV",
              ROUND(OFFSET($P182,0,AX$13),15-13*ORÇAMENTO!$AF$7)/$H182*OFFSET(ORÇAMENTO!$X$15,ROW(AX182)-ROW(AX$15),0),
              ROUND(ROUND(OFFSET($P182,0,AX$13),15-13*ORÇAMENTO!$AF$7)*OFFSET(ORÇAMENTO!$W$15,ROW(AX182)-ROW(AX$15),0),15-13*ORÇAMENTO!$AF$11)),
         0)</f>
        <v>0</v>
      </c>
      <c r="AY182" s="453">
        <f ca="1">IF(AND($D182="Serviço",AY$12&lt;&gt;0,$H182&gt;0,OR(AUTOEVENTO&lt;&gt;"manual",$M182&lt;&gt;$A$15)),
        IF(Import.TipoArredondamento&lt;&gt;"TransfereGOV",
              ROUND(OFFSET($P182,0,AY$13),15-13*ORÇAMENTO!$AF$7)/$H182*OFFSET(ORÇAMENTO!$X$15,ROW(AY182)-ROW(AY$15),0),
              ROUND(ROUND(OFFSET($P182,0,AY$13),15-13*ORÇAMENTO!$AF$7)*OFFSET(ORÇAMENTO!$W$15,ROW(AY182)-ROW(AY$15),0),15-13*ORÇAMENTO!$AF$11)),
         0)</f>
        <v>0</v>
      </c>
      <c r="AZ182" s="453">
        <f ca="1">IF(AND($D182="Serviço",AZ$12&lt;&gt;0,$H182&gt;0,OR(AUTOEVENTO&lt;&gt;"manual",$M182&lt;&gt;$A$15)),
        IF(Import.TipoArredondamento&lt;&gt;"TransfereGOV",
              ROUND(OFFSET($P182,0,AZ$13),15-13*ORÇAMENTO!$AF$7)/$H182*OFFSET(ORÇAMENTO!$X$15,ROW(AZ182)-ROW(AZ$15),0),
              ROUND(ROUND(OFFSET($P182,0,AZ$13),15-13*ORÇAMENTO!$AF$7)*OFFSET(ORÇAMENTO!$W$15,ROW(AZ182)-ROW(AZ$15),0),15-13*ORÇAMENTO!$AF$11)),
         0)</f>
        <v>0</v>
      </c>
      <c r="BA182" s="453">
        <f ca="1">IF(AND($D182="Serviço",BA$12&lt;&gt;0,$H182&gt;0,OR(AUTOEVENTO&lt;&gt;"manual",$M182&lt;&gt;$A$15)),
        IF(Import.TipoArredondamento&lt;&gt;"TransfereGOV",
              ROUND(OFFSET($P182,0,BA$13),15-13*ORÇAMENTO!$AF$7)/$H182*OFFSET(ORÇAMENTO!$X$15,ROW(BA182)-ROW(BA$15),0),
              ROUND(ROUND(OFFSET($P182,0,BA$13),15-13*ORÇAMENTO!$AF$7)*OFFSET(ORÇAMENTO!$W$15,ROW(BA182)-ROW(BA$15),0),15-13*ORÇAMENTO!$AF$11)),
         0)</f>
        <v>0</v>
      </c>
      <c r="BC182" s="171">
        <f ca="1">IF(OR($D182&lt;&gt;"Serviço",AND(AUTOEVENTO="Manual",$M182=$A$15)),0,
         IF(OFFSET(CRONOPLE!$F$15,$M182-$A$15,BC$13)=0,10^12,OFFSET(CRONOPLE!$F$15,$M182-$A$15,BC$13)))</f>
        <v>1000000000000</v>
      </c>
      <c r="BD182" s="171">
        <f ca="1">IF(OR($D182&lt;&gt;"Serviço",AND(AUTOEVENTO="Manual",$M182=$A$15)),0,
         IF(OFFSET(CRONOPLE!$F$15,$M182-$A$15,BD$13)=0,10^12,OFFSET(CRONOPLE!$F$15,$M182-$A$15,BD$13)))</f>
        <v>1000000000000</v>
      </c>
      <c r="BE182" s="171">
        <f ca="1">IF(OR($D182&lt;&gt;"Serviço",AND(AUTOEVENTO="Manual",$M182=$A$15)),0,
         IF(OFFSET(CRONOPLE!$F$15,$M182-$A$15,BE$13)=0,10^12,OFFSET(CRONOPLE!$F$15,$M182-$A$15,BE$13)))</f>
        <v>6</v>
      </c>
      <c r="BF182" s="171">
        <f ca="1">IF(OR($D182&lt;&gt;"Serviço",AND(AUTOEVENTO="Manual",$M182=$A$15)),0,
         IF(OFFSET(CRONOPLE!$F$15,$M182-$A$15,BF$13)=0,10^12,OFFSET(CRONOPLE!$F$15,$M182-$A$15,BF$13)))</f>
        <v>10</v>
      </c>
      <c r="BG182" s="171">
        <f ca="1">IF(OR($D182&lt;&gt;"Serviço",AND(AUTOEVENTO="Manual",$M182=$A$15)),0,
         IF(OFFSET(CRONOPLE!$F$15,$M182-$A$15,BG$13)=0,10^12,OFFSET(CRONOPLE!$F$15,$M182-$A$15,BG$13)))</f>
        <v>9</v>
      </c>
      <c r="BH182" s="171">
        <f ca="1">IF(OR($D182&lt;&gt;"Serviço",AND(AUTOEVENTO="Manual",$M182=$A$15)),0,
         IF(OFFSET(CRONOPLE!$F$15,$M182-$A$15,BH$13)=0,10^12,OFFSET(CRONOPLE!$F$15,$M182-$A$15,BH$13)))</f>
        <v>7</v>
      </c>
      <c r="BI182" s="171">
        <f ca="1">IF(OR($D182&lt;&gt;"Serviço",AND(AUTOEVENTO="Manual",$M182=$A$15)),0,
         IF(OFFSET(CRONOPLE!$F$15,$M182-$A$15,BI$13)=0,10^12,OFFSET(CRONOPLE!$F$15,$M182-$A$15,BI$13)))</f>
        <v>10</v>
      </c>
      <c r="BJ182" s="171">
        <f ca="1">IF(OR($D182&lt;&gt;"Serviço",AND(AUTOEVENTO="Manual",$M182=$A$15)),0,
         IF(OFFSET(CRONOPLE!$F$15,$M182-$A$15,BJ$13)=0,10^12,OFFSET(CRONOPLE!$F$15,$M182-$A$15,BJ$13)))</f>
        <v>1000000000000</v>
      </c>
      <c r="BK182" s="171">
        <f ca="1">IF(OR($D182&lt;&gt;"Serviço",AND(AUTOEVENTO="Manual",$M182=$A$15)),0,
         IF(OFFSET(CRONOPLE!$F$15,$M182-$A$15,BK$13)=0,10^12,OFFSET(CRONOPLE!$F$15,$M182-$A$15,BK$13)))</f>
        <v>1000000000000</v>
      </c>
      <c r="BL182" s="171">
        <f ca="1">IF(OR($D182&lt;&gt;"Serviço",AND(AUTOEVENTO="Manual",$M182=$A$15)),0,
         IF(OFFSET(CRONOPLE!$F$15,$M182-$A$15,BL$13)=0,10^12,OFFSET(CRONOPLE!$F$15,$M182-$A$15,BL$13)))</f>
        <v>1000000000000</v>
      </c>
      <c r="BM182" s="171">
        <f ca="1">IF(OR($D182&lt;&gt;"Serviço",AND(AUTOEVENTO="Manual",$M182=$A$15)),0,
         IF(OFFSET(CRONOPLE!$F$15,$M182-$A$15,BM$13)=0,10^12,OFFSET(CRONOPLE!$F$15,$M182-$A$15,BM$13)))</f>
        <v>1000000000000</v>
      </c>
      <c r="BN182" s="171">
        <f ca="1">IF(OR($D182&lt;&gt;"Serviço",AND(AUTOEVENTO="Manual",$M182=$A$15)),0,
         IF(OFFSET(CRONOPLE!$F$15,$M182-$A$15,BN$13)=0,10^12,OFFSET(CRONOPLE!$F$15,$M182-$A$15,BN$13)))</f>
        <v>1000000000000</v>
      </c>
      <c r="BO182" s="171">
        <f ca="1">IF(OR($D182&lt;&gt;"Serviço",AND(AUTOEVENTO="Manual",$M182=$A$15)),0,
         IF(OFFSET(CRONOPLE!$F$15,$M182-$A$15,BO$13)=0,10^12,OFFSET(CRONOPLE!$F$15,$M182-$A$15,BO$13)))</f>
        <v>1000000000000</v>
      </c>
      <c r="BP182" s="171">
        <f ca="1">IF(OR($D182&lt;&gt;"Serviço",AND(AUTOEVENTO="Manual",$M182=$A$15)),0,
         IF(OFFSET(CRONOPLE!$F$15,$M182-$A$15,BP$13)=0,10^12,OFFSET(CRONOPLE!$F$15,$M182-$A$15,BP$13)))</f>
        <v>1000000000000</v>
      </c>
      <c r="BQ182" s="171">
        <f ca="1">IF(OR($D182&lt;&gt;"Serviço",AND(AUTOEVENTO="Manual",$M182=$A$15)),0,
         IF(OFFSET(CRONOPLE!$F$15,$M182-$A$15,BQ$13)=0,10^12,OFFSET(CRONOPLE!$F$15,$M182-$A$15,BQ$13)))</f>
        <v>1000000000000</v>
      </c>
      <c r="BR182" s="171">
        <f ca="1">IF(OR($D182&lt;&gt;"Serviço",AND(AUTOEVENTO="Manual",$M182=$A$15)),0,
         IF(OFFSET(CRONOPLE!$F$15,$M182-$A$15,BR$13)=0,10^12,OFFSET(CRONOPLE!$F$15,$M182-$A$15,BR$13)))</f>
        <v>1000000000000</v>
      </c>
      <c r="BS182" s="171">
        <f ca="1">IF(OR($D182&lt;&gt;"Serviço",AND(AUTOEVENTO="Manual",$M182=$A$15)),0,
         IF(OFFSET(CRONOPLE!$F$15,$M182-$A$15,BS$13)=0,10^12,OFFSET(CRONOPLE!$F$15,$M182-$A$15,BS$13)))</f>
        <v>1000000000000</v>
      </c>
      <c r="BT182" s="171">
        <f ca="1">IF(OR($D182&lt;&gt;"Serviço",AND(AUTOEVENTO="Manual",$M182=$A$15)),0,
         IF(OFFSET(CRONOPLE!$F$15,$M182-$A$15,BT$13)=0,10^12,OFFSET(CRONOPLE!$F$15,$M182-$A$15,BT$13)))</f>
        <v>1000000000000</v>
      </c>
      <c r="BV182" s="172" cm="1">
        <f t="array" aca="1" ref="BV182" ca="1">IF(OR($D182&lt;&gt;"Serviço",AND(AUTOEVENTO="Manual",$M182=$A$15),$M182&gt;(ROW(PLE.lastrow)-ROW(PLE.firstrow))),0,
           IF(OFFSET(PLE!$G$15,$M182-$A$15,BV$13)="",10^12,OFFSET(PLE!$G$15,$M182-$A$15,BV$13)))</f>
        <v>1000000000000</v>
      </c>
      <c r="BW182" s="172" cm="1">
        <f t="array" aca="1" ref="BW182" ca="1">IF(OR($D182&lt;&gt;"Serviço",AND(AUTOEVENTO="Manual",$M182=$A$15),$M182&gt;(ROW(PLE.lastrow)-ROW(PLE.firstrow))),0,
           IF(OFFSET(PLE!$G$15,$M182-$A$15,BW$13)="",10^12,OFFSET(PLE!$G$15,$M182-$A$15,BW$13)))</f>
        <v>1000000000000</v>
      </c>
      <c r="BX182" s="172" cm="1">
        <f t="array" aca="1" ref="BX182" ca="1">IF(OR($D182&lt;&gt;"Serviço",AND(AUTOEVENTO="Manual",$M182=$A$15),$M182&gt;(ROW(PLE.lastrow)-ROW(PLE.firstrow))),0,
           IF(OFFSET(PLE!$G$15,$M182-$A$15,BX$13)="",10^12,OFFSET(PLE!$G$15,$M182-$A$15,BX$13)))</f>
        <v>1000000000000</v>
      </c>
      <c r="BY182" s="172" cm="1">
        <f t="array" aca="1" ref="BY182" ca="1">IF(OR($D182&lt;&gt;"Serviço",AND(AUTOEVENTO="Manual",$M182=$A$15),$M182&gt;(ROW(PLE.lastrow)-ROW(PLE.firstrow))),0,
           IF(OFFSET(PLE!$G$15,$M182-$A$15,BY$13)="",10^12,OFFSET(PLE!$G$15,$M182-$A$15,BY$13)))</f>
        <v>1000000000000</v>
      </c>
      <c r="BZ182" s="172" cm="1">
        <f t="array" aca="1" ref="BZ182" ca="1">IF(OR($D182&lt;&gt;"Serviço",AND(AUTOEVENTO="Manual",$M182=$A$15),$M182&gt;(ROW(PLE.lastrow)-ROW(PLE.firstrow))),0,
           IF(OFFSET(PLE!$G$15,$M182-$A$15,BZ$13)="",10^12,OFFSET(PLE!$G$15,$M182-$A$15,BZ$13)))</f>
        <v>1000000000000</v>
      </c>
      <c r="CA182" s="172" cm="1">
        <f t="array" aca="1" ref="CA182" ca="1">IF(OR($D182&lt;&gt;"Serviço",AND(AUTOEVENTO="Manual",$M182=$A$15),$M182&gt;(ROW(PLE.lastrow)-ROW(PLE.firstrow))),0,
           IF(OFFSET(PLE!$G$15,$M182-$A$15,CA$13)="",10^12,OFFSET(PLE!$G$15,$M182-$A$15,CA$13)))</f>
        <v>1000000000000</v>
      </c>
      <c r="CB182" s="172" cm="1">
        <f t="array" aca="1" ref="CB182" ca="1">IF(OR($D182&lt;&gt;"Serviço",AND(AUTOEVENTO="Manual",$M182=$A$15),$M182&gt;(ROW(PLE.lastrow)-ROW(PLE.firstrow))),0,
           IF(OFFSET(PLE!$G$15,$M182-$A$15,CB$13)="",10^12,OFFSET(PLE!$G$15,$M182-$A$15,CB$13)))</f>
        <v>1000000000000</v>
      </c>
      <c r="CC182" s="172" cm="1">
        <f t="array" aca="1" ref="CC182" ca="1">IF(OR($D182&lt;&gt;"Serviço",AND(AUTOEVENTO="Manual",$M182=$A$15),$M182&gt;(ROW(PLE.lastrow)-ROW(PLE.firstrow))),0,
           IF(OFFSET(PLE!$G$15,$M182-$A$15,CC$13)="",10^12,OFFSET(PLE!$G$15,$M182-$A$15,CC$13)))</f>
        <v>1000000000000</v>
      </c>
      <c r="CD182" s="172" cm="1">
        <f t="array" aca="1" ref="CD182" ca="1">IF(OR($D182&lt;&gt;"Serviço",AND(AUTOEVENTO="Manual",$M182=$A$15),$M182&gt;(ROW(PLE.lastrow)-ROW(PLE.firstrow))),0,
           IF(OFFSET(PLE!$G$15,$M182-$A$15,CD$13)="",10^12,OFFSET(PLE!$G$15,$M182-$A$15,CD$13)))</f>
        <v>1000000000000</v>
      </c>
      <c r="CE182" s="172" cm="1">
        <f t="array" aca="1" ref="CE182" ca="1">IF(OR($D182&lt;&gt;"Serviço",AND(AUTOEVENTO="Manual",$M182=$A$15),$M182&gt;(ROW(PLE.lastrow)-ROW(PLE.firstrow))),0,
           IF(OFFSET(PLE!$G$15,$M182-$A$15,CE$13)="",10^12,OFFSET(PLE!$G$15,$M182-$A$15,CE$13)))</f>
        <v>1000000000000</v>
      </c>
      <c r="CF182" s="172" cm="1">
        <f t="array" aca="1" ref="CF182" ca="1">IF(OR($D182&lt;&gt;"Serviço",AND(AUTOEVENTO="Manual",$M182=$A$15),$M182&gt;(ROW(PLE.lastrow)-ROW(PLE.firstrow))),0,
           IF(OFFSET(PLE!$G$15,$M182-$A$15,CF$13)="",10^12,OFFSET(PLE!$G$15,$M182-$A$15,CF$13)))</f>
        <v>1000000000000</v>
      </c>
      <c r="CG182" s="172" cm="1">
        <f t="array" aca="1" ref="CG182" ca="1">IF(OR($D182&lt;&gt;"Serviço",AND(AUTOEVENTO="Manual",$M182=$A$15),$M182&gt;(ROW(PLE.lastrow)-ROW(PLE.firstrow))),0,
           IF(OFFSET(PLE!$G$15,$M182-$A$15,CG$13)="",10^12,OFFSET(PLE!$G$15,$M182-$A$15,CG$13)))</f>
        <v>1000000000000</v>
      </c>
      <c r="CH182" s="172" cm="1">
        <f t="array" aca="1" ref="CH182" ca="1">IF(OR($D182&lt;&gt;"Serviço",AND(AUTOEVENTO="Manual",$M182=$A$15),$M182&gt;(ROW(PLE.lastrow)-ROW(PLE.firstrow))),0,
           IF(OFFSET(PLE!$G$15,$M182-$A$15,CH$13)="",10^12,OFFSET(PLE!$G$15,$M182-$A$15,CH$13)))</f>
        <v>1000000000000</v>
      </c>
      <c r="CI182" s="172" cm="1">
        <f t="array" aca="1" ref="CI182" ca="1">IF(OR($D182&lt;&gt;"Serviço",AND(AUTOEVENTO="Manual",$M182=$A$15),$M182&gt;(ROW(PLE.lastrow)-ROW(PLE.firstrow))),0,
           IF(OFFSET(PLE!$G$15,$M182-$A$15,CI$13)="",10^12,OFFSET(PLE!$G$15,$M182-$A$15,CI$13)))</f>
        <v>1000000000000</v>
      </c>
      <c r="CJ182" s="172" cm="1">
        <f t="array" aca="1" ref="CJ182" ca="1">IF(OR($D182&lt;&gt;"Serviço",AND(AUTOEVENTO="Manual",$M182=$A$15),$M182&gt;(ROW(PLE.lastrow)-ROW(PLE.firstrow))),0,
           IF(OFFSET(PLE!$G$15,$M182-$A$15,CJ$13)="",10^12,OFFSET(PLE!$G$15,$M182-$A$15,CJ$13)))</f>
        <v>1000000000000</v>
      </c>
      <c r="CK182" s="172" cm="1">
        <f t="array" aca="1" ref="CK182" ca="1">IF(OR($D182&lt;&gt;"Serviço",AND(AUTOEVENTO="Manual",$M182=$A$15),$M182&gt;(ROW(PLE.lastrow)-ROW(PLE.firstrow))),0,
           IF(OFFSET(PLE!$G$15,$M182-$A$15,CK$13)="",10^12,OFFSET(PLE!$G$15,$M182-$A$15,CK$13)))</f>
        <v>1000000000000</v>
      </c>
      <c r="CL182" s="172" cm="1">
        <f t="array" aca="1" ref="CL182" ca="1">IF(OR($D182&lt;&gt;"Serviço",AND(AUTOEVENTO="Manual",$M182=$A$15),$M182&gt;(ROW(PLE.lastrow)-ROW(PLE.firstrow))),0,
           IF(OFFSET(PLE!$G$15,$M182-$A$15,CL$13)="",10^12,OFFSET(PLE!$G$15,$M182-$A$15,CL$13)))</f>
        <v>1000000000000</v>
      </c>
      <c r="CM182" s="172" cm="1">
        <f t="array" aca="1" ref="CM182" ca="1">IF(OR($D182&lt;&gt;"Serviço",AND(AUTOEVENTO="Manual",$M182=$A$15),$M182&gt;(ROW(PLE.lastrow)-ROW(PLE.firstrow))),0,
           IF(OFFSET(PLE!$G$15,$M182-$A$15,CM$13)="",10^12,OFFSET(PLE!$G$15,$M182-$A$15,CM$13)))</f>
        <v>1000000000000</v>
      </c>
    </row>
    <row r="183" spans="1:91" s="680" customFormat="1" ht="25.5" x14ac:dyDescent="0.2">
      <c r="A183" s="681">
        <f ca="1">IFERROR(IF(AUTOEVENTO="Manual",IF(K183&lt;&gt;"",MIN(VALUE(LEFT(K183,FIND(".",K183)-1)),COUNTA(EVENTOS.Lista)),0),IF(OR($B183&gt;AUTOEVENTO,$B183="S",$B183=0),SUBSTITUTE(OFFSET($A183,-1,0),IF($D183="Serviço",".",""),""),$L183&amp;".")),0)</f>
        <v>11</v>
      </c>
      <c r="B183" s="681" t="str">
        <f ca="1">OFFSET(ORÇAMENTO!C$15,$L183,0)</f>
        <v>S</v>
      </c>
      <c r="C183" s="681" t="str">
        <f ca="1">OFFSET(ORÇAMENTO!L$15,$L183,0)</f>
        <v>F</v>
      </c>
      <c r="D183" s="686" t="str">
        <f ca="1">OFFSET(ORÇAMENTO!N$15,$L183,0)</f>
        <v>Serviço</v>
      </c>
      <c r="E183" s="687" t="str">
        <f ca="1">OFFSET(ORÇAMENTO!O$15,$L183,0)</f>
        <v>1.23.13.</v>
      </c>
      <c r="F183" s="699" t="str">
        <f ca="1">OFFSET(ORÇAMENTO!R$15,$L183,0)</f>
        <v>ARMAÇÃO DE BLOCO, SAPATA ISOLADA E SAPATA CORRIDA UTILIZANDO AÇO CA-50 DE 20 MM - MONTAGEM. AF_01/2024</v>
      </c>
      <c r="G183" s="700" t="str">
        <f ca="1">IF($D183&lt;&gt;"Serviço","",OFFSET(ORÇAMENTO!S$15,$L183,0))</f>
        <v>KG</v>
      </c>
      <c r="H183" s="692" cm="1">
        <f t="array" aca="1" ref="H183" ca="1">IF($D183&lt;&gt;"Serviço",0,IF(ACOMPANHAMENTO="BM",ROUND(OFFSET(ORÇAMENTO!AJ$15,$L183,0),15-13*ORÇAMENTO!$AF$7),IF(IFERROR(CÁLCULO.FrentesPreenchidas,0)=0,0,SUM(ROUND(OFFSET($P183,0,1,1,CÁLCULO.FrentesPreenchidas),15-13*ORÇAMENTO!$AF$7)))))</f>
        <v>660</v>
      </c>
      <c r="I183" s="720" t="s">
        <v>1231</v>
      </c>
      <c r="J183" s="724" t="str" cm="1">
        <f t="array" aca="1" ref="J183" ca="1">IF(OR(B183&lt;&gt;"S",CÁLCULO.FrentesPreenchidas=0),"",IF(AND(ACOMPANHAMENTO="PLE",AUTOEVENTO="Manual",OR(H183&gt;0,ORÇAMENTO!AC183="QUANT."),OR(K183="",M183=0,N183="")),"►E",IF(AND(ACOMPANHAMENTO="PLE",ORÇAMENTO!AC183="QUANT."),"►Q",IF(AND(ACOMPANHAMENTO="PLE",H183&lt;&gt;SUMPRODUCT(($Q$1:$AI$1=1)*ROUND(Q183:AI183,15))),"►S",IF(AND(COUNTIF($P$11:$AI$11,"▼")=0,H183&gt;0,I183=""),"◄M","")))))</f>
        <v/>
      </c>
      <c r="K183" s="652" t="s">
        <v>1340</v>
      </c>
      <c r="L183" s="701">
        <f ca="1">OFFSET(L183,-1,0)+1</f>
        <v>168</v>
      </c>
      <c r="M183" s="702">
        <f ca="1">IF($D183&lt;&gt;"Serviço","",
          IF(AUTOEVENTO="manual",$A183,
                IF(ISERROR(MATCH($A183,$A$15:OFFSET($A183,-1,0),0)),MAX($M$15:OFFSET(M183,-1,0))+1,
                      INDEX($M$15:OFFSET(M183,-1,0),MATCH($A183,$A$15:OFFSET($A183,-1,0),0)))))</f>
        <v>11</v>
      </c>
      <c r="N183" s="703" t="str">
        <f ca="1">IF($D183&lt;&gt;"Serviço","",
         IF(AUTOEVENTO="Manual",
                IF($A183=0,"&lt;-- defina o número do agrupador",
                       OFFSET(EVENTOS!$D$15,$A183-$A$15,0)),
                OFFSET($F$15,$A183,0)))</f>
        <v>Fundação - Armação</v>
      </c>
      <c r="O183" s="704"/>
      <c r="Q183" s="704"/>
      <c r="R183" s="705"/>
      <c r="S183" s="705"/>
      <c r="T183" s="705"/>
      <c r="U183" s="705"/>
      <c r="V183" s="705"/>
      <c r="W183" s="705">
        <v>660</v>
      </c>
      <c r="X183" s="705"/>
      <c r="Y183" s="705"/>
      <c r="Z183" s="706"/>
      <c r="AA183" s="705"/>
      <c r="AB183" s="705"/>
      <c r="AC183" s="705"/>
      <c r="AD183" s="705"/>
      <c r="AE183" s="705"/>
      <c r="AF183" s="705"/>
      <c r="AG183" s="705"/>
      <c r="AH183" s="706"/>
      <c r="AJ183" s="453">
        <f ca="1">IF(AND($D183="Serviço",AJ$12&lt;&gt;0,$H183&gt;0,OR(AUTOEVENTO&lt;&gt;"manual",$M183&lt;&gt;$A$15)),
        IF(Import.TipoArredondamento&lt;&gt;"TransfereGOV",
              ROUND(OFFSET($P183,0,AJ$13),15-13*ORÇAMENTO!$AF$7)/$H183*OFFSET(ORÇAMENTO!$X$15,ROW(AJ183)-ROW(AJ$15),0),
              ROUND(ROUND(OFFSET($P183,0,AJ$13),15-13*ORÇAMENTO!$AF$7)*OFFSET(ORÇAMENTO!$W$15,ROW(AJ183)-ROW(AJ$15),0),15-13*ORÇAMENTO!$AF$11)),
         0)</f>
        <v>0</v>
      </c>
      <c r="AK183" s="453">
        <f ca="1">IF(AND($D183="Serviço",AK$12&lt;&gt;0,$H183&gt;0,OR(AUTOEVENTO&lt;&gt;"manual",$M183&lt;&gt;$A$15)),
        IF(Import.TipoArredondamento&lt;&gt;"TransfereGOV",
              ROUND(OFFSET($P183,0,AK$13),15-13*ORÇAMENTO!$AF$7)/$H183*OFFSET(ORÇAMENTO!$X$15,ROW(AK183)-ROW(AK$15),0),
              ROUND(ROUND(OFFSET($P183,0,AK$13),15-13*ORÇAMENTO!$AF$7)*OFFSET(ORÇAMENTO!$W$15,ROW(AK183)-ROW(AK$15),0),15-13*ORÇAMENTO!$AF$11)),
         0)</f>
        <v>0</v>
      </c>
      <c r="AL183" s="453">
        <f ca="1">IF(AND($D183="Serviço",AL$12&lt;&gt;0,$H183&gt;0,OR(AUTOEVENTO&lt;&gt;"manual",$M183&lt;&gt;$A$15)),
        IF(Import.TipoArredondamento&lt;&gt;"TransfereGOV",
              ROUND(OFFSET($P183,0,AL$13),15-13*ORÇAMENTO!$AF$7)/$H183*OFFSET(ORÇAMENTO!$X$15,ROW(AL183)-ROW(AL$15),0),
              ROUND(ROUND(OFFSET($P183,0,AL$13),15-13*ORÇAMENTO!$AF$7)*OFFSET(ORÇAMENTO!$W$15,ROW(AL183)-ROW(AL$15),0),15-13*ORÇAMENTO!$AF$11)),
         0)</f>
        <v>0</v>
      </c>
      <c r="AM183" s="453">
        <f ca="1">IF(AND($D183="Serviço",AM$12&lt;&gt;0,$H183&gt;0,OR(AUTOEVENTO&lt;&gt;"manual",$M183&lt;&gt;$A$15)),
        IF(Import.TipoArredondamento&lt;&gt;"TransfereGOV",
              ROUND(OFFSET($P183,0,AM$13),15-13*ORÇAMENTO!$AF$7)/$H183*OFFSET(ORÇAMENTO!$X$15,ROW(AM183)-ROW(AM$15),0),
              ROUND(ROUND(OFFSET($P183,0,AM$13),15-13*ORÇAMENTO!$AF$7)*OFFSET(ORÇAMENTO!$W$15,ROW(AM183)-ROW(AM$15),0),15-13*ORÇAMENTO!$AF$11)),
         0)</f>
        <v>0</v>
      </c>
      <c r="AN183" s="453">
        <f ca="1">IF(AND($D183="Serviço",AN$12&lt;&gt;0,$H183&gt;0,OR(AUTOEVENTO&lt;&gt;"manual",$M183&lt;&gt;$A$15)),
        IF(Import.TipoArredondamento&lt;&gt;"TransfereGOV",
              ROUND(OFFSET($P183,0,AN$13),15-13*ORÇAMENTO!$AF$7)/$H183*OFFSET(ORÇAMENTO!$X$15,ROW(AN183)-ROW(AN$15),0),
              ROUND(ROUND(OFFSET($P183,0,AN$13),15-13*ORÇAMENTO!$AF$7)*OFFSET(ORÇAMENTO!$W$15,ROW(AN183)-ROW(AN$15),0),15-13*ORÇAMENTO!$AF$11)),
         0)</f>
        <v>0</v>
      </c>
      <c r="AO183" s="453">
        <f ca="1">IF(AND($D183="Serviço",AO$12&lt;&gt;0,$H183&gt;0,OR(AUTOEVENTO&lt;&gt;"manual",$M183&lt;&gt;$A$15)),
        IF(Import.TipoArredondamento&lt;&gt;"TransfereGOV",
              ROUND(OFFSET($P183,0,AO$13),15-13*ORÇAMENTO!$AF$7)/$H183*OFFSET(ORÇAMENTO!$X$15,ROW(AO183)-ROW(AO$15),0),
              ROUND(ROUND(OFFSET($P183,0,AO$13),15-13*ORÇAMENTO!$AF$7)*OFFSET(ORÇAMENTO!$W$15,ROW(AO183)-ROW(AO$15),0),15-13*ORÇAMENTO!$AF$11)),
         0)</f>
        <v>0</v>
      </c>
      <c r="AP183" s="453">
        <f ca="1">IF(AND($D183="Serviço",AP$12&lt;&gt;0,$H183&gt;0,OR(AUTOEVENTO&lt;&gt;"manual",$M183&lt;&gt;$A$15)),
        IF(Import.TipoArredondamento&lt;&gt;"TransfereGOV",
              ROUND(OFFSET($P183,0,AP$13),15-13*ORÇAMENTO!$AF$7)/$H183*OFFSET(ORÇAMENTO!$X$15,ROW(AP183)-ROW(AP$15),0),
              ROUND(ROUND(OFFSET($P183,0,AP$13),15-13*ORÇAMENTO!$AF$7)*OFFSET(ORÇAMENTO!$W$15,ROW(AP183)-ROW(AP$15),0),15-13*ORÇAMENTO!$AF$11)),
         0)</f>
        <v>8672.4</v>
      </c>
      <c r="AQ183" s="453">
        <f ca="1">IF(AND($D183="Serviço",AQ$12&lt;&gt;0,$H183&gt;0,OR(AUTOEVENTO&lt;&gt;"manual",$M183&lt;&gt;$A$15)),
        IF(Import.TipoArredondamento&lt;&gt;"TransfereGOV",
              ROUND(OFFSET($P183,0,AQ$13),15-13*ORÇAMENTO!$AF$7)/$H183*OFFSET(ORÇAMENTO!$X$15,ROW(AQ183)-ROW(AQ$15),0),
              ROUND(ROUND(OFFSET($P183,0,AQ$13),15-13*ORÇAMENTO!$AF$7)*OFFSET(ORÇAMENTO!$W$15,ROW(AQ183)-ROW(AQ$15),0),15-13*ORÇAMENTO!$AF$11)),
         0)</f>
        <v>0</v>
      </c>
      <c r="AR183" s="453">
        <f ca="1">IF(AND($D183="Serviço",AR$12&lt;&gt;0,$H183&gt;0,OR(AUTOEVENTO&lt;&gt;"manual",$M183&lt;&gt;$A$15)),
        IF(Import.TipoArredondamento&lt;&gt;"TransfereGOV",
              ROUND(OFFSET($P183,0,AR$13),15-13*ORÇAMENTO!$AF$7)/$H183*OFFSET(ORÇAMENTO!$X$15,ROW(AR183)-ROW(AR$15),0),
              ROUND(ROUND(OFFSET($P183,0,AR$13),15-13*ORÇAMENTO!$AF$7)*OFFSET(ORÇAMENTO!$W$15,ROW(AR183)-ROW(AR$15),0),15-13*ORÇAMENTO!$AF$11)),
         0)</f>
        <v>0</v>
      </c>
      <c r="AS183" s="453">
        <f ca="1">IF(AND($D183="Serviço",AS$12&lt;&gt;0,$H183&gt;0,OR(AUTOEVENTO&lt;&gt;"manual",$M183&lt;&gt;$A$15)),
        IF(Import.TipoArredondamento&lt;&gt;"TransfereGOV",
              ROUND(OFFSET($P183,0,AS$13),15-13*ORÇAMENTO!$AF$7)/$H183*OFFSET(ORÇAMENTO!$X$15,ROW(AS183)-ROW(AS$15),0),
              ROUND(ROUND(OFFSET($P183,0,AS$13),15-13*ORÇAMENTO!$AF$7)*OFFSET(ORÇAMENTO!$W$15,ROW(AS183)-ROW(AS$15),0),15-13*ORÇAMENTO!$AF$11)),
         0)</f>
        <v>0</v>
      </c>
      <c r="AT183" s="453">
        <f ca="1">IF(AND($D183="Serviço",AT$12&lt;&gt;0,$H183&gt;0,OR(AUTOEVENTO&lt;&gt;"manual",$M183&lt;&gt;$A$15)),
        IF(Import.TipoArredondamento&lt;&gt;"TransfereGOV",
              ROUND(OFFSET($P183,0,AT$13),15-13*ORÇAMENTO!$AF$7)/$H183*OFFSET(ORÇAMENTO!$X$15,ROW(AT183)-ROW(AT$15),0),
              ROUND(ROUND(OFFSET($P183,0,AT$13),15-13*ORÇAMENTO!$AF$7)*OFFSET(ORÇAMENTO!$W$15,ROW(AT183)-ROW(AT$15),0),15-13*ORÇAMENTO!$AF$11)),
         0)</f>
        <v>0</v>
      </c>
      <c r="AU183" s="453">
        <f ca="1">IF(AND($D183="Serviço",AU$12&lt;&gt;0,$H183&gt;0,OR(AUTOEVENTO&lt;&gt;"manual",$M183&lt;&gt;$A$15)),
        IF(Import.TipoArredondamento&lt;&gt;"TransfereGOV",
              ROUND(OFFSET($P183,0,AU$13),15-13*ORÇAMENTO!$AF$7)/$H183*OFFSET(ORÇAMENTO!$X$15,ROW(AU183)-ROW(AU$15),0),
              ROUND(ROUND(OFFSET($P183,0,AU$13),15-13*ORÇAMENTO!$AF$7)*OFFSET(ORÇAMENTO!$W$15,ROW(AU183)-ROW(AU$15),0),15-13*ORÇAMENTO!$AF$11)),
         0)</f>
        <v>0</v>
      </c>
      <c r="AV183" s="453">
        <f ca="1">IF(AND($D183="Serviço",AV$12&lt;&gt;0,$H183&gt;0,OR(AUTOEVENTO&lt;&gt;"manual",$M183&lt;&gt;$A$15)),
        IF(Import.TipoArredondamento&lt;&gt;"TransfereGOV",
              ROUND(OFFSET($P183,0,AV$13),15-13*ORÇAMENTO!$AF$7)/$H183*OFFSET(ORÇAMENTO!$X$15,ROW(AV183)-ROW(AV$15),0),
              ROUND(ROUND(OFFSET($P183,0,AV$13),15-13*ORÇAMENTO!$AF$7)*OFFSET(ORÇAMENTO!$W$15,ROW(AV183)-ROW(AV$15),0),15-13*ORÇAMENTO!$AF$11)),
         0)</f>
        <v>0</v>
      </c>
      <c r="AW183" s="453">
        <f ca="1">IF(AND($D183="Serviço",AW$12&lt;&gt;0,$H183&gt;0,OR(AUTOEVENTO&lt;&gt;"manual",$M183&lt;&gt;$A$15)),
        IF(Import.TipoArredondamento&lt;&gt;"TransfereGOV",
              ROUND(OFFSET($P183,0,AW$13),15-13*ORÇAMENTO!$AF$7)/$H183*OFFSET(ORÇAMENTO!$X$15,ROW(AW183)-ROW(AW$15),0),
              ROUND(ROUND(OFFSET($P183,0,AW$13),15-13*ORÇAMENTO!$AF$7)*OFFSET(ORÇAMENTO!$W$15,ROW(AW183)-ROW(AW$15),0),15-13*ORÇAMENTO!$AF$11)),
         0)</f>
        <v>0</v>
      </c>
      <c r="AX183" s="453">
        <f ca="1">IF(AND($D183="Serviço",AX$12&lt;&gt;0,$H183&gt;0,OR(AUTOEVENTO&lt;&gt;"manual",$M183&lt;&gt;$A$15)),
        IF(Import.TipoArredondamento&lt;&gt;"TransfereGOV",
              ROUND(OFFSET($P183,0,AX$13),15-13*ORÇAMENTO!$AF$7)/$H183*OFFSET(ORÇAMENTO!$X$15,ROW(AX183)-ROW(AX$15),0),
              ROUND(ROUND(OFFSET($P183,0,AX$13),15-13*ORÇAMENTO!$AF$7)*OFFSET(ORÇAMENTO!$W$15,ROW(AX183)-ROW(AX$15),0),15-13*ORÇAMENTO!$AF$11)),
         0)</f>
        <v>0</v>
      </c>
      <c r="AY183" s="453">
        <f ca="1">IF(AND($D183="Serviço",AY$12&lt;&gt;0,$H183&gt;0,OR(AUTOEVENTO&lt;&gt;"manual",$M183&lt;&gt;$A$15)),
        IF(Import.TipoArredondamento&lt;&gt;"TransfereGOV",
              ROUND(OFFSET($P183,0,AY$13),15-13*ORÇAMENTO!$AF$7)/$H183*OFFSET(ORÇAMENTO!$X$15,ROW(AY183)-ROW(AY$15),0),
              ROUND(ROUND(OFFSET($P183,0,AY$13),15-13*ORÇAMENTO!$AF$7)*OFFSET(ORÇAMENTO!$W$15,ROW(AY183)-ROW(AY$15),0),15-13*ORÇAMENTO!$AF$11)),
         0)</f>
        <v>0</v>
      </c>
      <c r="AZ183" s="453">
        <f ca="1">IF(AND($D183="Serviço",AZ$12&lt;&gt;0,$H183&gt;0,OR(AUTOEVENTO&lt;&gt;"manual",$M183&lt;&gt;$A$15)),
        IF(Import.TipoArredondamento&lt;&gt;"TransfereGOV",
              ROUND(OFFSET($P183,0,AZ$13),15-13*ORÇAMENTO!$AF$7)/$H183*OFFSET(ORÇAMENTO!$X$15,ROW(AZ183)-ROW(AZ$15),0),
              ROUND(ROUND(OFFSET($P183,0,AZ$13),15-13*ORÇAMENTO!$AF$7)*OFFSET(ORÇAMENTO!$W$15,ROW(AZ183)-ROW(AZ$15),0),15-13*ORÇAMENTO!$AF$11)),
         0)</f>
        <v>0</v>
      </c>
      <c r="BA183" s="453">
        <f ca="1">IF(AND($D183="Serviço",BA$12&lt;&gt;0,$H183&gt;0,OR(AUTOEVENTO&lt;&gt;"manual",$M183&lt;&gt;$A$15)),
        IF(Import.TipoArredondamento&lt;&gt;"TransfereGOV",
              ROUND(OFFSET($P183,0,BA$13),15-13*ORÇAMENTO!$AF$7)/$H183*OFFSET(ORÇAMENTO!$X$15,ROW(BA183)-ROW(BA$15),0),
              ROUND(ROUND(OFFSET($P183,0,BA$13),15-13*ORÇAMENTO!$AF$7)*OFFSET(ORÇAMENTO!$W$15,ROW(BA183)-ROW(BA$15),0),15-13*ORÇAMENTO!$AF$11)),
         0)</f>
        <v>0</v>
      </c>
      <c r="BC183" s="171">
        <f ca="1">IF(OR($D183&lt;&gt;"Serviço",AND(AUTOEVENTO="Manual",$M183=$A$15)),0,
         IF(OFFSET(CRONOPLE!$F$15,$M183-$A$15,BC$13)=0,10^12,OFFSET(CRONOPLE!$F$15,$M183-$A$15,BC$13)))</f>
        <v>1000000000000</v>
      </c>
      <c r="BD183" s="171">
        <f ca="1">IF(OR($D183&lt;&gt;"Serviço",AND(AUTOEVENTO="Manual",$M183=$A$15)),0,
         IF(OFFSET(CRONOPLE!$F$15,$M183-$A$15,BD$13)=0,10^12,OFFSET(CRONOPLE!$F$15,$M183-$A$15,BD$13)))</f>
        <v>1000000000000</v>
      </c>
      <c r="BE183" s="171">
        <f ca="1">IF(OR($D183&lt;&gt;"Serviço",AND(AUTOEVENTO="Manual",$M183=$A$15)),0,
         IF(OFFSET(CRONOPLE!$F$15,$M183-$A$15,BE$13)=0,10^12,OFFSET(CRONOPLE!$F$15,$M183-$A$15,BE$13)))</f>
        <v>6</v>
      </c>
      <c r="BF183" s="171">
        <f ca="1">IF(OR($D183&lt;&gt;"Serviço",AND(AUTOEVENTO="Manual",$M183=$A$15)),0,
         IF(OFFSET(CRONOPLE!$F$15,$M183-$A$15,BF$13)=0,10^12,OFFSET(CRONOPLE!$F$15,$M183-$A$15,BF$13)))</f>
        <v>10</v>
      </c>
      <c r="BG183" s="171">
        <f ca="1">IF(OR($D183&lt;&gt;"Serviço",AND(AUTOEVENTO="Manual",$M183=$A$15)),0,
         IF(OFFSET(CRONOPLE!$F$15,$M183-$A$15,BG$13)=0,10^12,OFFSET(CRONOPLE!$F$15,$M183-$A$15,BG$13)))</f>
        <v>9</v>
      </c>
      <c r="BH183" s="171">
        <f ca="1">IF(OR($D183&lt;&gt;"Serviço",AND(AUTOEVENTO="Manual",$M183=$A$15)),0,
         IF(OFFSET(CRONOPLE!$F$15,$M183-$A$15,BH$13)=0,10^12,OFFSET(CRONOPLE!$F$15,$M183-$A$15,BH$13)))</f>
        <v>7</v>
      </c>
      <c r="BI183" s="171">
        <f ca="1">IF(OR($D183&lt;&gt;"Serviço",AND(AUTOEVENTO="Manual",$M183=$A$15)),0,
         IF(OFFSET(CRONOPLE!$F$15,$M183-$A$15,BI$13)=0,10^12,OFFSET(CRONOPLE!$F$15,$M183-$A$15,BI$13)))</f>
        <v>10</v>
      </c>
      <c r="BJ183" s="171">
        <f ca="1">IF(OR($D183&lt;&gt;"Serviço",AND(AUTOEVENTO="Manual",$M183=$A$15)),0,
         IF(OFFSET(CRONOPLE!$F$15,$M183-$A$15,BJ$13)=0,10^12,OFFSET(CRONOPLE!$F$15,$M183-$A$15,BJ$13)))</f>
        <v>1000000000000</v>
      </c>
      <c r="BK183" s="171">
        <f ca="1">IF(OR($D183&lt;&gt;"Serviço",AND(AUTOEVENTO="Manual",$M183=$A$15)),0,
         IF(OFFSET(CRONOPLE!$F$15,$M183-$A$15,BK$13)=0,10^12,OFFSET(CRONOPLE!$F$15,$M183-$A$15,BK$13)))</f>
        <v>1000000000000</v>
      </c>
      <c r="BL183" s="171">
        <f ca="1">IF(OR($D183&lt;&gt;"Serviço",AND(AUTOEVENTO="Manual",$M183=$A$15)),0,
         IF(OFFSET(CRONOPLE!$F$15,$M183-$A$15,BL$13)=0,10^12,OFFSET(CRONOPLE!$F$15,$M183-$A$15,BL$13)))</f>
        <v>1000000000000</v>
      </c>
      <c r="BM183" s="171">
        <f ca="1">IF(OR($D183&lt;&gt;"Serviço",AND(AUTOEVENTO="Manual",$M183=$A$15)),0,
         IF(OFFSET(CRONOPLE!$F$15,$M183-$A$15,BM$13)=0,10^12,OFFSET(CRONOPLE!$F$15,$M183-$A$15,BM$13)))</f>
        <v>1000000000000</v>
      </c>
      <c r="BN183" s="171">
        <f ca="1">IF(OR($D183&lt;&gt;"Serviço",AND(AUTOEVENTO="Manual",$M183=$A$15)),0,
         IF(OFFSET(CRONOPLE!$F$15,$M183-$A$15,BN$13)=0,10^12,OFFSET(CRONOPLE!$F$15,$M183-$A$15,BN$13)))</f>
        <v>1000000000000</v>
      </c>
      <c r="BO183" s="171">
        <f ca="1">IF(OR($D183&lt;&gt;"Serviço",AND(AUTOEVENTO="Manual",$M183=$A$15)),0,
         IF(OFFSET(CRONOPLE!$F$15,$M183-$A$15,BO$13)=0,10^12,OFFSET(CRONOPLE!$F$15,$M183-$A$15,BO$13)))</f>
        <v>1000000000000</v>
      </c>
      <c r="BP183" s="171">
        <f ca="1">IF(OR($D183&lt;&gt;"Serviço",AND(AUTOEVENTO="Manual",$M183=$A$15)),0,
         IF(OFFSET(CRONOPLE!$F$15,$M183-$A$15,BP$13)=0,10^12,OFFSET(CRONOPLE!$F$15,$M183-$A$15,BP$13)))</f>
        <v>1000000000000</v>
      </c>
      <c r="BQ183" s="171">
        <f ca="1">IF(OR($D183&lt;&gt;"Serviço",AND(AUTOEVENTO="Manual",$M183=$A$15)),0,
         IF(OFFSET(CRONOPLE!$F$15,$M183-$A$15,BQ$13)=0,10^12,OFFSET(CRONOPLE!$F$15,$M183-$A$15,BQ$13)))</f>
        <v>1000000000000</v>
      </c>
      <c r="BR183" s="171">
        <f ca="1">IF(OR($D183&lt;&gt;"Serviço",AND(AUTOEVENTO="Manual",$M183=$A$15)),0,
         IF(OFFSET(CRONOPLE!$F$15,$M183-$A$15,BR$13)=0,10^12,OFFSET(CRONOPLE!$F$15,$M183-$A$15,BR$13)))</f>
        <v>1000000000000</v>
      </c>
      <c r="BS183" s="171">
        <f ca="1">IF(OR($D183&lt;&gt;"Serviço",AND(AUTOEVENTO="Manual",$M183=$A$15)),0,
         IF(OFFSET(CRONOPLE!$F$15,$M183-$A$15,BS$13)=0,10^12,OFFSET(CRONOPLE!$F$15,$M183-$A$15,BS$13)))</f>
        <v>1000000000000</v>
      </c>
      <c r="BT183" s="171">
        <f ca="1">IF(OR($D183&lt;&gt;"Serviço",AND(AUTOEVENTO="Manual",$M183=$A$15)),0,
         IF(OFFSET(CRONOPLE!$F$15,$M183-$A$15,BT$13)=0,10^12,OFFSET(CRONOPLE!$F$15,$M183-$A$15,BT$13)))</f>
        <v>1000000000000</v>
      </c>
      <c r="BV183" s="172" cm="1">
        <f t="array" aca="1" ref="BV183" ca="1">IF(OR($D183&lt;&gt;"Serviço",AND(AUTOEVENTO="Manual",$M183=$A$15),$M183&gt;(ROW(PLE.lastrow)-ROW(PLE.firstrow))),0,
           IF(OFFSET(PLE!$G$15,$M183-$A$15,BV$13)="",10^12,OFFSET(PLE!$G$15,$M183-$A$15,BV$13)))</f>
        <v>1000000000000</v>
      </c>
      <c r="BW183" s="172" cm="1">
        <f t="array" aca="1" ref="BW183" ca="1">IF(OR($D183&lt;&gt;"Serviço",AND(AUTOEVENTO="Manual",$M183=$A$15),$M183&gt;(ROW(PLE.lastrow)-ROW(PLE.firstrow))),0,
           IF(OFFSET(PLE!$G$15,$M183-$A$15,BW$13)="",10^12,OFFSET(PLE!$G$15,$M183-$A$15,BW$13)))</f>
        <v>1000000000000</v>
      </c>
      <c r="BX183" s="172" cm="1">
        <f t="array" aca="1" ref="BX183" ca="1">IF(OR($D183&lt;&gt;"Serviço",AND(AUTOEVENTO="Manual",$M183=$A$15),$M183&gt;(ROW(PLE.lastrow)-ROW(PLE.firstrow))),0,
           IF(OFFSET(PLE!$G$15,$M183-$A$15,BX$13)="",10^12,OFFSET(PLE!$G$15,$M183-$A$15,BX$13)))</f>
        <v>1000000000000</v>
      </c>
      <c r="BY183" s="172" cm="1">
        <f t="array" aca="1" ref="BY183" ca="1">IF(OR($D183&lt;&gt;"Serviço",AND(AUTOEVENTO="Manual",$M183=$A$15),$M183&gt;(ROW(PLE.lastrow)-ROW(PLE.firstrow))),0,
           IF(OFFSET(PLE!$G$15,$M183-$A$15,BY$13)="",10^12,OFFSET(PLE!$G$15,$M183-$A$15,BY$13)))</f>
        <v>1000000000000</v>
      </c>
      <c r="BZ183" s="172" cm="1">
        <f t="array" aca="1" ref="BZ183" ca="1">IF(OR($D183&lt;&gt;"Serviço",AND(AUTOEVENTO="Manual",$M183=$A$15),$M183&gt;(ROW(PLE.lastrow)-ROW(PLE.firstrow))),0,
           IF(OFFSET(PLE!$G$15,$M183-$A$15,BZ$13)="",10^12,OFFSET(PLE!$G$15,$M183-$A$15,BZ$13)))</f>
        <v>1000000000000</v>
      </c>
      <c r="CA183" s="172" cm="1">
        <f t="array" aca="1" ref="CA183" ca="1">IF(OR($D183&lt;&gt;"Serviço",AND(AUTOEVENTO="Manual",$M183=$A$15),$M183&gt;(ROW(PLE.lastrow)-ROW(PLE.firstrow))),0,
           IF(OFFSET(PLE!$G$15,$M183-$A$15,CA$13)="",10^12,OFFSET(PLE!$G$15,$M183-$A$15,CA$13)))</f>
        <v>1000000000000</v>
      </c>
      <c r="CB183" s="172" cm="1">
        <f t="array" aca="1" ref="CB183" ca="1">IF(OR($D183&lt;&gt;"Serviço",AND(AUTOEVENTO="Manual",$M183=$A$15),$M183&gt;(ROW(PLE.lastrow)-ROW(PLE.firstrow))),0,
           IF(OFFSET(PLE!$G$15,$M183-$A$15,CB$13)="",10^12,OFFSET(PLE!$G$15,$M183-$A$15,CB$13)))</f>
        <v>1000000000000</v>
      </c>
      <c r="CC183" s="172" cm="1">
        <f t="array" aca="1" ref="CC183" ca="1">IF(OR($D183&lt;&gt;"Serviço",AND(AUTOEVENTO="Manual",$M183=$A$15),$M183&gt;(ROW(PLE.lastrow)-ROW(PLE.firstrow))),0,
           IF(OFFSET(PLE!$G$15,$M183-$A$15,CC$13)="",10^12,OFFSET(PLE!$G$15,$M183-$A$15,CC$13)))</f>
        <v>1000000000000</v>
      </c>
      <c r="CD183" s="172" cm="1">
        <f t="array" aca="1" ref="CD183" ca="1">IF(OR($D183&lt;&gt;"Serviço",AND(AUTOEVENTO="Manual",$M183=$A$15),$M183&gt;(ROW(PLE.lastrow)-ROW(PLE.firstrow))),0,
           IF(OFFSET(PLE!$G$15,$M183-$A$15,CD$13)="",10^12,OFFSET(PLE!$G$15,$M183-$A$15,CD$13)))</f>
        <v>1000000000000</v>
      </c>
      <c r="CE183" s="172" cm="1">
        <f t="array" aca="1" ref="CE183" ca="1">IF(OR($D183&lt;&gt;"Serviço",AND(AUTOEVENTO="Manual",$M183=$A$15),$M183&gt;(ROW(PLE.lastrow)-ROW(PLE.firstrow))),0,
           IF(OFFSET(PLE!$G$15,$M183-$A$15,CE$13)="",10^12,OFFSET(PLE!$G$15,$M183-$A$15,CE$13)))</f>
        <v>1000000000000</v>
      </c>
      <c r="CF183" s="172" cm="1">
        <f t="array" aca="1" ref="CF183" ca="1">IF(OR($D183&lt;&gt;"Serviço",AND(AUTOEVENTO="Manual",$M183=$A$15),$M183&gt;(ROW(PLE.lastrow)-ROW(PLE.firstrow))),0,
           IF(OFFSET(PLE!$G$15,$M183-$A$15,CF$13)="",10^12,OFFSET(PLE!$G$15,$M183-$A$15,CF$13)))</f>
        <v>1000000000000</v>
      </c>
      <c r="CG183" s="172" cm="1">
        <f t="array" aca="1" ref="CG183" ca="1">IF(OR($D183&lt;&gt;"Serviço",AND(AUTOEVENTO="Manual",$M183=$A$15),$M183&gt;(ROW(PLE.lastrow)-ROW(PLE.firstrow))),0,
           IF(OFFSET(PLE!$G$15,$M183-$A$15,CG$13)="",10^12,OFFSET(PLE!$G$15,$M183-$A$15,CG$13)))</f>
        <v>1000000000000</v>
      </c>
      <c r="CH183" s="172" cm="1">
        <f t="array" aca="1" ref="CH183" ca="1">IF(OR($D183&lt;&gt;"Serviço",AND(AUTOEVENTO="Manual",$M183=$A$15),$M183&gt;(ROW(PLE.lastrow)-ROW(PLE.firstrow))),0,
           IF(OFFSET(PLE!$G$15,$M183-$A$15,CH$13)="",10^12,OFFSET(PLE!$G$15,$M183-$A$15,CH$13)))</f>
        <v>1000000000000</v>
      </c>
      <c r="CI183" s="172" cm="1">
        <f t="array" aca="1" ref="CI183" ca="1">IF(OR($D183&lt;&gt;"Serviço",AND(AUTOEVENTO="Manual",$M183=$A$15),$M183&gt;(ROW(PLE.lastrow)-ROW(PLE.firstrow))),0,
           IF(OFFSET(PLE!$G$15,$M183-$A$15,CI$13)="",10^12,OFFSET(PLE!$G$15,$M183-$A$15,CI$13)))</f>
        <v>1000000000000</v>
      </c>
      <c r="CJ183" s="172" cm="1">
        <f t="array" aca="1" ref="CJ183" ca="1">IF(OR($D183&lt;&gt;"Serviço",AND(AUTOEVENTO="Manual",$M183=$A$15),$M183&gt;(ROW(PLE.lastrow)-ROW(PLE.firstrow))),0,
           IF(OFFSET(PLE!$G$15,$M183-$A$15,CJ$13)="",10^12,OFFSET(PLE!$G$15,$M183-$A$15,CJ$13)))</f>
        <v>1000000000000</v>
      </c>
      <c r="CK183" s="172" cm="1">
        <f t="array" aca="1" ref="CK183" ca="1">IF(OR($D183&lt;&gt;"Serviço",AND(AUTOEVENTO="Manual",$M183=$A$15),$M183&gt;(ROW(PLE.lastrow)-ROW(PLE.firstrow))),0,
           IF(OFFSET(PLE!$G$15,$M183-$A$15,CK$13)="",10^12,OFFSET(PLE!$G$15,$M183-$A$15,CK$13)))</f>
        <v>1000000000000</v>
      </c>
      <c r="CL183" s="172" cm="1">
        <f t="array" aca="1" ref="CL183" ca="1">IF(OR($D183&lt;&gt;"Serviço",AND(AUTOEVENTO="Manual",$M183=$A$15),$M183&gt;(ROW(PLE.lastrow)-ROW(PLE.firstrow))),0,
           IF(OFFSET(PLE!$G$15,$M183-$A$15,CL$13)="",10^12,OFFSET(PLE!$G$15,$M183-$A$15,CL$13)))</f>
        <v>1000000000000</v>
      </c>
      <c r="CM183" s="172" cm="1">
        <f t="array" aca="1" ref="CM183" ca="1">IF(OR($D183&lt;&gt;"Serviço",AND(AUTOEVENTO="Manual",$M183=$A$15),$M183&gt;(ROW(PLE.lastrow)-ROW(PLE.firstrow))),0,
           IF(OFFSET(PLE!$G$15,$M183-$A$15,CM$13)="",10^12,OFFSET(PLE!$G$15,$M183-$A$15,CM$13)))</f>
        <v>1000000000000</v>
      </c>
    </row>
    <row r="184" spans="1:91" s="670" customFormat="1" ht="38.25" x14ac:dyDescent="0.2">
      <c r="A184" s="668">
        <f t="shared" ca="1" si="14"/>
        <v>12</v>
      </c>
      <c r="B184" s="668" t="str">
        <f ca="1">OFFSET(ORÇAMENTO!C$15,$L184,0)</f>
        <v>S</v>
      </c>
      <c r="C184" s="668" t="str">
        <f ca="1">OFFSET(ORÇAMENTO!L$15,$L184,0)</f>
        <v>F</v>
      </c>
      <c r="D184" s="116" t="str">
        <f ca="1">OFFSET(ORÇAMENTO!N$15,$L184,0)</f>
        <v>Serviço</v>
      </c>
      <c r="E184" s="117" t="str">
        <f ca="1">OFFSET(ORÇAMENTO!O$15,$L184,0)</f>
        <v>1.23.14.</v>
      </c>
      <c r="F184" s="163" t="str">
        <f ca="1">OFFSET(ORÇAMENTO!R$15,$L184,0)</f>
        <v>CONCRETO FCK = 20MPA, TRAÇO 1:2,7:3 (EM MASSA SECA DE CIMENTO/ AREIA MÉDIA/ BRITA 1) - PREPARO MECÂNICO COM BETONEIRA 600 L. AF_05/2021</v>
      </c>
      <c r="G184" s="164" t="str">
        <f ca="1">IF($D184&lt;&gt;"Serviço","",OFFSET(ORÇAMENTO!S$15,$L184,0))</f>
        <v>M3</v>
      </c>
      <c r="H184" s="122" cm="1">
        <f t="array" aca="1" ref="H184" ca="1">IF($D184&lt;&gt;"Serviço",0,IF(ACOMPANHAMENTO="BM",ROUND(OFFSET(ORÇAMENTO!AJ$15,$L184,0),15-13*ORÇAMENTO!$AF$7),IF(IFERROR(CÁLCULO.FrentesPreenchidas,0)=0,0,SUM(ROUND(OFFSET($P184,0,1,1,CÁLCULO.FrentesPreenchidas),15-13*ORÇAMENTO!$AF$7)))))</f>
        <v>11</v>
      </c>
      <c r="I184" s="468" t="s">
        <v>1236</v>
      </c>
      <c r="J184" s="651" t="str" cm="1">
        <f t="array" aca="1" ref="J184" ca="1">IF(OR(B184&lt;&gt;"S",CÁLCULO.FrentesPreenchidas=0),"",IF(AND(ACOMPANHAMENTO="PLE",AUTOEVENTO="Manual",OR(H184&gt;0,ORÇAMENTO!AC184="QUANT."),OR(K184="",M184=0,N184="")),"►E",IF(AND(ACOMPANHAMENTO="PLE",ORÇAMENTO!AC184="QUANT."),"►Q",IF(AND(ACOMPANHAMENTO="PLE",H184&lt;&gt;SUMPRODUCT(($Q$1:$AI$1=1)*ROUND(Q184:AI184,15))),"►S",IF(AND(COUNTIF($P$11:$AI$11,"▼")=0,H184&gt;0,I184=""),"◄M","")))))</f>
        <v/>
      </c>
      <c r="K184" s="652" t="s">
        <v>1339</v>
      </c>
      <c r="L184" s="165">
        <f t="shared" ca="1" si="15"/>
        <v>169</v>
      </c>
      <c r="M184" s="166">
        <f ca="1">IF($D184&lt;&gt;"Serviço","",
          IF(AUTOEVENTO="manual",$A184,
                IF(ISERROR(MATCH($A184,$A$15:OFFSET($A184,-1,0),0)),MAX($M$15:OFFSET(M184,-1,0))+1,
                      INDEX($M$15:OFFSET(M184,-1,0),MATCH($A184,$A$15:OFFSET($A184,-1,0),0)))))</f>
        <v>12</v>
      </c>
      <c r="N184" s="167" t="str">
        <f ca="1">IF($D184&lt;&gt;"Serviço","",
         IF(AUTOEVENTO="Manual",
                IF($A184=0,"&lt;-- defina o número do agrupador",
                       OFFSET(EVENTOS!$D$15,$A184-$A$15,0)),
                OFFSET($F$15,$A184,0)))</f>
        <v>Fundação - Concretagem</v>
      </c>
      <c r="O184" s="168"/>
      <c r="Q184" s="168"/>
      <c r="R184" s="169"/>
      <c r="S184" s="169"/>
      <c r="T184" s="169"/>
      <c r="U184" s="169"/>
      <c r="V184" s="169"/>
      <c r="W184" s="169">
        <v>11</v>
      </c>
      <c r="X184" s="169"/>
      <c r="Y184" s="169"/>
      <c r="Z184" s="170"/>
      <c r="AA184" s="705"/>
      <c r="AB184" s="705"/>
      <c r="AC184" s="705"/>
      <c r="AD184" s="705"/>
      <c r="AE184" s="705"/>
      <c r="AF184" s="705"/>
      <c r="AG184" s="705"/>
      <c r="AH184" s="706"/>
      <c r="AJ184" s="453">
        <f ca="1">IF(AND($D184="Serviço",AJ$12&lt;&gt;0,$H184&gt;0,OR(AUTOEVENTO&lt;&gt;"manual",$M184&lt;&gt;$A$15)),
        IF(Import.TipoArredondamento&lt;&gt;"TransfereGOV",
              ROUND(OFFSET($P184,0,AJ$13),15-13*ORÇAMENTO!$AF$7)/$H184*OFFSET(ORÇAMENTO!$X$15,ROW(AJ184)-ROW(AJ$15),0),
              ROUND(ROUND(OFFSET($P184,0,AJ$13),15-13*ORÇAMENTO!$AF$7)*OFFSET(ORÇAMENTO!$W$15,ROW(AJ184)-ROW(AJ$15),0),15-13*ORÇAMENTO!$AF$11)),
         0)</f>
        <v>0</v>
      </c>
      <c r="AK184" s="453">
        <f ca="1">IF(AND($D184="Serviço",AK$12&lt;&gt;0,$H184&gt;0,OR(AUTOEVENTO&lt;&gt;"manual",$M184&lt;&gt;$A$15)),
        IF(Import.TipoArredondamento&lt;&gt;"TransfereGOV",
              ROUND(OFFSET($P184,0,AK$13),15-13*ORÇAMENTO!$AF$7)/$H184*OFFSET(ORÇAMENTO!$X$15,ROW(AK184)-ROW(AK$15),0),
              ROUND(ROUND(OFFSET($P184,0,AK$13),15-13*ORÇAMENTO!$AF$7)*OFFSET(ORÇAMENTO!$W$15,ROW(AK184)-ROW(AK$15),0),15-13*ORÇAMENTO!$AF$11)),
         0)</f>
        <v>0</v>
      </c>
      <c r="AL184" s="453">
        <f ca="1">IF(AND($D184="Serviço",AL$12&lt;&gt;0,$H184&gt;0,OR(AUTOEVENTO&lt;&gt;"manual",$M184&lt;&gt;$A$15)),
        IF(Import.TipoArredondamento&lt;&gt;"TransfereGOV",
              ROUND(OFFSET($P184,0,AL$13),15-13*ORÇAMENTO!$AF$7)/$H184*OFFSET(ORÇAMENTO!$X$15,ROW(AL184)-ROW(AL$15),0),
              ROUND(ROUND(OFFSET($P184,0,AL$13),15-13*ORÇAMENTO!$AF$7)*OFFSET(ORÇAMENTO!$W$15,ROW(AL184)-ROW(AL$15),0),15-13*ORÇAMENTO!$AF$11)),
         0)</f>
        <v>0</v>
      </c>
      <c r="AM184" s="453">
        <f ca="1">IF(AND($D184="Serviço",AM$12&lt;&gt;0,$H184&gt;0,OR(AUTOEVENTO&lt;&gt;"manual",$M184&lt;&gt;$A$15)),
        IF(Import.TipoArredondamento&lt;&gt;"TransfereGOV",
              ROUND(OFFSET($P184,0,AM$13),15-13*ORÇAMENTO!$AF$7)/$H184*OFFSET(ORÇAMENTO!$X$15,ROW(AM184)-ROW(AM$15),0),
              ROUND(ROUND(OFFSET($P184,0,AM$13),15-13*ORÇAMENTO!$AF$7)*OFFSET(ORÇAMENTO!$W$15,ROW(AM184)-ROW(AM$15),0),15-13*ORÇAMENTO!$AF$11)),
         0)</f>
        <v>0</v>
      </c>
      <c r="AN184" s="453">
        <f ca="1">IF(AND($D184="Serviço",AN$12&lt;&gt;0,$H184&gt;0,OR(AUTOEVENTO&lt;&gt;"manual",$M184&lt;&gt;$A$15)),
        IF(Import.TipoArredondamento&lt;&gt;"TransfereGOV",
              ROUND(OFFSET($P184,0,AN$13),15-13*ORÇAMENTO!$AF$7)/$H184*OFFSET(ORÇAMENTO!$X$15,ROW(AN184)-ROW(AN$15),0),
              ROUND(ROUND(OFFSET($P184,0,AN$13),15-13*ORÇAMENTO!$AF$7)*OFFSET(ORÇAMENTO!$W$15,ROW(AN184)-ROW(AN$15),0),15-13*ORÇAMENTO!$AF$11)),
         0)</f>
        <v>0</v>
      </c>
      <c r="AO184" s="453">
        <f ca="1">IF(AND($D184="Serviço",AO$12&lt;&gt;0,$H184&gt;0,OR(AUTOEVENTO&lt;&gt;"manual",$M184&lt;&gt;$A$15)),
        IF(Import.TipoArredondamento&lt;&gt;"TransfereGOV",
              ROUND(OFFSET($P184,0,AO$13),15-13*ORÇAMENTO!$AF$7)/$H184*OFFSET(ORÇAMENTO!$X$15,ROW(AO184)-ROW(AO$15),0),
              ROUND(ROUND(OFFSET($P184,0,AO$13),15-13*ORÇAMENTO!$AF$7)*OFFSET(ORÇAMENTO!$W$15,ROW(AO184)-ROW(AO$15),0),15-13*ORÇAMENTO!$AF$11)),
         0)</f>
        <v>0</v>
      </c>
      <c r="AP184" s="453">
        <f ca="1">IF(AND($D184="Serviço",AP$12&lt;&gt;0,$H184&gt;0,OR(AUTOEVENTO&lt;&gt;"manual",$M184&lt;&gt;$A$15)),
        IF(Import.TipoArredondamento&lt;&gt;"TransfereGOV",
              ROUND(OFFSET($P184,0,AP$13),15-13*ORÇAMENTO!$AF$7)/$H184*OFFSET(ORÇAMENTO!$X$15,ROW(AP184)-ROW(AP$15),0),
              ROUND(ROUND(OFFSET($P184,0,AP$13),15-13*ORÇAMENTO!$AF$7)*OFFSET(ORÇAMENTO!$W$15,ROW(AP184)-ROW(AP$15),0),15-13*ORÇAMENTO!$AF$11)),
         0)</f>
        <v>7547.54</v>
      </c>
      <c r="AQ184" s="453">
        <f ca="1">IF(AND($D184="Serviço",AQ$12&lt;&gt;0,$H184&gt;0,OR(AUTOEVENTO&lt;&gt;"manual",$M184&lt;&gt;$A$15)),
        IF(Import.TipoArredondamento&lt;&gt;"TransfereGOV",
              ROUND(OFFSET($P184,0,AQ$13),15-13*ORÇAMENTO!$AF$7)/$H184*OFFSET(ORÇAMENTO!$X$15,ROW(AQ184)-ROW(AQ$15),0),
              ROUND(ROUND(OFFSET($P184,0,AQ$13),15-13*ORÇAMENTO!$AF$7)*OFFSET(ORÇAMENTO!$W$15,ROW(AQ184)-ROW(AQ$15),0),15-13*ORÇAMENTO!$AF$11)),
         0)</f>
        <v>0</v>
      </c>
      <c r="AR184" s="453">
        <f ca="1">IF(AND($D184="Serviço",AR$12&lt;&gt;0,$H184&gt;0,OR(AUTOEVENTO&lt;&gt;"manual",$M184&lt;&gt;$A$15)),
        IF(Import.TipoArredondamento&lt;&gt;"TransfereGOV",
              ROUND(OFFSET($P184,0,AR$13),15-13*ORÇAMENTO!$AF$7)/$H184*OFFSET(ORÇAMENTO!$X$15,ROW(AR184)-ROW(AR$15),0),
              ROUND(ROUND(OFFSET($P184,0,AR$13),15-13*ORÇAMENTO!$AF$7)*OFFSET(ORÇAMENTO!$W$15,ROW(AR184)-ROW(AR$15),0),15-13*ORÇAMENTO!$AF$11)),
         0)</f>
        <v>0</v>
      </c>
      <c r="AS184" s="453">
        <f ca="1">IF(AND($D184="Serviço",AS$12&lt;&gt;0,$H184&gt;0,OR(AUTOEVENTO&lt;&gt;"manual",$M184&lt;&gt;$A$15)),
        IF(Import.TipoArredondamento&lt;&gt;"TransfereGOV",
              ROUND(OFFSET($P184,0,AS$13),15-13*ORÇAMENTO!$AF$7)/$H184*OFFSET(ORÇAMENTO!$X$15,ROW(AS184)-ROW(AS$15),0),
              ROUND(ROUND(OFFSET($P184,0,AS$13),15-13*ORÇAMENTO!$AF$7)*OFFSET(ORÇAMENTO!$W$15,ROW(AS184)-ROW(AS$15),0),15-13*ORÇAMENTO!$AF$11)),
         0)</f>
        <v>0</v>
      </c>
      <c r="AT184" s="453">
        <f ca="1">IF(AND($D184="Serviço",AT$12&lt;&gt;0,$H184&gt;0,OR(AUTOEVENTO&lt;&gt;"manual",$M184&lt;&gt;$A$15)),
        IF(Import.TipoArredondamento&lt;&gt;"TransfereGOV",
              ROUND(OFFSET($P184,0,AT$13),15-13*ORÇAMENTO!$AF$7)/$H184*OFFSET(ORÇAMENTO!$X$15,ROW(AT184)-ROW(AT$15),0),
              ROUND(ROUND(OFFSET($P184,0,AT$13),15-13*ORÇAMENTO!$AF$7)*OFFSET(ORÇAMENTO!$W$15,ROW(AT184)-ROW(AT$15),0),15-13*ORÇAMENTO!$AF$11)),
         0)</f>
        <v>0</v>
      </c>
      <c r="AU184" s="453">
        <f ca="1">IF(AND($D184="Serviço",AU$12&lt;&gt;0,$H184&gt;0,OR(AUTOEVENTO&lt;&gt;"manual",$M184&lt;&gt;$A$15)),
        IF(Import.TipoArredondamento&lt;&gt;"TransfereGOV",
              ROUND(OFFSET($P184,0,AU$13),15-13*ORÇAMENTO!$AF$7)/$H184*OFFSET(ORÇAMENTO!$X$15,ROW(AU184)-ROW(AU$15),0),
              ROUND(ROUND(OFFSET($P184,0,AU$13),15-13*ORÇAMENTO!$AF$7)*OFFSET(ORÇAMENTO!$W$15,ROW(AU184)-ROW(AU$15),0),15-13*ORÇAMENTO!$AF$11)),
         0)</f>
        <v>0</v>
      </c>
      <c r="AV184" s="453">
        <f ca="1">IF(AND($D184="Serviço",AV$12&lt;&gt;0,$H184&gt;0,OR(AUTOEVENTO&lt;&gt;"manual",$M184&lt;&gt;$A$15)),
        IF(Import.TipoArredondamento&lt;&gt;"TransfereGOV",
              ROUND(OFFSET($P184,0,AV$13),15-13*ORÇAMENTO!$AF$7)/$H184*OFFSET(ORÇAMENTO!$X$15,ROW(AV184)-ROW(AV$15),0),
              ROUND(ROUND(OFFSET($P184,0,AV$13),15-13*ORÇAMENTO!$AF$7)*OFFSET(ORÇAMENTO!$W$15,ROW(AV184)-ROW(AV$15),0),15-13*ORÇAMENTO!$AF$11)),
         0)</f>
        <v>0</v>
      </c>
      <c r="AW184" s="453">
        <f ca="1">IF(AND($D184="Serviço",AW$12&lt;&gt;0,$H184&gt;0,OR(AUTOEVENTO&lt;&gt;"manual",$M184&lt;&gt;$A$15)),
        IF(Import.TipoArredondamento&lt;&gt;"TransfereGOV",
              ROUND(OFFSET($P184,0,AW$13),15-13*ORÇAMENTO!$AF$7)/$H184*OFFSET(ORÇAMENTO!$X$15,ROW(AW184)-ROW(AW$15),0),
              ROUND(ROUND(OFFSET($P184,0,AW$13),15-13*ORÇAMENTO!$AF$7)*OFFSET(ORÇAMENTO!$W$15,ROW(AW184)-ROW(AW$15),0),15-13*ORÇAMENTO!$AF$11)),
         0)</f>
        <v>0</v>
      </c>
      <c r="AX184" s="453">
        <f ca="1">IF(AND($D184="Serviço",AX$12&lt;&gt;0,$H184&gt;0,OR(AUTOEVENTO&lt;&gt;"manual",$M184&lt;&gt;$A$15)),
        IF(Import.TipoArredondamento&lt;&gt;"TransfereGOV",
              ROUND(OFFSET($P184,0,AX$13),15-13*ORÇAMENTO!$AF$7)/$H184*OFFSET(ORÇAMENTO!$X$15,ROW(AX184)-ROW(AX$15),0),
              ROUND(ROUND(OFFSET($P184,0,AX$13),15-13*ORÇAMENTO!$AF$7)*OFFSET(ORÇAMENTO!$W$15,ROW(AX184)-ROW(AX$15),0),15-13*ORÇAMENTO!$AF$11)),
         0)</f>
        <v>0</v>
      </c>
      <c r="AY184" s="453">
        <f ca="1">IF(AND($D184="Serviço",AY$12&lt;&gt;0,$H184&gt;0,OR(AUTOEVENTO&lt;&gt;"manual",$M184&lt;&gt;$A$15)),
        IF(Import.TipoArredondamento&lt;&gt;"TransfereGOV",
              ROUND(OFFSET($P184,0,AY$13),15-13*ORÇAMENTO!$AF$7)/$H184*OFFSET(ORÇAMENTO!$X$15,ROW(AY184)-ROW(AY$15),0),
              ROUND(ROUND(OFFSET($P184,0,AY$13),15-13*ORÇAMENTO!$AF$7)*OFFSET(ORÇAMENTO!$W$15,ROW(AY184)-ROW(AY$15),0),15-13*ORÇAMENTO!$AF$11)),
         0)</f>
        <v>0</v>
      </c>
      <c r="AZ184" s="453">
        <f ca="1">IF(AND($D184="Serviço",AZ$12&lt;&gt;0,$H184&gt;0,OR(AUTOEVENTO&lt;&gt;"manual",$M184&lt;&gt;$A$15)),
        IF(Import.TipoArredondamento&lt;&gt;"TransfereGOV",
              ROUND(OFFSET($P184,0,AZ$13),15-13*ORÇAMENTO!$AF$7)/$H184*OFFSET(ORÇAMENTO!$X$15,ROW(AZ184)-ROW(AZ$15),0),
              ROUND(ROUND(OFFSET($P184,0,AZ$13),15-13*ORÇAMENTO!$AF$7)*OFFSET(ORÇAMENTO!$W$15,ROW(AZ184)-ROW(AZ$15),0),15-13*ORÇAMENTO!$AF$11)),
         0)</f>
        <v>0</v>
      </c>
      <c r="BA184" s="453">
        <f ca="1">IF(AND($D184="Serviço",BA$12&lt;&gt;0,$H184&gt;0,OR(AUTOEVENTO&lt;&gt;"manual",$M184&lt;&gt;$A$15)),
        IF(Import.TipoArredondamento&lt;&gt;"TransfereGOV",
              ROUND(OFFSET($P184,0,BA$13),15-13*ORÇAMENTO!$AF$7)/$H184*OFFSET(ORÇAMENTO!$X$15,ROW(BA184)-ROW(BA$15),0),
              ROUND(ROUND(OFFSET($P184,0,BA$13),15-13*ORÇAMENTO!$AF$7)*OFFSET(ORÇAMENTO!$W$15,ROW(BA184)-ROW(BA$15),0),15-13*ORÇAMENTO!$AF$11)),
         0)</f>
        <v>0</v>
      </c>
      <c r="BC184" s="171">
        <f ca="1">IF(OR($D184&lt;&gt;"Serviço",AND(AUTOEVENTO="Manual",$M184=$A$15)),0,
         IF(OFFSET(CRONOPLE!$F$15,$M184-$A$15,BC$13)=0,10^12,OFFSET(CRONOPLE!$F$15,$M184-$A$15,BC$13)))</f>
        <v>1000000000000</v>
      </c>
      <c r="BD184" s="171">
        <f ca="1">IF(OR($D184&lt;&gt;"Serviço",AND(AUTOEVENTO="Manual",$M184=$A$15)),0,
         IF(OFFSET(CRONOPLE!$F$15,$M184-$A$15,BD$13)=0,10^12,OFFSET(CRONOPLE!$F$15,$M184-$A$15,BD$13)))</f>
        <v>1000000000000</v>
      </c>
      <c r="BE184" s="171">
        <f ca="1">IF(OR($D184&lt;&gt;"Serviço",AND(AUTOEVENTO="Manual",$M184=$A$15)),0,
         IF(OFFSET(CRONOPLE!$F$15,$M184-$A$15,BE$13)=0,10^12,OFFSET(CRONOPLE!$F$15,$M184-$A$15,BE$13)))</f>
        <v>6</v>
      </c>
      <c r="BF184" s="171">
        <f ca="1">IF(OR($D184&lt;&gt;"Serviço",AND(AUTOEVENTO="Manual",$M184=$A$15)),0,
         IF(OFFSET(CRONOPLE!$F$15,$M184-$A$15,BF$13)=0,10^12,OFFSET(CRONOPLE!$F$15,$M184-$A$15,BF$13)))</f>
        <v>1000000000000</v>
      </c>
      <c r="BG184" s="171">
        <f ca="1">IF(OR($D184&lt;&gt;"Serviço",AND(AUTOEVENTO="Manual",$M184=$A$15)),0,
         IF(OFFSET(CRONOPLE!$F$15,$M184-$A$15,BG$13)=0,10^12,OFFSET(CRONOPLE!$F$15,$M184-$A$15,BG$13)))</f>
        <v>9</v>
      </c>
      <c r="BH184" s="171">
        <f ca="1">IF(OR($D184&lt;&gt;"Serviço",AND(AUTOEVENTO="Manual",$M184=$A$15)),0,
         IF(OFFSET(CRONOPLE!$F$15,$M184-$A$15,BH$13)=0,10^12,OFFSET(CRONOPLE!$F$15,$M184-$A$15,BH$13)))</f>
        <v>7</v>
      </c>
      <c r="BI184" s="171">
        <f ca="1">IF(OR($D184&lt;&gt;"Serviço",AND(AUTOEVENTO="Manual",$M184=$A$15)),0,
         IF(OFFSET(CRONOPLE!$F$15,$M184-$A$15,BI$13)=0,10^12,OFFSET(CRONOPLE!$F$15,$M184-$A$15,BI$13)))</f>
        <v>10</v>
      </c>
      <c r="BJ184" s="171">
        <f ca="1">IF(OR($D184&lt;&gt;"Serviço",AND(AUTOEVENTO="Manual",$M184=$A$15)),0,
         IF(OFFSET(CRONOPLE!$F$15,$M184-$A$15,BJ$13)=0,10^12,OFFSET(CRONOPLE!$F$15,$M184-$A$15,BJ$13)))</f>
        <v>1000000000000</v>
      </c>
      <c r="BK184" s="171">
        <f ca="1">IF(OR($D184&lt;&gt;"Serviço",AND(AUTOEVENTO="Manual",$M184=$A$15)),0,
         IF(OFFSET(CRONOPLE!$F$15,$M184-$A$15,BK$13)=0,10^12,OFFSET(CRONOPLE!$F$15,$M184-$A$15,BK$13)))</f>
        <v>1000000000000</v>
      </c>
      <c r="BL184" s="171">
        <f ca="1">IF(OR($D184&lt;&gt;"Serviço",AND(AUTOEVENTO="Manual",$M184=$A$15)),0,
         IF(OFFSET(CRONOPLE!$F$15,$M184-$A$15,BL$13)=0,10^12,OFFSET(CRONOPLE!$F$15,$M184-$A$15,BL$13)))</f>
        <v>1000000000000</v>
      </c>
      <c r="BM184" s="171">
        <f ca="1">IF(OR($D184&lt;&gt;"Serviço",AND(AUTOEVENTO="Manual",$M184=$A$15)),0,
         IF(OFFSET(CRONOPLE!$F$15,$M184-$A$15,BM$13)=0,10^12,OFFSET(CRONOPLE!$F$15,$M184-$A$15,BM$13)))</f>
        <v>1000000000000</v>
      </c>
      <c r="BN184" s="171">
        <f ca="1">IF(OR($D184&lt;&gt;"Serviço",AND(AUTOEVENTO="Manual",$M184=$A$15)),0,
         IF(OFFSET(CRONOPLE!$F$15,$M184-$A$15,BN$13)=0,10^12,OFFSET(CRONOPLE!$F$15,$M184-$A$15,BN$13)))</f>
        <v>1000000000000</v>
      </c>
      <c r="BO184" s="171">
        <f ca="1">IF(OR($D184&lt;&gt;"Serviço",AND(AUTOEVENTO="Manual",$M184=$A$15)),0,
         IF(OFFSET(CRONOPLE!$F$15,$M184-$A$15,BO$13)=0,10^12,OFFSET(CRONOPLE!$F$15,$M184-$A$15,BO$13)))</f>
        <v>1000000000000</v>
      </c>
      <c r="BP184" s="171">
        <f ca="1">IF(OR($D184&lt;&gt;"Serviço",AND(AUTOEVENTO="Manual",$M184=$A$15)),0,
         IF(OFFSET(CRONOPLE!$F$15,$M184-$A$15,BP$13)=0,10^12,OFFSET(CRONOPLE!$F$15,$M184-$A$15,BP$13)))</f>
        <v>1000000000000</v>
      </c>
      <c r="BQ184" s="171">
        <f ca="1">IF(OR($D184&lt;&gt;"Serviço",AND(AUTOEVENTO="Manual",$M184=$A$15)),0,
         IF(OFFSET(CRONOPLE!$F$15,$M184-$A$15,BQ$13)=0,10^12,OFFSET(CRONOPLE!$F$15,$M184-$A$15,BQ$13)))</f>
        <v>1000000000000</v>
      </c>
      <c r="BR184" s="171">
        <f ca="1">IF(OR($D184&lt;&gt;"Serviço",AND(AUTOEVENTO="Manual",$M184=$A$15)),0,
         IF(OFFSET(CRONOPLE!$F$15,$M184-$A$15,BR$13)=0,10^12,OFFSET(CRONOPLE!$F$15,$M184-$A$15,BR$13)))</f>
        <v>1000000000000</v>
      </c>
      <c r="BS184" s="171">
        <f ca="1">IF(OR($D184&lt;&gt;"Serviço",AND(AUTOEVENTO="Manual",$M184=$A$15)),0,
         IF(OFFSET(CRONOPLE!$F$15,$M184-$A$15,BS$13)=0,10^12,OFFSET(CRONOPLE!$F$15,$M184-$A$15,BS$13)))</f>
        <v>1000000000000</v>
      </c>
      <c r="BT184" s="171">
        <f ca="1">IF(OR($D184&lt;&gt;"Serviço",AND(AUTOEVENTO="Manual",$M184=$A$15)),0,
         IF(OFFSET(CRONOPLE!$F$15,$M184-$A$15,BT$13)=0,10^12,OFFSET(CRONOPLE!$F$15,$M184-$A$15,BT$13)))</f>
        <v>1000000000000</v>
      </c>
      <c r="BV184" s="172" cm="1">
        <f t="array" aca="1" ref="BV184" ca="1">IF(OR($D184&lt;&gt;"Serviço",AND(AUTOEVENTO="Manual",$M184=$A$15),$M184&gt;(ROW(PLE.lastrow)-ROW(PLE.firstrow))),0,
           IF(OFFSET(PLE!$G$15,$M184-$A$15,BV$13)="",10^12,OFFSET(PLE!$G$15,$M184-$A$15,BV$13)))</f>
        <v>1000000000000</v>
      </c>
      <c r="BW184" s="172" cm="1">
        <f t="array" aca="1" ref="BW184" ca="1">IF(OR($D184&lt;&gt;"Serviço",AND(AUTOEVENTO="Manual",$M184=$A$15),$M184&gt;(ROW(PLE.lastrow)-ROW(PLE.firstrow))),0,
           IF(OFFSET(PLE!$G$15,$M184-$A$15,BW$13)="",10^12,OFFSET(PLE!$G$15,$M184-$A$15,BW$13)))</f>
        <v>1000000000000</v>
      </c>
      <c r="BX184" s="172" cm="1">
        <f t="array" aca="1" ref="BX184" ca="1">IF(OR($D184&lt;&gt;"Serviço",AND(AUTOEVENTO="Manual",$M184=$A$15),$M184&gt;(ROW(PLE.lastrow)-ROW(PLE.firstrow))),0,
           IF(OFFSET(PLE!$G$15,$M184-$A$15,BX$13)="",10^12,OFFSET(PLE!$G$15,$M184-$A$15,BX$13)))</f>
        <v>1000000000000</v>
      </c>
      <c r="BY184" s="172" cm="1">
        <f t="array" aca="1" ref="BY184" ca="1">IF(OR($D184&lt;&gt;"Serviço",AND(AUTOEVENTO="Manual",$M184=$A$15),$M184&gt;(ROW(PLE.lastrow)-ROW(PLE.firstrow))),0,
           IF(OFFSET(PLE!$G$15,$M184-$A$15,BY$13)="",10^12,OFFSET(PLE!$G$15,$M184-$A$15,BY$13)))</f>
        <v>1000000000000</v>
      </c>
      <c r="BZ184" s="172" cm="1">
        <f t="array" aca="1" ref="BZ184" ca="1">IF(OR($D184&lt;&gt;"Serviço",AND(AUTOEVENTO="Manual",$M184=$A$15),$M184&gt;(ROW(PLE.lastrow)-ROW(PLE.firstrow))),0,
           IF(OFFSET(PLE!$G$15,$M184-$A$15,BZ$13)="",10^12,OFFSET(PLE!$G$15,$M184-$A$15,BZ$13)))</f>
        <v>1000000000000</v>
      </c>
      <c r="CA184" s="172" cm="1">
        <f t="array" aca="1" ref="CA184" ca="1">IF(OR($D184&lt;&gt;"Serviço",AND(AUTOEVENTO="Manual",$M184=$A$15),$M184&gt;(ROW(PLE.lastrow)-ROW(PLE.firstrow))),0,
           IF(OFFSET(PLE!$G$15,$M184-$A$15,CA$13)="",10^12,OFFSET(PLE!$G$15,$M184-$A$15,CA$13)))</f>
        <v>1000000000000</v>
      </c>
      <c r="CB184" s="172" cm="1">
        <f t="array" aca="1" ref="CB184" ca="1">IF(OR($D184&lt;&gt;"Serviço",AND(AUTOEVENTO="Manual",$M184=$A$15),$M184&gt;(ROW(PLE.lastrow)-ROW(PLE.firstrow))),0,
           IF(OFFSET(PLE!$G$15,$M184-$A$15,CB$13)="",10^12,OFFSET(PLE!$G$15,$M184-$A$15,CB$13)))</f>
        <v>1000000000000</v>
      </c>
      <c r="CC184" s="172" cm="1">
        <f t="array" aca="1" ref="CC184" ca="1">IF(OR($D184&lt;&gt;"Serviço",AND(AUTOEVENTO="Manual",$M184=$A$15),$M184&gt;(ROW(PLE.lastrow)-ROW(PLE.firstrow))),0,
           IF(OFFSET(PLE!$G$15,$M184-$A$15,CC$13)="",10^12,OFFSET(PLE!$G$15,$M184-$A$15,CC$13)))</f>
        <v>1000000000000</v>
      </c>
      <c r="CD184" s="172" cm="1">
        <f t="array" aca="1" ref="CD184" ca="1">IF(OR($D184&lt;&gt;"Serviço",AND(AUTOEVENTO="Manual",$M184=$A$15),$M184&gt;(ROW(PLE.lastrow)-ROW(PLE.firstrow))),0,
           IF(OFFSET(PLE!$G$15,$M184-$A$15,CD$13)="",10^12,OFFSET(PLE!$G$15,$M184-$A$15,CD$13)))</f>
        <v>1000000000000</v>
      </c>
      <c r="CE184" s="172" cm="1">
        <f t="array" aca="1" ref="CE184" ca="1">IF(OR($D184&lt;&gt;"Serviço",AND(AUTOEVENTO="Manual",$M184=$A$15),$M184&gt;(ROW(PLE.lastrow)-ROW(PLE.firstrow))),0,
           IF(OFFSET(PLE!$G$15,$M184-$A$15,CE$13)="",10^12,OFFSET(PLE!$G$15,$M184-$A$15,CE$13)))</f>
        <v>1000000000000</v>
      </c>
      <c r="CF184" s="172" cm="1">
        <f t="array" aca="1" ref="CF184" ca="1">IF(OR($D184&lt;&gt;"Serviço",AND(AUTOEVENTO="Manual",$M184=$A$15),$M184&gt;(ROW(PLE.lastrow)-ROW(PLE.firstrow))),0,
           IF(OFFSET(PLE!$G$15,$M184-$A$15,CF$13)="",10^12,OFFSET(PLE!$G$15,$M184-$A$15,CF$13)))</f>
        <v>1000000000000</v>
      </c>
      <c r="CG184" s="172" cm="1">
        <f t="array" aca="1" ref="CG184" ca="1">IF(OR($D184&lt;&gt;"Serviço",AND(AUTOEVENTO="Manual",$M184=$A$15),$M184&gt;(ROW(PLE.lastrow)-ROW(PLE.firstrow))),0,
           IF(OFFSET(PLE!$G$15,$M184-$A$15,CG$13)="",10^12,OFFSET(PLE!$G$15,$M184-$A$15,CG$13)))</f>
        <v>1000000000000</v>
      </c>
      <c r="CH184" s="172" cm="1">
        <f t="array" aca="1" ref="CH184" ca="1">IF(OR($D184&lt;&gt;"Serviço",AND(AUTOEVENTO="Manual",$M184=$A$15),$M184&gt;(ROW(PLE.lastrow)-ROW(PLE.firstrow))),0,
           IF(OFFSET(PLE!$G$15,$M184-$A$15,CH$13)="",10^12,OFFSET(PLE!$G$15,$M184-$A$15,CH$13)))</f>
        <v>1000000000000</v>
      </c>
      <c r="CI184" s="172" cm="1">
        <f t="array" aca="1" ref="CI184" ca="1">IF(OR($D184&lt;&gt;"Serviço",AND(AUTOEVENTO="Manual",$M184=$A$15),$M184&gt;(ROW(PLE.lastrow)-ROW(PLE.firstrow))),0,
           IF(OFFSET(PLE!$G$15,$M184-$A$15,CI$13)="",10^12,OFFSET(PLE!$G$15,$M184-$A$15,CI$13)))</f>
        <v>1000000000000</v>
      </c>
      <c r="CJ184" s="172" cm="1">
        <f t="array" aca="1" ref="CJ184" ca="1">IF(OR($D184&lt;&gt;"Serviço",AND(AUTOEVENTO="Manual",$M184=$A$15),$M184&gt;(ROW(PLE.lastrow)-ROW(PLE.firstrow))),0,
           IF(OFFSET(PLE!$G$15,$M184-$A$15,CJ$13)="",10^12,OFFSET(PLE!$G$15,$M184-$A$15,CJ$13)))</f>
        <v>1000000000000</v>
      </c>
      <c r="CK184" s="172" cm="1">
        <f t="array" aca="1" ref="CK184" ca="1">IF(OR($D184&lt;&gt;"Serviço",AND(AUTOEVENTO="Manual",$M184=$A$15),$M184&gt;(ROW(PLE.lastrow)-ROW(PLE.firstrow))),0,
           IF(OFFSET(PLE!$G$15,$M184-$A$15,CK$13)="",10^12,OFFSET(PLE!$G$15,$M184-$A$15,CK$13)))</f>
        <v>1000000000000</v>
      </c>
      <c r="CL184" s="172" cm="1">
        <f t="array" aca="1" ref="CL184" ca="1">IF(OR($D184&lt;&gt;"Serviço",AND(AUTOEVENTO="Manual",$M184=$A$15),$M184&gt;(ROW(PLE.lastrow)-ROW(PLE.firstrow))),0,
           IF(OFFSET(PLE!$G$15,$M184-$A$15,CL$13)="",10^12,OFFSET(PLE!$G$15,$M184-$A$15,CL$13)))</f>
        <v>1000000000000</v>
      </c>
      <c r="CM184" s="172" cm="1">
        <f t="array" aca="1" ref="CM184" ca="1">IF(OR($D184&lt;&gt;"Serviço",AND(AUTOEVENTO="Manual",$M184=$A$15),$M184&gt;(ROW(PLE.lastrow)-ROW(PLE.firstrow))),0,
           IF(OFFSET(PLE!$G$15,$M184-$A$15,CM$13)="",10^12,OFFSET(PLE!$G$15,$M184-$A$15,CM$13)))</f>
        <v>1000000000000</v>
      </c>
    </row>
    <row r="185" spans="1:91" s="680" customFormat="1" ht="25.5" x14ac:dyDescent="0.2">
      <c r="A185" s="681">
        <f ca="1">IFERROR(IF(AUTOEVENTO="Manual",IF(K185&lt;&gt;"",MIN(VALUE(LEFT(K185,FIND(".",K185)-1)),COUNTA(EVENTOS.Lista)),0),IF(OR($B185&gt;AUTOEVENTO,$B185="S",$B185=0),SUBSTITUTE(OFFSET($A185,-1,0),IF($D185="Serviço",".",""),""),$L185&amp;".")),0)</f>
        <v>12</v>
      </c>
      <c r="B185" s="681" t="str">
        <f ca="1">OFFSET(ORÇAMENTO!C$15,$L185,0)</f>
        <v>S</v>
      </c>
      <c r="C185" s="681" t="str">
        <f ca="1">OFFSET(ORÇAMENTO!L$15,$L185,0)</f>
        <v>F</v>
      </c>
      <c r="D185" s="686" t="str">
        <f ca="1">OFFSET(ORÇAMENTO!N$15,$L185,0)</f>
        <v>Serviço</v>
      </c>
      <c r="E185" s="687" t="str">
        <f ca="1">OFFSET(ORÇAMENTO!O$15,$L185,0)</f>
        <v>1.23.15.</v>
      </c>
      <c r="F185" s="699" t="str">
        <f ca="1">OFFSET(ORÇAMENTO!R$15,$L185,0)</f>
        <v>LANÇAMENTO COM USO DE BOMBA, ADENSAMENTO E ACABAMENTO DE CONCRETO EM ESTRUTURAS. AF_02/2022</v>
      </c>
      <c r="G185" s="700" t="str">
        <f ca="1">IF($D185&lt;&gt;"Serviço","",OFFSET(ORÇAMENTO!S$15,$L185,0))</f>
        <v>M3</v>
      </c>
      <c r="H185" s="692" cm="1">
        <f t="array" aca="1" ref="H185" ca="1">IF($D185&lt;&gt;"Serviço",0,IF(ACOMPANHAMENTO="BM",ROUND(OFFSET(ORÇAMENTO!AJ$15,$L185,0),15-13*ORÇAMENTO!$AF$7),IF(IFERROR(CÁLCULO.FrentesPreenchidas,0)=0,0,SUM(ROUND(OFFSET($P185,0,1,1,CÁLCULO.FrentesPreenchidas),15-13*ORÇAMENTO!$AF$7)))))</f>
        <v>11</v>
      </c>
      <c r="I185" s="720" t="s">
        <v>1232</v>
      </c>
      <c r="J185" s="724" t="str" cm="1">
        <f t="array" aca="1" ref="J185" ca="1">IF(OR(B185&lt;&gt;"S",CÁLCULO.FrentesPreenchidas=0),"",IF(AND(ACOMPANHAMENTO="PLE",AUTOEVENTO="Manual",OR(H185&gt;0,ORÇAMENTO!AC185="QUANT."),OR(K185="",M185=0,N185="")),"►E",IF(AND(ACOMPANHAMENTO="PLE",ORÇAMENTO!AC185="QUANT."),"►Q",IF(AND(ACOMPANHAMENTO="PLE",H185&lt;&gt;SUMPRODUCT(($Q$1:$AI$1=1)*ROUND(Q185:AI185,15))),"►S",IF(AND(COUNTIF($P$11:$AI$11,"▼")=0,H185&gt;0,I185=""),"◄M","")))))</f>
        <v/>
      </c>
      <c r="K185" s="652" t="s">
        <v>1339</v>
      </c>
      <c r="L185" s="701">
        <f ca="1">OFFSET(L185,-1,0)+1</f>
        <v>170</v>
      </c>
      <c r="M185" s="702">
        <f ca="1">IF($D185&lt;&gt;"Serviço","",
          IF(AUTOEVENTO="manual",$A185,
                IF(ISERROR(MATCH($A185,$A$15:OFFSET($A185,-1,0),0)),MAX($M$15:OFFSET(M185,-1,0))+1,
                      INDEX($M$15:OFFSET(M185,-1,0),MATCH($A185,$A$15:OFFSET($A185,-1,0),0)))))</f>
        <v>12</v>
      </c>
      <c r="N185" s="703" t="str">
        <f ca="1">IF($D185&lt;&gt;"Serviço","",
         IF(AUTOEVENTO="Manual",
                IF($A185=0,"&lt;-- defina o número do agrupador",
                       OFFSET(EVENTOS!$D$15,$A185-$A$15,0)),
                OFFSET($F$15,$A185,0)))</f>
        <v>Fundação - Concretagem</v>
      </c>
      <c r="O185" s="704"/>
      <c r="Q185" s="704"/>
      <c r="R185" s="705"/>
      <c r="S185" s="705"/>
      <c r="T185" s="705"/>
      <c r="U185" s="705"/>
      <c r="V185" s="705"/>
      <c r="W185" s="705">
        <v>11</v>
      </c>
      <c r="X185" s="705"/>
      <c r="Y185" s="705"/>
      <c r="Z185" s="706"/>
      <c r="AA185" s="705"/>
      <c r="AB185" s="705"/>
      <c r="AC185" s="705"/>
      <c r="AD185" s="705"/>
      <c r="AE185" s="705"/>
      <c r="AF185" s="705"/>
      <c r="AG185" s="705"/>
      <c r="AH185" s="706"/>
      <c r="AJ185" s="453">
        <f ca="1">IF(AND($D185="Serviço",AJ$12&lt;&gt;0,$H185&gt;0,OR(AUTOEVENTO&lt;&gt;"manual",$M185&lt;&gt;$A$15)),
        IF(Import.TipoArredondamento&lt;&gt;"TransfereGOV",
              ROUND(OFFSET($P185,0,AJ$13),15-13*ORÇAMENTO!$AF$7)/$H185*OFFSET(ORÇAMENTO!$X$15,ROW(AJ185)-ROW(AJ$15),0),
              ROUND(ROUND(OFFSET($P185,0,AJ$13),15-13*ORÇAMENTO!$AF$7)*OFFSET(ORÇAMENTO!$W$15,ROW(AJ185)-ROW(AJ$15),0),15-13*ORÇAMENTO!$AF$11)),
         0)</f>
        <v>0</v>
      </c>
      <c r="AK185" s="453">
        <f ca="1">IF(AND($D185="Serviço",AK$12&lt;&gt;0,$H185&gt;0,OR(AUTOEVENTO&lt;&gt;"manual",$M185&lt;&gt;$A$15)),
        IF(Import.TipoArredondamento&lt;&gt;"TransfereGOV",
              ROUND(OFFSET($P185,0,AK$13),15-13*ORÇAMENTO!$AF$7)/$H185*OFFSET(ORÇAMENTO!$X$15,ROW(AK185)-ROW(AK$15),0),
              ROUND(ROUND(OFFSET($P185,0,AK$13),15-13*ORÇAMENTO!$AF$7)*OFFSET(ORÇAMENTO!$W$15,ROW(AK185)-ROW(AK$15),0),15-13*ORÇAMENTO!$AF$11)),
         0)</f>
        <v>0</v>
      </c>
      <c r="AL185" s="453">
        <f ca="1">IF(AND($D185="Serviço",AL$12&lt;&gt;0,$H185&gt;0,OR(AUTOEVENTO&lt;&gt;"manual",$M185&lt;&gt;$A$15)),
        IF(Import.TipoArredondamento&lt;&gt;"TransfereGOV",
              ROUND(OFFSET($P185,0,AL$13),15-13*ORÇAMENTO!$AF$7)/$H185*OFFSET(ORÇAMENTO!$X$15,ROW(AL185)-ROW(AL$15),0),
              ROUND(ROUND(OFFSET($P185,0,AL$13),15-13*ORÇAMENTO!$AF$7)*OFFSET(ORÇAMENTO!$W$15,ROW(AL185)-ROW(AL$15),0),15-13*ORÇAMENTO!$AF$11)),
         0)</f>
        <v>0</v>
      </c>
      <c r="AM185" s="453">
        <f ca="1">IF(AND($D185="Serviço",AM$12&lt;&gt;0,$H185&gt;0,OR(AUTOEVENTO&lt;&gt;"manual",$M185&lt;&gt;$A$15)),
        IF(Import.TipoArredondamento&lt;&gt;"TransfereGOV",
              ROUND(OFFSET($P185,0,AM$13),15-13*ORÇAMENTO!$AF$7)/$H185*OFFSET(ORÇAMENTO!$X$15,ROW(AM185)-ROW(AM$15),0),
              ROUND(ROUND(OFFSET($P185,0,AM$13),15-13*ORÇAMENTO!$AF$7)*OFFSET(ORÇAMENTO!$W$15,ROW(AM185)-ROW(AM$15),0),15-13*ORÇAMENTO!$AF$11)),
         0)</f>
        <v>0</v>
      </c>
      <c r="AN185" s="453">
        <f ca="1">IF(AND($D185="Serviço",AN$12&lt;&gt;0,$H185&gt;0,OR(AUTOEVENTO&lt;&gt;"manual",$M185&lt;&gt;$A$15)),
        IF(Import.TipoArredondamento&lt;&gt;"TransfereGOV",
              ROUND(OFFSET($P185,0,AN$13),15-13*ORÇAMENTO!$AF$7)/$H185*OFFSET(ORÇAMENTO!$X$15,ROW(AN185)-ROW(AN$15),0),
              ROUND(ROUND(OFFSET($P185,0,AN$13),15-13*ORÇAMENTO!$AF$7)*OFFSET(ORÇAMENTO!$W$15,ROW(AN185)-ROW(AN$15),0),15-13*ORÇAMENTO!$AF$11)),
         0)</f>
        <v>0</v>
      </c>
      <c r="AO185" s="453">
        <f ca="1">IF(AND($D185="Serviço",AO$12&lt;&gt;0,$H185&gt;0,OR(AUTOEVENTO&lt;&gt;"manual",$M185&lt;&gt;$A$15)),
        IF(Import.TipoArredondamento&lt;&gt;"TransfereGOV",
              ROUND(OFFSET($P185,0,AO$13),15-13*ORÇAMENTO!$AF$7)/$H185*OFFSET(ORÇAMENTO!$X$15,ROW(AO185)-ROW(AO$15),0),
              ROUND(ROUND(OFFSET($P185,0,AO$13),15-13*ORÇAMENTO!$AF$7)*OFFSET(ORÇAMENTO!$W$15,ROW(AO185)-ROW(AO$15),0),15-13*ORÇAMENTO!$AF$11)),
         0)</f>
        <v>0</v>
      </c>
      <c r="AP185" s="453">
        <f ca="1">IF(AND($D185="Serviço",AP$12&lt;&gt;0,$H185&gt;0,OR(AUTOEVENTO&lt;&gt;"manual",$M185&lt;&gt;$A$15)),
        IF(Import.TipoArredondamento&lt;&gt;"TransfereGOV",
              ROUND(OFFSET($P185,0,AP$13),15-13*ORÇAMENTO!$AF$7)/$H185*OFFSET(ORÇAMENTO!$X$15,ROW(AP185)-ROW(AP$15),0),
              ROUND(ROUND(OFFSET($P185,0,AP$13),15-13*ORÇAMENTO!$AF$7)*OFFSET(ORÇAMENTO!$W$15,ROW(AP185)-ROW(AP$15),0),15-13*ORÇAMENTO!$AF$11)),
         0)</f>
        <v>662.2</v>
      </c>
      <c r="AQ185" s="453">
        <f ca="1">IF(AND($D185="Serviço",AQ$12&lt;&gt;0,$H185&gt;0,OR(AUTOEVENTO&lt;&gt;"manual",$M185&lt;&gt;$A$15)),
        IF(Import.TipoArredondamento&lt;&gt;"TransfereGOV",
              ROUND(OFFSET($P185,0,AQ$13),15-13*ORÇAMENTO!$AF$7)/$H185*OFFSET(ORÇAMENTO!$X$15,ROW(AQ185)-ROW(AQ$15),0),
              ROUND(ROUND(OFFSET($P185,0,AQ$13),15-13*ORÇAMENTO!$AF$7)*OFFSET(ORÇAMENTO!$W$15,ROW(AQ185)-ROW(AQ$15),0),15-13*ORÇAMENTO!$AF$11)),
         0)</f>
        <v>0</v>
      </c>
      <c r="AR185" s="453">
        <f ca="1">IF(AND($D185="Serviço",AR$12&lt;&gt;0,$H185&gt;0,OR(AUTOEVENTO&lt;&gt;"manual",$M185&lt;&gt;$A$15)),
        IF(Import.TipoArredondamento&lt;&gt;"TransfereGOV",
              ROUND(OFFSET($P185,0,AR$13),15-13*ORÇAMENTO!$AF$7)/$H185*OFFSET(ORÇAMENTO!$X$15,ROW(AR185)-ROW(AR$15),0),
              ROUND(ROUND(OFFSET($P185,0,AR$13),15-13*ORÇAMENTO!$AF$7)*OFFSET(ORÇAMENTO!$W$15,ROW(AR185)-ROW(AR$15),0),15-13*ORÇAMENTO!$AF$11)),
         0)</f>
        <v>0</v>
      </c>
      <c r="AS185" s="453">
        <f ca="1">IF(AND($D185="Serviço",AS$12&lt;&gt;0,$H185&gt;0,OR(AUTOEVENTO&lt;&gt;"manual",$M185&lt;&gt;$A$15)),
        IF(Import.TipoArredondamento&lt;&gt;"TransfereGOV",
              ROUND(OFFSET($P185,0,AS$13),15-13*ORÇAMENTO!$AF$7)/$H185*OFFSET(ORÇAMENTO!$X$15,ROW(AS185)-ROW(AS$15),0),
              ROUND(ROUND(OFFSET($P185,0,AS$13),15-13*ORÇAMENTO!$AF$7)*OFFSET(ORÇAMENTO!$W$15,ROW(AS185)-ROW(AS$15),0),15-13*ORÇAMENTO!$AF$11)),
         0)</f>
        <v>0</v>
      </c>
      <c r="AT185" s="453">
        <f ca="1">IF(AND($D185="Serviço",AT$12&lt;&gt;0,$H185&gt;0,OR(AUTOEVENTO&lt;&gt;"manual",$M185&lt;&gt;$A$15)),
        IF(Import.TipoArredondamento&lt;&gt;"TransfereGOV",
              ROUND(OFFSET($P185,0,AT$13),15-13*ORÇAMENTO!$AF$7)/$H185*OFFSET(ORÇAMENTO!$X$15,ROW(AT185)-ROW(AT$15),0),
              ROUND(ROUND(OFFSET($P185,0,AT$13),15-13*ORÇAMENTO!$AF$7)*OFFSET(ORÇAMENTO!$W$15,ROW(AT185)-ROW(AT$15),0),15-13*ORÇAMENTO!$AF$11)),
         0)</f>
        <v>0</v>
      </c>
      <c r="AU185" s="453">
        <f ca="1">IF(AND($D185="Serviço",AU$12&lt;&gt;0,$H185&gt;0,OR(AUTOEVENTO&lt;&gt;"manual",$M185&lt;&gt;$A$15)),
        IF(Import.TipoArredondamento&lt;&gt;"TransfereGOV",
              ROUND(OFFSET($P185,0,AU$13),15-13*ORÇAMENTO!$AF$7)/$H185*OFFSET(ORÇAMENTO!$X$15,ROW(AU185)-ROW(AU$15),0),
              ROUND(ROUND(OFFSET($P185,0,AU$13),15-13*ORÇAMENTO!$AF$7)*OFFSET(ORÇAMENTO!$W$15,ROW(AU185)-ROW(AU$15),0),15-13*ORÇAMENTO!$AF$11)),
         0)</f>
        <v>0</v>
      </c>
      <c r="AV185" s="453">
        <f ca="1">IF(AND($D185="Serviço",AV$12&lt;&gt;0,$H185&gt;0,OR(AUTOEVENTO&lt;&gt;"manual",$M185&lt;&gt;$A$15)),
        IF(Import.TipoArredondamento&lt;&gt;"TransfereGOV",
              ROUND(OFFSET($P185,0,AV$13),15-13*ORÇAMENTO!$AF$7)/$H185*OFFSET(ORÇAMENTO!$X$15,ROW(AV185)-ROW(AV$15),0),
              ROUND(ROUND(OFFSET($P185,0,AV$13),15-13*ORÇAMENTO!$AF$7)*OFFSET(ORÇAMENTO!$W$15,ROW(AV185)-ROW(AV$15),0),15-13*ORÇAMENTO!$AF$11)),
         0)</f>
        <v>0</v>
      </c>
      <c r="AW185" s="453">
        <f ca="1">IF(AND($D185="Serviço",AW$12&lt;&gt;0,$H185&gt;0,OR(AUTOEVENTO&lt;&gt;"manual",$M185&lt;&gt;$A$15)),
        IF(Import.TipoArredondamento&lt;&gt;"TransfereGOV",
              ROUND(OFFSET($P185,0,AW$13),15-13*ORÇAMENTO!$AF$7)/$H185*OFFSET(ORÇAMENTO!$X$15,ROW(AW185)-ROW(AW$15),0),
              ROUND(ROUND(OFFSET($P185,0,AW$13),15-13*ORÇAMENTO!$AF$7)*OFFSET(ORÇAMENTO!$W$15,ROW(AW185)-ROW(AW$15),0),15-13*ORÇAMENTO!$AF$11)),
         0)</f>
        <v>0</v>
      </c>
      <c r="AX185" s="453">
        <f ca="1">IF(AND($D185="Serviço",AX$12&lt;&gt;0,$H185&gt;0,OR(AUTOEVENTO&lt;&gt;"manual",$M185&lt;&gt;$A$15)),
        IF(Import.TipoArredondamento&lt;&gt;"TransfereGOV",
              ROUND(OFFSET($P185,0,AX$13),15-13*ORÇAMENTO!$AF$7)/$H185*OFFSET(ORÇAMENTO!$X$15,ROW(AX185)-ROW(AX$15),0),
              ROUND(ROUND(OFFSET($P185,0,AX$13),15-13*ORÇAMENTO!$AF$7)*OFFSET(ORÇAMENTO!$W$15,ROW(AX185)-ROW(AX$15),0),15-13*ORÇAMENTO!$AF$11)),
         0)</f>
        <v>0</v>
      </c>
      <c r="AY185" s="453">
        <f ca="1">IF(AND($D185="Serviço",AY$12&lt;&gt;0,$H185&gt;0,OR(AUTOEVENTO&lt;&gt;"manual",$M185&lt;&gt;$A$15)),
        IF(Import.TipoArredondamento&lt;&gt;"TransfereGOV",
              ROUND(OFFSET($P185,0,AY$13),15-13*ORÇAMENTO!$AF$7)/$H185*OFFSET(ORÇAMENTO!$X$15,ROW(AY185)-ROW(AY$15),0),
              ROUND(ROUND(OFFSET($P185,0,AY$13),15-13*ORÇAMENTO!$AF$7)*OFFSET(ORÇAMENTO!$W$15,ROW(AY185)-ROW(AY$15),0),15-13*ORÇAMENTO!$AF$11)),
         0)</f>
        <v>0</v>
      </c>
      <c r="AZ185" s="453">
        <f ca="1">IF(AND($D185="Serviço",AZ$12&lt;&gt;0,$H185&gt;0,OR(AUTOEVENTO&lt;&gt;"manual",$M185&lt;&gt;$A$15)),
        IF(Import.TipoArredondamento&lt;&gt;"TransfereGOV",
              ROUND(OFFSET($P185,0,AZ$13),15-13*ORÇAMENTO!$AF$7)/$H185*OFFSET(ORÇAMENTO!$X$15,ROW(AZ185)-ROW(AZ$15),0),
              ROUND(ROUND(OFFSET($P185,0,AZ$13),15-13*ORÇAMENTO!$AF$7)*OFFSET(ORÇAMENTO!$W$15,ROW(AZ185)-ROW(AZ$15),0),15-13*ORÇAMENTO!$AF$11)),
         0)</f>
        <v>0</v>
      </c>
      <c r="BA185" s="453">
        <f ca="1">IF(AND($D185="Serviço",BA$12&lt;&gt;0,$H185&gt;0,OR(AUTOEVENTO&lt;&gt;"manual",$M185&lt;&gt;$A$15)),
        IF(Import.TipoArredondamento&lt;&gt;"TransfereGOV",
              ROUND(OFFSET($P185,0,BA$13),15-13*ORÇAMENTO!$AF$7)/$H185*OFFSET(ORÇAMENTO!$X$15,ROW(BA185)-ROW(BA$15),0),
              ROUND(ROUND(OFFSET($P185,0,BA$13),15-13*ORÇAMENTO!$AF$7)*OFFSET(ORÇAMENTO!$W$15,ROW(BA185)-ROW(BA$15),0),15-13*ORÇAMENTO!$AF$11)),
         0)</f>
        <v>0</v>
      </c>
      <c r="BC185" s="171">
        <f ca="1">IF(OR($D185&lt;&gt;"Serviço",AND(AUTOEVENTO="Manual",$M185=$A$15)),0,
         IF(OFFSET(CRONOPLE!$F$15,$M185-$A$15,BC$13)=0,10^12,OFFSET(CRONOPLE!$F$15,$M185-$A$15,BC$13)))</f>
        <v>1000000000000</v>
      </c>
      <c r="BD185" s="171">
        <f ca="1">IF(OR($D185&lt;&gt;"Serviço",AND(AUTOEVENTO="Manual",$M185=$A$15)),0,
         IF(OFFSET(CRONOPLE!$F$15,$M185-$A$15,BD$13)=0,10^12,OFFSET(CRONOPLE!$F$15,$M185-$A$15,BD$13)))</f>
        <v>1000000000000</v>
      </c>
      <c r="BE185" s="171">
        <f ca="1">IF(OR($D185&lt;&gt;"Serviço",AND(AUTOEVENTO="Manual",$M185=$A$15)),0,
         IF(OFFSET(CRONOPLE!$F$15,$M185-$A$15,BE$13)=0,10^12,OFFSET(CRONOPLE!$F$15,$M185-$A$15,BE$13)))</f>
        <v>6</v>
      </c>
      <c r="BF185" s="171">
        <f ca="1">IF(OR($D185&lt;&gt;"Serviço",AND(AUTOEVENTO="Manual",$M185=$A$15)),0,
         IF(OFFSET(CRONOPLE!$F$15,$M185-$A$15,BF$13)=0,10^12,OFFSET(CRONOPLE!$F$15,$M185-$A$15,BF$13)))</f>
        <v>1000000000000</v>
      </c>
      <c r="BG185" s="171">
        <f ca="1">IF(OR($D185&lt;&gt;"Serviço",AND(AUTOEVENTO="Manual",$M185=$A$15)),0,
         IF(OFFSET(CRONOPLE!$F$15,$M185-$A$15,BG$13)=0,10^12,OFFSET(CRONOPLE!$F$15,$M185-$A$15,BG$13)))</f>
        <v>9</v>
      </c>
      <c r="BH185" s="171">
        <f ca="1">IF(OR($D185&lt;&gt;"Serviço",AND(AUTOEVENTO="Manual",$M185=$A$15)),0,
         IF(OFFSET(CRONOPLE!$F$15,$M185-$A$15,BH$13)=0,10^12,OFFSET(CRONOPLE!$F$15,$M185-$A$15,BH$13)))</f>
        <v>7</v>
      </c>
      <c r="BI185" s="171">
        <f ca="1">IF(OR($D185&lt;&gt;"Serviço",AND(AUTOEVENTO="Manual",$M185=$A$15)),0,
         IF(OFFSET(CRONOPLE!$F$15,$M185-$A$15,BI$13)=0,10^12,OFFSET(CRONOPLE!$F$15,$M185-$A$15,BI$13)))</f>
        <v>10</v>
      </c>
      <c r="BJ185" s="171">
        <f ca="1">IF(OR($D185&lt;&gt;"Serviço",AND(AUTOEVENTO="Manual",$M185=$A$15)),0,
         IF(OFFSET(CRONOPLE!$F$15,$M185-$A$15,BJ$13)=0,10^12,OFFSET(CRONOPLE!$F$15,$M185-$A$15,BJ$13)))</f>
        <v>1000000000000</v>
      </c>
      <c r="BK185" s="171">
        <f ca="1">IF(OR($D185&lt;&gt;"Serviço",AND(AUTOEVENTO="Manual",$M185=$A$15)),0,
         IF(OFFSET(CRONOPLE!$F$15,$M185-$A$15,BK$13)=0,10^12,OFFSET(CRONOPLE!$F$15,$M185-$A$15,BK$13)))</f>
        <v>1000000000000</v>
      </c>
      <c r="BL185" s="171">
        <f ca="1">IF(OR($D185&lt;&gt;"Serviço",AND(AUTOEVENTO="Manual",$M185=$A$15)),0,
         IF(OFFSET(CRONOPLE!$F$15,$M185-$A$15,BL$13)=0,10^12,OFFSET(CRONOPLE!$F$15,$M185-$A$15,BL$13)))</f>
        <v>1000000000000</v>
      </c>
      <c r="BM185" s="171">
        <f ca="1">IF(OR($D185&lt;&gt;"Serviço",AND(AUTOEVENTO="Manual",$M185=$A$15)),0,
         IF(OFFSET(CRONOPLE!$F$15,$M185-$A$15,BM$13)=0,10^12,OFFSET(CRONOPLE!$F$15,$M185-$A$15,BM$13)))</f>
        <v>1000000000000</v>
      </c>
      <c r="BN185" s="171">
        <f ca="1">IF(OR($D185&lt;&gt;"Serviço",AND(AUTOEVENTO="Manual",$M185=$A$15)),0,
         IF(OFFSET(CRONOPLE!$F$15,$M185-$A$15,BN$13)=0,10^12,OFFSET(CRONOPLE!$F$15,$M185-$A$15,BN$13)))</f>
        <v>1000000000000</v>
      </c>
      <c r="BO185" s="171">
        <f ca="1">IF(OR($D185&lt;&gt;"Serviço",AND(AUTOEVENTO="Manual",$M185=$A$15)),0,
         IF(OFFSET(CRONOPLE!$F$15,$M185-$A$15,BO$13)=0,10^12,OFFSET(CRONOPLE!$F$15,$M185-$A$15,BO$13)))</f>
        <v>1000000000000</v>
      </c>
      <c r="BP185" s="171">
        <f ca="1">IF(OR($D185&lt;&gt;"Serviço",AND(AUTOEVENTO="Manual",$M185=$A$15)),0,
         IF(OFFSET(CRONOPLE!$F$15,$M185-$A$15,BP$13)=0,10^12,OFFSET(CRONOPLE!$F$15,$M185-$A$15,BP$13)))</f>
        <v>1000000000000</v>
      </c>
      <c r="BQ185" s="171">
        <f ca="1">IF(OR($D185&lt;&gt;"Serviço",AND(AUTOEVENTO="Manual",$M185=$A$15)),0,
         IF(OFFSET(CRONOPLE!$F$15,$M185-$A$15,BQ$13)=0,10^12,OFFSET(CRONOPLE!$F$15,$M185-$A$15,BQ$13)))</f>
        <v>1000000000000</v>
      </c>
      <c r="BR185" s="171">
        <f ca="1">IF(OR($D185&lt;&gt;"Serviço",AND(AUTOEVENTO="Manual",$M185=$A$15)),0,
         IF(OFFSET(CRONOPLE!$F$15,$M185-$A$15,BR$13)=0,10^12,OFFSET(CRONOPLE!$F$15,$M185-$A$15,BR$13)))</f>
        <v>1000000000000</v>
      </c>
      <c r="BS185" s="171">
        <f ca="1">IF(OR($D185&lt;&gt;"Serviço",AND(AUTOEVENTO="Manual",$M185=$A$15)),0,
         IF(OFFSET(CRONOPLE!$F$15,$M185-$A$15,BS$13)=0,10^12,OFFSET(CRONOPLE!$F$15,$M185-$A$15,BS$13)))</f>
        <v>1000000000000</v>
      </c>
      <c r="BT185" s="171">
        <f ca="1">IF(OR($D185&lt;&gt;"Serviço",AND(AUTOEVENTO="Manual",$M185=$A$15)),0,
         IF(OFFSET(CRONOPLE!$F$15,$M185-$A$15,BT$13)=0,10^12,OFFSET(CRONOPLE!$F$15,$M185-$A$15,BT$13)))</f>
        <v>1000000000000</v>
      </c>
      <c r="BV185" s="172" cm="1">
        <f t="array" aca="1" ref="BV185" ca="1">IF(OR($D185&lt;&gt;"Serviço",AND(AUTOEVENTO="Manual",$M185=$A$15),$M185&gt;(ROW(PLE.lastrow)-ROW(PLE.firstrow))),0,
           IF(OFFSET(PLE!$G$15,$M185-$A$15,BV$13)="",10^12,OFFSET(PLE!$G$15,$M185-$A$15,BV$13)))</f>
        <v>1000000000000</v>
      </c>
      <c r="BW185" s="172" cm="1">
        <f t="array" aca="1" ref="BW185" ca="1">IF(OR($D185&lt;&gt;"Serviço",AND(AUTOEVENTO="Manual",$M185=$A$15),$M185&gt;(ROW(PLE.lastrow)-ROW(PLE.firstrow))),0,
           IF(OFFSET(PLE!$G$15,$M185-$A$15,BW$13)="",10^12,OFFSET(PLE!$G$15,$M185-$A$15,BW$13)))</f>
        <v>1000000000000</v>
      </c>
      <c r="BX185" s="172" cm="1">
        <f t="array" aca="1" ref="BX185" ca="1">IF(OR($D185&lt;&gt;"Serviço",AND(AUTOEVENTO="Manual",$M185=$A$15),$M185&gt;(ROW(PLE.lastrow)-ROW(PLE.firstrow))),0,
           IF(OFFSET(PLE!$G$15,$M185-$A$15,BX$13)="",10^12,OFFSET(PLE!$G$15,$M185-$A$15,BX$13)))</f>
        <v>1000000000000</v>
      </c>
      <c r="BY185" s="172" cm="1">
        <f t="array" aca="1" ref="BY185" ca="1">IF(OR($D185&lt;&gt;"Serviço",AND(AUTOEVENTO="Manual",$M185=$A$15),$M185&gt;(ROW(PLE.lastrow)-ROW(PLE.firstrow))),0,
           IF(OFFSET(PLE!$G$15,$M185-$A$15,BY$13)="",10^12,OFFSET(PLE!$G$15,$M185-$A$15,BY$13)))</f>
        <v>1000000000000</v>
      </c>
      <c r="BZ185" s="172" cm="1">
        <f t="array" aca="1" ref="BZ185" ca="1">IF(OR($D185&lt;&gt;"Serviço",AND(AUTOEVENTO="Manual",$M185=$A$15),$M185&gt;(ROW(PLE.lastrow)-ROW(PLE.firstrow))),0,
           IF(OFFSET(PLE!$G$15,$M185-$A$15,BZ$13)="",10^12,OFFSET(PLE!$G$15,$M185-$A$15,BZ$13)))</f>
        <v>1000000000000</v>
      </c>
      <c r="CA185" s="172" cm="1">
        <f t="array" aca="1" ref="CA185" ca="1">IF(OR($D185&lt;&gt;"Serviço",AND(AUTOEVENTO="Manual",$M185=$A$15),$M185&gt;(ROW(PLE.lastrow)-ROW(PLE.firstrow))),0,
           IF(OFFSET(PLE!$G$15,$M185-$A$15,CA$13)="",10^12,OFFSET(PLE!$G$15,$M185-$A$15,CA$13)))</f>
        <v>1000000000000</v>
      </c>
      <c r="CB185" s="172" cm="1">
        <f t="array" aca="1" ref="CB185" ca="1">IF(OR($D185&lt;&gt;"Serviço",AND(AUTOEVENTO="Manual",$M185=$A$15),$M185&gt;(ROW(PLE.lastrow)-ROW(PLE.firstrow))),0,
           IF(OFFSET(PLE!$G$15,$M185-$A$15,CB$13)="",10^12,OFFSET(PLE!$G$15,$M185-$A$15,CB$13)))</f>
        <v>1000000000000</v>
      </c>
      <c r="CC185" s="172" cm="1">
        <f t="array" aca="1" ref="CC185" ca="1">IF(OR($D185&lt;&gt;"Serviço",AND(AUTOEVENTO="Manual",$M185=$A$15),$M185&gt;(ROW(PLE.lastrow)-ROW(PLE.firstrow))),0,
           IF(OFFSET(PLE!$G$15,$M185-$A$15,CC$13)="",10^12,OFFSET(PLE!$G$15,$M185-$A$15,CC$13)))</f>
        <v>1000000000000</v>
      </c>
      <c r="CD185" s="172" cm="1">
        <f t="array" aca="1" ref="CD185" ca="1">IF(OR($D185&lt;&gt;"Serviço",AND(AUTOEVENTO="Manual",$M185=$A$15),$M185&gt;(ROW(PLE.lastrow)-ROW(PLE.firstrow))),0,
           IF(OFFSET(PLE!$G$15,$M185-$A$15,CD$13)="",10^12,OFFSET(PLE!$G$15,$M185-$A$15,CD$13)))</f>
        <v>1000000000000</v>
      </c>
      <c r="CE185" s="172" cm="1">
        <f t="array" aca="1" ref="CE185" ca="1">IF(OR($D185&lt;&gt;"Serviço",AND(AUTOEVENTO="Manual",$M185=$A$15),$M185&gt;(ROW(PLE.lastrow)-ROW(PLE.firstrow))),0,
           IF(OFFSET(PLE!$G$15,$M185-$A$15,CE$13)="",10^12,OFFSET(PLE!$G$15,$M185-$A$15,CE$13)))</f>
        <v>1000000000000</v>
      </c>
      <c r="CF185" s="172" cm="1">
        <f t="array" aca="1" ref="CF185" ca="1">IF(OR($D185&lt;&gt;"Serviço",AND(AUTOEVENTO="Manual",$M185=$A$15),$M185&gt;(ROW(PLE.lastrow)-ROW(PLE.firstrow))),0,
           IF(OFFSET(PLE!$G$15,$M185-$A$15,CF$13)="",10^12,OFFSET(PLE!$G$15,$M185-$A$15,CF$13)))</f>
        <v>1000000000000</v>
      </c>
      <c r="CG185" s="172" cm="1">
        <f t="array" aca="1" ref="CG185" ca="1">IF(OR($D185&lt;&gt;"Serviço",AND(AUTOEVENTO="Manual",$M185=$A$15),$M185&gt;(ROW(PLE.lastrow)-ROW(PLE.firstrow))),0,
           IF(OFFSET(PLE!$G$15,$M185-$A$15,CG$13)="",10^12,OFFSET(PLE!$G$15,$M185-$A$15,CG$13)))</f>
        <v>1000000000000</v>
      </c>
      <c r="CH185" s="172" cm="1">
        <f t="array" aca="1" ref="CH185" ca="1">IF(OR($D185&lt;&gt;"Serviço",AND(AUTOEVENTO="Manual",$M185=$A$15),$M185&gt;(ROW(PLE.lastrow)-ROW(PLE.firstrow))),0,
           IF(OFFSET(PLE!$G$15,$M185-$A$15,CH$13)="",10^12,OFFSET(PLE!$G$15,$M185-$A$15,CH$13)))</f>
        <v>1000000000000</v>
      </c>
      <c r="CI185" s="172" cm="1">
        <f t="array" aca="1" ref="CI185" ca="1">IF(OR($D185&lt;&gt;"Serviço",AND(AUTOEVENTO="Manual",$M185=$A$15),$M185&gt;(ROW(PLE.lastrow)-ROW(PLE.firstrow))),0,
           IF(OFFSET(PLE!$G$15,$M185-$A$15,CI$13)="",10^12,OFFSET(PLE!$G$15,$M185-$A$15,CI$13)))</f>
        <v>1000000000000</v>
      </c>
      <c r="CJ185" s="172" cm="1">
        <f t="array" aca="1" ref="CJ185" ca="1">IF(OR($D185&lt;&gt;"Serviço",AND(AUTOEVENTO="Manual",$M185=$A$15),$M185&gt;(ROW(PLE.lastrow)-ROW(PLE.firstrow))),0,
           IF(OFFSET(PLE!$G$15,$M185-$A$15,CJ$13)="",10^12,OFFSET(PLE!$G$15,$M185-$A$15,CJ$13)))</f>
        <v>1000000000000</v>
      </c>
      <c r="CK185" s="172" cm="1">
        <f t="array" aca="1" ref="CK185" ca="1">IF(OR($D185&lt;&gt;"Serviço",AND(AUTOEVENTO="Manual",$M185=$A$15),$M185&gt;(ROW(PLE.lastrow)-ROW(PLE.firstrow))),0,
           IF(OFFSET(PLE!$G$15,$M185-$A$15,CK$13)="",10^12,OFFSET(PLE!$G$15,$M185-$A$15,CK$13)))</f>
        <v>1000000000000</v>
      </c>
      <c r="CL185" s="172" cm="1">
        <f t="array" aca="1" ref="CL185" ca="1">IF(OR($D185&lt;&gt;"Serviço",AND(AUTOEVENTO="Manual",$M185=$A$15),$M185&gt;(ROW(PLE.lastrow)-ROW(PLE.firstrow))),0,
           IF(OFFSET(PLE!$G$15,$M185-$A$15,CL$13)="",10^12,OFFSET(PLE!$G$15,$M185-$A$15,CL$13)))</f>
        <v>1000000000000</v>
      </c>
      <c r="CM185" s="172" cm="1">
        <f t="array" aca="1" ref="CM185" ca="1">IF(OR($D185&lt;&gt;"Serviço",AND(AUTOEVENTO="Manual",$M185=$A$15),$M185&gt;(ROW(PLE.lastrow)-ROW(PLE.firstrow))),0,
           IF(OFFSET(PLE!$G$15,$M185-$A$15,CM$13)="",10^12,OFFSET(PLE!$G$15,$M185-$A$15,CM$13)))</f>
        <v>1000000000000</v>
      </c>
    </row>
    <row r="186" spans="1:91" s="670" customFormat="1" ht="12.75" x14ac:dyDescent="0.2">
      <c r="A186" s="668">
        <f t="shared" ca="1" si="14"/>
        <v>0</v>
      </c>
      <c r="B186" s="668">
        <f ca="1">OFFSET(ORÇAMENTO!C$15,$L186,0)</f>
        <v>2</v>
      </c>
      <c r="C186" s="668" t="str">
        <f ca="1">OFFSET(ORÇAMENTO!L$15,$L186,0)</f>
        <v>F</v>
      </c>
      <c r="D186" s="116" t="str">
        <f ca="1">OFFSET(ORÇAMENTO!N$15,$L186,0)</f>
        <v>Nível 2</v>
      </c>
      <c r="E186" s="117" t="str">
        <f ca="1">OFFSET(ORÇAMENTO!O$15,$L186,0)</f>
        <v>1.24.</v>
      </c>
      <c r="F186" s="163" t="str">
        <f ca="1">OFFSET(ORÇAMENTO!R$15,$L186,0)</f>
        <v>PROJETO EXECUTIVO</v>
      </c>
      <c r="G186" s="164" t="str">
        <f ca="1">IF($D186&lt;&gt;"Serviço","",OFFSET(ORÇAMENTO!S$15,$L186,0))</f>
        <v/>
      </c>
      <c r="H186" s="122" cm="1">
        <f t="array" aca="1" ref="H186" ca="1">IF($D186&lt;&gt;"Serviço",0,IF(ACOMPANHAMENTO="BM",ROUND(OFFSET(ORÇAMENTO!AJ$15,$L186,0),15-13*ORÇAMENTO!$AF$7),IF(IFERROR(CÁLCULO.FrentesPreenchidas,0)=0,0,SUM(ROUND(OFFSET($P186,0,1,1,CÁLCULO.FrentesPreenchidas),15-13*ORÇAMENTO!$AF$7)))))</f>
        <v>0</v>
      </c>
      <c r="I186" s="468"/>
      <c r="J186" s="651" t="str" cm="1">
        <f t="array" aca="1" ref="J186" ca="1">IF(OR(B186&lt;&gt;"S",CÁLCULO.FrentesPreenchidas=0),"",IF(AND(ACOMPANHAMENTO="PLE",AUTOEVENTO="Manual",OR(H186&gt;0,ORÇAMENTO!AC186="QUANT."),OR(K186="",M186=0,N186="")),"►E",IF(AND(ACOMPANHAMENTO="PLE",ORÇAMENTO!AC186="QUANT."),"►Q",IF(AND(ACOMPANHAMENTO="PLE",H186&lt;&gt;SUMPRODUCT(($Q$1:$AI$1=1)*ROUND(Q186:AI186,15))),"►S",IF(AND(COUNTIF($P$11:$AI$11,"▼")=0,H186&gt;0,I186=""),"◄M","")))))</f>
        <v/>
      </c>
      <c r="K186" s="652"/>
      <c r="L186" s="165">
        <f t="shared" ca="1" si="15"/>
        <v>171</v>
      </c>
      <c r="M186" s="166" t="str">
        <f ca="1">IF($D186&lt;&gt;"Serviço","",
          IF(AUTOEVENTO="manual",$A186,
                IF(ISERROR(MATCH($A186,$A$15:OFFSET($A186,-1,0),0)),MAX($M$15:OFFSET(M186,-1,0))+1,
                      INDEX($M$15:OFFSET(M186,-1,0),MATCH($A186,$A$15:OFFSET($A186,-1,0),0)))))</f>
        <v/>
      </c>
      <c r="N186" s="167" t="str">
        <f ca="1">IF($D186&lt;&gt;"Serviço","",
         IF(AUTOEVENTO="Manual",
                IF($A186=0,"&lt;-- defina o número do agrupador",
                       OFFSET(EVENTOS!$D$15,$A186-$A$15,0)),
                OFFSET($F$15,$A186,0)))</f>
        <v/>
      </c>
      <c r="O186" s="168"/>
      <c r="Q186" s="168" t="s">
        <v>250</v>
      </c>
      <c r="R186" s="169"/>
      <c r="S186" s="169"/>
      <c r="T186" s="169"/>
      <c r="U186" s="169"/>
      <c r="V186" s="169"/>
      <c r="W186" s="169"/>
      <c r="X186" s="169"/>
      <c r="Y186" s="169"/>
      <c r="Z186" s="170"/>
      <c r="AA186" s="705"/>
      <c r="AB186" s="705"/>
      <c r="AC186" s="705"/>
      <c r="AD186" s="705"/>
      <c r="AE186" s="705"/>
      <c r="AF186" s="705"/>
      <c r="AG186" s="705"/>
      <c r="AH186" s="706"/>
      <c r="AJ186" s="453">
        <f ca="1">IF(AND($D186="Serviço",AJ$12&lt;&gt;0,$H186&gt;0,OR(AUTOEVENTO&lt;&gt;"manual",$M186&lt;&gt;$A$15)),
        IF(Import.TipoArredondamento&lt;&gt;"TransfereGOV",
              ROUND(OFFSET($P186,0,AJ$13),15-13*ORÇAMENTO!$AF$7)/$H186*OFFSET(ORÇAMENTO!$X$15,ROW(AJ186)-ROW(AJ$15),0),
              ROUND(ROUND(OFFSET($P186,0,AJ$13),15-13*ORÇAMENTO!$AF$7)*OFFSET(ORÇAMENTO!$W$15,ROW(AJ186)-ROW(AJ$15),0),15-13*ORÇAMENTO!$AF$11)),
         0)</f>
        <v>0</v>
      </c>
      <c r="AK186" s="453">
        <f ca="1">IF(AND($D186="Serviço",AK$12&lt;&gt;0,$H186&gt;0,OR(AUTOEVENTO&lt;&gt;"manual",$M186&lt;&gt;$A$15)),
        IF(Import.TipoArredondamento&lt;&gt;"TransfereGOV",
              ROUND(OFFSET($P186,0,AK$13),15-13*ORÇAMENTO!$AF$7)/$H186*OFFSET(ORÇAMENTO!$X$15,ROW(AK186)-ROW(AK$15),0),
              ROUND(ROUND(OFFSET($P186,0,AK$13),15-13*ORÇAMENTO!$AF$7)*OFFSET(ORÇAMENTO!$W$15,ROW(AK186)-ROW(AK$15),0),15-13*ORÇAMENTO!$AF$11)),
         0)</f>
        <v>0</v>
      </c>
      <c r="AL186" s="453">
        <f ca="1">IF(AND($D186="Serviço",AL$12&lt;&gt;0,$H186&gt;0,OR(AUTOEVENTO&lt;&gt;"manual",$M186&lt;&gt;$A$15)),
        IF(Import.TipoArredondamento&lt;&gt;"TransfereGOV",
              ROUND(OFFSET($P186,0,AL$13),15-13*ORÇAMENTO!$AF$7)/$H186*OFFSET(ORÇAMENTO!$X$15,ROW(AL186)-ROW(AL$15),0),
              ROUND(ROUND(OFFSET($P186,0,AL$13),15-13*ORÇAMENTO!$AF$7)*OFFSET(ORÇAMENTO!$W$15,ROW(AL186)-ROW(AL$15),0),15-13*ORÇAMENTO!$AF$11)),
         0)</f>
        <v>0</v>
      </c>
      <c r="AM186" s="453">
        <f ca="1">IF(AND($D186="Serviço",AM$12&lt;&gt;0,$H186&gt;0,OR(AUTOEVENTO&lt;&gt;"manual",$M186&lt;&gt;$A$15)),
        IF(Import.TipoArredondamento&lt;&gt;"TransfereGOV",
              ROUND(OFFSET($P186,0,AM$13),15-13*ORÇAMENTO!$AF$7)/$H186*OFFSET(ORÇAMENTO!$X$15,ROW(AM186)-ROW(AM$15),0),
              ROUND(ROUND(OFFSET($P186,0,AM$13),15-13*ORÇAMENTO!$AF$7)*OFFSET(ORÇAMENTO!$W$15,ROW(AM186)-ROW(AM$15),0),15-13*ORÇAMENTO!$AF$11)),
         0)</f>
        <v>0</v>
      </c>
      <c r="AN186" s="453">
        <f ca="1">IF(AND($D186="Serviço",AN$12&lt;&gt;0,$H186&gt;0,OR(AUTOEVENTO&lt;&gt;"manual",$M186&lt;&gt;$A$15)),
        IF(Import.TipoArredondamento&lt;&gt;"TransfereGOV",
              ROUND(OFFSET($P186,0,AN$13),15-13*ORÇAMENTO!$AF$7)/$H186*OFFSET(ORÇAMENTO!$X$15,ROW(AN186)-ROW(AN$15),0),
              ROUND(ROUND(OFFSET($P186,0,AN$13),15-13*ORÇAMENTO!$AF$7)*OFFSET(ORÇAMENTO!$W$15,ROW(AN186)-ROW(AN$15),0),15-13*ORÇAMENTO!$AF$11)),
         0)</f>
        <v>0</v>
      </c>
      <c r="AO186" s="453">
        <f ca="1">IF(AND($D186="Serviço",AO$12&lt;&gt;0,$H186&gt;0,OR(AUTOEVENTO&lt;&gt;"manual",$M186&lt;&gt;$A$15)),
        IF(Import.TipoArredondamento&lt;&gt;"TransfereGOV",
              ROUND(OFFSET($P186,0,AO$13),15-13*ORÇAMENTO!$AF$7)/$H186*OFFSET(ORÇAMENTO!$X$15,ROW(AO186)-ROW(AO$15),0),
              ROUND(ROUND(OFFSET($P186,0,AO$13),15-13*ORÇAMENTO!$AF$7)*OFFSET(ORÇAMENTO!$W$15,ROW(AO186)-ROW(AO$15),0),15-13*ORÇAMENTO!$AF$11)),
         0)</f>
        <v>0</v>
      </c>
      <c r="AP186" s="453">
        <f ca="1">IF(AND($D186="Serviço",AP$12&lt;&gt;0,$H186&gt;0,OR(AUTOEVENTO&lt;&gt;"manual",$M186&lt;&gt;$A$15)),
        IF(Import.TipoArredondamento&lt;&gt;"TransfereGOV",
              ROUND(OFFSET($P186,0,AP$13),15-13*ORÇAMENTO!$AF$7)/$H186*OFFSET(ORÇAMENTO!$X$15,ROW(AP186)-ROW(AP$15),0),
              ROUND(ROUND(OFFSET($P186,0,AP$13),15-13*ORÇAMENTO!$AF$7)*OFFSET(ORÇAMENTO!$W$15,ROW(AP186)-ROW(AP$15),0),15-13*ORÇAMENTO!$AF$11)),
         0)</f>
        <v>0</v>
      </c>
      <c r="AQ186" s="453">
        <f ca="1">IF(AND($D186="Serviço",AQ$12&lt;&gt;0,$H186&gt;0,OR(AUTOEVENTO&lt;&gt;"manual",$M186&lt;&gt;$A$15)),
        IF(Import.TipoArredondamento&lt;&gt;"TransfereGOV",
              ROUND(OFFSET($P186,0,AQ$13),15-13*ORÇAMENTO!$AF$7)/$H186*OFFSET(ORÇAMENTO!$X$15,ROW(AQ186)-ROW(AQ$15),0),
              ROUND(ROUND(OFFSET($P186,0,AQ$13),15-13*ORÇAMENTO!$AF$7)*OFFSET(ORÇAMENTO!$W$15,ROW(AQ186)-ROW(AQ$15),0),15-13*ORÇAMENTO!$AF$11)),
         0)</f>
        <v>0</v>
      </c>
      <c r="AR186" s="453">
        <f ca="1">IF(AND($D186="Serviço",AR$12&lt;&gt;0,$H186&gt;0,OR(AUTOEVENTO&lt;&gt;"manual",$M186&lt;&gt;$A$15)),
        IF(Import.TipoArredondamento&lt;&gt;"TransfereGOV",
              ROUND(OFFSET($P186,0,AR$13),15-13*ORÇAMENTO!$AF$7)/$H186*OFFSET(ORÇAMENTO!$X$15,ROW(AR186)-ROW(AR$15),0),
              ROUND(ROUND(OFFSET($P186,0,AR$13),15-13*ORÇAMENTO!$AF$7)*OFFSET(ORÇAMENTO!$W$15,ROW(AR186)-ROW(AR$15),0),15-13*ORÇAMENTO!$AF$11)),
         0)</f>
        <v>0</v>
      </c>
      <c r="AS186" s="453">
        <f ca="1">IF(AND($D186="Serviço",AS$12&lt;&gt;0,$H186&gt;0,OR(AUTOEVENTO&lt;&gt;"manual",$M186&lt;&gt;$A$15)),
        IF(Import.TipoArredondamento&lt;&gt;"TransfereGOV",
              ROUND(OFFSET($P186,0,AS$13),15-13*ORÇAMENTO!$AF$7)/$H186*OFFSET(ORÇAMENTO!$X$15,ROW(AS186)-ROW(AS$15),0),
              ROUND(ROUND(OFFSET($P186,0,AS$13),15-13*ORÇAMENTO!$AF$7)*OFFSET(ORÇAMENTO!$W$15,ROW(AS186)-ROW(AS$15),0),15-13*ORÇAMENTO!$AF$11)),
         0)</f>
        <v>0</v>
      </c>
      <c r="AT186" s="453">
        <f ca="1">IF(AND($D186="Serviço",AT$12&lt;&gt;0,$H186&gt;0,OR(AUTOEVENTO&lt;&gt;"manual",$M186&lt;&gt;$A$15)),
        IF(Import.TipoArredondamento&lt;&gt;"TransfereGOV",
              ROUND(OFFSET($P186,0,AT$13),15-13*ORÇAMENTO!$AF$7)/$H186*OFFSET(ORÇAMENTO!$X$15,ROW(AT186)-ROW(AT$15),0),
              ROUND(ROUND(OFFSET($P186,0,AT$13),15-13*ORÇAMENTO!$AF$7)*OFFSET(ORÇAMENTO!$W$15,ROW(AT186)-ROW(AT$15),0),15-13*ORÇAMENTO!$AF$11)),
         0)</f>
        <v>0</v>
      </c>
      <c r="AU186" s="453">
        <f ca="1">IF(AND($D186="Serviço",AU$12&lt;&gt;0,$H186&gt;0,OR(AUTOEVENTO&lt;&gt;"manual",$M186&lt;&gt;$A$15)),
        IF(Import.TipoArredondamento&lt;&gt;"TransfereGOV",
              ROUND(OFFSET($P186,0,AU$13),15-13*ORÇAMENTO!$AF$7)/$H186*OFFSET(ORÇAMENTO!$X$15,ROW(AU186)-ROW(AU$15),0),
              ROUND(ROUND(OFFSET($P186,0,AU$13),15-13*ORÇAMENTO!$AF$7)*OFFSET(ORÇAMENTO!$W$15,ROW(AU186)-ROW(AU$15),0),15-13*ORÇAMENTO!$AF$11)),
         0)</f>
        <v>0</v>
      </c>
      <c r="AV186" s="453">
        <f ca="1">IF(AND($D186="Serviço",AV$12&lt;&gt;0,$H186&gt;0,OR(AUTOEVENTO&lt;&gt;"manual",$M186&lt;&gt;$A$15)),
        IF(Import.TipoArredondamento&lt;&gt;"TransfereGOV",
              ROUND(OFFSET($P186,0,AV$13),15-13*ORÇAMENTO!$AF$7)/$H186*OFFSET(ORÇAMENTO!$X$15,ROW(AV186)-ROW(AV$15),0),
              ROUND(ROUND(OFFSET($P186,0,AV$13),15-13*ORÇAMENTO!$AF$7)*OFFSET(ORÇAMENTO!$W$15,ROW(AV186)-ROW(AV$15),0),15-13*ORÇAMENTO!$AF$11)),
         0)</f>
        <v>0</v>
      </c>
      <c r="AW186" s="453">
        <f ca="1">IF(AND($D186="Serviço",AW$12&lt;&gt;0,$H186&gt;0,OR(AUTOEVENTO&lt;&gt;"manual",$M186&lt;&gt;$A$15)),
        IF(Import.TipoArredondamento&lt;&gt;"TransfereGOV",
              ROUND(OFFSET($P186,0,AW$13),15-13*ORÇAMENTO!$AF$7)/$H186*OFFSET(ORÇAMENTO!$X$15,ROW(AW186)-ROW(AW$15),0),
              ROUND(ROUND(OFFSET($P186,0,AW$13),15-13*ORÇAMENTO!$AF$7)*OFFSET(ORÇAMENTO!$W$15,ROW(AW186)-ROW(AW$15),0),15-13*ORÇAMENTO!$AF$11)),
         0)</f>
        <v>0</v>
      </c>
      <c r="AX186" s="453">
        <f ca="1">IF(AND($D186="Serviço",AX$12&lt;&gt;0,$H186&gt;0,OR(AUTOEVENTO&lt;&gt;"manual",$M186&lt;&gt;$A$15)),
        IF(Import.TipoArredondamento&lt;&gt;"TransfereGOV",
              ROUND(OFFSET($P186,0,AX$13),15-13*ORÇAMENTO!$AF$7)/$H186*OFFSET(ORÇAMENTO!$X$15,ROW(AX186)-ROW(AX$15),0),
              ROUND(ROUND(OFFSET($P186,0,AX$13),15-13*ORÇAMENTO!$AF$7)*OFFSET(ORÇAMENTO!$W$15,ROW(AX186)-ROW(AX$15),0),15-13*ORÇAMENTO!$AF$11)),
         0)</f>
        <v>0</v>
      </c>
      <c r="AY186" s="453">
        <f ca="1">IF(AND($D186="Serviço",AY$12&lt;&gt;0,$H186&gt;0,OR(AUTOEVENTO&lt;&gt;"manual",$M186&lt;&gt;$A$15)),
        IF(Import.TipoArredondamento&lt;&gt;"TransfereGOV",
              ROUND(OFFSET($P186,0,AY$13),15-13*ORÇAMENTO!$AF$7)/$H186*OFFSET(ORÇAMENTO!$X$15,ROW(AY186)-ROW(AY$15),0),
              ROUND(ROUND(OFFSET($P186,0,AY$13),15-13*ORÇAMENTO!$AF$7)*OFFSET(ORÇAMENTO!$W$15,ROW(AY186)-ROW(AY$15),0),15-13*ORÇAMENTO!$AF$11)),
         0)</f>
        <v>0</v>
      </c>
      <c r="AZ186" s="453">
        <f ca="1">IF(AND($D186="Serviço",AZ$12&lt;&gt;0,$H186&gt;0,OR(AUTOEVENTO&lt;&gt;"manual",$M186&lt;&gt;$A$15)),
        IF(Import.TipoArredondamento&lt;&gt;"TransfereGOV",
              ROUND(OFFSET($P186,0,AZ$13),15-13*ORÇAMENTO!$AF$7)/$H186*OFFSET(ORÇAMENTO!$X$15,ROW(AZ186)-ROW(AZ$15),0),
              ROUND(ROUND(OFFSET($P186,0,AZ$13),15-13*ORÇAMENTO!$AF$7)*OFFSET(ORÇAMENTO!$W$15,ROW(AZ186)-ROW(AZ$15),0),15-13*ORÇAMENTO!$AF$11)),
         0)</f>
        <v>0</v>
      </c>
      <c r="BA186" s="453">
        <f ca="1">IF(AND($D186="Serviço",BA$12&lt;&gt;0,$H186&gt;0,OR(AUTOEVENTO&lt;&gt;"manual",$M186&lt;&gt;$A$15)),
        IF(Import.TipoArredondamento&lt;&gt;"TransfereGOV",
              ROUND(OFFSET($P186,0,BA$13),15-13*ORÇAMENTO!$AF$7)/$H186*OFFSET(ORÇAMENTO!$X$15,ROW(BA186)-ROW(BA$15),0),
              ROUND(ROUND(OFFSET($P186,0,BA$13),15-13*ORÇAMENTO!$AF$7)*OFFSET(ORÇAMENTO!$W$15,ROW(BA186)-ROW(BA$15),0),15-13*ORÇAMENTO!$AF$11)),
         0)</f>
        <v>0</v>
      </c>
      <c r="BC186" s="171">
        <f ca="1">IF(OR($D186&lt;&gt;"Serviço",AND(AUTOEVENTO="Manual",$M186=$A$15)),0,
         IF(OFFSET(CRONOPLE!$F$15,$M186-$A$15,BC$13)=0,10^12,OFFSET(CRONOPLE!$F$15,$M186-$A$15,BC$13)))</f>
        <v>0</v>
      </c>
      <c r="BD186" s="171">
        <f ca="1">IF(OR($D186&lt;&gt;"Serviço",AND(AUTOEVENTO="Manual",$M186=$A$15)),0,
         IF(OFFSET(CRONOPLE!$F$15,$M186-$A$15,BD$13)=0,10^12,OFFSET(CRONOPLE!$F$15,$M186-$A$15,BD$13)))</f>
        <v>0</v>
      </c>
      <c r="BE186" s="171">
        <f ca="1">IF(OR($D186&lt;&gt;"Serviço",AND(AUTOEVENTO="Manual",$M186=$A$15)),0,
         IF(OFFSET(CRONOPLE!$F$15,$M186-$A$15,BE$13)=0,10^12,OFFSET(CRONOPLE!$F$15,$M186-$A$15,BE$13)))</f>
        <v>0</v>
      </c>
      <c r="BF186" s="171">
        <f ca="1">IF(OR($D186&lt;&gt;"Serviço",AND(AUTOEVENTO="Manual",$M186=$A$15)),0,
         IF(OFFSET(CRONOPLE!$F$15,$M186-$A$15,BF$13)=0,10^12,OFFSET(CRONOPLE!$F$15,$M186-$A$15,BF$13)))</f>
        <v>0</v>
      </c>
      <c r="BG186" s="171">
        <f ca="1">IF(OR($D186&lt;&gt;"Serviço",AND(AUTOEVENTO="Manual",$M186=$A$15)),0,
         IF(OFFSET(CRONOPLE!$F$15,$M186-$A$15,BG$13)=0,10^12,OFFSET(CRONOPLE!$F$15,$M186-$A$15,BG$13)))</f>
        <v>0</v>
      </c>
      <c r="BH186" s="171">
        <f ca="1">IF(OR($D186&lt;&gt;"Serviço",AND(AUTOEVENTO="Manual",$M186=$A$15)),0,
         IF(OFFSET(CRONOPLE!$F$15,$M186-$A$15,BH$13)=0,10^12,OFFSET(CRONOPLE!$F$15,$M186-$A$15,BH$13)))</f>
        <v>0</v>
      </c>
      <c r="BI186" s="171">
        <f ca="1">IF(OR($D186&lt;&gt;"Serviço",AND(AUTOEVENTO="Manual",$M186=$A$15)),0,
         IF(OFFSET(CRONOPLE!$F$15,$M186-$A$15,BI$13)=0,10^12,OFFSET(CRONOPLE!$F$15,$M186-$A$15,BI$13)))</f>
        <v>0</v>
      </c>
      <c r="BJ186" s="171">
        <f ca="1">IF(OR($D186&lt;&gt;"Serviço",AND(AUTOEVENTO="Manual",$M186=$A$15)),0,
         IF(OFFSET(CRONOPLE!$F$15,$M186-$A$15,BJ$13)=0,10^12,OFFSET(CRONOPLE!$F$15,$M186-$A$15,BJ$13)))</f>
        <v>0</v>
      </c>
      <c r="BK186" s="171">
        <f ca="1">IF(OR($D186&lt;&gt;"Serviço",AND(AUTOEVENTO="Manual",$M186=$A$15)),0,
         IF(OFFSET(CRONOPLE!$F$15,$M186-$A$15,BK$13)=0,10^12,OFFSET(CRONOPLE!$F$15,$M186-$A$15,BK$13)))</f>
        <v>0</v>
      </c>
      <c r="BL186" s="171">
        <f ca="1">IF(OR($D186&lt;&gt;"Serviço",AND(AUTOEVENTO="Manual",$M186=$A$15)),0,
         IF(OFFSET(CRONOPLE!$F$15,$M186-$A$15,BL$13)=0,10^12,OFFSET(CRONOPLE!$F$15,$M186-$A$15,BL$13)))</f>
        <v>0</v>
      </c>
      <c r="BM186" s="171">
        <f ca="1">IF(OR($D186&lt;&gt;"Serviço",AND(AUTOEVENTO="Manual",$M186=$A$15)),0,
         IF(OFFSET(CRONOPLE!$F$15,$M186-$A$15,BM$13)=0,10^12,OFFSET(CRONOPLE!$F$15,$M186-$A$15,BM$13)))</f>
        <v>0</v>
      </c>
      <c r="BN186" s="171">
        <f ca="1">IF(OR($D186&lt;&gt;"Serviço",AND(AUTOEVENTO="Manual",$M186=$A$15)),0,
         IF(OFFSET(CRONOPLE!$F$15,$M186-$A$15,BN$13)=0,10^12,OFFSET(CRONOPLE!$F$15,$M186-$A$15,BN$13)))</f>
        <v>0</v>
      </c>
      <c r="BO186" s="171">
        <f ca="1">IF(OR($D186&lt;&gt;"Serviço",AND(AUTOEVENTO="Manual",$M186=$A$15)),0,
         IF(OFFSET(CRONOPLE!$F$15,$M186-$A$15,BO$13)=0,10^12,OFFSET(CRONOPLE!$F$15,$M186-$A$15,BO$13)))</f>
        <v>0</v>
      </c>
      <c r="BP186" s="171">
        <f ca="1">IF(OR($D186&lt;&gt;"Serviço",AND(AUTOEVENTO="Manual",$M186=$A$15)),0,
         IF(OFFSET(CRONOPLE!$F$15,$M186-$A$15,BP$13)=0,10^12,OFFSET(CRONOPLE!$F$15,$M186-$A$15,BP$13)))</f>
        <v>0</v>
      </c>
      <c r="BQ186" s="171">
        <f ca="1">IF(OR($D186&lt;&gt;"Serviço",AND(AUTOEVENTO="Manual",$M186=$A$15)),0,
         IF(OFFSET(CRONOPLE!$F$15,$M186-$A$15,BQ$13)=0,10^12,OFFSET(CRONOPLE!$F$15,$M186-$A$15,BQ$13)))</f>
        <v>0</v>
      </c>
      <c r="BR186" s="171">
        <f ca="1">IF(OR($D186&lt;&gt;"Serviço",AND(AUTOEVENTO="Manual",$M186=$A$15)),0,
         IF(OFFSET(CRONOPLE!$F$15,$M186-$A$15,BR$13)=0,10^12,OFFSET(CRONOPLE!$F$15,$M186-$A$15,BR$13)))</f>
        <v>0</v>
      </c>
      <c r="BS186" s="171">
        <f ca="1">IF(OR($D186&lt;&gt;"Serviço",AND(AUTOEVENTO="Manual",$M186=$A$15)),0,
         IF(OFFSET(CRONOPLE!$F$15,$M186-$A$15,BS$13)=0,10^12,OFFSET(CRONOPLE!$F$15,$M186-$A$15,BS$13)))</f>
        <v>0</v>
      </c>
      <c r="BT186" s="171">
        <f ca="1">IF(OR($D186&lt;&gt;"Serviço",AND(AUTOEVENTO="Manual",$M186=$A$15)),0,
         IF(OFFSET(CRONOPLE!$F$15,$M186-$A$15,BT$13)=0,10^12,OFFSET(CRONOPLE!$F$15,$M186-$A$15,BT$13)))</f>
        <v>0</v>
      </c>
      <c r="BV186" s="172" cm="1">
        <f t="array" aca="1" ref="BV186" ca="1">IF(OR($D186&lt;&gt;"Serviço",AND(AUTOEVENTO="Manual",$M186=$A$15),$M186&gt;(ROW(PLE.lastrow)-ROW(PLE.firstrow))),0,
           IF(OFFSET(PLE!$G$15,$M186-$A$15,BV$13)="",10^12,OFFSET(PLE!$G$15,$M186-$A$15,BV$13)))</f>
        <v>0</v>
      </c>
      <c r="BW186" s="172" cm="1">
        <f t="array" aca="1" ref="BW186" ca="1">IF(OR($D186&lt;&gt;"Serviço",AND(AUTOEVENTO="Manual",$M186=$A$15),$M186&gt;(ROW(PLE.lastrow)-ROW(PLE.firstrow))),0,
           IF(OFFSET(PLE!$G$15,$M186-$A$15,BW$13)="",10^12,OFFSET(PLE!$G$15,$M186-$A$15,BW$13)))</f>
        <v>0</v>
      </c>
      <c r="BX186" s="172" cm="1">
        <f t="array" aca="1" ref="BX186" ca="1">IF(OR($D186&lt;&gt;"Serviço",AND(AUTOEVENTO="Manual",$M186=$A$15),$M186&gt;(ROW(PLE.lastrow)-ROW(PLE.firstrow))),0,
           IF(OFFSET(PLE!$G$15,$M186-$A$15,BX$13)="",10^12,OFFSET(PLE!$G$15,$M186-$A$15,BX$13)))</f>
        <v>0</v>
      </c>
      <c r="BY186" s="172" cm="1">
        <f t="array" aca="1" ref="BY186" ca="1">IF(OR($D186&lt;&gt;"Serviço",AND(AUTOEVENTO="Manual",$M186=$A$15),$M186&gt;(ROW(PLE.lastrow)-ROW(PLE.firstrow))),0,
           IF(OFFSET(PLE!$G$15,$M186-$A$15,BY$13)="",10^12,OFFSET(PLE!$G$15,$M186-$A$15,BY$13)))</f>
        <v>0</v>
      </c>
      <c r="BZ186" s="172" cm="1">
        <f t="array" aca="1" ref="BZ186" ca="1">IF(OR($D186&lt;&gt;"Serviço",AND(AUTOEVENTO="Manual",$M186=$A$15),$M186&gt;(ROW(PLE.lastrow)-ROW(PLE.firstrow))),0,
           IF(OFFSET(PLE!$G$15,$M186-$A$15,BZ$13)="",10^12,OFFSET(PLE!$G$15,$M186-$A$15,BZ$13)))</f>
        <v>0</v>
      </c>
      <c r="CA186" s="172" cm="1">
        <f t="array" aca="1" ref="CA186" ca="1">IF(OR($D186&lt;&gt;"Serviço",AND(AUTOEVENTO="Manual",$M186=$A$15),$M186&gt;(ROW(PLE.lastrow)-ROW(PLE.firstrow))),0,
           IF(OFFSET(PLE!$G$15,$M186-$A$15,CA$13)="",10^12,OFFSET(PLE!$G$15,$M186-$A$15,CA$13)))</f>
        <v>0</v>
      </c>
      <c r="CB186" s="172" cm="1">
        <f t="array" aca="1" ref="CB186" ca="1">IF(OR($D186&lt;&gt;"Serviço",AND(AUTOEVENTO="Manual",$M186=$A$15),$M186&gt;(ROW(PLE.lastrow)-ROW(PLE.firstrow))),0,
           IF(OFFSET(PLE!$G$15,$M186-$A$15,CB$13)="",10^12,OFFSET(PLE!$G$15,$M186-$A$15,CB$13)))</f>
        <v>0</v>
      </c>
      <c r="CC186" s="172" cm="1">
        <f t="array" aca="1" ref="CC186" ca="1">IF(OR($D186&lt;&gt;"Serviço",AND(AUTOEVENTO="Manual",$M186=$A$15),$M186&gt;(ROW(PLE.lastrow)-ROW(PLE.firstrow))),0,
           IF(OFFSET(PLE!$G$15,$M186-$A$15,CC$13)="",10^12,OFFSET(PLE!$G$15,$M186-$A$15,CC$13)))</f>
        <v>0</v>
      </c>
      <c r="CD186" s="172" cm="1">
        <f t="array" aca="1" ref="CD186" ca="1">IF(OR($D186&lt;&gt;"Serviço",AND(AUTOEVENTO="Manual",$M186=$A$15),$M186&gt;(ROW(PLE.lastrow)-ROW(PLE.firstrow))),0,
           IF(OFFSET(PLE!$G$15,$M186-$A$15,CD$13)="",10^12,OFFSET(PLE!$G$15,$M186-$A$15,CD$13)))</f>
        <v>0</v>
      </c>
      <c r="CE186" s="172" cm="1">
        <f t="array" aca="1" ref="CE186" ca="1">IF(OR($D186&lt;&gt;"Serviço",AND(AUTOEVENTO="Manual",$M186=$A$15),$M186&gt;(ROW(PLE.lastrow)-ROW(PLE.firstrow))),0,
           IF(OFFSET(PLE!$G$15,$M186-$A$15,CE$13)="",10^12,OFFSET(PLE!$G$15,$M186-$A$15,CE$13)))</f>
        <v>0</v>
      </c>
      <c r="CF186" s="172" cm="1">
        <f t="array" aca="1" ref="CF186" ca="1">IF(OR($D186&lt;&gt;"Serviço",AND(AUTOEVENTO="Manual",$M186=$A$15),$M186&gt;(ROW(PLE.lastrow)-ROW(PLE.firstrow))),0,
           IF(OFFSET(PLE!$G$15,$M186-$A$15,CF$13)="",10^12,OFFSET(PLE!$G$15,$M186-$A$15,CF$13)))</f>
        <v>0</v>
      </c>
      <c r="CG186" s="172" cm="1">
        <f t="array" aca="1" ref="CG186" ca="1">IF(OR($D186&lt;&gt;"Serviço",AND(AUTOEVENTO="Manual",$M186=$A$15),$M186&gt;(ROW(PLE.lastrow)-ROW(PLE.firstrow))),0,
           IF(OFFSET(PLE!$G$15,$M186-$A$15,CG$13)="",10^12,OFFSET(PLE!$G$15,$M186-$A$15,CG$13)))</f>
        <v>0</v>
      </c>
      <c r="CH186" s="172" cm="1">
        <f t="array" aca="1" ref="CH186" ca="1">IF(OR($D186&lt;&gt;"Serviço",AND(AUTOEVENTO="Manual",$M186=$A$15),$M186&gt;(ROW(PLE.lastrow)-ROW(PLE.firstrow))),0,
           IF(OFFSET(PLE!$G$15,$M186-$A$15,CH$13)="",10^12,OFFSET(PLE!$G$15,$M186-$A$15,CH$13)))</f>
        <v>0</v>
      </c>
      <c r="CI186" s="172" cm="1">
        <f t="array" aca="1" ref="CI186" ca="1">IF(OR($D186&lt;&gt;"Serviço",AND(AUTOEVENTO="Manual",$M186=$A$15),$M186&gt;(ROW(PLE.lastrow)-ROW(PLE.firstrow))),0,
           IF(OFFSET(PLE!$G$15,$M186-$A$15,CI$13)="",10^12,OFFSET(PLE!$G$15,$M186-$A$15,CI$13)))</f>
        <v>0</v>
      </c>
      <c r="CJ186" s="172" cm="1">
        <f t="array" aca="1" ref="CJ186" ca="1">IF(OR($D186&lt;&gt;"Serviço",AND(AUTOEVENTO="Manual",$M186=$A$15),$M186&gt;(ROW(PLE.lastrow)-ROW(PLE.firstrow))),0,
           IF(OFFSET(PLE!$G$15,$M186-$A$15,CJ$13)="",10^12,OFFSET(PLE!$G$15,$M186-$A$15,CJ$13)))</f>
        <v>0</v>
      </c>
      <c r="CK186" s="172" cm="1">
        <f t="array" aca="1" ref="CK186" ca="1">IF(OR($D186&lt;&gt;"Serviço",AND(AUTOEVENTO="Manual",$M186=$A$15),$M186&gt;(ROW(PLE.lastrow)-ROW(PLE.firstrow))),0,
           IF(OFFSET(PLE!$G$15,$M186-$A$15,CK$13)="",10^12,OFFSET(PLE!$G$15,$M186-$A$15,CK$13)))</f>
        <v>0</v>
      </c>
      <c r="CL186" s="172" cm="1">
        <f t="array" aca="1" ref="CL186" ca="1">IF(OR($D186&lt;&gt;"Serviço",AND(AUTOEVENTO="Manual",$M186=$A$15),$M186&gt;(ROW(PLE.lastrow)-ROW(PLE.firstrow))),0,
           IF(OFFSET(PLE!$G$15,$M186-$A$15,CL$13)="",10^12,OFFSET(PLE!$G$15,$M186-$A$15,CL$13)))</f>
        <v>0</v>
      </c>
      <c r="CM186" s="172" cm="1">
        <f t="array" aca="1" ref="CM186" ca="1">IF(OR($D186&lt;&gt;"Serviço",AND(AUTOEVENTO="Manual",$M186=$A$15),$M186&gt;(ROW(PLE.lastrow)-ROW(PLE.firstrow))),0,
           IF(OFFSET(PLE!$G$15,$M186-$A$15,CM$13)="",10^12,OFFSET(PLE!$G$15,$M186-$A$15,CM$13)))</f>
        <v>0</v>
      </c>
    </row>
    <row r="187" spans="1:91" s="670" customFormat="1" ht="25.5" x14ac:dyDescent="0.2">
      <c r="A187" s="668">
        <f t="shared" ca="1" si="14"/>
        <v>2</v>
      </c>
      <c r="B187" s="668" t="str">
        <f ca="1">OFFSET(ORÇAMENTO!C$15,$L187,0)</f>
        <v>S</v>
      </c>
      <c r="C187" s="668" t="str">
        <f ca="1">OFFSET(ORÇAMENTO!L$15,$L187,0)</f>
        <v>F</v>
      </c>
      <c r="D187" s="116" t="str">
        <f ca="1">OFFSET(ORÇAMENTO!N$15,$L187,0)</f>
        <v>Serviço</v>
      </c>
      <c r="E187" s="117" t="str">
        <f ca="1">OFFSET(ORÇAMENTO!O$15,$L187,0)</f>
        <v>1.24.1.</v>
      </c>
      <c r="F187" s="163" t="str">
        <f ca="1">OFFSET(ORÇAMENTO!R$15,$L187,0)</f>
        <v>PROJETO EXECUTIVO DE INSTALAÇÕES HIDROSSANITÁRIAS - PRANCHAS</v>
      </c>
      <c r="G187" s="164" t="str">
        <f ca="1">IF($D187&lt;&gt;"Serviço","",OFFSET(ORÇAMENTO!S$15,$L187,0))</f>
        <v>UNIDADE</v>
      </c>
      <c r="H187" s="122" cm="1">
        <f t="array" aca="1" ref="H187" ca="1">IF($D187&lt;&gt;"Serviço",0,IF(ACOMPANHAMENTO="BM",ROUND(OFFSET(ORÇAMENTO!AJ$15,$L187,0),15-13*ORÇAMENTO!$AF$7),IF(IFERROR(CÁLCULO.FrentesPreenchidas,0)=0,0,SUM(ROUND(OFFSET($P187,0,1,1,CÁLCULO.FrentesPreenchidas),15-13*ORÇAMENTO!$AF$7)))))</f>
        <v>20</v>
      </c>
      <c r="I187" s="468" t="s">
        <v>1132</v>
      </c>
      <c r="J187" s="651" t="str" cm="1">
        <f t="array" aca="1" ref="J187" ca="1">IF(OR(B187&lt;&gt;"S",CÁLCULO.FrentesPreenchidas=0),"",IF(AND(ACOMPANHAMENTO="PLE",AUTOEVENTO="Manual",OR(H187&gt;0,ORÇAMENTO!AC187="QUANT."),OR(K187="",M187=0,N187="")),"►E",IF(AND(ACOMPANHAMENTO="PLE",ORÇAMENTO!AC187="QUANT."),"►Q",IF(AND(ACOMPANHAMENTO="PLE",H187&lt;&gt;SUMPRODUCT(($Q$1:$AI$1=1)*ROUND(Q187:AI187,15))),"►S",IF(AND(COUNTIF($P$11:$AI$11,"▼")=0,H187&gt;0,I187=""),"◄M","")))))</f>
        <v/>
      </c>
      <c r="K187" s="652" t="s">
        <v>1366</v>
      </c>
      <c r="L187" s="165">
        <f t="shared" ca="1" si="15"/>
        <v>172</v>
      </c>
      <c r="M187" s="166">
        <f ca="1">IF($D187&lt;&gt;"Serviço","",
          IF(AUTOEVENTO="manual",$A187,
                IF(ISERROR(MATCH($A187,$A$15:OFFSET($A187,-1,0),0)),MAX($M$15:OFFSET(M187,-1,0))+1,
                      INDEX($M$15:OFFSET(M187,-1,0),MATCH($A187,$A$15:OFFSET($A187,-1,0),0)))))</f>
        <v>2</v>
      </c>
      <c r="N187" s="167" t="str">
        <f ca="1">IF($D187&lt;&gt;"Serviço","",
         IF(AUTOEVENTO="Manual",
                IF($A187=0,"&lt;-- defina o número do agrupador",
                       OFFSET(EVENTOS!$D$15,$A187-$A$15,0)),
                OFFSET($F$15,$A187,0)))</f>
        <v>Projetos 2</v>
      </c>
      <c r="O187" s="168"/>
      <c r="Q187" s="168">
        <v>20</v>
      </c>
      <c r="R187" s="169"/>
      <c r="S187" s="169"/>
      <c r="T187" s="169"/>
      <c r="U187" s="169"/>
      <c r="V187" s="169"/>
      <c r="W187" s="169"/>
      <c r="X187" s="169"/>
      <c r="Y187" s="169"/>
      <c r="Z187" s="170"/>
      <c r="AA187" s="705"/>
      <c r="AB187" s="705">
        <v>20</v>
      </c>
      <c r="AC187" s="705"/>
      <c r="AD187" s="705"/>
      <c r="AE187" s="705"/>
      <c r="AF187" s="705"/>
      <c r="AG187" s="705"/>
      <c r="AH187" s="706"/>
      <c r="AJ187" s="453">
        <f ca="1">IF(AND($D187="Serviço",AJ$12&lt;&gt;0,$H187&gt;0,OR(AUTOEVENTO&lt;&gt;"manual",$M187&lt;&gt;$A$15)),
        IF(Import.TipoArredondamento&lt;&gt;"TransfereGOV",
              ROUND(OFFSET($P187,0,AJ$13),15-13*ORÇAMENTO!$AF$7)/$H187*OFFSET(ORÇAMENTO!$X$15,ROW(AJ187)-ROW(AJ$15),0),
              ROUND(ROUND(OFFSET($P187,0,AJ$13),15-13*ORÇAMENTO!$AF$7)*OFFSET(ORÇAMENTO!$W$15,ROW(AJ187)-ROW(AJ$15),0),15-13*ORÇAMENTO!$AF$11)),
         0)</f>
        <v>42912.4</v>
      </c>
      <c r="AK187" s="453">
        <f ca="1">IF(AND($D187="Serviço",AK$12&lt;&gt;0,$H187&gt;0,OR(AUTOEVENTO&lt;&gt;"manual",$M187&lt;&gt;$A$15)),
        IF(Import.TipoArredondamento&lt;&gt;"TransfereGOV",
              ROUND(OFFSET($P187,0,AK$13),15-13*ORÇAMENTO!$AF$7)/$H187*OFFSET(ORÇAMENTO!$X$15,ROW(AK187)-ROW(AK$15),0),
              ROUND(ROUND(OFFSET($P187,0,AK$13),15-13*ORÇAMENTO!$AF$7)*OFFSET(ORÇAMENTO!$W$15,ROW(AK187)-ROW(AK$15),0),15-13*ORÇAMENTO!$AF$11)),
         0)</f>
        <v>0</v>
      </c>
      <c r="AL187" s="453">
        <f ca="1">IF(AND($D187="Serviço",AL$12&lt;&gt;0,$H187&gt;0,OR(AUTOEVENTO&lt;&gt;"manual",$M187&lt;&gt;$A$15)),
        IF(Import.TipoArredondamento&lt;&gt;"TransfereGOV",
              ROUND(OFFSET($P187,0,AL$13),15-13*ORÇAMENTO!$AF$7)/$H187*OFFSET(ORÇAMENTO!$X$15,ROW(AL187)-ROW(AL$15),0),
              ROUND(ROUND(OFFSET($P187,0,AL$13),15-13*ORÇAMENTO!$AF$7)*OFFSET(ORÇAMENTO!$W$15,ROW(AL187)-ROW(AL$15),0),15-13*ORÇAMENTO!$AF$11)),
         0)</f>
        <v>0</v>
      </c>
      <c r="AM187" s="453">
        <f ca="1">IF(AND($D187="Serviço",AM$12&lt;&gt;0,$H187&gt;0,OR(AUTOEVENTO&lt;&gt;"manual",$M187&lt;&gt;$A$15)),
        IF(Import.TipoArredondamento&lt;&gt;"TransfereGOV",
              ROUND(OFFSET($P187,0,AM$13),15-13*ORÇAMENTO!$AF$7)/$H187*OFFSET(ORÇAMENTO!$X$15,ROW(AM187)-ROW(AM$15),0),
              ROUND(ROUND(OFFSET($P187,0,AM$13),15-13*ORÇAMENTO!$AF$7)*OFFSET(ORÇAMENTO!$W$15,ROW(AM187)-ROW(AM$15),0),15-13*ORÇAMENTO!$AF$11)),
         0)</f>
        <v>0</v>
      </c>
      <c r="AN187" s="453">
        <f ca="1">IF(AND($D187="Serviço",AN$12&lt;&gt;0,$H187&gt;0,OR(AUTOEVENTO&lt;&gt;"manual",$M187&lt;&gt;$A$15)),
        IF(Import.TipoArredondamento&lt;&gt;"TransfereGOV",
              ROUND(OFFSET($P187,0,AN$13),15-13*ORÇAMENTO!$AF$7)/$H187*OFFSET(ORÇAMENTO!$X$15,ROW(AN187)-ROW(AN$15),0),
              ROUND(ROUND(OFFSET($P187,0,AN$13),15-13*ORÇAMENTO!$AF$7)*OFFSET(ORÇAMENTO!$W$15,ROW(AN187)-ROW(AN$15),0),15-13*ORÇAMENTO!$AF$11)),
         0)</f>
        <v>0</v>
      </c>
      <c r="AO187" s="453">
        <f ca="1">IF(AND($D187="Serviço",AO$12&lt;&gt;0,$H187&gt;0,OR(AUTOEVENTO&lt;&gt;"manual",$M187&lt;&gt;$A$15)),
        IF(Import.TipoArredondamento&lt;&gt;"TransfereGOV",
              ROUND(OFFSET($P187,0,AO$13),15-13*ORÇAMENTO!$AF$7)/$H187*OFFSET(ORÇAMENTO!$X$15,ROW(AO187)-ROW(AO$15),0),
              ROUND(ROUND(OFFSET($P187,0,AO$13),15-13*ORÇAMENTO!$AF$7)*OFFSET(ORÇAMENTO!$W$15,ROW(AO187)-ROW(AO$15),0),15-13*ORÇAMENTO!$AF$11)),
         0)</f>
        <v>0</v>
      </c>
      <c r="AP187" s="453">
        <f ca="1">IF(AND($D187="Serviço",AP$12&lt;&gt;0,$H187&gt;0,OR(AUTOEVENTO&lt;&gt;"manual",$M187&lt;&gt;$A$15)),
        IF(Import.TipoArredondamento&lt;&gt;"TransfereGOV",
              ROUND(OFFSET($P187,0,AP$13),15-13*ORÇAMENTO!$AF$7)/$H187*OFFSET(ORÇAMENTO!$X$15,ROW(AP187)-ROW(AP$15),0),
              ROUND(ROUND(OFFSET($P187,0,AP$13),15-13*ORÇAMENTO!$AF$7)*OFFSET(ORÇAMENTO!$W$15,ROW(AP187)-ROW(AP$15),0),15-13*ORÇAMENTO!$AF$11)),
         0)</f>
        <v>0</v>
      </c>
      <c r="AQ187" s="453">
        <f ca="1">IF(AND($D187="Serviço",AQ$12&lt;&gt;0,$H187&gt;0,OR(AUTOEVENTO&lt;&gt;"manual",$M187&lt;&gt;$A$15)),
        IF(Import.TipoArredondamento&lt;&gt;"TransfereGOV",
              ROUND(OFFSET($P187,0,AQ$13),15-13*ORÇAMENTO!$AF$7)/$H187*OFFSET(ORÇAMENTO!$X$15,ROW(AQ187)-ROW(AQ$15),0),
              ROUND(ROUND(OFFSET($P187,0,AQ$13),15-13*ORÇAMENTO!$AF$7)*OFFSET(ORÇAMENTO!$W$15,ROW(AQ187)-ROW(AQ$15),0),15-13*ORÇAMENTO!$AF$11)),
         0)</f>
        <v>0</v>
      </c>
      <c r="AR187" s="453">
        <f ca="1">IF(AND($D187="Serviço",AR$12&lt;&gt;0,$H187&gt;0,OR(AUTOEVENTO&lt;&gt;"manual",$M187&lt;&gt;$A$15)),
        IF(Import.TipoArredondamento&lt;&gt;"TransfereGOV",
              ROUND(OFFSET($P187,0,AR$13),15-13*ORÇAMENTO!$AF$7)/$H187*OFFSET(ORÇAMENTO!$X$15,ROW(AR187)-ROW(AR$15),0),
              ROUND(ROUND(OFFSET($P187,0,AR$13),15-13*ORÇAMENTO!$AF$7)*OFFSET(ORÇAMENTO!$W$15,ROW(AR187)-ROW(AR$15),0),15-13*ORÇAMENTO!$AF$11)),
         0)</f>
        <v>0</v>
      </c>
      <c r="AS187" s="453">
        <f ca="1">IF(AND($D187="Serviço",AS$12&lt;&gt;0,$H187&gt;0,OR(AUTOEVENTO&lt;&gt;"manual",$M187&lt;&gt;$A$15)),
        IF(Import.TipoArredondamento&lt;&gt;"TransfereGOV",
              ROUND(OFFSET($P187,0,AS$13),15-13*ORÇAMENTO!$AF$7)/$H187*OFFSET(ORÇAMENTO!$X$15,ROW(AS187)-ROW(AS$15),0),
              ROUND(ROUND(OFFSET($P187,0,AS$13),15-13*ORÇAMENTO!$AF$7)*OFFSET(ORÇAMENTO!$W$15,ROW(AS187)-ROW(AS$15),0),15-13*ORÇAMENTO!$AF$11)),
         0)</f>
        <v>0</v>
      </c>
      <c r="AT187" s="453">
        <f ca="1">IF(AND($D187="Serviço",AT$12&lt;&gt;0,$H187&gt;0,OR(AUTOEVENTO&lt;&gt;"manual",$M187&lt;&gt;$A$15)),
        IF(Import.TipoArredondamento&lt;&gt;"TransfereGOV",
              ROUND(OFFSET($P187,0,AT$13),15-13*ORÇAMENTO!$AF$7)/$H187*OFFSET(ORÇAMENTO!$X$15,ROW(AT187)-ROW(AT$15),0),
              ROUND(ROUND(OFFSET($P187,0,AT$13),15-13*ORÇAMENTO!$AF$7)*OFFSET(ORÇAMENTO!$W$15,ROW(AT187)-ROW(AT$15),0),15-13*ORÇAMENTO!$AF$11)),
         0)</f>
        <v>0</v>
      </c>
      <c r="AU187" s="453">
        <f ca="1">IF(AND($D187="Serviço",AU$12&lt;&gt;0,$H187&gt;0,OR(AUTOEVENTO&lt;&gt;"manual",$M187&lt;&gt;$A$15)),
        IF(Import.TipoArredondamento&lt;&gt;"TransfereGOV",
              ROUND(OFFSET($P187,0,AU$13),15-13*ORÇAMENTO!$AF$7)/$H187*OFFSET(ORÇAMENTO!$X$15,ROW(AU187)-ROW(AU$15),0),
              ROUND(ROUND(OFFSET($P187,0,AU$13),15-13*ORÇAMENTO!$AF$7)*OFFSET(ORÇAMENTO!$W$15,ROW(AU187)-ROW(AU$15),0),15-13*ORÇAMENTO!$AF$11)),
         0)</f>
        <v>0</v>
      </c>
      <c r="AV187" s="453">
        <f ca="1">IF(AND($D187="Serviço",AV$12&lt;&gt;0,$H187&gt;0,OR(AUTOEVENTO&lt;&gt;"manual",$M187&lt;&gt;$A$15)),
        IF(Import.TipoArredondamento&lt;&gt;"TransfereGOV",
              ROUND(OFFSET($P187,0,AV$13),15-13*ORÇAMENTO!$AF$7)/$H187*OFFSET(ORÇAMENTO!$X$15,ROW(AV187)-ROW(AV$15),0),
              ROUND(ROUND(OFFSET($P187,0,AV$13),15-13*ORÇAMENTO!$AF$7)*OFFSET(ORÇAMENTO!$W$15,ROW(AV187)-ROW(AV$15),0),15-13*ORÇAMENTO!$AF$11)),
         0)</f>
        <v>0</v>
      </c>
      <c r="AW187" s="453">
        <f ca="1">IF(AND($D187="Serviço",AW$12&lt;&gt;0,$H187&gt;0,OR(AUTOEVENTO&lt;&gt;"manual",$M187&lt;&gt;$A$15)),
        IF(Import.TipoArredondamento&lt;&gt;"TransfereGOV",
              ROUND(OFFSET($P187,0,AW$13),15-13*ORÇAMENTO!$AF$7)/$H187*OFFSET(ORÇAMENTO!$X$15,ROW(AW187)-ROW(AW$15),0),
              ROUND(ROUND(OFFSET($P187,0,AW$13),15-13*ORÇAMENTO!$AF$7)*OFFSET(ORÇAMENTO!$W$15,ROW(AW187)-ROW(AW$15),0),15-13*ORÇAMENTO!$AF$11)),
         0)</f>
        <v>0</v>
      </c>
      <c r="AX187" s="453">
        <f ca="1">IF(AND($D187="Serviço",AX$12&lt;&gt;0,$H187&gt;0,OR(AUTOEVENTO&lt;&gt;"manual",$M187&lt;&gt;$A$15)),
        IF(Import.TipoArredondamento&lt;&gt;"TransfereGOV",
              ROUND(OFFSET($P187,0,AX$13),15-13*ORÇAMENTO!$AF$7)/$H187*OFFSET(ORÇAMENTO!$X$15,ROW(AX187)-ROW(AX$15),0),
              ROUND(ROUND(OFFSET($P187,0,AX$13),15-13*ORÇAMENTO!$AF$7)*OFFSET(ORÇAMENTO!$W$15,ROW(AX187)-ROW(AX$15),0),15-13*ORÇAMENTO!$AF$11)),
         0)</f>
        <v>0</v>
      </c>
      <c r="AY187" s="453">
        <f ca="1">IF(AND($D187="Serviço",AY$12&lt;&gt;0,$H187&gt;0,OR(AUTOEVENTO&lt;&gt;"manual",$M187&lt;&gt;$A$15)),
        IF(Import.TipoArredondamento&lt;&gt;"TransfereGOV",
              ROUND(OFFSET($P187,0,AY$13),15-13*ORÇAMENTO!$AF$7)/$H187*OFFSET(ORÇAMENTO!$X$15,ROW(AY187)-ROW(AY$15),0),
              ROUND(ROUND(OFFSET($P187,0,AY$13),15-13*ORÇAMENTO!$AF$7)*OFFSET(ORÇAMENTO!$W$15,ROW(AY187)-ROW(AY$15),0),15-13*ORÇAMENTO!$AF$11)),
         0)</f>
        <v>0</v>
      </c>
      <c r="AZ187" s="453">
        <f ca="1">IF(AND($D187="Serviço",AZ$12&lt;&gt;0,$H187&gt;0,OR(AUTOEVENTO&lt;&gt;"manual",$M187&lt;&gt;$A$15)),
        IF(Import.TipoArredondamento&lt;&gt;"TransfereGOV",
              ROUND(OFFSET($P187,0,AZ$13),15-13*ORÇAMENTO!$AF$7)/$H187*OFFSET(ORÇAMENTO!$X$15,ROW(AZ187)-ROW(AZ$15),0),
              ROUND(ROUND(OFFSET($P187,0,AZ$13),15-13*ORÇAMENTO!$AF$7)*OFFSET(ORÇAMENTO!$W$15,ROW(AZ187)-ROW(AZ$15),0),15-13*ORÇAMENTO!$AF$11)),
         0)</f>
        <v>0</v>
      </c>
      <c r="BA187" s="453">
        <f ca="1">IF(AND($D187="Serviço",BA$12&lt;&gt;0,$H187&gt;0,OR(AUTOEVENTO&lt;&gt;"manual",$M187&lt;&gt;$A$15)),
        IF(Import.TipoArredondamento&lt;&gt;"TransfereGOV",
              ROUND(OFFSET($P187,0,BA$13),15-13*ORÇAMENTO!$AF$7)/$H187*OFFSET(ORÇAMENTO!$X$15,ROW(BA187)-ROW(BA$15),0),
              ROUND(ROUND(OFFSET($P187,0,BA$13),15-13*ORÇAMENTO!$AF$7)*OFFSET(ORÇAMENTO!$W$15,ROW(BA187)-ROW(BA$15),0),15-13*ORÇAMENTO!$AF$11)),
         0)</f>
        <v>0</v>
      </c>
      <c r="BC187" s="171">
        <f ca="1">IF(OR($D187&lt;&gt;"Serviço",AND(AUTOEVENTO="Manual",$M187=$A$15)),0,
         IF(OFFSET(CRONOPLE!$F$15,$M187-$A$15,BC$13)=0,10^12,OFFSET(CRONOPLE!$F$15,$M187-$A$15,BC$13)))</f>
        <v>2</v>
      </c>
      <c r="BD187" s="171">
        <f ca="1">IF(OR($D187&lt;&gt;"Serviço",AND(AUTOEVENTO="Manual",$M187=$A$15)),0,
         IF(OFFSET(CRONOPLE!$F$15,$M187-$A$15,BD$13)=0,10^12,OFFSET(CRONOPLE!$F$15,$M187-$A$15,BD$13)))</f>
        <v>1000000000000</v>
      </c>
      <c r="BE187" s="171">
        <f ca="1">IF(OR($D187&lt;&gt;"Serviço",AND(AUTOEVENTO="Manual",$M187=$A$15)),0,
         IF(OFFSET(CRONOPLE!$F$15,$M187-$A$15,BE$13)=0,10^12,OFFSET(CRONOPLE!$F$15,$M187-$A$15,BE$13)))</f>
        <v>1000000000000</v>
      </c>
      <c r="BF187" s="171">
        <f ca="1">IF(OR($D187&lt;&gt;"Serviço",AND(AUTOEVENTO="Manual",$M187=$A$15)),0,
         IF(OFFSET(CRONOPLE!$F$15,$M187-$A$15,BF$13)=0,10^12,OFFSET(CRONOPLE!$F$15,$M187-$A$15,BF$13)))</f>
        <v>1000000000000</v>
      </c>
      <c r="BG187" s="171">
        <f ca="1">IF(OR($D187&lt;&gt;"Serviço",AND(AUTOEVENTO="Manual",$M187=$A$15)),0,
         IF(OFFSET(CRONOPLE!$F$15,$M187-$A$15,BG$13)=0,10^12,OFFSET(CRONOPLE!$F$15,$M187-$A$15,BG$13)))</f>
        <v>1000000000000</v>
      </c>
      <c r="BH187" s="171">
        <f ca="1">IF(OR($D187&lt;&gt;"Serviço",AND(AUTOEVENTO="Manual",$M187=$A$15)),0,
         IF(OFFSET(CRONOPLE!$F$15,$M187-$A$15,BH$13)=0,10^12,OFFSET(CRONOPLE!$F$15,$M187-$A$15,BH$13)))</f>
        <v>1000000000000</v>
      </c>
      <c r="BI187" s="171">
        <f ca="1">IF(OR($D187&lt;&gt;"Serviço",AND(AUTOEVENTO="Manual",$M187=$A$15)),0,
         IF(OFFSET(CRONOPLE!$F$15,$M187-$A$15,BI$13)=0,10^12,OFFSET(CRONOPLE!$F$15,$M187-$A$15,BI$13)))</f>
        <v>1000000000000</v>
      </c>
      <c r="BJ187" s="171">
        <f ca="1">IF(OR($D187&lt;&gt;"Serviço",AND(AUTOEVENTO="Manual",$M187=$A$15)),0,
         IF(OFFSET(CRONOPLE!$F$15,$M187-$A$15,BJ$13)=0,10^12,OFFSET(CRONOPLE!$F$15,$M187-$A$15,BJ$13)))</f>
        <v>1000000000000</v>
      </c>
      <c r="BK187" s="171">
        <f ca="1">IF(OR($D187&lt;&gt;"Serviço",AND(AUTOEVENTO="Manual",$M187=$A$15)),0,
         IF(OFFSET(CRONOPLE!$F$15,$M187-$A$15,BK$13)=0,10^12,OFFSET(CRONOPLE!$F$15,$M187-$A$15,BK$13)))</f>
        <v>1000000000000</v>
      </c>
      <c r="BL187" s="171">
        <f ca="1">IF(OR($D187&lt;&gt;"Serviço",AND(AUTOEVENTO="Manual",$M187=$A$15)),0,
         IF(OFFSET(CRONOPLE!$F$15,$M187-$A$15,BL$13)=0,10^12,OFFSET(CRONOPLE!$F$15,$M187-$A$15,BL$13)))</f>
        <v>1000000000000</v>
      </c>
      <c r="BM187" s="171">
        <f ca="1">IF(OR($D187&lt;&gt;"Serviço",AND(AUTOEVENTO="Manual",$M187=$A$15)),0,
         IF(OFFSET(CRONOPLE!$F$15,$M187-$A$15,BM$13)=0,10^12,OFFSET(CRONOPLE!$F$15,$M187-$A$15,BM$13)))</f>
        <v>1000000000000</v>
      </c>
      <c r="BN187" s="171">
        <f ca="1">IF(OR($D187&lt;&gt;"Serviço",AND(AUTOEVENTO="Manual",$M187=$A$15)),0,
         IF(OFFSET(CRONOPLE!$F$15,$M187-$A$15,BN$13)=0,10^12,OFFSET(CRONOPLE!$F$15,$M187-$A$15,BN$13)))</f>
        <v>1000000000000</v>
      </c>
      <c r="BO187" s="171">
        <f ca="1">IF(OR($D187&lt;&gt;"Serviço",AND(AUTOEVENTO="Manual",$M187=$A$15)),0,
         IF(OFFSET(CRONOPLE!$F$15,$M187-$A$15,BO$13)=0,10^12,OFFSET(CRONOPLE!$F$15,$M187-$A$15,BO$13)))</f>
        <v>1000000000000</v>
      </c>
      <c r="BP187" s="171">
        <f ca="1">IF(OR($D187&lt;&gt;"Serviço",AND(AUTOEVENTO="Manual",$M187=$A$15)),0,
         IF(OFFSET(CRONOPLE!$F$15,$M187-$A$15,BP$13)=0,10^12,OFFSET(CRONOPLE!$F$15,$M187-$A$15,BP$13)))</f>
        <v>1000000000000</v>
      </c>
      <c r="BQ187" s="171">
        <f ca="1">IF(OR($D187&lt;&gt;"Serviço",AND(AUTOEVENTO="Manual",$M187=$A$15)),0,
         IF(OFFSET(CRONOPLE!$F$15,$M187-$A$15,BQ$13)=0,10^12,OFFSET(CRONOPLE!$F$15,$M187-$A$15,BQ$13)))</f>
        <v>1000000000000</v>
      </c>
      <c r="BR187" s="171">
        <f ca="1">IF(OR($D187&lt;&gt;"Serviço",AND(AUTOEVENTO="Manual",$M187=$A$15)),0,
         IF(OFFSET(CRONOPLE!$F$15,$M187-$A$15,BR$13)=0,10^12,OFFSET(CRONOPLE!$F$15,$M187-$A$15,BR$13)))</f>
        <v>1000000000000</v>
      </c>
      <c r="BS187" s="171">
        <f ca="1">IF(OR($D187&lt;&gt;"Serviço",AND(AUTOEVENTO="Manual",$M187=$A$15)),0,
         IF(OFFSET(CRONOPLE!$F$15,$M187-$A$15,BS$13)=0,10^12,OFFSET(CRONOPLE!$F$15,$M187-$A$15,BS$13)))</f>
        <v>1000000000000</v>
      </c>
      <c r="BT187" s="171">
        <f ca="1">IF(OR($D187&lt;&gt;"Serviço",AND(AUTOEVENTO="Manual",$M187=$A$15)),0,
         IF(OFFSET(CRONOPLE!$F$15,$M187-$A$15,BT$13)=0,10^12,OFFSET(CRONOPLE!$F$15,$M187-$A$15,BT$13)))</f>
        <v>1000000000000</v>
      </c>
      <c r="BV187" s="172" cm="1">
        <f t="array" aca="1" ref="BV187" ca="1">IF(OR($D187&lt;&gt;"Serviço",AND(AUTOEVENTO="Manual",$M187=$A$15),$M187&gt;(ROW(PLE.lastrow)-ROW(PLE.firstrow))),0,
           IF(OFFSET(PLE!$G$15,$M187-$A$15,BV$13)="",10^12,OFFSET(PLE!$G$15,$M187-$A$15,BV$13)))</f>
        <v>1000000000000</v>
      </c>
      <c r="BW187" s="172" cm="1">
        <f t="array" aca="1" ref="BW187" ca="1">IF(OR($D187&lt;&gt;"Serviço",AND(AUTOEVENTO="Manual",$M187=$A$15),$M187&gt;(ROW(PLE.lastrow)-ROW(PLE.firstrow))),0,
           IF(OFFSET(PLE!$G$15,$M187-$A$15,BW$13)="",10^12,OFFSET(PLE!$G$15,$M187-$A$15,BW$13)))</f>
        <v>1000000000000</v>
      </c>
      <c r="BX187" s="172" cm="1">
        <f t="array" aca="1" ref="BX187" ca="1">IF(OR($D187&lt;&gt;"Serviço",AND(AUTOEVENTO="Manual",$M187=$A$15),$M187&gt;(ROW(PLE.lastrow)-ROW(PLE.firstrow))),0,
           IF(OFFSET(PLE!$G$15,$M187-$A$15,BX$13)="",10^12,OFFSET(PLE!$G$15,$M187-$A$15,BX$13)))</f>
        <v>1000000000000</v>
      </c>
      <c r="BY187" s="172" cm="1">
        <f t="array" aca="1" ref="BY187" ca="1">IF(OR($D187&lt;&gt;"Serviço",AND(AUTOEVENTO="Manual",$M187=$A$15),$M187&gt;(ROW(PLE.lastrow)-ROW(PLE.firstrow))),0,
           IF(OFFSET(PLE!$G$15,$M187-$A$15,BY$13)="",10^12,OFFSET(PLE!$G$15,$M187-$A$15,BY$13)))</f>
        <v>1000000000000</v>
      </c>
      <c r="BZ187" s="172" cm="1">
        <f t="array" aca="1" ref="BZ187" ca="1">IF(OR($D187&lt;&gt;"Serviço",AND(AUTOEVENTO="Manual",$M187=$A$15),$M187&gt;(ROW(PLE.lastrow)-ROW(PLE.firstrow))),0,
           IF(OFFSET(PLE!$G$15,$M187-$A$15,BZ$13)="",10^12,OFFSET(PLE!$G$15,$M187-$A$15,BZ$13)))</f>
        <v>1000000000000</v>
      </c>
      <c r="CA187" s="172" cm="1">
        <f t="array" aca="1" ref="CA187" ca="1">IF(OR($D187&lt;&gt;"Serviço",AND(AUTOEVENTO="Manual",$M187=$A$15),$M187&gt;(ROW(PLE.lastrow)-ROW(PLE.firstrow))),0,
           IF(OFFSET(PLE!$G$15,$M187-$A$15,CA$13)="",10^12,OFFSET(PLE!$G$15,$M187-$A$15,CA$13)))</f>
        <v>1000000000000</v>
      </c>
      <c r="CB187" s="172" cm="1">
        <f t="array" aca="1" ref="CB187" ca="1">IF(OR($D187&lt;&gt;"Serviço",AND(AUTOEVENTO="Manual",$M187=$A$15),$M187&gt;(ROW(PLE.lastrow)-ROW(PLE.firstrow))),0,
           IF(OFFSET(PLE!$G$15,$M187-$A$15,CB$13)="",10^12,OFFSET(PLE!$G$15,$M187-$A$15,CB$13)))</f>
        <v>1000000000000</v>
      </c>
      <c r="CC187" s="172" cm="1">
        <f t="array" aca="1" ref="CC187" ca="1">IF(OR($D187&lt;&gt;"Serviço",AND(AUTOEVENTO="Manual",$M187=$A$15),$M187&gt;(ROW(PLE.lastrow)-ROW(PLE.firstrow))),0,
           IF(OFFSET(PLE!$G$15,$M187-$A$15,CC$13)="",10^12,OFFSET(PLE!$G$15,$M187-$A$15,CC$13)))</f>
        <v>1000000000000</v>
      </c>
      <c r="CD187" s="172" cm="1">
        <f t="array" aca="1" ref="CD187" ca="1">IF(OR($D187&lt;&gt;"Serviço",AND(AUTOEVENTO="Manual",$M187=$A$15),$M187&gt;(ROW(PLE.lastrow)-ROW(PLE.firstrow))),0,
           IF(OFFSET(PLE!$G$15,$M187-$A$15,CD$13)="",10^12,OFFSET(PLE!$G$15,$M187-$A$15,CD$13)))</f>
        <v>1000000000000</v>
      </c>
      <c r="CE187" s="172" cm="1">
        <f t="array" aca="1" ref="CE187" ca="1">IF(OR($D187&lt;&gt;"Serviço",AND(AUTOEVENTO="Manual",$M187=$A$15),$M187&gt;(ROW(PLE.lastrow)-ROW(PLE.firstrow))),0,
           IF(OFFSET(PLE!$G$15,$M187-$A$15,CE$13)="",10^12,OFFSET(PLE!$G$15,$M187-$A$15,CE$13)))</f>
        <v>1000000000000</v>
      </c>
      <c r="CF187" s="172" cm="1">
        <f t="array" aca="1" ref="CF187" ca="1">IF(OR($D187&lt;&gt;"Serviço",AND(AUTOEVENTO="Manual",$M187=$A$15),$M187&gt;(ROW(PLE.lastrow)-ROW(PLE.firstrow))),0,
           IF(OFFSET(PLE!$G$15,$M187-$A$15,CF$13)="",10^12,OFFSET(PLE!$G$15,$M187-$A$15,CF$13)))</f>
        <v>1000000000000</v>
      </c>
      <c r="CG187" s="172" cm="1">
        <f t="array" aca="1" ref="CG187" ca="1">IF(OR($D187&lt;&gt;"Serviço",AND(AUTOEVENTO="Manual",$M187=$A$15),$M187&gt;(ROW(PLE.lastrow)-ROW(PLE.firstrow))),0,
           IF(OFFSET(PLE!$G$15,$M187-$A$15,CG$13)="",10^12,OFFSET(PLE!$G$15,$M187-$A$15,CG$13)))</f>
        <v>1000000000000</v>
      </c>
      <c r="CH187" s="172" cm="1">
        <f t="array" aca="1" ref="CH187" ca="1">IF(OR($D187&lt;&gt;"Serviço",AND(AUTOEVENTO="Manual",$M187=$A$15),$M187&gt;(ROW(PLE.lastrow)-ROW(PLE.firstrow))),0,
           IF(OFFSET(PLE!$G$15,$M187-$A$15,CH$13)="",10^12,OFFSET(PLE!$G$15,$M187-$A$15,CH$13)))</f>
        <v>1000000000000</v>
      </c>
      <c r="CI187" s="172" cm="1">
        <f t="array" aca="1" ref="CI187" ca="1">IF(OR($D187&lt;&gt;"Serviço",AND(AUTOEVENTO="Manual",$M187=$A$15),$M187&gt;(ROW(PLE.lastrow)-ROW(PLE.firstrow))),0,
           IF(OFFSET(PLE!$G$15,$M187-$A$15,CI$13)="",10^12,OFFSET(PLE!$G$15,$M187-$A$15,CI$13)))</f>
        <v>1000000000000</v>
      </c>
      <c r="CJ187" s="172" cm="1">
        <f t="array" aca="1" ref="CJ187" ca="1">IF(OR($D187&lt;&gt;"Serviço",AND(AUTOEVENTO="Manual",$M187=$A$15),$M187&gt;(ROW(PLE.lastrow)-ROW(PLE.firstrow))),0,
           IF(OFFSET(PLE!$G$15,$M187-$A$15,CJ$13)="",10^12,OFFSET(PLE!$G$15,$M187-$A$15,CJ$13)))</f>
        <v>1000000000000</v>
      </c>
      <c r="CK187" s="172" cm="1">
        <f t="array" aca="1" ref="CK187" ca="1">IF(OR($D187&lt;&gt;"Serviço",AND(AUTOEVENTO="Manual",$M187=$A$15),$M187&gt;(ROW(PLE.lastrow)-ROW(PLE.firstrow))),0,
           IF(OFFSET(PLE!$G$15,$M187-$A$15,CK$13)="",10^12,OFFSET(PLE!$G$15,$M187-$A$15,CK$13)))</f>
        <v>1000000000000</v>
      </c>
      <c r="CL187" s="172" cm="1">
        <f t="array" aca="1" ref="CL187" ca="1">IF(OR($D187&lt;&gt;"Serviço",AND(AUTOEVENTO="Manual",$M187=$A$15),$M187&gt;(ROW(PLE.lastrow)-ROW(PLE.firstrow))),0,
           IF(OFFSET(PLE!$G$15,$M187-$A$15,CL$13)="",10^12,OFFSET(PLE!$G$15,$M187-$A$15,CL$13)))</f>
        <v>1000000000000</v>
      </c>
      <c r="CM187" s="172" cm="1">
        <f t="array" aca="1" ref="CM187" ca="1">IF(OR($D187&lt;&gt;"Serviço",AND(AUTOEVENTO="Manual",$M187=$A$15),$M187&gt;(ROW(PLE.lastrow)-ROW(PLE.firstrow))),0,
           IF(OFFSET(PLE!$G$15,$M187-$A$15,CM$13)="",10^12,OFFSET(PLE!$G$15,$M187-$A$15,CM$13)))</f>
        <v>1000000000000</v>
      </c>
    </row>
    <row r="188" spans="1:91" s="670" customFormat="1" ht="12.75" x14ac:dyDescent="0.2">
      <c r="A188" s="668">
        <f t="shared" ca="1" si="14"/>
        <v>2</v>
      </c>
      <c r="B188" s="668" t="str">
        <f ca="1">OFFSET(ORÇAMENTO!C$15,$L188,0)</f>
        <v>S</v>
      </c>
      <c r="C188" s="668" t="str">
        <f ca="1">OFFSET(ORÇAMENTO!L$15,$L188,0)</f>
        <v>F</v>
      </c>
      <c r="D188" s="116" t="str">
        <f ca="1">OFFSET(ORÇAMENTO!N$15,$L188,0)</f>
        <v>Serviço</v>
      </c>
      <c r="E188" s="117" t="str">
        <f ca="1">OFFSET(ORÇAMENTO!O$15,$L188,0)</f>
        <v>1.24.2.</v>
      </c>
      <c r="F188" s="163" t="str">
        <f ca="1">OFFSET(ORÇAMENTO!R$15,$L188,0)</f>
        <v>PROJETO EXECUTIVO DE SPDA- PRANCHAS</v>
      </c>
      <c r="G188" s="164" t="str">
        <f ca="1">IF($D188&lt;&gt;"Serviço","",OFFSET(ORÇAMENTO!S$15,$L188,0))</f>
        <v>UNIDADE</v>
      </c>
      <c r="H188" s="122" cm="1">
        <f t="array" aca="1" ref="H188" ca="1">IF($D188&lt;&gt;"Serviço",0,IF(ACOMPANHAMENTO="BM",ROUND(OFFSET(ORÇAMENTO!AJ$15,$L188,0),15-13*ORÇAMENTO!$AF$7),IF(IFERROR(CÁLCULO.FrentesPreenchidas,0)=0,0,SUM(ROUND(OFFSET($P188,0,1,1,CÁLCULO.FrentesPreenchidas),15-13*ORÇAMENTO!$AF$7)))))</f>
        <v>16</v>
      </c>
      <c r="I188" s="468" t="s">
        <v>1133</v>
      </c>
      <c r="J188" s="651" t="str" cm="1">
        <f t="array" aca="1" ref="J188" ca="1">IF(OR(B188&lt;&gt;"S",CÁLCULO.FrentesPreenchidas=0),"",IF(AND(ACOMPANHAMENTO="PLE",AUTOEVENTO="Manual",OR(H188&gt;0,ORÇAMENTO!AC188="QUANT."),OR(K188="",M188=0,N188="")),"►E",IF(AND(ACOMPANHAMENTO="PLE",ORÇAMENTO!AC188="QUANT."),"►Q",IF(AND(ACOMPANHAMENTO="PLE",H188&lt;&gt;SUMPRODUCT(($Q$1:$AI$1=1)*ROUND(Q188:AI188,15))),"►S",IF(AND(COUNTIF($P$11:$AI$11,"▼")=0,H188&gt;0,I188=""),"◄M","")))))</f>
        <v/>
      </c>
      <c r="K188" s="652" t="s">
        <v>1366</v>
      </c>
      <c r="L188" s="165">
        <f t="shared" ca="1" si="15"/>
        <v>173</v>
      </c>
      <c r="M188" s="166">
        <f ca="1">IF($D188&lt;&gt;"Serviço","",
          IF(AUTOEVENTO="manual",$A188,
                IF(ISERROR(MATCH($A188,$A$15:OFFSET($A188,-1,0),0)),MAX($M$15:OFFSET(M188,-1,0))+1,
                      INDEX($M$15:OFFSET(M188,-1,0),MATCH($A188,$A$15:OFFSET($A188,-1,0),0)))))</f>
        <v>2</v>
      </c>
      <c r="N188" s="167" t="str">
        <f ca="1">IF($D188&lt;&gt;"Serviço","",
         IF(AUTOEVENTO="Manual",
                IF($A188=0,"&lt;-- defina o número do agrupador",
                       OFFSET(EVENTOS!$D$15,$A188-$A$15,0)),
                OFFSET($F$15,$A188,0)))</f>
        <v>Projetos 2</v>
      </c>
      <c r="O188" s="168"/>
      <c r="Q188" s="168">
        <v>16</v>
      </c>
      <c r="R188" s="169"/>
      <c r="S188" s="169"/>
      <c r="T188" s="169"/>
      <c r="U188" s="169"/>
      <c r="V188" s="169"/>
      <c r="W188" s="169"/>
      <c r="X188" s="169"/>
      <c r="Y188" s="169"/>
      <c r="Z188" s="170"/>
      <c r="AA188" s="705"/>
      <c r="AB188" s="705">
        <v>16</v>
      </c>
      <c r="AC188" s="705"/>
      <c r="AD188" s="705"/>
      <c r="AE188" s="705"/>
      <c r="AF188" s="705"/>
      <c r="AG188" s="705"/>
      <c r="AH188" s="706"/>
      <c r="AJ188" s="453">
        <f ca="1">IF(AND($D188="Serviço",AJ$12&lt;&gt;0,$H188&gt;0,OR(AUTOEVENTO&lt;&gt;"manual",$M188&lt;&gt;$A$15)),
        IF(Import.TipoArredondamento&lt;&gt;"TransfereGOV",
              ROUND(OFFSET($P188,0,AJ$13),15-13*ORÇAMENTO!$AF$7)/$H188*OFFSET(ORÇAMENTO!$X$15,ROW(AJ188)-ROW(AJ$15),0),
              ROUND(ROUND(OFFSET($P188,0,AJ$13),15-13*ORÇAMENTO!$AF$7)*OFFSET(ORÇAMENTO!$W$15,ROW(AJ188)-ROW(AJ$15),0),15-13*ORÇAMENTO!$AF$11)),
         0)</f>
        <v>25806.240000000002</v>
      </c>
      <c r="AK188" s="453">
        <f ca="1">IF(AND($D188="Serviço",AK$12&lt;&gt;0,$H188&gt;0,OR(AUTOEVENTO&lt;&gt;"manual",$M188&lt;&gt;$A$15)),
        IF(Import.TipoArredondamento&lt;&gt;"TransfereGOV",
              ROUND(OFFSET($P188,0,AK$13),15-13*ORÇAMENTO!$AF$7)/$H188*OFFSET(ORÇAMENTO!$X$15,ROW(AK188)-ROW(AK$15),0),
              ROUND(ROUND(OFFSET($P188,0,AK$13),15-13*ORÇAMENTO!$AF$7)*OFFSET(ORÇAMENTO!$W$15,ROW(AK188)-ROW(AK$15),0),15-13*ORÇAMENTO!$AF$11)),
         0)</f>
        <v>0</v>
      </c>
      <c r="AL188" s="453">
        <f ca="1">IF(AND($D188="Serviço",AL$12&lt;&gt;0,$H188&gt;0,OR(AUTOEVENTO&lt;&gt;"manual",$M188&lt;&gt;$A$15)),
        IF(Import.TipoArredondamento&lt;&gt;"TransfereGOV",
              ROUND(OFFSET($P188,0,AL$13),15-13*ORÇAMENTO!$AF$7)/$H188*OFFSET(ORÇAMENTO!$X$15,ROW(AL188)-ROW(AL$15),0),
              ROUND(ROUND(OFFSET($P188,0,AL$13),15-13*ORÇAMENTO!$AF$7)*OFFSET(ORÇAMENTO!$W$15,ROW(AL188)-ROW(AL$15),0),15-13*ORÇAMENTO!$AF$11)),
         0)</f>
        <v>0</v>
      </c>
      <c r="AM188" s="453">
        <f ca="1">IF(AND($D188="Serviço",AM$12&lt;&gt;0,$H188&gt;0,OR(AUTOEVENTO&lt;&gt;"manual",$M188&lt;&gt;$A$15)),
        IF(Import.TipoArredondamento&lt;&gt;"TransfereGOV",
              ROUND(OFFSET($P188,0,AM$13),15-13*ORÇAMENTO!$AF$7)/$H188*OFFSET(ORÇAMENTO!$X$15,ROW(AM188)-ROW(AM$15),0),
              ROUND(ROUND(OFFSET($P188,0,AM$13),15-13*ORÇAMENTO!$AF$7)*OFFSET(ORÇAMENTO!$W$15,ROW(AM188)-ROW(AM$15),0),15-13*ORÇAMENTO!$AF$11)),
         0)</f>
        <v>0</v>
      </c>
      <c r="AN188" s="453">
        <f ca="1">IF(AND($D188="Serviço",AN$12&lt;&gt;0,$H188&gt;0,OR(AUTOEVENTO&lt;&gt;"manual",$M188&lt;&gt;$A$15)),
        IF(Import.TipoArredondamento&lt;&gt;"TransfereGOV",
              ROUND(OFFSET($P188,0,AN$13),15-13*ORÇAMENTO!$AF$7)/$H188*OFFSET(ORÇAMENTO!$X$15,ROW(AN188)-ROW(AN$15),0),
              ROUND(ROUND(OFFSET($P188,0,AN$13),15-13*ORÇAMENTO!$AF$7)*OFFSET(ORÇAMENTO!$W$15,ROW(AN188)-ROW(AN$15),0),15-13*ORÇAMENTO!$AF$11)),
         0)</f>
        <v>0</v>
      </c>
      <c r="AO188" s="453">
        <f ca="1">IF(AND($D188="Serviço",AO$12&lt;&gt;0,$H188&gt;0,OR(AUTOEVENTO&lt;&gt;"manual",$M188&lt;&gt;$A$15)),
        IF(Import.TipoArredondamento&lt;&gt;"TransfereGOV",
              ROUND(OFFSET($P188,0,AO$13),15-13*ORÇAMENTO!$AF$7)/$H188*OFFSET(ORÇAMENTO!$X$15,ROW(AO188)-ROW(AO$15),0),
              ROUND(ROUND(OFFSET($P188,0,AO$13),15-13*ORÇAMENTO!$AF$7)*OFFSET(ORÇAMENTO!$W$15,ROW(AO188)-ROW(AO$15),0),15-13*ORÇAMENTO!$AF$11)),
         0)</f>
        <v>0</v>
      </c>
      <c r="AP188" s="453">
        <f ca="1">IF(AND($D188="Serviço",AP$12&lt;&gt;0,$H188&gt;0,OR(AUTOEVENTO&lt;&gt;"manual",$M188&lt;&gt;$A$15)),
        IF(Import.TipoArredondamento&lt;&gt;"TransfereGOV",
              ROUND(OFFSET($P188,0,AP$13),15-13*ORÇAMENTO!$AF$7)/$H188*OFFSET(ORÇAMENTO!$X$15,ROW(AP188)-ROW(AP$15),0),
              ROUND(ROUND(OFFSET($P188,0,AP$13),15-13*ORÇAMENTO!$AF$7)*OFFSET(ORÇAMENTO!$W$15,ROW(AP188)-ROW(AP$15),0),15-13*ORÇAMENTO!$AF$11)),
         0)</f>
        <v>0</v>
      </c>
      <c r="AQ188" s="453">
        <f ca="1">IF(AND($D188="Serviço",AQ$12&lt;&gt;0,$H188&gt;0,OR(AUTOEVENTO&lt;&gt;"manual",$M188&lt;&gt;$A$15)),
        IF(Import.TipoArredondamento&lt;&gt;"TransfereGOV",
              ROUND(OFFSET($P188,0,AQ$13),15-13*ORÇAMENTO!$AF$7)/$H188*OFFSET(ORÇAMENTO!$X$15,ROW(AQ188)-ROW(AQ$15),0),
              ROUND(ROUND(OFFSET($P188,0,AQ$13),15-13*ORÇAMENTO!$AF$7)*OFFSET(ORÇAMENTO!$W$15,ROW(AQ188)-ROW(AQ$15),0),15-13*ORÇAMENTO!$AF$11)),
         0)</f>
        <v>0</v>
      </c>
      <c r="AR188" s="453">
        <f ca="1">IF(AND($D188="Serviço",AR$12&lt;&gt;0,$H188&gt;0,OR(AUTOEVENTO&lt;&gt;"manual",$M188&lt;&gt;$A$15)),
        IF(Import.TipoArredondamento&lt;&gt;"TransfereGOV",
              ROUND(OFFSET($P188,0,AR$13),15-13*ORÇAMENTO!$AF$7)/$H188*OFFSET(ORÇAMENTO!$X$15,ROW(AR188)-ROW(AR$15),0),
              ROUND(ROUND(OFFSET($P188,0,AR$13),15-13*ORÇAMENTO!$AF$7)*OFFSET(ORÇAMENTO!$W$15,ROW(AR188)-ROW(AR$15),0),15-13*ORÇAMENTO!$AF$11)),
         0)</f>
        <v>0</v>
      </c>
      <c r="AS188" s="453">
        <f ca="1">IF(AND($D188="Serviço",AS$12&lt;&gt;0,$H188&gt;0,OR(AUTOEVENTO&lt;&gt;"manual",$M188&lt;&gt;$A$15)),
        IF(Import.TipoArredondamento&lt;&gt;"TransfereGOV",
              ROUND(OFFSET($P188,0,AS$13),15-13*ORÇAMENTO!$AF$7)/$H188*OFFSET(ORÇAMENTO!$X$15,ROW(AS188)-ROW(AS$15),0),
              ROUND(ROUND(OFFSET($P188,0,AS$13),15-13*ORÇAMENTO!$AF$7)*OFFSET(ORÇAMENTO!$W$15,ROW(AS188)-ROW(AS$15),0),15-13*ORÇAMENTO!$AF$11)),
         0)</f>
        <v>0</v>
      </c>
      <c r="AT188" s="453">
        <f ca="1">IF(AND($D188="Serviço",AT$12&lt;&gt;0,$H188&gt;0,OR(AUTOEVENTO&lt;&gt;"manual",$M188&lt;&gt;$A$15)),
        IF(Import.TipoArredondamento&lt;&gt;"TransfereGOV",
              ROUND(OFFSET($P188,0,AT$13),15-13*ORÇAMENTO!$AF$7)/$H188*OFFSET(ORÇAMENTO!$X$15,ROW(AT188)-ROW(AT$15),0),
              ROUND(ROUND(OFFSET($P188,0,AT$13),15-13*ORÇAMENTO!$AF$7)*OFFSET(ORÇAMENTO!$W$15,ROW(AT188)-ROW(AT$15),0),15-13*ORÇAMENTO!$AF$11)),
         0)</f>
        <v>0</v>
      </c>
      <c r="AU188" s="453">
        <f ca="1">IF(AND($D188="Serviço",AU$12&lt;&gt;0,$H188&gt;0,OR(AUTOEVENTO&lt;&gt;"manual",$M188&lt;&gt;$A$15)),
        IF(Import.TipoArredondamento&lt;&gt;"TransfereGOV",
              ROUND(OFFSET($P188,0,AU$13),15-13*ORÇAMENTO!$AF$7)/$H188*OFFSET(ORÇAMENTO!$X$15,ROW(AU188)-ROW(AU$15),0),
              ROUND(ROUND(OFFSET($P188,0,AU$13),15-13*ORÇAMENTO!$AF$7)*OFFSET(ORÇAMENTO!$W$15,ROW(AU188)-ROW(AU$15),0),15-13*ORÇAMENTO!$AF$11)),
         0)</f>
        <v>0</v>
      </c>
      <c r="AV188" s="453">
        <f ca="1">IF(AND($D188="Serviço",AV$12&lt;&gt;0,$H188&gt;0,OR(AUTOEVENTO&lt;&gt;"manual",$M188&lt;&gt;$A$15)),
        IF(Import.TipoArredondamento&lt;&gt;"TransfereGOV",
              ROUND(OFFSET($P188,0,AV$13),15-13*ORÇAMENTO!$AF$7)/$H188*OFFSET(ORÇAMENTO!$X$15,ROW(AV188)-ROW(AV$15),0),
              ROUND(ROUND(OFFSET($P188,0,AV$13),15-13*ORÇAMENTO!$AF$7)*OFFSET(ORÇAMENTO!$W$15,ROW(AV188)-ROW(AV$15),0),15-13*ORÇAMENTO!$AF$11)),
         0)</f>
        <v>0</v>
      </c>
      <c r="AW188" s="453">
        <f ca="1">IF(AND($D188="Serviço",AW$12&lt;&gt;0,$H188&gt;0,OR(AUTOEVENTO&lt;&gt;"manual",$M188&lt;&gt;$A$15)),
        IF(Import.TipoArredondamento&lt;&gt;"TransfereGOV",
              ROUND(OFFSET($P188,0,AW$13),15-13*ORÇAMENTO!$AF$7)/$H188*OFFSET(ORÇAMENTO!$X$15,ROW(AW188)-ROW(AW$15),0),
              ROUND(ROUND(OFFSET($P188,0,AW$13),15-13*ORÇAMENTO!$AF$7)*OFFSET(ORÇAMENTO!$W$15,ROW(AW188)-ROW(AW$15),0),15-13*ORÇAMENTO!$AF$11)),
         0)</f>
        <v>0</v>
      </c>
      <c r="AX188" s="453">
        <f ca="1">IF(AND($D188="Serviço",AX$12&lt;&gt;0,$H188&gt;0,OR(AUTOEVENTO&lt;&gt;"manual",$M188&lt;&gt;$A$15)),
        IF(Import.TipoArredondamento&lt;&gt;"TransfereGOV",
              ROUND(OFFSET($P188,0,AX$13),15-13*ORÇAMENTO!$AF$7)/$H188*OFFSET(ORÇAMENTO!$X$15,ROW(AX188)-ROW(AX$15),0),
              ROUND(ROUND(OFFSET($P188,0,AX$13),15-13*ORÇAMENTO!$AF$7)*OFFSET(ORÇAMENTO!$W$15,ROW(AX188)-ROW(AX$15),0),15-13*ORÇAMENTO!$AF$11)),
         0)</f>
        <v>0</v>
      </c>
      <c r="AY188" s="453">
        <f ca="1">IF(AND($D188="Serviço",AY$12&lt;&gt;0,$H188&gt;0,OR(AUTOEVENTO&lt;&gt;"manual",$M188&lt;&gt;$A$15)),
        IF(Import.TipoArredondamento&lt;&gt;"TransfereGOV",
              ROUND(OFFSET($P188,0,AY$13),15-13*ORÇAMENTO!$AF$7)/$H188*OFFSET(ORÇAMENTO!$X$15,ROW(AY188)-ROW(AY$15),0),
              ROUND(ROUND(OFFSET($P188,0,AY$13),15-13*ORÇAMENTO!$AF$7)*OFFSET(ORÇAMENTO!$W$15,ROW(AY188)-ROW(AY$15),0),15-13*ORÇAMENTO!$AF$11)),
         0)</f>
        <v>0</v>
      </c>
      <c r="AZ188" s="453">
        <f ca="1">IF(AND($D188="Serviço",AZ$12&lt;&gt;0,$H188&gt;0,OR(AUTOEVENTO&lt;&gt;"manual",$M188&lt;&gt;$A$15)),
        IF(Import.TipoArredondamento&lt;&gt;"TransfereGOV",
              ROUND(OFFSET($P188,0,AZ$13),15-13*ORÇAMENTO!$AF$7)/$H188*OFFSET(ORÇAMENTO!$X$15,ROW(AZ188)-ROW(AZ$15),0),
              ROUND(ROUND(OFFSET($P188,0,AZ$13),15-13*ORÇAMENTO!$AF$7)*OFFSET(ORÇAMENTO!$W$15,ROW(AZ188)-ROW(AZ$15),0),15-13*ORÇAMENTO!$AF$11)),
         0)</f>
        <v>0</v>
      </c>
      <c r="BA188" s="453">
        <f ca="1">IF(AND($D188="Serviço",BA$12&lt;&gt;0,$H188&gt;0,OR(AUTOEVENTO&lt;&gt;"manual",$M188&lt;&gt;$A$15)),
        IF(Import.TipoArredondamento&lt;&gt;"TransfereGOV",
              ROUND(OFFSET($P188,0,BA$13),15-13*ORÇAMENTO!$AF$7)/$H188*OFFSET(ORÇAMENTO!$X$15,ROW(BA188)-ROW(BA$15),0),
              ROUND(ROUND(OFFSET($P188,0,BA$13),15-13*ORÇAMENTO!$AF$7)*OFFSET(ORÇAMENTO!$W$15,ROW(BA188)-ROW(BA$15),0),15-13*ORÇAMENTO!$AF$11)),
         0)</f>
        <v>0</v>
      </c>
      <c r="BC188" s="171">
        <f ca="1">IF(OR($D188&lt;&gt;"Serviço",AND(AUTOEVENTO="Manual",$M188=$A$15)),0,
         IF(OFFSET(CRONOPLE!$F$15,$M188-$A$15,BC$13)=0,10^12,OFFSET(CRONOPLE!$F$15,$M188-$A$15,BC$13)))</f>
        <v>2</v>
      </c>
      <c r="BD188" s="171">
        <f ca="1">IF(OR($D188&lt;&gt;"Serviço",AND(AUTOEVENTO="Manual",$M188=$A$15)),0,
         IF(OFFSET(CRONOPLE!$F$15,$M188-$A$15,BD$13)=0,10^12,OFFSET(CRONOPLE!$F$15,$M188-$A$15,BD$13)))</f>
        <v>1000000000000</v>
      </c>
      <c r="BE188" s="171">
        <f ca="1">IF(OR($D188&lt;&gt;"Serviço",AND(AUTOEVENTO="Manual",$M188=$A$15)),0,
         IF(OFFSET(CRONOPLE!$F$15,$M188-$A$15,BE$13)=0,10^12,OFFSET(CRONOPLE!$F$15,$M188-$A$15,BE$13)))</f>
        <v>1000000000000</v>
      </c>
      <c r="BF188" s="171">
        <f ca="1">IF(OR($D188&lt;&gt;"Serviço",AND(AUTOEVENTO="Manual",$M188=$A$15)),0,
         IF(OFFSET(CRONOPLE!$F$15,$M188-$A$15,BF$13)=0,10^12,OFFSET(CRONOPLE!$F$15,$M188-$A$15,BF$13)))</f>
        <v>1000000000000</v>
      </c>
      <c r="BG188" s="171">
        <f ca="1">IF(OR($D188&lt;&gt;"Serviço",AND(AUTOEVENTO="Manual",$M188=$A$15)),0,
         IF(OFFSET(CRONOPLE!$F$15,$M188-$A$15,BG$13)=0,10^12,OFFSET(CRONOPLE!$F$15,$M188-$A$15,BG$13)))</f>
        <v>1000000000000</v>
      </c>
      <c r="BH188" s="171">
        <f ca="1">IF(OR($D188&lt;&gt;"Serviço",AND(AUTOEVENTO="Manual",$M188=$A$15)),0,
         IF(OFFSET(CRONOPLE!$F$15,$M188-$A$15,BH$13)=0,10^12,OFFSET(CRONOPLE!$F$15,$M188-$A$15,BH$13)))</f>
        <v>1000000000000</v>
      </c>
      <c r="BI188" s="171">
        <f ca="1">IF(OR($D188&lt;&gt;"Serviço",AND(AUTOEVENTO="Manual",$M188=$A$15)),0,
         IF(OFFSET(CRONOPLE!$F$15,$M188-$A$15,BI$13)=0,10^12,OFFSET(CRONOPLE!$F$15,$M188-$A$15,BI$13)))</f>
        <v>1000000000000</v>
      </c>
      <c r="BJ188" s="171">
        <f ca="1">IF(OR($D188&lt;&gt;"Serviço",AND(AUTOEVENTO="Manual",$M188=$A$15)),0,
         IF(OFFSET(CRONOPLE!$F$15,$M188-$A$15,BJ$13)=0,10^12,OFFSET(CRONOPLE!$F$15,$M188-$A$15,BJ$13)))</f>
        <v>1000000000000</v>
      </c>
      <c r="BK188" s="171">
        <f ca="1">IF(OR($D188&lt;&gt;"Serviço",AND(AUTOEVENTO="Manual",$M188=$A$15)),0,
         IF(OFFSET(CRONOPLE!$F$15,$M188-$A$15,BK$13)=0,10^12,OFFSET(CRONOPLE!$F$15,$M188-$A$15,BK$13)))</f>
        <v>1000000000000</v>
      </c>
      <c r="BL188" s="171">
        <f ca="1">IF(OR($D188&lt;&gt;"Serviço",AND(AUTOEVENTO="Manual",$M188=$A$15)),0,
         IF(OFFSET(CRONOPLE!$F$15,$M188-$A$15,BL$13)=0,10^12,OFFSET(CRONOPLE!$F$15,$M188-$A$15,BL$13)))</f>
        <v>1000000000000</v>
      </c>
      <c r="BM188" s="171">
        <f ca="1">IF(OR($D188&lt;&gt;"Serviço",AND(AUTOEVENTO="Manual",$M188=$A$15)),0,
         IF(OFFSET(CRONOPLE!$F$15,$M188-$A$15,BM$13)=0,10^12,OFFSET(CRONOPLE!$F$15,$M188-$A$15,BM$13)))</f>
        <v>1000000000000</v>
      </c>
      <c r="BN188" s="171">
        <f ca="1">IF(OR($D188&lt;&gt;"Serviço",AND(AUTOEVENTO="Manual",$M188=$A$15)),0,
         IF(OFFSET(CRONOPLE!$F$15,$M188-$A$15,BN$13)=0,10^12,OFFSET(CRONOPLE!$F$15,$M188-$A$15,BN$13)))</f>
        <v>1000000000000</v>
      </c>
      <c r="BO188" s="171">
        <f ca="1">IF(OR($D188&lt;&gt;"Serviço",AND(AUTOEVENTO="Manual",$M188=$A$15)),0,
         IF(OFFSET(CRONOPLE!$F$15,$M188-$A$15,BO$13)=0,10^12,OFFSET(CRONOPLE!$F$15,$M188-$A$15,BO$13)))</f>
        <v>1000000000000</v>
      </c>
      <c r="BP188" s="171">
        <f ca="1">IF(OR($D188&lt;&gt;"Serviço",AND(AUTOEVENTO="Manual",$M188=$A$15)),0,
         IF(OFFSET(CRONOPLE!$F$15,$M188-$A$15,BP$13)=0,10^12,OFFSET(CRONOPLE!$F$15,$M188-$A$15,BP$13)))</f>
        <v>1000000000000</v>
      </c>
      <c r="BQ188" s="171">
        <f ca="1">IF(OR($D188&lt;&gt;"Serviço",AND(AUTOEVENTO="Manual",$M188=$A$15)),0,
         IF(OFFSET(CRONOPLE!$F$15,$M188-$A$15,BQ$13)=0,10^12,OFFSET(CRONOPLE!$F$15,$M188-$A$15,BQ$13)))</f>
        <v>1000000000000</v>
      </c>
      <c r="BR188" s="171">
        <f ca="1">IF(OR($D188&lt;&gt;"Serviço",AND(AUTOEVENTO="Manual",$M188=$A$15)),0,
         IF(OFFSET(CRONOPLE!$F$15,$M188-$A$15,BR$13)=0,10^12,OFFSET(CRONOPLE!$F$15,$M188-$A$15,BR$13)))</f>
        <v>1000000000000</v>
      </c>
      <c r="BS188" s="171">
        <f ca="1">IF(OR($D188&lt;&gt;"Serviço",AND(AUTOEVENTO="Manual",$M188=$A$15)),0,
         IF(OFFSET(CRONOPLE!$F$15,$M188-$A$15,BS$13)=0,10^12,OFFSET(CRONOPLE!$F$15,$M188-$A$15,BS$13)))</f>
        <v>1000000000000</v>
      </c>
      <c r="BT188" s="171">
        <f ca="1">IF(OR($D188&lt;&gt;"Serviço",AND(AUTOEVENTO="Manual",$M188=$A$15)),0,
         IF(OFFSET(CRONOPLE!$F$15,$M188-$A$15,BT$13)=0,10^12,OFFSET(CRONOPLE!$F$15,$M188-$A$15,BT$13)))</f>
        <v>1000000000000</v>
      </c>
      <c r="BV188" s="172" cm="1">
        <f t="array" aca="1" ref="BV188" ca="1">IF(OR($D188&lt;&gt;"Serviço",AND(AUTOEVENTO="Manual",$M188=$A$15),$M188&gt;(ROW(PLE.lastrow)-ROW(PLE.firstrow))),0,
           IF(OFFSET(PLE!$G$15,$M188-$A$15,BV$13)="",10^12,OFFSET(PLE!$G$15,$M188-$A$15,BV$13)))</f>
        <v>1000000000000</v>
      </c>
      <c r="BW188" s="172" cm="1">
        <f t="array" aca="1" ref="BW188" ca="1">IF(OR($D188&lt;&gt;"Serviço",AND(AUTOEVENTO="Manual",$M188=$A$15),$M188&gt;(ROW(PLE.lastrow)-ROW(PLE.firstrow))),0,
           IF(OFFSET(PLE!$G$15,$M188-$A$15,BW$13)="",10^12,OFFSET(PLE!$G$15,$M188-$A$15,BW$13)))</f>
        <v>1000000000000</v>
      </c>
      <c r="BX188" s="172" cm="1">
        <f t="array" aca="1" ref="BX188" ca="1">IF(OR($D188&lt;&gt;"Serviço",AND(AUTOEVENTO="Manual",$M188=$A$15),$M188&gt;(ROW(PLE.lastrow)-ROW(PLE.firstrow))),0,
           IF(OFFSET(PLE!$G$15,$M188-$A$15,BX$13)="",10^12,OFFSET(PLE!$G$15,$M188-$A$15,BX$13)))</f>
        <v>1000000000000</v>
      </c>
      <c r="BY188" s="172" cm="1">
        <f t="array" aca="1" ref="BY188" ca="1">IF(OR($D188&lt;&gt;"Serviço",AND(AUTOEVENTO="Manual",$M188=$A$15),$M188&gt;(ROW(PLE.lastrow)-ROW(PLE.firstrow))),0,
           IF(OFFSET(PLE!$G$15,$M188-$A$15,BY$13)="",10^12,OFFSET(PLE!$G$15,$M188-$A$15,BY$13)))</f>
        <v>1000000000000</v>
      </c>
      <c r="BZ188" s="172" cm="1">
        <f t="array" aca="1" ref="BZ188" ca="1">IF(OR($D188&lt;&gt;"Serviço",AND(AUTOEVENTO="Manual",$M188=$A$15),$M188&gt;(ROW(PLE.lastrow)-ROW(PLE.firstrow))),0,
           IF(OFFSET(PLE!$G$15,$M188-$A$15,BZ$13)="",10^12,OFFSET(PLE!$G$15,$M188-$A$15,BZ$13)))</f>
        <v>1000000000000</v>
      </c>
      <c r="CA188" s="172" cm="1">
        <f t="array" aca="1" ref="CA188" ca="1">IF(OR($D188&lt;&gt;"Serviço",AND(AUTOEVENTO="Manual",$M188=$A$15),$M188&gt;(ROW(PLE.lastrow)-ROW(PLE.firstrow))),0,
           IF(OFFSET(PLE!$G$15,$M188-$A$15,CA$13)="",10^12,OFFSET(PLE!$G$15,$M188-$A$15,CA$13)))</f>
        <v>1000000000000</v>
      </c>
      <c r="CB188" s="172" cm="1">
        <f t="array" aca="1" ref="CB188" ca="1">IF(OR($D188&lt;&gt;"Serviço",AND(AUTOEVENTO="Manual",$M188=$A$15),$M188&gt;(ROW(PLE.lastrow)-ROW(PLE.firstrow))),0,
           IF(OFFSET(PLE!$G$15,$M188-$A$15,CB$13)="",10^12,OFFSET(PLE!$G$15,$M188-$A$15,CB$13)))</f>
        <v>1000000000000</v>
      </c>
      <c r="CC188" s="172" cm="1">
        <f t="array" aca="1" ref="CC188" ca="1">IF(OR($D188&lt;&gt;"Serviço",AND(AUTOEVENTO="Manual",$M188=$A$15),$M188&gt;(ROW(PLE.lastrow)-ROW(PLE.firstrow))),0,
           IF(OFFSET(PLE!$G$15,$M188-$A$15,CC$13)="",10^12,OFFSET(PLE!$G$15,$M188-$A$15,CC$13)))</f>
        <v>1000000000000</v>
      </c>
      <c r="CD188" s="172" cm="1">
        <f t="array" aca="1" ref="CD188" ca="1">IF(OR($D188&lt;&gt;"Serviço",AND(AUTOEVENTO="Manual",$M188=$A$15),$M188&gt;(ROW(PLE.lastrow)-ROW(PLE.firstrow))),0,
           IF(OFFSET(PLE!$G$15,$M188-$A$15,CD$13)="",10^12,OFFSET(PLE!$G$15,$M188-$A$15,CD$13)))</f>
        <v>1000000000000</v>
      </c>
      <c r="CE188" s="172" cm="1">
        <f t="array" aca="1" ref="CE188" ca="1">IF(OR($D188&lt;&gt;"Serviço",AND(AUTOEVENTO="Manual",$M188=$A$15),$M188&gt;(ROW(PLE.lastrow)-ROW(PLE.firstrow))),0,
           IF(OFFSET(PLE!$G$15,$M188-$A$15,CE$13)="",10^12,OFFSET(PLE!$G$15,$M188-$A$15,CE$13)))</f>
        <v>1000000000000</v>
      </c>
      <c r="CF188" s="172" cm="1">
        <f t="array" aca="1" ref="CF188" ca="1">IF(OR($D188&lt;&gt;"Serviço",AND(AUTOEVENTO="Manual",$M188=$A$15),$M188&gt;(ROW(PLE.lastrow)-ROW(PLE.firstrow))),0,
           IF(OFFSET(PLE!$G$15,$M188-$A$15,CF$13)="",10^12,OFFSET(PLE!$G$15,$M188-$A$15,CF$13)))</f>
        <v>1000000000000</v>
      </c>
      <c r="CG188" s="172" cm="1">
        <f t="array" aca="1" ref="CG188" ca="1">IF(OR($D188&lt;&gt;"Serviço",AND(AUTOEVENTO="Manual",$M188=$A$15),$M188&gt;(ROW(PLE.lastrow)-ROW(PLE.firstrow))),0,
           IF(OFFSET(PLE!$G$15,$M188-$A$15,CG$13)="",10^12,OFFSET(PLE!$G$15,$M188-$A$15,CG$13)))</f>
        <v>1000000000000</v>
      </c>
      <c r="CH188" s="172" cm="1">
        <f t="array" aca="1" ref="CH188" ca="1">IF(OR($D188&lt;&gt;"Serviço",AND(AUTOEVENTO="Manual",$M188=$A$15),$M188&gt;(ROW(PLE.lastrow)-ROW(PLE.firstrow))),0,
           IF(OFFSET(PLE!$G$15,$M188-$A$15,CH$13)="",10^12,OFFSET(PLE!$G$15,$M188-$A$15,CH$13)))</f>
        <v>1000000000000</v>
      </c>
      <c r="CI188" s="172" cm="1">
        <f t="array" aca="1" ref="CI188" ca="1">IF(OR($D188&lt;&gt;"Serviço",AND(AUTOEVENTO="Manual",$M188=$A$15),$M188&gt;(ROW(PLE.lastrow)-ROW(PLE.firstrow))),0,
           IF(OFFSET(PLE!$G$15,$M188-$A$15,CI$13)="",10^12,OFFSET(PLE!$G$15,$M188-$A$15,CI$13)))</f>
        <v>1000000000000</v>
      </c>
      <c r="CJ188" s="172" cm="1">
        <f t="array" aca="1" ref="CJ188" ca="1">IF(OR($D188&lt;&gt;"Serviço",AND(AUTOEVENTO="Manual",$M188=$A$15),$M188&gt;(ROW(PLE.lastrow)-ROW(PLE.firstrow))),0,
           IF(OFFSET(PLE!$G$15,$M188-$A$15,CJ$13)="",10^12,OFFSET(PLE!$G$15,$M188-$A$15,CJ$13)))</f>
        <v>1000000000000</v>
      </c>
      <c r="CK188" s="172" cm="1">
        <f t="array" aca="1" ref="CK188" ca="1">IF(OR($D188&lt;&gt;"Serviço",AND(AUTOEVENTO="Manual",$M188=$A$15),$M188&gt;(ROW(PLE.lastrow)-ROW(PLE.firstrow))),0,
           IF(OFFSET(PLE!$G$15,$M188-$A$15,CK$13)="",10^12,OFFSET(PLE!$G$15,$M188-$A$15,CK$13)))</f>
        <v>1000000000000</v>
      </c>
      <c r="CL188" s="172" cm="1">
        <f t="array" aca="1" ref="CL188" ca="1">IF(OR($D188&lt;&gt;"Serviço",AND(AUTOEVENTO="Manual",$M188=$A$15),$M188&gt;(ROW(PLE.lastrow)-ROW(PLE.firstrow))),0,
           IF(OFFSET(PLE!$G$15,$M188-$A$15,CL$13)="",10^12,OFFSET(PLE!$G$15,$M188-$A$15,CL$13)))</f>
        <v>1000000000000</v>
      </c>
      <c r="CM188" s="172" cm="1">
        <f t="array" aca="1" ref="CM188" ca="1">IF(OR($D188&lt;&gt;"Serviço",AND(AUTOEVENTO="Manual",$M188=$A$15),$M188&gt;(ROW(PLE.lastrow)-ROW(PLE.firstrow))),0,
           IF(OFFSET(PLE!$G$15,$M188-$A$15,CM$13)="",10^12,OFFSET(PLE!$G$15,$M188-$A$15,CM$13)))</f>
        <v>1000000000000</v>
      </c>
    </row>
    <row r="189" spans="1:91" s="670" customFormat="1" ht="12.75" x14ac:dyDescent="0.2">
      <c r="A189" s="668">
        <f t="shared" ca="1" si="14"/>
        <v>1</v>
      </c>
      <c r="B189" s="668" t="str">
        <f ca="1">OFFSET(ORÇAMENTO!C$15,$L189,0)</f>
        <v>S</v>
      </c>
      <c r="C189" s="668" t="str">
        <f ca="1">OFFSET(ORÇAMENTO!L$15,$L189,0)</f>
        <v>F</v>
      </c>
      <c r="D189" s="116" t="str">
        <f ca="1">OFFSET(ORÇAMENTO!N$15,$L189,0)</f>
        <v>Serviço</v>
      </c>
      <c r="E189" s="117" t="str">
        <f ca="1">OFFSET(ORÇAMENTO!O$15,$L189,0)</f>
        <v>1.24.3.</v>
      </c>
      <c r="F189" s="163" t="str">
        <f ca="1">OFFSET(ORÇAMENTO!R$15,$L189,0)</f>
        <v>PROJETO EXECUTIVO DE INSTALAÇÕES ELÉTRICAS- PRANCHAS</v>
      </c>
      <c r="G189" s="164" t="str">
        <f ca="1">IF($D189&lt;&gt;"Serviço","",OFFSET(ORÇAMENTO!S$15,$L189,0))</f>
        <v>PRANCHA</v>
      </c>
      <c r="H189" s="122" cm="1">
        <f t="array" aca="1" ref="H189" ca="1">IF($D189&lt;&gt;"Serviço",0,IF(ACOMPANHAMENTO="BM",ROUND(OFFSET(ORÇAMENTO!AJ$15,$L189,0),15-13*ORÇAMENTO!$AF$7),IF(IFERROR(CÁLCULO.FrentesPreenchidas,0)=0,0,SUM(ROUND(OFFSET($P189,0,1,1,CÁLCULO.FrentesPreenchidas),15-13*ORÇAMENTO!$AF$7)))))</f>
        <v>12</v>
      </c>
      <c r="I189" s="468" t="s">
        <v>1133</v>
      </c>
      <c r="J189" s="651" t="str" cm="1">
        <f t="array" aca="1" ref="J189" ca="1">IF(OR(B189&lt;&gt;"S",CÁLCULO.FrentesPreenchidas=0),"",IF(AND(ACOMPANHAMENTO="PLE",AUTOEVENTO="Manual",OR(H189&gt;0,ORÇAMENTO!AC189="QUANT."),OR(K189="",M189=0,N189="")),"►E",IF(AND(ACOMPANHAMENTO="PLE",ORÇAMENTO!AC189="QUANT."),"►Q",IF(AND(ACOMPANHAMENTO="PLE",H189&lt;&gt;SUMPRODUCT(($Q$1:$AI$1=1)*ROUND(Q189:AI189,15))),"►S",IF(AND(COUNTIF($P$11:$AI$11,"▼")=0,H189&gt;0,I189=""),"◄M","")))))</f>
        <v/>
      </c>
      <c r="K189" s="652" t="s">
        <v>1279</v>
      </c>
      <c r="L189" s="165">
        <f t="shared" ca="1" si="15"/>
        <v>174</v>
      </c>
      <c r="M189" s="166">
        <f ca="1">IF($D189&lt;&gt;"Serviço","",
          IF(AUTOEVENTO="manual",$A189,
                IF(ISERROR(MATCH($A189,$A$15:OFFSET($A189,-1,0),0)),MAX($M$15:OFFSET(M189,-1,0))+1,
                      INDEX($M$15:OFFSET(M189,-1,0),MATCH($A189,$A$15:OFFSET($A189,-1,0),0)))))</f>
        <v>1</v>
      </c>
      <c r="N189" s="167" t="str">
        <f ca="1">IF($D189&lt;&gt;"Serviço","",
         IF(AUTOEVENTO="Manual",
                IF($A189=0,"&lt;-- defina o número do agrupador",
                       OFFSET(EVENTOS!$D$15,$A189-$A$15,0)),
                OFFSET($F$15,$A189,0)))</f>
        <v>Projetos 1</v>
      </c>
      <c r="O189" s="168"/>
      <c r="Q189" s="168">
        <v>12</v>
      </c>
      <c r="R189" s="169"/>
      <c r="S189" s="169"/>
      <c r="T189" s="169"/>
      <c r="U189" s="169"/>
      <c r="V189" s="169"/>
      <c r="W189" s="169"/>
      <c r="X189" s="169"/>
      <c r="Y189" s="169"/>
      <c r="Z189" s="170"/>
      <c r="AA189" s="705"/>
      <c r="AB189" s="705">
        <v>12</v>
      </c>
      <c r="AC189" s="705"/>
      <c r="AD189" s="705"/>
      <c r="AE189" s="705"/>
      <c r="AF189" s="705"/>
      <c r="AG189" s="705"/>
      <c r="AH189" s="706"/>
      <c r="AJ189" s="453">
        <f ca="1">IF(AND($D189="Serviço",AJ$12&lt;&gt;0,$H189&gt;0,OR(AUTOEVENTO&lt;&gt;"manual",$M189&lt;&gt;$A$15)),
        IF(Import.TipoArredondamento&lt;&gt;"TransfereGOV",
              ROUND(OFFSET($P189,0,AJ$13),15-13*ORÇAMENTO!$AF$7)/$H189*OFFSET(ORÇAMENTO!$X$15,ROW(AJ189)-ROW(AJ$15),0),
              ROUND(ROUND(OFFSET($P189,0,AJ$13),15-13*ORÇAMENTO!$AF$7)*OFFSET(ORÇAMENTO!$W$15,ROW(AJ189)-ROW(AJ$15),0),15-13*ORÇAMENTO!$AF$11)),
         0)</f>
        <v>26906.04</v>
      </c>
      <c r="AK189" s="453">
        <f ca="1">IF(AND($D189="Serviço",AK$12&lt;&gt;0,$H189&gt;0,OR(AUTOEVENTO&lt;&gt;"manual",$M189&lt;&gt;$A$15)),
        IF(Import.TipoArredondamento&lt;&gt;"TransfereGOV",
              ROUND(OFFSET($P189,0,AK$13),15-13*ORÇAMENTO!$AF$7)/$H189*OFFSET(ORÇAMENTO!$X$15,ROW(AK189)-ROW(AK$15),0),
              ROUND(ROUND(OFFSET($P189,0,AK$13),15-13*ORÇAMENTO!$AF$7)*OFFSET(ORÇAMENTO!$W$15,ROW(AK189)-ROW(AK$15),0),15-13*ORÇAMENTO!$AF$11)),
         0)</f>
        <v>0</v>
      </c>
      <c r="AL189" s="453">
        <f ca="1">IF(AND($D189="Serviço",AL$12&lt;&gt;0,$H189&gt;0,OR(AUTOEVENTO&lt;&gt;"manual",$M189&lt;&gt;$A$15)),
        IF(Import.TipoArredondamento&lt;&gt;"TransfereGOV",
              ROUND(OFFSET($P189,0,AL$13),15-13*ORÇAMENTO!$AF$7)/$H189*OFFSET(ORÇAMENTO!$X$15,ROW(AL189)-ROW(AL$15),0),
              ROUND(ROUND(OFFSET($P189,0,AL$13),15-13*ORÇAMENTO!$AF$7)*OFFSET(ORÇAMENTO!$W$15,ROW(AL189)-ROW(AL$15),0),15-13*ORÇAMENTO!$AF$11)),
         0)</f>
        <v>0</v>
      </c>
      <c r="AM189" s="453">
        <f ca="1">IF(AND($D189="Serviço",AM$12&lt;&gt;0,$H189&gt;0,OR(AUTOEVENTO&lt;&gt;"manual",$M189&lt;&gt;$A$15)),
        IF(Import.TipoArredondamento&lt;&gt;"TransfereGOV",
              ROUND(OFFSET($P189,0,AM$13),15-13*ORÇAMENTO!$AF$7)/$H189*OFFSET(ORÇAMENTO!$X$15,ROW(AM189)-ROW(AM$15),0),
              ROUND(ROUND(OFFSET($P189,0,AM$13),15-13*ORÇAMENTO!$AF$7)*OFFSET(ORÇAMENTO!$W$15,ROW(AM189)-ROW(AM$15),0),15-13*ORÇAMENTO!$AF$11)),
         0)</f>
        <v>0</v>
      </c>
      <c r="AN189" s="453">
        <f ca="1">IF(AND($D189="Serviço",AN$12&lt;&gt;0,$H189&gt;0,OR(AUTOEVENTO&lt;&gt;"manual",$M189&lt;&gt;$A$15)),
        IF(Import.TipoArredondamento&lt;&gt;"TransfereGOV",
              ROUND(OFFSET($P189,0,AN$13),15-13*ORÇAMENTO!$AF$7)/$H189*OFFSET(ORÇAMENTO!$X$15,ROW(AN189)-ROW(AN$15),0),
              ROUND(ROUND(OFFSET($P189,0,AN$13),15-13*ORÇAMENTO!$AF$7)*OFFSET(ORÇAMENTO!$W$15,ROW(AN189)-ROW(AN$15),0),15-13*ORÇAMENTO!$AF$11)),
         0)</f>
        <v>0</v>
      </c>
      <c r="AO189" s="453">
        <f ca="1">IF(AND($D189="Serviço",AO$12&lt;&gt;0,$H189&gt;0,OR(AUTOEVENTO&lt;&gt;"manual",$M189&lt;&gt;$A$15)),
        IF(Import.TipoArredondamento&lt;&gt;"TransfereGOV",
              ROUND(OFFSET($P189,0,AO$13),15-13*ORÇAMENTO!$AF$7)/$H189*OFFSET(ORÇAMENTO!$X$15,ROW(AO189)-ROW(AO$15),0),
              ROUND(ROUND(OFFSET($P189,0,AO$13),15-13*ORÇAMENTO!$AF$7)*OFFSET(ORÇAMENTO!$W$15,ROW(AO189)-ROW(AO$15),0),15-13*ORÇAMENTO!$AF$11)),
         0)</f>
        <v>0</v>
      </c>
      <c r="AP189" s="453">
        <f ca="1">IF(AND($D189="Serviço",AP$12&lt;&gt;0,$H189&gt;0,OR(AUTOEVENTO&lt;&gt;"manual",$M189&lt;&gt;$A$15)),
        IF(Import.TipoArredondamento&lt;&gt;"TransfereGOV",
              ROUND(OFFSET($P189,0,AP$13),15-13*ORÇAMENTO!$AF$7)/$H189*OFFSET(ORÇAMENTO!$X$15,ROW(AP189)-ROW(AP$15),0),
              ROUND(ROUND(OFFSET($P189,0,AP$13),15-13*ORÇAMENTO!$AF$7)*OFFSET(ORÇAMENTO!$W$15,ROW(AP189)-ROW(AP$15),0),15-13*ORÇAMENTO!$AF$11)),
         0)</f>
        <v>0</v>
      </c>
      <c r="AQ189" s="453">
        <f ca="1">IF(AND($D189="Serviço",AQ$12&lt;&gt;0,$H189&gt;0,OR(AUTOEVENTO&lt;&gt;"manual",$M189&lt;&gt;$A$15)),
        IF(Import.TipoArredondamento&lt;&gt;"TransfereGOV",
              ROUND(OFFSET($P189,0,AQ$13),15-13*ORÇAMENTO!$AF$7)/$H189*OFFSET(ORÇAMENTO!$X$15,ROW(AQ189)-ROW(AQ$15),0),
              ROUND(ROUND(OFFSET($P189,0,AQ$13),15-13*ORÇAMENTO!$AF$7)*OFFSET(ORÇAMENTO!$W$15,ROW(AQ189)-ROW(AQ$15),0),15-13*ORÇAMENTO!$AF$11)),
         0)</f>
        <v>0</v>
      </c>
      <c r="AR189" s="453">
        <f ca="1">IF(AND($D189="Serviço",AR$12&lt;&gt;0,$H189&gt;0,OR(AUTOEVENTO&lt;&gt;"manual",$M189&lt;&gt;$A$15)),
        IF(Import.TipoArredondamento&lt;&gt;"TransfereGOV",
              ROUND(OFFSET($P189,0,AR$13),15-13*ORÇAMENTO!$AF$7)/$H189*OFFSET(ORÇAMENTO!$X$15,ROW(AR189)-ROW(AR$15),0),
              ROUND(ROUND(OFFSET($P189,0,AR$13),15-13*ORÇAMENTO!$AF$7)*OFFSET(ORÇAMENTO!$W$15,ROW(AR189)-ROW(AR$15),0),15-13*ORÇAMENTO!$AF$11)),
         0)</f>
        <v>0</v>
      </c>
      <c r="AS189" s="453">
        <f ca="1">IF(AND($D189="Serviço",AS$12&lt;&gt;0,$H189&gt;0,OR(AUTOEVENTO&lt;&gt;"manual",$M189&lt;&gt;$A$15)),
        IF(Import.TipoArredondamento&lt;&gt;"TransfereGOV",
              ROUND(OFFSET($P189,0,AS$13),15-13*ORÇAMENTO!$AF$7)/$H189*OFFSET(ORÇAMENTO!$X$15,ROW(AS189)-ROW(AS$15),0),
              ROUND(ROUND(OFFSET($P189,0,AS$13),15-13*ORÇAMENTO!$AF$7)*OFFSET(ORÇAMENTO!$W$15,ROW(AS189)-ROW(AS$15),0),15-13*ORÇAMENTO!$AF$11)),
         0)</f>
        <v>0</v>
      </c>
      <c r="AT189" s="453">
        <f ca="1">IF(AND($D189="Serviço",AT$12&lt;&gt;0,$H189&gt;0,OR(AUTOEVENTO&lt;&gt;"manual",$M189&lt;&gt;$A$15)),
        IF(Import.TipoArredondamento&lt;&gt;"TransfereGOV",
              ROUND(OFFSET($P189,0,AT$13),15-13*ORÇAMENTO!$AF$7)/$H189*OFFSET(ORÇAMENTO!$X$15,ROW(AT189)-ROW(AT$15),0),
              ROUND(ROUND(OFFSET($P189,0,AT$13),15-13*ORÇAMENTO!$AF$7)*OFFSET(ORÇAMENTO!$W$15,ROW(AT189)-ROW(AT$15),0),15-13*ORÇAMENTO!$AF$11)),
         0)</f>
        <v>0</v>
      </c>
      <c r="AU189" s="453">
        <f ca="1">IF(AND($D189="Serviço",AU$12&lt;&gt;0,$H189&gt;0,OR(AUTOEVENTO&lt;&gt;"manual",$M189&lt;&gt;$A$15)),
        IF(Import.TipoArredondamento&lt;&gt;"TransfereGOV",
              ROUND(OFFSET($P189,0,AU$13),15-13*ORÇAMENTO!$AF$7)/$H189*OFFSET(ORÇAMENTO!$X$15,ROW(AU189)-ROW(AU$15),0),
              ROUND(ROUND(OFFSET($P189,0,AU$13),15-13*ORÇAMENTO!$AF$7)*OFFSET(ORÇAMENTO!$W$15,ROW(AU189)-ROW(AU$15),0),15-13*ORÇAMENTO!$AF$11)),
         0)</f>
        <v>0</v>
      </c>
      <c r="AV189" s="453">
        <f ca="1">IF(AND($D189="Serviço",AV$12&lt;&gt;0,$H189&gt;0,OR(AUTOEVENTO&lt;&gt;"manual",$M189&lt;&gt;$A$15)),
        IF(Import.TipoArredondamento&lt;&gt;"TransfereGOV",
              ROUND(OFFSET($P189,0,AV$13),15-13*ORÇAMENTO!$AF$7)/$H189*OFFSET(ORÇAMENTO!$X$15,ROW(AV189)-ROW(AV$15),0),
              ROUND(ROUND(OFFSET($P189,0,AV$13),15-13*ORÇAMENTO!$AF$7)*OFFSET(ORÇAMENTO!$W$15,ROW(AV189)-ROW(AV$15),0),15-13*ORÇAMENTO!$AF$11)),
         0)</f>
        <v>0</v>
      </c>
      <c r="AW189" s="453">
        <f ca="1">IF(AND($D189="Serviço",AW$12&lt;&gt;0,$H189&gt;0,OR(AUTOEVENTO&lt;&gt;"manual",$M189&lt;&gt;$A$15)),
        IF(Import.TipoArredondamento&lt;&gt;"TransfereGOV",
              ROUND(OFFSET($P189,0,AW$13),15-13*ORÇAMENTO!$AF$7)/$H189*OFFSET(ORÇAMENTO!$X$15,ROW(AW189)-ROW(AW$15),0),
              ROUND(ROUND(OFFSET($P189,0,AW$13),15-13*ORÇAMENTO!$AF$7)*OFFSET(ORÇAMENTO!$W$15,ROW(AW189)-ROW(AW$15),0),15-13*ORÇAMENTO!$AF$11)),
         0)</f>
        <v>0</v>
      </c>
      <c r="AX189" s="453">
        <f ca="1">IF(AND($D189="Serviço",AX$12&lt;&gt;0,$H189&gt;0,OR(AUTOEVENTO&lt;&gt;"manual",$M189&lt;&gt;$A$15)),
        IF(Import.TipoArredondamento&lt;&gt;"TransfereGOV",
              ROUND(OFFSET($P189,0,AX$13),15-13*ORÇAMENTO!$AF$7)/$H189*OFFSET(ORÇAMENTO!$X$15,ROW(AX189)-ROW(AX$15),0),
              ROUND(ROUND(OFFSET($P189,0,AX$13),15-13*ORÇAMENTO!$AF$7)*OFFSET(ORÇAMENTO!$W$15,ROW(AX189)-ROW(AX$15),0),15-13*ORÇAMENTO!$AF$11)),
         0)</f>
        <v>0</v>
      </c>
      <c r="AY189" s="453">
        <f ca="1">IF(AND($D189="Serviço",AY$12&lt;&gt;0,$H189&gt;0,OR(AUTOEVENTO&lt;&gt;"manual",$M189&lt;&gt;$A$15)),
        IF(Import.TipoArredondamento&lt;&gt;"TransfereGOV",
              ROUND(OFFSET($P189,0,AY$13),15-13*ORÇAMENTO!$AF$7)/$H189*OFFSET(ORÇAMENTO!$X$15,ROW(AY189)-ROW(AY$15),0),
              ROUND(ROUND(OFFSET($P189,0,AY$13),15-13*ORÇAMENTO!$AF$7)*OFFSET(ORÇAMENTO!$W$15,ROW(AY189)-ROW(AY$15),0),15-13*ORÇAMENTO!$AF$11)),
         0)</f>
        <v>0</v>
      </c>
      <c r="AZ189" s="453">
        <f ca="1">IF(AND($D189="Serviço",AZ$12&lt;&gt;0,$H189&gt;0,OR(AUTOEVENTO&lt;&gt;"manual",$M189&lt;&gt;$A$15)),
        IF(Import.TipoArredondamento&lt;&gt;"TransfereGOV",
              ROUND(OFFSET($P189,0,AZ$13),15-13*ORÇAMENTO!$AF$7)/$H189*OFFSET(ORÇAMENTO!$X$15,ROW(AZ189)-ROW(AZ$15),0),
              ROUND(ROUND(OFFSET($P189,0,AZ$13),15-13*ORÇAMENTO!$AF$7)*OFFSET(ORÇAMENTO!$W$15,ROW(AZ189)-ROW(AZ$15),0),15-13*ORÇAMENTO!$AF$11)),
         0)</f>
        <v>0</v>
      </c>
      <c r="BA189" s="453">
        <f ca="1">IF(AND($D189="Serviço",BA$12&lt;&gt;0,$H189&gt;0,OR(AUTOEVENTO&lt;&gt;"manual",$M189&lt;&gt;$A$15)),
        IF(Import.TipoArredondamento&lt;&gt;"TransfereGOV",
              ROUND(OFFSET($P189,0,BA$13),15-13*ORÇAMENTO!$AF$7)/$H189*OFFSET(ORÇAMENTO!$X$15,ROW(BA189)-ROW(BA$15),0),
              ROUND(ROUND(OFFSET($P189,0,BA$13),15-13*ORÇAMENTO!$AF$7)*OFFSET(ORÇAMENTO!$W$15,ROW(BA189)-ROW(BA$15),0),15-13*ORÇAMENTO!$AF$11)),
         0)</f>
        <v>0</v>
      </c>
      <c r="BC189" s="171">
        <f ca="1">IF(OR($D189&lt;&gt;"Serviço",AND(AUTOEVENTO="Manual",$M189=$A$15)),0,
         IF(OFFSET(CRONOPLE!$F$15,$M189-$A$15,BC$13)=0,10^12,OFFSET(CRONOPLE!$F$15,$M189-$A$15,BC$13)))</f>
        <v>1</v>
      </c>
      <c r="BD189" s="171">
        <f ca="1">IF(OR($D189&lt;&gt;"Serviço",AND(AUTOEVENTO="Manual",$M189=$A$15)),0,
         IF(OFFSET(CRONOPLE!$F$15,$M189-$A$15,BD$13)=0,10^12,OFFSET(CRONOPLE!$F$15,$M189-$A$15,BD$13)))</f>
        <v>1000000000000</v>
      </c>
      <c r="BE189" s="171">
        <f ca="1">IF(OR($D189&lt;&gt;"Serviço",AND(AUTOEVENTO="Manual",$M189=$A$15)),0,
         IF(OFFSET(CRONOPLE!$F$15,$M189-$A$15,BE$13)=0,10^12,OFFSET(CRONOPLE!$F$15,$M189-$A$15,BE$13)))</f>
        <v>1000000000000</v>
      </c>
      <c r="BF189" s="171">
        <f ca="1">IF(OR($D189&lt;&gt;"Serviço",AND(AUTOEVENTO="Manual",$M189=$A$15)),0,
         IF(OFFSET(CRONOPLE!$F$15,$M189-$A$15,BF$13)=0,10^12,OFFSET(CRONOPLE!$F$15,$M189-$A$15,BF$13)))</f>
        <v>1000000000000</v>
      </c>
      <c r="BG189" s="171">
        <f ca="1">IF(OR($D189&lt;&gt;"Serviço",AND(AUTOEVENTO="Manual",$M189=$A$15)),0,
         IF(OFFSET(CRONOPLE!$F$15,$M189-$A$15,BG$13)=0,10^12,OFFSET(CRONOPLE!$F$15,$M189-$A$15,BG$13)))</f>
        <v>1000000000000</v>
      </c>
      <c r="BH189" s="171">
        <f ca="1">IF(OR($D189&lt;&gt;"Serviço",AND(AUTOEVENTO="Manual",$M189=$A$15)),0,
         IF(OFFSET(CRONOPLE!$F$15,$M189-$A$15,BH$13)=0,10^12,OFFSET(CRONOPLE!$F$15,$M189-$A$15,BH$13)))</f>
        <v>1000000000000</v>
      </c>
      <c r="BI189" s="171">
        <f ca="1">IF(OR($D189&lt;&gt;"Serviço",AND(AUTOEVENTO="Manual",$M189=$A$15)),0,
         IF(OFFSET(CRONOPLE!$F$15,$M189-$A$15,BI$13)=0,10^12,OFFSET(CRONOPLE!$F$15,$M189-$A$15,BI$13)))</f>
        <v>1000000000000</v>
      </c>
      <c r="BJ189" s="171">
        <f ca="1">IF(OR($D189&lt;&gt;"Serviço",AND(AUTOEVENTO="Manual",$M189=$A$15)),0,
         IF(OFFSET(CRONOPLE!$F$15,$M189-$A$15,BJ$13)=0,10^12,OFFSET(CRONOPLE!$F$15,$M189-$A$15,BJ$13)))</f>
        <v>1000000000000</v>
      </c>
      <c r="BK189" s="171">
        <f ca="1">IF(OR($D189&lt;&gt;"Serviço",AND(AUTOEVENTO="Manual",$M189=$A$15)),0,
         IF(OFFSET(CRONOPLE!$F$15,$M189-$A$15,BK$13)=0,10^12,OFFSET(CRONOPLE!$F$15,$M189-$A$15,BK$13)))</f>
        <v>1000000000000</v>
      </c>
      <c r="BL189" s="171">
        <f ca="1">IF(OR($D189&lt;&gt;"Serviço",AND(AUTOEVENTO="Manual",$M189=$A$15)),0,
         IF(OFFSET(CRONOPLE!$F$15,$M189-$A$15,BL$13)=0,10^12,OFFSET(CRONOPLE!$F$15,$M189-$A$15,BL$13)))</f>
        <v>1000000000000</v>
      </c>
      <c r="BM189" s="171">
        <f ca="1">IF(OR($D189&lt;&gt;"Serviço",AND(AUTOEVENTO="Manual",$M189=$A$15)),0,
         IF(OFFSET(CRONOPLE!$F$15,$M189-$A$15,BM$13)=0,10^12,OFFSET(CRONOPLE!$F$15,$M189-$A$15,BM$13)))</f>
        <v>1000000000000</v>
      </c>
      <c r="BN189" s="171">
        <f ca="1">IF(OR($D189&lt;&gt;"Serviço",AND(AUTOEVENTO="Manual",$M189=$A$15)),0,
         IF(OFFSET(CRONOPLE!$F$15,$M189-$A$15,BN$13)=0,10^12,OFFSET(CRONOPLE!$F$15,$M189-$A$15,BN$13)))</f>
        <v>1000000000000</v>
      </c>
      <c r="BO189" s="171">
        <f ca="1">IF(OR($D189&lt;&gt;"Serviço",AND(AUTOEVENTO="Manual",$M189=$A$15)),0,
         IF(OFFSET(CRONOPLE!$F$15,$M189-$A$15,BO$13)=0,10^12,OFFSET(CRONOPLE!$F$15,$M189-$A$15,BO$13)))</f>
        <v>1000000000000</v>
      </c>
      <c r="BP189" s="171">
        <f ca="1">IF(OR($D189&lt;&gt;"Serviço",AND(AUTOEVENTO="Manual",$M189=$A$15)),0,
         IF(OFFSET(CRONOPLE!$F$15,$M189-$A$15,BP$13)=0,10^12,OFFSET(CRONOPLE!$F$15,$M189-$A$15,BP$13)))</f>
        <v>1000000000000</v>
      </c>
      <c r="BQ189" s="171">
        <f ca="1">IF(OR($D189&lt;&gt;"Serviço",AND(AUTOEVENTO="Manual",$M189=$A$15)),0,
         IF(OFFSET(CRONOPLE!$F$15,$M189-$A$15,BQ$13)=0,10^12,OFFSET(CRONOPLE!$F$15,$M189-$A$15,BQ$13)))</f>
        <v>1000000000000</v>
      </c>
      <c r="BR189" s="171">
        <f ca="1">IF(OR($D189&lt;&gt;"Serviço",AND(AUTOEVENTO="Manual",$M189=$A$15)),0,
         IF(OFFSET(CRONOPLE!$F$15,$M189-$A$15,BR$13)=0,10^12,OFFSET(CRONOPLE!$F$15,$M189-$A$15,BR$13)))</f>
        <v>1000000000000</v>
      </c>
      <c r="BS189" s="171">
        <f ca="1">IF(OR($D189&lt;&gt;"Serviço",AND(AUTOEVENTO="Manual",$M189=$A$15)),0,
         IF(OFFSET(CRONOPLE!$F$15,$M189-$A$15,BS$13)=0,10^12,OFFSET(CRONOPLE!$F$15,$M189-$A$15,BS$13)))</f>
        <v>1000000000000</v>
      </c>
      <c r="BT189" s="171">
        <f ca="1">IF(OR($D189&lt;&gt;"Serviço",AND(AUTOEVENTO="Manual",$M189=$A$15)),0,
         IF(OFFSET(CRONOPLE!$F$15,$M189-$A$15,BT$13)=0,10^12,OFFSET(CRONOPLE!$F$15,$M189-$A$15,BT$13)))</f>
        <v>1000000000000</v>
      </c>
      <c r="BV189" s="172" cm="1">
        <f t="array" aca="1" ref="BV189" ca="1">IF(OR($D189&lt;&gt;"Serviço",AND(AUTOEVENTO="Manual",$M189=$A$15),$M189&gt;(ROW(PLE.lastrow)-ROW(PLE.firstrow))),0,
           IF(OFFSET(PLE!$G$15,$M189-$A$15,BV$13)="",10^12,OFFSET(PLE!$G$15,$M189-$A$15,BV$13)))</f>
        <v>1000000000000</v>
      </c>
      <c r="BW189" s="172" cm="1">
        <f t="array" aca="1" ref="BW189" ca="1">IF(OR($D189&lt;&gt;"Serviço",AND(AUTOEVENTO="Manual",$M189=$A$15),$M189&gt;(ROW(PLE.lastrow)-ROW(PLE.firstrow))),0,
           IF(OFFSET(PLE!$G$15,$M189-$A$15,BW$13)="",10^12,OFFSET(PLE!$G$15,$M189-$A$15,BW$13)))</f>
        <v>1000000000000</v>
      </c>
      <c r="BX189" s="172" cm="1">
        <f t="array" aca="1" ref="BX189" ca="1">IF(OR($D189&lt;&gt;"Serviço",AND(AUTOEVENTO="Manual",$M189=$A$15),$M189&gt;(ROW(PLE.lastrow)-ROW(PLE.firstrow))),0,
           IF(OFFSET(PLE!$G$15,$M189-$A$15,BX$13)="",10^12,OFFSET(PLE!$G$15,$M189-$A$15,BX$13)))</f>
        <v>1000000000000</v>
      </c>
      <c r="BY189" s="172" cm="1">
        <f t="array" aca="1" ref="BY189" ca="1">IF(OR($D189&lt;&gt;"Serviço",AND(AUTOEVENTO="Manual",$M189=$A$15),$M189&gt;(ROW(PLE.lastrow)-ROW(PLE.firstrow))),0,
           IF(OFFSET(PLE!$G$15,$M189-$A$15,BY$13)="",10^12,OFFSET(PLE!$G$15,$M189-$A$15,BY$13)))</f>
        <v>1000000000000</v>
      </c>
      <c r="BZ189" s="172" cm="1">
        <f t="array" aca="1" ref="BZ189" ca="1">IF(OR($D189&lt;&gt;"Serviço",AND(AUTOEVENTO="Manual",$M189=$A$15),$M189&gt;(ROW(PLE.lastrow)-ROW(PLE.firstrow))),0,
           IF(OFFSET(PLE!$G$15,$M189-$A$15,BZ$13)="",10^12,OFFSET(PLE!$G$15,$M189-$A$15,BZ$13)))</f>
        <v>1000000000000</v>
      </c>
      <c r="CA189" s="172" cm="1">
        <f t="array" aca="1" ref="CA189" ca="1">IF(OR($D189&lt;&gt;"Serviço",AND(AUTOEVENTO="Manual",$M189=$A$15),$M189&gt;(ROW(PLE.lastrow)-ROW(PLE.firstrow))),0,
           IF(OFFSET(PLE!$G$15,$M189-$A$15,CA$13)="",10^12,OFFSET(PLE!$G$15,$M189-$A$15,CA$13)))</f>
        <v>1000000000000</v>
      </c>
      <c r="CB189" s="172" cm="1">
        <f t="array" aca="1" ref="CB189" ca="1">IF(OR($D189&lt;&gt;"Serviço",AND(AUTOEVENTO="Manual",$M189=$A$15),$M189&gt;(ROW(PLE.lastrow)-ROW(PLE.firstrow))),0,
           IF(OFFSET(PLE!$G$15,$M189-$A$15,CB$13)="",10^12,OFFSET(PLE!$G$15,$M189-$A$15,CB$13)))</f>
        <v>1000000000000</v>
      </c>
      <c r="CC189" s="172" cm="1">
        <f t="array" aca="1" ref="CC189" ca="1">IF(OR($D189&lt;&gt;"Serviço",AND(AUTOEVENTO="Manual",$M189=$A$15),$M189&gt;(ROW(PLE.lastrow)-ROW(PLE.firstrow))),0,
           IF(OFFSET(PLE!$G$15,$M189-$A$15,CC$13)="",10^12,OFFSET(PLE!$G$15,$M189-$A$15,CC$13)))</f>
        <v>1000000000000</v>
      </c>
      <c r="CD189" s="172" cm="1">
        <f t="array" aca="1" ref="CD189" ca="1">IF(OR($D189&lt;&gt;"Serviço",AND(AUTOEVENTO="Manual",$M189=$A$15),$M189&gt;(ROW(PLE.lastrow)-ROW(PLE.firstrow))),0,
           IF(OFFSET(PLE!$G$15,$M189-$A$15,CD$13)="",10^12,OFFSET(PLE!$G$15,$M189-$A$15,CD$13)))</f>
        <v>1000000000000</v>
      </c>
      <c r="CE189" s="172" cm="1">
        <f t="array" aca="1" ref="CE189" ca="1">IF(OR($D189&lt;&gt;"Serviço",AND(AUTOEVENTO="Manual",$M189=$A$15),$M189&gt;(ROW(PLE.lastrow)-ROW(PLE.firstrow))),0,
           IF(OFFSET(PLE!$G$15,$M189-$A$15,CE$13)="",10^12,OFFSET(PLE!$G$15,$M189-$A$15,CE$13)))</f>
        <v>1000000000000</v>
      </c>
      <c r="CF189" s="172" cm="1">
        <f t="array" aca="1" ref="CF189" ca="1">IF(OR($D189&lt;&gt;"Serviço",AND(AUTOEVENTO="Manual",$M189=$A$15),$M189&gt;(ROW(PLE.lastrow)-ROW(PLE.firstrow))),0,
           IF(OFFSET(PLE!$G$15,$M189-$A$15,CF$13)="",10^12,OFFSET(PLE!$G$15,$M189-$A$15,CF$13)))</f>
        <v>1000000000000</v>
      </c>
      <c r="CG189" s="172" cm="1">
        <f t="array" aca="1" ref="CG189" ca="1">IF(OR($D189&lt;&gt;"Serviço",AND(AUTOEVENTO="Manual",$M189=$A$15),$M189&gt;(ROW(PLE.lastrow)-ROW(PLE.firstrow))),0,
           IF(OFFSET(PLE!$G$15,$M189-$A$15,CG$13)="",10^12,OFFSET(PLE!$G$15,$M189-$A$15,CG$13)))</f>
        <v>1000000000000</v>
      </c>
      <c r="CH189" s="172" cm="1">
        <f t="array" aca="1" ref="CH189" ca="1">IF(OR($D189&lt;&gt;"Serviço",AND(AUTOEVENTO="Manual",$M189=$A$15),$M189&gt;(ROW(PLE.lastrow)-ROW(PLE.firstrow))),0,
           IF(OFFSET(PLE!$G$15,$M189-$A$15,CH$13)="",10^12,OFFSET(PLE!$G$15,$M189-$A$15,CH$13)))</f>
        <v>1000000000000</v>
      </c>
      <c r="CI189" s="172" cm="1">
        <f t="array" aca="1" ref="CI189" ca="1">IF(OR($D189&lt;&gt;"Serviço",AND(AUTOEVENTO="Manual",$M189=$A$15),$M189&gt;(ROW(PLE.lastrow)-ROW(PLE.firstrow))),0,
           IF(OFFSET(PLE!$G$15,$M189-$A$15,CI$13)="",10^12,OFFSET(PLE!$G$15,$M189-$A$15,CI$13)))</f>
        <v>1000000000000</v>
      </c>
      <c r="CJ189" s="172" cm="1">
        <f t="array" aca="1" ref="CJ189" ca="1">IF(OR($D189&lt;&gt;"Serviço",AND(AUTOEVENTO="Manual",$M189=$A$15),$M189&gt;(ROW(PLE.lastrow)-ROW(PLE.firstrow))),0,
           IF(OFFSET(PLE!$G$15,$M189-$A$15,CJ$13)="",10^12,OFFSET(PLE!$G$15,$M189-$A$15,CJ$13)))</f>
        <v>1000000000000</v>
      </c>
      <c r="CK189" s="172" cm="1">
        <f t="array" aca="1" ref="CK189" ca="1">IF(OR($D189&lt;&gt;"Serviço",AND(AUTOEVENTO="Manual",$M189=$A$15),$M189&gt;(ROW(PLE.lastrow)-ROW(PLE.firstrow))),0,
           IF(OFFSET(PLE!$G$15,$M189-$A$15,CK$13)="",10^12,OFFSET(PLE!$G$15,$M189-$A$15,CK$13)))</f>
        <v>1000000000000</v>
      </c>
      <c r="CL189" s="172" cm="1">
        <f t="array" aca="1" ref="CL189" ca="1">IF(OR($D189&lt;&gt;"Serviço",AND(AUTOEVENTO="Manual",$M189=$A$15),$M189&gt;(ROW(PLE.lastrow)-ROW(PLE.firstrow))),0,
           IF(OFFSET(PLE!$G$15,$M189-$A$15,CL$13)="",10^12,OFFSET(PLE!$G$15,$M189-$A$15,CL$13)))</f>
        <v>1000000000000</v>
      </c>
      <c r="CM189" s="172" cm="1">
        <f t="array" aca="1" ref="CM189" ca="1">IF(OR($D189&lt;&gt;"Serviço",AND(AUTOEVENTO="Manual",$M189=$A$15),$M189&gt;(ROW(PLE.lastrow)-ROW(PLE.firstrow))),0,
           IF(OFFSET(PLE!$G$15,$M189-$A$15,CM$13)="",10^12,OFFSET(PLE!$G$15,$M189-$A$15,CM$13)))</f>
        <v>1000000000000</v>
      </c>
    </row>
    <row r="190" spans="1:91" s="670" customFormat="1" ht="25.5" x14ac:dyDescent="0.2">
      <c r="A190" s="668">
        <f t="shared" ref="A190" ca="1" si="16">IFERROR(IF(AUTOEVENTO="Manual",IF(K190&lt;&gt;"",MIN(VALUE(LEFT(K190,FIND(".",K190)-1)),COUNTA(EVENTOS.Lista)),0),IF(OR($B190&gt;AUTOEVENTO,$B190="S",$B190=0),SUBSTITUTE(OFFSET($A190,-1,0),IF($D190="Serviço",".",""),""),$L190&amp;".")),0)</f>
        <v>1</v>
      </c>
      <c r="B190" s="668" t="str">
        <f ca="1">OFFSET(ORÇAMENTO!C$15,$L190,0)</f>
        <v>S</v>
      </c>
      <c r="C190" s="668" t="str">
        <f ca="1">OFFSET(ORÇAMENTO!L$15,$L190,0)</f>
        <v>F</v>
      </c>
      <c r="D190" s="116" t="str">
        <f ca="1">OFFSET(ORÇAMENTO!N$15,$L190,0)</f>
        <v>Serviço</v>
      </c>
      <c r="E190" s="117" t="str">
        <f ca="1">OFFSET(ORÇAMENTO!O$15,$L190,0)</f>
        <v>1.24.4.</v>
      </c>
      <c r="F190" s="163" t="str">
        <f ca="1">OFFSET(ORÇAMENTO!R$15,$L190,0)</f>
        <v>Projeto executivo de estrutura em formato A1 -PRANCHAS</v>
      </c>
      <c r="G190" s="164" t="str">
        <f ca="1">IF($D190&lt;&gt;"Serviço","",OFFSET(ORÇAMENTO!S$15,$L190,0))</f>
        <v>UNIDADE</v>
      </c>
      <c r="H190" s="122" cm="1">
        <f t="array" aca="1" ref="H190" ca="1">IF($D190&lt;&gt;"Serviço",0,IF(ACOMPANHAMENTO="BM",ROUND(OFFSET(ORÇAMENTO!AJ$15,$L190,0),15-13*ORÇAMENTO!$AF$7),IF(IFERROR(CÁLCULO.FrentesPreenchidas,0)=0,0,SUM(ROUND(OFFSET($P190,0,1,1,CÁLCULO.FrentesPreenchidas),15-13*ORÇAMENTO!$AF$7)))))</f>
        <v>12</v>
      </c>
      <c r="I190" s="468" t="s">
        <v>1132</v>
      </c>
      <c r="J190" s="651" t="str" cm="1">
        <f t="array" aca="1" ref="J190" ca="1">IF(OR(B190&lt;&gt;"S",CÁLCULO.FrentesPreenchidas=0),"",IF(AND(ACOMPANHAMENTO="PLE",AUTOEVENTO="Manual",OR(H190&gt;0,ORÇAMENTO!AC190="QUANT."),OR(K190="",M190=0,N190="")),"►E",IF(AND(ACOMPANHAMENTO="PLE",ORÇAMENTO!AC190="QUANT."),"►Q",IF(AND(ACOMPANHAMENTO="PLE",H190&lt;&gt;SUMPRODUCT(($Q$1:$AI$1=1)*ROUND(Q190:AI190,15))),"►S",IF(AND(COUNTIF($P$11:$AI$11,"▼")=0,H190&gt;0,I190=""),"◄M","")))))</f>
        <v/>
      </c>
      <c r="K190" s="652" t="s">
        <v>1279</v>
      </c>
      <c r="L190" s="165">
        <f t="shared" ref="L190" ca="1" si="17">OFFSET(L190,-1,0)+1</f>
        <v>175</v>
      </c>
      <c r="M190" s="166">
        <f ca="1">IF($D190&lt;&gt;"Serviço","",
          IF(AUTOEVENTO="manual",$A190,
                IF(ISERROR(MATCH($A190,$A$15:OFFSET($A190,-1,0),0)),MAX($M$15:OFFSET(M190,-1,0))+1,
                      INDEX($M$15:OFFSET(M190,-1,0),MATCH($A190,$A$15:OFFSET($A190,-1,0),0)))))</f>
        <v>1</v>
      </c>
      <c r="N190" s="167" t="str">
        <f ca="1">IF($D190&lt;&gt;"Serviço","",
         IF(AUTOEVENTO="Manual",
                IF($A190=0,"&lt;-- defina o número do agrupador",
                       OFFSET(EVENTOS!$D$15,$A190-$A$15,0)),
                OFFSET($F$15,$A190,0)))</f>
        <v>Projetos 1</v>
      </c>
      <c r="O190" s="168"/>
      <c r="Q190" s="168">
        <v>12</v>
      </c>
      <c r="R190" s="169"/>
      <c r="S190" s="169"/>
      <c r="T190" s="169"/>
      <c r="U190" s="169"/>
      <c r="V190" s="169"/>
      <c r="W190" s="169"/>
      <c r="X190" s="169"/>
      <c r="Y190" s="169"/>
      <c r="Z190" s="170"/>
      <c r="AA190" s="705"/>
      <c r="AB190" s="705">
        <v>12</v>
      </c>
      <c r="AC190" s="705"/>
      <c r="AD190" s="705"/>
      <c r="AE190" s="705"/>
      <c r="AF190" s="705"/>
      <c r="AG190" s="705"/>
      <c r="AH190" s="706"/>
      <c r="AJ190" s="453">
        <f ca="1">IF(AND($D190="Serviço",AJ$12&lt;&gt;0,$H190&gt;0,OR(AUTOEVENTO&lt;&gt;"manual",$M190&lt;&gt;$A$15)),
        IF(Import.TipoArredondamento&lt;&gt;"TransfereGOV",
              ROUND(OFFSET($P190,0,AJ$13),15-13*ORÇAMENTO!$AF$7)/$H190*OFFSET(ORÇAMENTO!$X$15,ROW(AJ190)-ROW(AJ$15),0),
              ROUND(ROUND(OFFSET($P190,0,AJ$13),15-13*ORÇAMENTO!$AF$7)*OFFSET(ORÇAMENTO!$W$15,ROW(AJ190)-ROW(AJ$15),0),15-13*ORÇAMENTO!$AF$11)),
         0)</f>
        <v>39554.879999999997</v>
      </c>
      <c r="AK190" s="453">
        <f ca="1">IF(AND($D190="Serviço",AK$12&lt;&gt;0,$H190&gt;0,OR(AUTOEVENTO&lt;&gt;"manual",$M190&lt;&gt;$A$15)),
        IF(Import.TipoArredondamento&lt;&gt;"TransfereGOV",
              ROUND(OFFSET($P190,0,AK$13),15-13*ORÇAMENTO!$AF$7)/$H190*OFFSET(ORÇAMENTO!$X$15,ROW(AK190)-ROW(AK$15),0),
              ROUND(ROUND(OFFSET($P190,0,AK$13),15-13*ORÇAMENTO!$AF$7)*OFFSET(ORÇAMENTO!$W$15,ROW(AK190)-ROW(AK$15),0),15-13*ORÇAMENTO!$AF$11)),
         0)</f>
        <v>0</v>
      </c>
      <c r="AL190" s="453">
        <f ca="1">IF(AND($D190="Serviço",AL$12&lt;&gt;0,$H190&gt;0,OR(AUTOEVENTO&lt;&gt;"manual",$M190&lt;&gt;$A$15)),
        IF(Import.TipoArredondamento&lt;&gt;"TransfereGOV",
              ROUND(OFFSET($P190,0,AL$13),15-13*ORÇAMENTO!$AF$7)/$H190*OFFSET(ORÇAMENTO!$X$15,ROW(AL190)-ROW(AL$15),0),
              ROUND(ROUND(OFFSET($P190,0,AL$13),15-13*ORÇAMENTO!$AF$7)*OFFSET(ORÇAMENTO!$W$15,ROW(AL190)-ROW(AL$15),0),15-13*ORÇAMENTO!$AF$11)),
         0)</f>
        <v>0</v>
      </c>
      <c r="AM190" s="453">
        <f ca="1">IF(AND($D190="Serviço",AM$12&lt;&gt;0,$H190&gt;0,OR(AUTOEVENTO&lt;&gt;"manual",$M190&lt;&gt;$A$15)),
        IF(Import.TipoArredondamento&lt;&gt;"TransfereGOV",
              ROUND(OFFSET($P190,0,AM$13),15-13*ORÇAMENTO!$AF$7)/$H190*OFFSET(ORÇAMENTO!$X$15,ROW(AM190)-ROW(AM$15),0),
              ROUND(ROUND(OFFSET($P190,0,AM$13),15-13*ORÇAMENTO!$AF$7)*OFFSET(ORÇAMENTO!$W$15,ROW(AM190)-ROW(AM$15),0),15-13*ORÇAMENTO!$AF$11)),
         0)</f>
        <v>0</v>
      </c>
      <c r="AN190" s="453">
        <f ca="1">IF(AND($D190="Serviço",AN$12&lt;&gt;0,$H190&gt;0,OR(AUTOEVENTO&lt;&gt;"manual",$M190&lt;&gt;$A$15)),
        IF(Import.TipoArredondamento&lt;&gt;"TransfereGOV",
              ROUND(OFFSET($P190,0,AN$13),15-13*ORÇAMENTO!$AF$7)/$H190*OFFSET(ORÇAMENTO!$X$15,ROW(AN190)-ROW(AN$15),0),
              ROUND(ROUND(OFFSET($P190,0,AN$13),15-13*ORÇAMENTO!$AF$7)*OFFSET(ORÇAMENTO!$W$15,ROW(AN190)-ROW(AN$15),0),15-13*ORÇAMENTO!$AF$11)),
         0)</f>
        <v>0</v>
      </c>
      <c r="AO190" s="453">
        <f ca="1">IF(AND($D190="Serviço",AO$12&lt;&gt;0,$H190&gt;0,OR(AUTOEVENTO&lt;&gt;"manual",$M190&lt;&gt;$A$15)),
        IF(Import.TipoArredondamento&lt;&gt;"TransfereGOV",
              ROUND(OFFSET($P190,0,AO$13),15-13*ORÇAMENTO!$AF$7)/$H190*OFFSET(ORÇAMENTO!$X$15,ROW(AO190)-ROW(AO$15),0),
              ROUND(ROUND(OFFSET($P190,0,AO$13),15-13*ORÇAMENTO!$AF$7)*OFFSET(ORÇAMENTO!$W$15,ROW(AO190)-ROW(AO$15),0),15-13*ORÇAMENTO!$AF$11)),
         0)</f>
        <v>0</v>
      </c>
      <c r="AP190" s="453">
        <f ca="1">IF(AND($D190="Serviço",AP$12&lt;&gt;0,$H190&gt;0,OR(AUTOEVENTO&lt;&gt;"manual",$M190&lt;&gt;$A$15)),
        IF(Import.TipoArredondamento&lt;&gt;"TransfereGOV",
              ROUND(OFFSET($P190,0,AP$13),15-13*ORÇAMENTO!$AF$7)/$H190*OFFSET(ORÇAMENTO!$X$15,ROW(AP190)-ROW(AP$15),0),
              ROUND(ROUND(OFFSET($P190,0,AP$13),15-13*ORÇAMENTO!$AF$7)*OFFSET(ORÇAMENTO!$W$15,ROW(AP190)-ROW(AP$15),0),15-13*ORÇAMENTO!$AF$11)),
         0)</f>
        <v>0</v>
      </c>
      <c r="AQ190" s="453">
        <f ca="1">IF(AND($D190="Serviço",AQ$12&lt;&gt;0,$H190&gt;0,OR(AUTOEVENTO&lt;&gt;"manual",$M190&lt;&gt;$A$15)),
        IF(Import.TipoArredondamento&lt;&gt;"TransfereGOV",
              ROUND(OFFSET($P190,0,AQ$13),15-13*ORÇAMENTO!$AF$7)/$H190*OFFSET(ORÇAMENTO!$X$15,ROW(AQ190)-ROW(AQ$15),0),
              ROUND(ROUND(OFFSET($P190,0,AQ$13),15-13*ORÇAMENTO!$AF$7)*OFFSET(ORÇAMENTO!$W$15,ROW(AQ190)-ROW(AQ$15),0),15-13*ORÇAMENTO!$AF$11)),
         0)</f>
        <v>0</v>
      </c>
      <c r="AR190" s="453">
        <f ca="1">IF(AND($D190="Serviço",AR$12&lt;&gt;0,$H190&gt;0,OR(AUTOEVENTO&lt;&gt;"manual",$M190&lt;&gt;$A$15)),
        IF(Import.TipoArredondamento&lt;&gt;"TransfereGOV",
              ROUND(OFFSET($P190,0,AR$13),15-13*ORÇAMENTO!$AF$7)/$H190*OFFSET(ORÇAMENTO!$X$15,ROW(AR190)-ROW(AR$15),0),
              ROUND(ROUND(OFFSET($P190,0,AR$13),15-13*ORÇAMENTO!$AF$7)*OFFSET(ORÇAMENTO!$W$15,ROW(AR190)-ROW(AR$15),0),15-13*ORÇAMENTO!$AF$11)),
         0)</f>
        <v>0</v>
      </c>
      <c r="AS190" s="453">
        <f ca="1">IF(AND($D190="Serviço",AS$12&lt;&gt;0,$H190&gt;0,OR(AUTOEVENTO&lt;&gt;"manual",$M190&lt;&gt;$A$15)),
        IF(Import.TipoArredondamento&lt;&gt;"TransfereGOV",
              ROUND(OFFSET($P190,0,AS$13),15-13*ORÇAMENTO!$AF$7)/$H190*OFFSET(ORÇAMENTO!$X$15,ROW(AS190)-ROW(AS$15),0),
              ROUND(ROUND(OFFSET($P190,0,AS$13),15-13*ORÇAMENTO!$AF$7)*OFFSET(ORÇAMENTO!$W$15,ROW(AS190)-ROW(AS$15),0),15-13*ORÇAMENTO!$AF$11)),
         0)</f>
        <v>0</v>
      </c>
      <c r="AT190" s="453">
        <f ca="1">IF(AND($D190="Serviço",AT$12&lt;&gt;0,$H190&gt;0,OR(AUTOEVENTO&lt;&gt;"manual",$M190&lt;&gt;$A$15)),
        IF(Import.TipoArredondamento&lt;&gt;"TransfereGOV",
              ROUND(OFFSET($P190,0,AT$13),15-13*ORÇAMENTO!$AF$7)/$H190*OFFSET(ORÇAMENTO!$X$15,ROW(AT190)-ROW(AT$15),0),
              ROUND(ROUND(OFFSET($P190,0,AT$13),15-13*ORÇAMENTO!$AF$7)*OFFSET(ORÇAMENTO!$W$15,ROW(AT190)-ROW(AT$15),0),15-13*ORÇAMENTO!$AF$11)),
         0)</f>
        <v>0</v>
      </c>
      <c r="AU190" s="453">
        <f ca="1">IF(AND($D190="Serviço",AU$12&lt;&gt;0,$H190&gt;0,OR(AUTOEVENTO&lt;&gt;"manual",$M190&lt;&gt;$A$15)),
        IF(Import.TipoArredondamento&lt;&gt;"TransfereGOV",
              ROUND(OFFSET($P190,0,AU$13),15-13*ORÇAMENTO!$AF$7)/$H190*OFFSET(ORÇAMENTO!$X$15,ROW(AU190)-ROW(AU$15),0),
              ROUND(ROUND(OFFSET($P190,0,AU$13),15-13*ORÇAMENTO!$AF$7)*OFFSET(ORÇAMENTO!$W$15,ROW(AU190)-ROW(AU$15),0),15-13*ORÇAMENTO!$AF$11)),
         0)</f>
        <v>0</v>
      </c>
      <c r="AV190" s="453">
        <f ca="1">IF(AND($D190="Serviço",AV$12&lt;&gt;0,$H190&gt;0,OR(AUTOEVENTO&lt;&gt;"manual",$M190&lt;&gt;$A$15)),
        IF(Import.TipoArredondamento&lt;&gt;"TransfereGOV",
              ROUND(OFFSET($P190,0,AV$13),15-13*ORÇAMENTO!$AF$7)/$H190*OFFSET(ORÇAMENTO!$X$15,ROW(AV190)-ROW(AV$15),0),
              ROUND(ROUND(OFFSET($P190,0,AV$13),15-13*ORÇAMENTO!$AF$7)*OFFSET(ORÇAMENTO!$W$15,ROW(AV190)-ROW(AV$15),0),15-13*ORÇAMENTO!$AF$11)),
         0)</f>
        <v>0</v>
      </c>
      <c r="AW190" s="453">
        <f ca="1">IF(AND($D190="Serviço",AW$12&lt;&gt;0,$H190&gt;0,OR(AUTOEVENTO&lt;&gt;"manual",$M190&lt;&gt;$A$15)),
        IF(Import.TipoArredondamento&lt;&gt;"TransfereGOV",
              ROUND(OFFSET($P190,0,AW$13),15-13*ORÇAMENTO!$AF$7)/$H190*OFFSET(ORÇAMENTO!$X$15,ROW(AW190)-ROW(AW$15),0),
              ROUND(ROUND(OFFSET($P190,0,AW$13),15-13*ORÇAMENTO!$AF$7)*OFFSET(ORÇAMENTO!$W$15,ROW(AW190)-ROW(AW$15),0),15-13*ORÇAMENTO!$AF$11)),
         0)</f>
        <v>0</v>
      </c>
      <c r="AX190" s="453">
        <f ca="1">IF(AND($D190="Serviço",AX$12&lt;&gt;0,$H190&gt;0,OR(AUTOEVENTO&lt;&gt;"manual",$M190&lt;&gt;$A$15)),
        IF(Import.TipoArredondamento&lt;&gt;"TransfereGOV",
              ROUND(OFFSET($P190,0,AX$13),15-13*ORÇAMENTO!$AF$7)/$H190*OFFSET(ORÇAMENTO!$X$15,ROW(AX190)-ROW(AX$15),0),
              ROUND(ROUND(OFFSET($P190,0,AX$13),15-13*ORÇAMENTO!$AF$7)*OFFSET(ORÇAMENTO!$W$15,ROW(AX190)-ROW(AX$15),0),15-13*ORÇAMENTO!$AF$11)),
         0)</f>
        <v>0</v>
      </c>
      <c r="AY190" s="453">
        <f ca="1">IF(AND($D190="Serviço",AY$12&lt;&gt;0,$H190&gt;0,OR(AUTOEVENTO&lt;&gt;"manual",$M190&lt;&gt;$A$15)),
        IF(Import.TipoArredondamento&lt;&gt;"TransfereGOV",
              ROUND(OFFSET($P190,0,AY$13),15-13*ORÇAMENTO!$AF$7)/$H190*OFFSET(ORÇAMENTO!$X$15,ROW(AY190)-ROW(AY$15),0),
              ROUND(ROUND(OFFSET($P190,0,AY$13),15-13*ORÇAMENTO!$AF$7)*OFFSET(ORÇAMENTO!$W$15,ROW(AY190)-ROW(AY$15),0),15-13*ORÇAMENTO!$AF$11)),
         0)</f>
        <v>0</v>
      </c>
      <c r="AZ190" s="453">
        <f ca="1">IF(AND($D190="Serviço",AZ$12&lt;&gt;0,$H190&gt;0,OR(AUTOEVENTO&lt;&gt;"manual",$M190&lt;&gt;$A$15)),
        IF(Import.TipoArredondamento&lt;&gt;"TransfereGOV",
              ROUND(OFFSET($P190,0,AZ$13),15-13*ORÇAMENTO!$AF$7)/$H190*OFFSET(ORÇAMENTO!$X$15,ROW(AZ190)-ROW(AZ$15),0),
              ROUND(ROUND(OFFSET($P190,0,AZ$13),15-13*ORÇAMENTO!$AF$7)*OFFSET(ORÇAMENTO!$W$15,ROW(AZ190)-ROW(AZ$15),0),15-13*ORÇAMENTO!$AF$11)),
         0)</f>
        <v>0</v>
      </c>
      <c r="BA190" s="453">
        <f ca="1">IF(AND($D190="Serviço",BA$12&lt;&gt;0,$H190&gt;0,OR(AUTOEVENTO&lt;&gt;"manual",$M190&lt;&gt;$A$15)),
        IF(Import.TipoArredondamento&lt;&gt;"TransfereGOV",
              ROUND(OFFSET($P190,0,BA$13),15-13*ORÇAMENTO!$AF$7)/$H190*OFFSET(ORÇAMENTO!$X$15,ROW(BA190)-ROW(BA$15),0),
              ROUND(ROUND(OFFSET($P190,0,BA$13),15-13*ORÇAMENTO!$AF$7)*OFFSET(ORÇAMENTO!$W$15,ROW(BA190)-ROW(BA$15),0),15-13*ORÇAMENTO!$AF$11)),
         0)</f>
        <v>0</v>
      </c>
      <c r="BC190" s="171">
        <f ca="1">IF(OR($D190&lt;&gt;"Serviço",AND(AUTOEVENTO="Manual",$M190=$A$15)),0,
         IF(OFFSET(CRONOPLE!$F$15,$M190-$A$15,BC$13)=0,10^12,OFFSET(CRONOPLE!$F$15,$M190-$A$15,BC$13)))</f>
        <v>1</v>
      </c>
      <c r="BD190" s="171">
        <f ca="1">IF(OR($D190&lt;&gt;"Serviço",AND(AUTOEVENTO="Manual",$M190=$A$15)),0,
         IF(OFFSET(CRONOPLE!$F$15,$M190-$A$15,BD$13)=0,10^12,OFFSET(CRONOPLE!$F$15,$M190-$A$15,BD$13)))</f>
        <v>1000000000000</v>
      </c>
      <c r="BE190" s="171">
        <f ca="1">IF(OR($D190&lt;&gt;"Serviço",AND(AUTOEVENTO="Manual",$M190=$A$15)),0,
         IF(OFFSET(CRONOPLE!$F$15,$M190-$A$15,BE$13)=0,10^12,OFFSET(CRONOPLE!$F$15,$M190-$A$15,BE$13)))</f>
        <v>1000000000000</v>
      </c>
      <c r="BF190" s="171">
        <f ca="1">IF(OR($D190&lt;&gt;"Serviço",AND(AUTOEVENTO="Manual",$M190=$A$15)),0,
         IF(OFFSET(CRONOPLE!$F$15,$M190-$A$15,BF$13)=0,10^12,OFFSET(CRONOPLE!$F$15,$M190-$A$15,BF$13)))</f>
        <v>1000000000000</v>
      </c>
      <c r="BG190" s="171">
        <f ca="1">IF(OR($D190&lt;&gt;"Serviço",AND(AUTOEVENTO="Manual",$M190=$A$15)),0,
         IF(OFFSET(CRONOPLE!$F$15,$M190-$A$15,BG$13)=0,10^12,OFFSET(CRONOPLE!$F$15,$M190-$A$15,BG$13)))</f>
        <v>1000000000000</v>
      </c>
      <c r="BH190" s="171">
        <f ca="1">IF(OR($D190&lt;&gt;"Serviço",AND(AUTOEVENTO="Manual",$M190=$A$15)),0,
         IF(OFFSET(CRONOPLE!$F$15,$M190-$A$15,BH$13)=0,10^12,OFFSET(CRONOPLE!$F$15,$M190-$A$15,BH$13)))</f>
        <v>1000000000000</v>
      </c>
      <c r="BI190" s="171">
        <f ca="1">IF(OR($D190&lt;&gt;"Serviço",AND(AUTOEVENTO="Manual",$M190=$A$15)),0,
         IF(OFFSET(CRONOPLE!$F$15,$M190-$A$15,BI$13)=0,10^12,OFFSET(CRONOPLE!$F$15,$M190-$A$15,BI$13)))</f>
        <v>1000000000000</v>
      </c>
      <c r="BJ190" s="171">
        <f ca="1">IF(OR($D190&lt;&gt;"Serviço",AND(AUTOEVENTO="Manual",$M190=$A$15)),0,
         IF(OFFSET(CRONOPLE!$F$15,$M190-$A$15,BJ$13)=0,10^12,OFFSET(CRONOPLE!$F$15,$M190-$A$15,BJ$13)))</f>
        <v>1000000000000</v>
      </c>
      <c r="BK190" s="171">
        <f ca="1">IF(OR($D190&lt;&gt;"Serviço",AND(AUTOEVENTO="Manual",$M190=$A$15)),0,
         IF(OFFSET(CRONOPLE!$F$15,$M190-$A$15,BK$13)=0,10^12,OFFSET(CRONOPLE!$F$15,$M190-$A$15,BK$13)))</f>
        <v>1000000000000</v>
      </c>
      <c r="BL190" s="171">
        <f ca="1">IF(OR($D190&lt;&gt;"Serviço",AND(AUTOEVENTO="Manual",$M190=$A$15)),0,
         IF(OFFSET(CRONOPLE!$F$15,$M190-$A$15,BL$13)=0,10^12,OFFSET(CRONOPLE!$F$15,$M190-$A$15,BL$13)))</f>
        <v>1000000000000</v>
      </c>
      <c r="BM190" s="171">
        <f ca="1">IF(OR($D190&lt;&gt;"Serviço",AND(AUTOEVENTO="Manual",$M190=$A$15)),0,
         IF(OFFSET(CRONOPLE!$F$15,$M190-$A$15,BM$13)=0,10^12,OFFSET(CRONOPLE!$F$15,$M190-$A$15,BM$13)))</f>
        <v>1000000000000</v>
      </c>
      <c r="BN190" s="171">
        <f ca="1">IF(OR($D190&lt;&gt;"Serviço",AND(AUTOEVENTO="Manual",$M190=$A$15)),0,
         IF(OFFSET(CRONOPLE!$F$15,$M190-$A$15,BN$13)=0,10^12,OFFSET(CRONOPLE!$F$15,$M190-$A$15,BN$13)))</f>
        <v>1000000000000</v>
      </c>
      <c r="BO190" s="171">
        <f ca="1">IF(OR($D190&lt;&gt;"Serviço",AND(AUTOEVENTO="Manual",$M190=$A$15)),0,
         IF(OFFSET(CRONOPLE!$F$15,$M190-$A$15,BO$13)=0,10^12,OFFSET(CRONOPLE!$F$15,$M190-$A$15,BO$13)))</f>
        <v>1000000000000</v>
      </c>
      <c r="BP190" s="171">
        <f ca="1">IF(OR($D190&lt;&gt;"Serviço",AND(AUTOEVENTO="Manual",$M190=$A$15)),0,
         IF(OFFSET(CRONOPLE!$F$15,$M190-$A$15,BP$13)=0,10^12,OFFSET(CRONOPLE!$F$15,$M190-$A$15,BP$13)))</f>
        <v>1000000000000</v>
      </c>
      <c r="BQ190" s="171">
        <f ca="1">IF(OR($D190&lt;&gt;"Serviço",AND(AUTOEVENTO="Manual",$M190=$A$15)),0,
         IF(OFFSET(CRONOPLE!$F$15,$M190-$A$15,BQ$13)=0,10^12,OFFSET(CRONOPLE!$F$15,$M190-$A$15,BQ$13)))</f>
        <v>1000000000000</v>
      </c>
      <c r="BR190" s="171">
        <f ca="1">IF(OR($D190&lt;&gt;"Serviço",AND(AUTOEVENTO="Manual",$M190=$A$15)),0,
         IF(OFFSET(CRONOPLE!$F$15,$M190-$A$15,BR$13)=0,10^12,OFFSET(CRONOPLE!$F$15,$M190-$A$15,BR$13)))</f>
        <v>1000000000000</v>
      </c>
      <c r="BS190" s="171">
        <f ca="1">IF(OR($D190&lt;&gt;"Serviço",AND(AUTOEVENTO="Manual",$M190=$A$15)),0,
         IF(OFFSET(CRONOPLE!$F$15,$M190-$A$15,BS$13)=0,10^12,OFFSET(CRONOPLE!$F$15,$M190-$A$15,BS$13)))</f>
        <v>1000000000000</v>
      </c>
      <c r="BT190" s="171">
        <f ca="1">IF(OR($D190&lt;&gt;"Serviço",AND(AUTOEVENTO="Manual",$M190=$A$15)),0,
         IF(OFFSET(CRONOPLE!$F$15,$M190-$A$15,BT$13)=0,10^12,OFFSET(CRONOPLE!$F$15,$M190-$A$15,BT$13)))</f>
        <v>1000000000000</v>
      </c>
      <c r="BV190" s="172" cm="1">
        <f t="array" aca="1" ref="BV190" ca="1">IF(OR($D190&lt;&gt;"Serviço",AND(AUTOEVENTO="Manual",$M190=$A$15),$M190&gt;(ROW(PLE.lastrow)-ROW(PLE.firstrow))),0,
           IF(OFFSET(PLE!$G$15,$M190-$A$15,BV$13)="",10^12,OFFSET(PLE!$G$15,$M190-$A$15,BV$13)))</f>
        <v>1000000000000</v>
      </c>
      <c r="BW190" s="172" cm="1">
        <f t="array" aca="1" ref="BW190" ca="1">IF(OR($D190&lt;&gt;"Serviço",AND(AUTOEVENTO="Manual",$M190=$A$15),$M190&gt;(ROW(PLE.lastrow)-ROW(PLE.firstrow))),0,
           IF(OFFSET(PLE!$G$15,$M190-$A$15,BW$13)="",10^12,OFFSET(PLE!$G$15,$M190-$A$15,BW$13)))</f>
        <v>1000000000000</v>
      </c>
      <c r="BX190" s="172" cm="1">
        <f t="array" aca="1" ref="BX190" ca="1">IF(OR($D190&lt;&gt;"Serviço",AND(AUTOEVENTO="Manual",$M190=$A$15),$M190&gt;(ROW(PLE.lastrow)-ROW(PLE.firstrow))),0,
           IF(OFFSET(PLE!$G$15,$M190-$A$15,BX$13)="",10^12,OFFSET(PLE!$G$15,$M190-$A$15,BX$13)))</f>
        <v>1000000000000</v>
      </c>
      <c r="BY190" s="172" cm="1">
        <f t="array" aca="1" ref="BY190" ca="1">IF(OR($D190&lt;&gt;"Serviço",AND(AUTOEVENTO="Manual",$M190=$A$15),$M190&gt;(ROW(PLE.lastrow)-ROW(PLE.firstrow))),0,
           IF(OFFSET(PLE!$G$15,$M190-$A$15,BY$13)="",10^12,OFFSET(PLE!$G$15,$M190-$A$15,BY$13)))</f>
        <v>1000000000000</v>
      </c>
      <c r="BZ190" s="172" cm="1">
        <f t="array" aca="1" ref="BZ190" ca="1">IF(OR($D190&lt;&gt;"Serviço",AND(AUTOEVENTO="Manual",$M190=$A$15),$M190&gt;(ROW(PLE.lastrow)-ROW(PLE.firstrow))),0,
           IF(OFFSET(PLE!$G$15,$M190-$A$15,BZ$13)="",10^12,OFFSET(PLE!$G$15,$M190-$A$15,BZ$13)))</f>
        <v>1000000000000</v>
      </c>
      <c r="CA190" s="172" cm="1">
        <f t="array" aca="1" ref="CA190" ca="1">IF(OR($D190&lt;&gt;"Serviço",AND(AUTOEVENTO="Manual",$M190=$A$15),$M190&gt;(ROW(PLE.lastrow)-ROW(PLE.firstrow))),0,
           IF(OFFSET(PLE!$G$15,$M190-$A$15,CA$13)="",10^12,OFFSET(PLE!$G$15,$M190-$A$15,CA$13)))</f>
        <v>1000000000000</v>
      </c>
      <c r="CB190" s="172" cm="1">
        <f t="array" aca="1" ref="CB190" ca="1">IF(OR($D190&lt;&gt;"Serviço",AND(AUTOEVENTO="Manual",$M190=$A$15),$M190&gt;(ROW(PLE.lastrow)-ROW(PLE.firstrow))),0,
           IF(OFFSET(PLE!$G$15,$M190-$A$15,CB$13)="",10^12,OFFSET(PLE!$G$15,$M190-$A$15,CB$13)))</f>
        <v>1000000000000</v>
      </c>
      <c r="CC190" s="172" cm="1">
        <f t="array" aca="1" ref="CC190" ca="1">IF(OR($D190&lt;&gt;"Serviço",AND(AUTOEVENTO="Manual",$M190=$A$15),$M190&gt;(ROW(PLE.lastrow)-ROW(PLE.firstrow))),0,
           IF(OFFSET(PLE!$G$15,$M190-$A$15,CC$13)="",10^12,OFFSET(PLE!$G$15,$M190-$A$15,CC$13)))</f>
        <v>1000000000000</v>
      </c>
      <c r="CD190" s="172" cm="1">
        <f t="array" aca="1" ref="CD190" ca="1">IF(OR($D190&lt;&gt;"Serviço",AND(AUTOEVENTO="Manual",$M190=$A$15),$M190&gt;(ROW(PLE.lastrow)-ROW(PLE.firstrow))),0,
           IF(OFFSET(PLE!$G$15,$M190-$A$15,CD$13)="",10^12,OFFSET(PLE!$G$15,$M190-$A$15,CD$13)))</f>
        <v>1000000000000</v>
      </c>
      <c r="CE190" s="172" cm="1">
        <f t="array" aca="1" ref="CE190" ca="1">IF(OR($D190&lt;&gt;"Serviço",AND(AUTOEVENTO="Manual",$M190=$A$15),$M190&gt;(ROW(PLE.lastrow)-ROW(PLE.firstrow))),0,
           IF(OFFSET(PLE!$G$15,$M190-$A$15,CE$13)="",10^12,OFFSET(PLE!$G$15,$M190-$A$15,CE$13)))</f>
        <v>1000000000000</v>
      </c>
      <c r="CF190" s="172" cm="1">
        <f t="array" aca="1" ref="CF190" ca="1">IF(OR($D190&lt;&gt;"Serviço",AND(AUTOEVENTO="Manual",$M190=$A$15),$M190&gt;(ROW(PLE.lastrow)-ROW(PLE.firstrow))),0,
           IF(OFFSET(PLE!$G$15,$M190-$A$15,CF$13)="",10^12,OFFSET(PLE!$G$15,$M190-$A$15,CF$13)))</f>
        <v>1000000000000</v>
      </c>
      <c r="CG190" s="172" cm="1">
        <f t="array" aca="1" ref="CG190" ca="1">IF(OR($D190&lt;&gt;"Serviço",AND(AUTOEVENTO="Manual",$M190=$A$15),$M190&gt;(ROW(PLE.lastrow)-ROW(PLE.firstrow))),0,
           IF(OFFSET(PLE!$G$15,$M190-$A$15,CG$13)="",10^12,OFFSET(PLE!$G$15,$M190-$A$15,CG$13)))</f>
        <v>1000000000000</v>
      </c>
      <c r="CH190" s="172" cm="1">
        <f t="array" aca="1" ref="CH190" ca="1">IF(OR($D190&lt;&gt;"Serviço",AND(AUTOEVENTO="Manual",$M190=$A$15),$M190&gt;(ROW(PLE.lastrow)-ROW(PLE.firstrow))),0,
           IF(OFFSET(PLE!$G$15,$M190-$A$15,CH$13)="",10^12,OFFSET(PLE!$G$15,$M190-$A$15,CH$13)))</f>
        <v>1000000000000</v>
      </c>
      <c r="CI190" s="172" cm="1">
        <f t="array" aca="1" ref="CI190" ca="1">IF(OR($D190&lt;&gt;"Serviço",AND(AUTOEVENTO="Manual",$M190=$A$15),$M190&gt;(ROW(PLE.lastrow)-ROW(PLE.firstrow))),0,
           IF(OFFSET(PLE!$G$15,$M190-$A$15,CI$13)="",10^12,OFFSET(PLE!$G$15,$M190-$A$15,CI$13)))</f>
        <v>1000000000000</v>
      </c>
      <c r="CJ190" s="172" cm="1">
        <f t="array" aca="1" ref="CJ190" ca="1">IF(OR($D190&lt;&gt;"Serviço",AND(AUTOEVENTO="Manual",$M190=$A$15),$M190&gt;(ROW(PLE.lastrow)-ROW(PLE.firstrow))),0,
           IF(OFFSET(PLE!$G$15,$M190-$A$15,CJ$13)="",10^12,OFFSET(PLE!$G$15,$M190-$A$15,CJ$13)))</f>
        <v>1000000000000</v>
      </c>
      <c r="CK190" s="172" cm="1">
        <f t="array" aca="1" ref="CK190" ca="1">IF(OR($D190&lt;&gt;"Serviço",AND(AUTOEVENTO="Manual",$M190=$A$15),$M190&gt;(ROW(PLE.lastrow)-ROW(PLE.firstrow))),0,
           IF(OFFSET(PLE!$G$15,$M190-$A$15,CK$13)="",10^12,OFFSET(PLE!$G$15,$M190-$A$15,CK$13)))</f>
        <v>1000000000000</v>
      </c>
      <c r="CL190" s="172" cm="1">
        <f t="array" aca="1" ref="CL190" ca="1">IF(OR($D190&lt;&gt;"Serviço",AND(AUTOEVENTO="Manual",$M190=$A$15),$M190&gt;(ROW(PLE.lastrow)-ROW(PLE.firstrow))),0,
           IF(OFFSET(PLE!$G$15,$M190-$A$15,CL$13)="",10^12,OFFSET(PLE!$G$15,$M190-$A$15,CL$13)))</f>
        <v>1000000000000</v>
      </c>
      <c r="CM190" s="172" cm="1">
        <f t="array" aca="1" ref="CM190" ca="1">IF(OR($D190&lt;&gt;"Serviço",AND(AUTOEVENTO="Manual",$M190=$A$15),$M190&gt;(ROW(PLE.lastrow)-ROW(PLE.firstrow))),0,
           IF(OFFSET(PLE!$G$15,$M190-$A$15,CM$13)="",10^12,OFFSET(PLE!$G$15,$M190-$A$15,CM$13)))</f>
        <v>1000000000000</v>
      </c>
    </row>
    <row r="191" spans="1:91" ht="5.0999999999999996" customHeight="1" x14ac:dyDescent="0.2">
      <c r="B191" s="7">
        <f ca="1">OFFSET(ORÇAMENTO!C$15,ROW(B191)-ROW(B$15),0)</f>
        <v>-1</v>
      </c>
      <c r="C191" s="7" t="str">
        <f ca="1">OFFSET(ORÇAMENTO!L$15,ROW(C191)-ROW(C$15),0)</f>
        <v>F</v>
      </c>
      <c r="D191" s="634" t="s">
        <v>700</v>
      </c>
      <c r="E191" s="618"/>
      <c r="F191" s="619"/>
      <c r="G191" s="619"/>
      <c r="H191" s="619"/>
      <c r="I191" s="419"/>
      <c r="K191" s="569"/>
      <c r="L191" s="165">
        <f t="shared" ref="L191" ca="1" si="18">OFFSET(L191,-1,0)+1</f>
        <v>176</v>
      </c>
      <c r="M191" s="421"/>
      <c r="N191" s="420"/>
      <c r="O191" s="635"/>
      <c r="Q191" s="618"/>
      <c r="R191" s="619"/>
      <c r="S191" s="619"/>
      <c r="T191" s="619"/>
      <c r="U191" s="619"/>
      <c r="V191" s="619"/>
      <c r="W191" s="619"/>
      <c r="X191" s="619"/>
      <c r="Y191" s="619"/>
      <c r="Z191" s="419"/>
      <c r="AA191" s="619"/>
      <c r="AB191" s="619"/>
      <c r="AC191" s="619"/>
      <c r="AD191" s="619"/>
      <c r="AE191" s="619"/>
      <c r="AF191" s="619"/>
      <c r="AG191" s="619"/>
      <c r="AH191" s="419"/>
      <c r="AJ191" s="636"/>
      <c r="AK191" s="637"/>
      <c r="AL191" s="637"/>
      <c r="AM191" s="637"/>
      <c r="AN191" s="637"/>
      <c r="AO191" s="637"/>
      <c r="AP191" s="637"/>
      <c r="AQ191" s="637"/>
      <c r="AR191" s="637"/>
      <c r="AS191" s="133"/>
      <c r="AT191" s="637"/>
      <c r="AU191" s="637"/>
      <c r="AV191" s="637"/>
      <c r="AW191" s="637"/>
      <c r="AX191" s="637"/>
      <c r="AY191" s="637"/>
      <c r="AZ191" s="637"/>
      <c r="BA191" s="133"/>
      <c r="BC191" s="636"/>
      <c r="BD191" s="637"/>
      <c r="BE191" s="637"/>
      <c r="BF191" s="637"/>
      <c r="BG191" s="637"/>
      <c r="BH191" s="637"/>
      <c r="BI191" s="637"/>
      <c r="BJ191" s="637"/>
      <c r="BK191" s="637"/>
      <c r="BL191" s="133"/>
      <c r="BM191" s="637"/>
      <c r="BN191" s="637"/>
      <c r="BO191" s="637"/>
      <c r="BP191" s="637"/>
      <c r="BQ191" s="637"/>
      <c r="BR191" s="637"/>
      <c r="BS191" s="637"/>
      <c r="BT191" s="133"/>
      <c r="BV191" s="636"/>
      <c r="BW191" s="637"/>
      <c r="BX191" s="637"/>
      <c r="BY191" s="637"/>
      <c r="BZ191" s="637"/>
      <c r="CA191" s="637"/>
      <c r="CB191" s="637"/>
      <c r="CC191" s="637"/>
      <c r="CD191" s="637"/>
      <c r="CE191" s="133"/>
      <c r="CF191" s="637"/>
      <c r="CG191" s="637"/>
      <c r="CH191" s="637"/>
      <c r="CI191" s="637"/>
      <c r="CJ191" s="637"/>
      <c r="CK191" s="637"/>
      <c r="CL191" s="637"/>
      <c r="CM191" s="133"/>
    </row>
    <row r="192" spans="1:91" ht="12.75" customHeight="1" x14ac:dyDescent="0.2"/>
    <row r="193" spans="3:33" ht="12.75" customHeight="1" x14ac:dyDescent="0.2"/>
    <row r="194" spans="3:33" ht="12.75" customHeight="1" x14ac:dyDescent="0.2"/>
    <row r="195" spans="3:33" ht="15" customHeight="1" x14ac:dyDescent="0.2">
      <c r="F195" s="179" t="str">
        <f>Import.Município</f>
        <v>BOA ESPERANÇA</v>
      </c>
      <c r="I195" s="460"/>
      <c r="J195" s="460"/>
      <c r="K195" s="460"/>
      <c r="L195" s="460"/>
      <c r="M195" s="461"/>
      <c r="N195" s="417"/>
      <c r="T195" s="139"/>
      <c r="U195" s="139"/>
      <c r="V195" s="180"/>
      <c r="W195" s="180"/>
      <c r="X195" s="180"/>
      <c r="Y195" s="180"/>
      <c r="AB195" s="139"/>
      <c r="AC195" s="139"/>
      <c r="AD195" s="180"/>
      <c r="AE195" s="180"/>
      <c r="AF195" s="180"/>
      <c r="AG195" s="180"/>
    </row>
    <row r="196" spans="3:33" ht="12.75" customHeight="1" x14ac:dyDescent="0.2">
      <c r="F196" s="9" t="s">
        <v>693</v>
      </c>
      <c r="I196" s="181" t="s">
        <v>696</v>
      </c>
      <c r="J196" s="181"/>
      <c r="K196" s="181"/>
      <c r="L196" s="181"/>
      <c r="T196" s="181" t="s">
        <v>696</v>
      </c>
      <c r="U196" s="181"/>
      <c r="AB196" s="738" t="s">
        <v>696</v>
      </c>
      <c r="AC196" s="738"/>
    </row>
    <row r="197" spans="3:33" ht="12.75" customHeight="1" x14ac:dyDescent="0.2">
      <c r="I197" s="398" t="str">
        <f t="array" aca="1" ref="I197:I199" ca="1">OFFSET(Import.RespOrçamento,0,-1) &amp; " " &amp; Import.RespOrçamento</f>
        <v>Nome: LAIZ MOSCARDINI CRUZ NASCIMENTO</v>
      </c>
      <c r="K197" s="79"/>
      <c r="L197" s="79"/>
      <c r="T197" s="398" t="str">
        <f t="array" aca="1" ref="T197:T199" ca="1">OFFSET(Import.RespOrçamento,0,-1) &amp; " " &amp; Import.RespOrçamento</f>
        <v>Nome: LAIZ MOSCARDINI CRUZ NASCIMENTO</v>
      </c>
      <c r="U197" s="78"/>
      <c r="AB197" s="398" t="str">
        <f t="array" aca="1" ref="AB197:AB199" ca="1">OFFSET(Import.RespOrçamento,0,-1) &amp; " " &amp; Import.RespOrçamento</f>
        <v>Nome: LAIZ MOSCARDINI CRUZ NASCIMENTO</v>
      </c>
      <c r="AC197" s="78"/>
    </row>
    <row r="198" spans="3:33" ht="12.75" customHeight="1" x14ac:dyDescent="0.2">
      <c r="F198" s="459">
        <f>DADOS!$C$25</f>
        <v>46106</v>
      </c>
      <c r="I198" s="398" t="str">
        <f ca="1"/>
        <v>CREA/CAU: 283596/D</v>
      </c>
      <c r="K198" s="79"/>
      <c r="L198" s="79"/>
      <c r="T198" s="398" t="str">
        <f ca="1"/>
        <v>CREA/CAU: 283596/D</v>
      </c>
      <c r="U198" s="78"/>
      <c r="AB198" s="398" t="str">
        <f ca="1"/>
        <v>CREA/CAU: 283596/D</v>
      </c>
      <c r="AC198" s="78"/>
    </row>
    <row r="199" spans="3:33" ht="12.75" customHeight="1" x14ac:dyDescent="0.2">
      <c r="F199" s="140" t="s">
        <v>694</v>
      </c>
      <c r="I199" s="398" t="str">
        <f ca="1"/>
        <v>ART/RRT: MG20232488275</v>
      </c>
      <c r="K199" s="79"/>
      <c r="L199" s="79"/>
      <c r="T199" s="398" t="str">
        <f ca="1"/>
        <v>ART/RRT: MG20232488275</v>
      </c>
      <c r="U199" s="78"/>
      <c r="AB199" s="398" t="str">
        <f ca="1"/>
        <v>ART/RRT: MG20232488275</v>
      </c>
      <c r="AC199" s="78"/>
    </row>
    <row r="200" spans="3:33" ht="12.75" customHeight="1" x14ac:dyDescent="0.2">
      <c r="C200"/>
      <c r="M200"/>
    </row>
    <row r="201" spans="3:33" ht="12.75" customHeight="1" x14ac:dyDescent="0.2">
      <c r="C201"/>
      <c r="M201"/>
    </row>
    <row r="202" spans="3:33" ht="12.75" customHeight="1" x14ac:dyDescent="0.2">
      <c r="C202"/>
      <c r="M202"/>
    </row>
    <row r="203" spans="3:33" ht="12.75" customHeight="1" x14ac:dyDescent="0.2">
      <c r="C203"/>
      <c r="M203"/>
    </row>
    <row r="204" spans="3:33" ht="12.75" customHeight="1" x14ac:dyDescent="0.2">
      <c r="C204"/>
      <c r="M204"/>
    </row>
    <row r="205" spans="3:33" ht="12.75" customHeight="1" x14ac:dyDescent="0.2">
      <c r="C205"/>
      <c r="M205"/>
    </row>
    <row r="206" spans="3:33" ht="12.75" customHeight="1" x14ac:dyDescent="0.2">
      <c r="C206"/>
      <c r="M206"/>
    </row>
    <row r="207" spans="3:33" ht="12.75" customHeight="1" x14ac:dyDescent="0.2">
      <c r="C207"/>
      <c r="M207"/>
    </row>
    <row r="208" spans="3:3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4331" spans="3:13" ht="12.75" customHeight="1" x14ac:dyDescent="0.2">
      <c r="C4331"/>
      <c r="M4331"/>
    </row>
    <row r="4332" spans="3:13" ht="12.75" customHeight="1" x14ac:dyDescent="0.2">
      <c r="C4332"/>
      <c r="M4332"/>
    </row>
    <row r="4333" spans="3:13" ht="12.75" customHeight="1" x14ac:dyDescent="0.2">
      <c r="C4333"/>
      <c r="M4333"/>
    </row>
    <row r="4334" spans="3:13" ht="12.75" customHeight="1" x14ac:dyDescent="0.2">
      <c r="C4334"/>
      <c r="M4334"/>
    </row>
    <row r="4335" spans="3:13" ht="12.75" customHeight="1" x14ac:dyDescent="0.2">
      <c r="C4335"/>
      <c r="M4335"/>
    </row>
    <row r="4336" spans="3:13" ht="12.75" customHeight="1" x14ac:dyDescent="0.2">
      <c r="C4336"/>
      <c r="M4336"/>
    </row>
    <row r="4337" spans="3:13" ht="12.75" customHeight="1" x14ac:dyDescent="0.2">
      <c r="C4337"/>
      <c r="M4337"/>
    </row>
    <row r="4338" spans="3:13" ht="12.75" customHeight="1" x14ac:dyDescent="0.2">
      <c r="C4338"/>
      <c r="M4338"/>
    </row>
    <row r="4339" spans="3:13" ht="12.75" customHeight="1" x14ac:dyDescent="0.2">
      <c r="C4339"/>
      <c r="M4339"/>
    </row>
    <row r="4340" spans="3:13" ht="12.75" customHeight="1" x14ac:dyDescent="0.2">
      <c r="C4340"/>
      <c r="M4340"/>
    </row>
    <row r="4341" spans="3:13" ht="12.75" customHeight="1" x14ac:dyDescent="0.2">
      <c r="C4341"/>
      <c r="M4341"/>
    </row>
    <row r="4342" spans="3:13" ht="12.75" customHeight="1" x14ac:dyDescent="0.2">
      <c r="C4342"/>
      <c r="M4342"/>
    </row>
    <row r="4343" spans="3:13" ht="12.75" customHeight="1" x14ac:dyDescent="0.2">
      <c r="C4343"/>
      <c r="M4343"/>
    </row>
    <row r="4344" spans="3:13" ht="12.75" customHeight="1" x14ac:dyDescent="0.2">
      <c r="C4344"/>
      <c r="M4344"/>
    </row>
    <row r="4345" spans="3:13" ht="12.75" customHeight="1" x14ac:dyDescent="0.2">
      <c r="C4345"/>
      <c r="M4345"/>
    </row>
    <row r="4346" spans="3:13" ht="12.75" customHeight="1" x14ac:dyDescent="0.2">
      <c r="C4346"/>
      <c r="M4346"/>
    </row>
    <row r="4347" spans="3:13" ht="12.75" customHeight="1" x14ac:dyDescent="0.2">
      <c r="C4347"/>
      <c r="M4347"/>
    </row>
    <row r="4348" spans="3:13" ht="12.75" customHeight="1" x14ac:dyDescent="0.2">
      <c r="C4348"/>
      <c r="M4348"/>
    </row>
    <row r="4349" spans="3:13" ht="12.75" customHeight="1" x14ac:dyDescent="0.2">
      <c r="C4349"/>
      <c r="M4349"/>
    </row>
    <row r="4350" spans="3:13" ht="12.75" customHeight="1" x14ac:dyDescent="0.2">
      <c r="C4350"/>
      <c r="M4350"/>
    </row>
    <row r="4351" spans="3:13" ht="12.75" customHeight="1" x14ac:dyDescent="0.2">
      <c r="C4351"/>
      <c r="M4351"/>
    </row>
    <row r="4352" spans="3:13" ht="12.75" customHeight="1" x14ac:dyDescent="0.2">
      <c r="C4352"/>
      <c r="M4352"/>
    </row>
    <row r="4353" spans="3:13" ht="12.75" customHeight="1" x14ac:dyDescent="0.2">
      <c r="C4353"/>
      <c r="M4353"/>
    </row>
    <row r="4354" spans="3:13" ht="12.75" customHeight="1" x14ac:dyDescent="0.2">
      <c r="C4354"/>
      <c r="M4354"/>
    </row>
    <row r="4355" spans="3:13" ht="12.75" customHeight="1" x14ac:dyDescent="0.2">
      <c r="C4355"/>
      <c r="M4355"/>
    </row>
    <row r="4356" spans="3:13" ht="12.75" customHeight="1" x14ac:dyDescent="0.2">
      <c r="C4356"/>
      <c r="M4356"/>
    </row>
    <row r="4357" spans="3:13" ht="12.75" customHeight="1" x14ac:dyDescent="0.2">
      <c r="C4357"/>
      <c r="M4357"/>
    </row>
    <row r="4358" spans="3:13" ht="12.75" customHeight="1" x14ac:dyDescent="0.2">
      <c r="C4358"/>
      <c r="M4358"/>
    </row>
    <row r="4359" spans="3:13" ht="12.75" customHeight="1" x14ac:dyDescent="0.2">
      <c r="C4359"/>
      <c r="M4359"/>
    </row>
    <row r="4360" spans="3:13" ht="12.75" customHeight="1" x14ac:dyDescent="0.2">
      <c r="C4360"/>
      <c r="M4360"/>
    </row>
    <row r="4361" spans="3:13" ht="12.75" customHeight="1" x14ac:dyDescent="0.2">
      <c r="C4361"/>
      <c r="M4361"/>
    </row>
    <row r="4362" spans="3:13" ht="12.75" customHeight="1" x14ac:dyDescent="0.2">
      <c r="C4362"/>
      <c r="M4362"/>
    </row>
    <row r="4363" spans="3:13" ht="12.75" customHeight="1" x14ac:dyDescent="0.2">
      <c r="C4363"/>
      <c r="M4363"/>
    </row>
    <row r="4364" spans="3:13" ht="12.75" customHeight="1" x14ac:dyDescent="0.2">
      <c r="C4364"/>
      <c r="M4364"/>
    </row>
    <row r="4365" spans="3:13" ht="12.75" customHeight="1" x14ac:dyDescent="0.2">
      <c r="C4365"/>
      <c r="M4365"/>
    </row>
    <row r="4366" spans="3:13" ht="12.75" customHeight="1" x14ac:dyDescent="0.2">
      <c r="C4366"/>
      <c r="M4366"/>
    </row>
    <row r="4367" spans="3:13" ht="12.75" customHeight="1" x14ac:dyDescent="0.2">
      <c r="C4367"/>
      <c r="M4367"/>
    </row>
    <row r="4368" spans="3:13" ht="12.75" customHeight="1" x14ac:dyDescent="0.2">
      <c r="C4368"/>
      <c r="M4368"/>
    </row>
    <row r="4369" spans="3:13" ht="12.75" customHeight="1" x14ac:dyDescent="0.2">
      <c r="C4369"/>
      <c r="M4369"/>
    </row>
    <row r="4370" spans="3:13" ht="12.75" customHeight="1" x14ac:dyDescent="0.2">
      <c r="C4370"/>
      <c r="M4370"/>
    </row>
    <row r="4371" spans="3:13" ht="12.75" customHeight="1" x14ac:dyDescent="0.2">
      <c r="C4371"/>
      <c r="M4371"/>
    </row>
    <row r="4372" spans="3:13" ht="12.75" customHeight="1" x14ac:dyDescent="0.2">
      <c r="C4372"/>
      <c r="M4372"/>
    </row>
    <row r="4373" spans="3:13" ht="12.75" customHeight="1" x14ac:dyDescent="0.2">
      <c r="C4373"/>
      <c r="M4373"/>
    </row>
    <row r="4374" spans="3:13" ht="12.75" customHeight="1" x14ac:dyDescent="0.2">
      <c r="C4374"/>
      <c r="M4374"/>
    </row>
    <row r="4375" spans="3:13" ht="12.75" customHeight="1" x14ac:dyDescent="0.2">
      <c r="C4375"/>
      <c r="M4375"/>
    </row>
    <row r="4376" spans="3:13" ht="12.75" customHeight="1" x14ac:dyDescent="0.2">
      <c r="C4376"/>
      <c r="M4376"/>
    </row>
    <row r="4377" spans="3:13" ht="12.75" customHeight="1" x14ac:dyDescent="0.2">
      <c r="C4377"/>
      <c r="M4377"/>
    </row>
    <row r="4378" spans="3:13" ht="12.75" customHeight="1" x14ac:dyDescent="0.2">
      <c r="C4378"/>
      <c r="M4378"/>
    </row>
    <row r="4379" spans="3:13" ht="12.75" customHeight="1" x14ac:dyDescent="0.2">
      <c r="C4379"/>
      <c r="M4379"/>
    </row>
    <row r="4380" spans="3:13" ht="12.75" customHeight="1" x14ac:dyDescent="0.2">
      <c r="C4380"/>
      <c r="M4380"/>
    </row>
    <row r="4381" spans="3:13" ht="12.75" customHeight="1" x14ac:dyDescent="0.2">
      <c r="C4381"/>
      <c r="M4381"/>
    </row>
    <row r="4382" spans="3:13" ht="12.75" customHeight="1" x14ac:dyDescent="0.2">
      <c r="C4382"/>
      <c r="M4382"/>
    </row>
    <row r="4383" spans="3:13" ht="12.75" customHeight="1" x14ac:dyDescent="0.2">
      <c r="C4383"/>
      <c r="M4383"/>
    </row>
    <row r="4384" spans="3:13" ht="12.75" customHeight="1" x14ac:dyDescent="0.2">
      <c r="C4384"/>
      <c r="M4384"/>
    </row>
    <row r="4385" spans="3:13" ht="12.75" customHeight="1" x14ac:dyDescent="0.2">
      <c r="C4385"/>
      <c r="M4385"/>
    </row>
    <row r="4386" spans="3:13" ht="12.75" customHeight="1" x14ac:dyDescent="0.2">
      <c r="C4386"/>
      <c r="M4386"/>
    </row>
    <row r="4387" spans="3:13" ht="12.75" customHeight="1" x14ac:dyDescent="0.2">
      <c r="C4387"/>
      <c r="M4387"/>
    </row>
    <row r="4388" spans="3:13" ht="12.75" customHeight="1" x14ac:dyDescent="0.2">
      <c r="C4388"/>
      <c r="M4388"/>
    </row>
    <row r="4389" spans="3:13" ht="12.75" customHeight="1" x14ac:dyDescent="0.2">
      <c r="C4389"/>
      <c r="M4389"/>
    </row>
    <row r="4390" spans="3:13" ht="12.75" customHeight="1" x14ac:dyDescent="0.2">
      <c r="C4390"/>
      <c r="M4390"/>
    </row>
    <row r="4391" spans="3:13" ht="12.75" customHeight="1" x14ac:dyDescent="0.2">
      <c r="C4391"/>
      <c r="M4391"/>
    </row>
    <row r="4392" spans="3:13" ht="12.75" customHeight="1" x14ac:dyDescent="0.2">
      <c r="C4392"/>
      <c r="M4392"/>
    </row>
    <row r="4393" spans="3:13" ht="12.75" customHeight="1" x14ac:dyDescent="0.2">
      <c r="C4393"/>
      <c r="M4393"/>
    </row>
    <row r="4394" spans="3:13" ht="12.75" customHeight="1" x14ac:dyDescent="0.2">
      <c r="C4394"/>
      <c r="M4394"/>
    </row>
    <row r="4395" spans="3:13" ht="12.75" customHeight="1" x14ac:dyDescent="0.2">
      <c r="C4395"/>
      <c r="M4395"/>
    </row>
    <row r="4396" spans="3:13" ht="12.75" customHeight="1" x14ac:dyDescent="0.2">
      <c r="C4396"/>
      <c r="M4396"/>
    </row>
    <row r="4397" spans="3:13" ht="12.75" customHeight="1" x14ac:dyDescent="0.2">
      <c r="C4397"/>
      <c r="M4397"/>
    </row>
    <row r="4398" spans="3:13" ht="12.75" customHeight="1" x14ac:dyDescent="0.2">
      <c r="C4398"/>
      <c r="M4398"/>
    </row>
    <row r="4399" spans="3:13" ht="12.75" customHeight="1" x14ac:dyDescent="0.2">
      <c r="C4399"/>
      <c r="M4399"/>
    </row>
    <row r="4400" spans="3:13" ht="12.75" customHeight="1" x14ac:dyDescent="0.2">
      <c r="C4400"/>
      <c r="M4400"/>
    </row>
    <row r="4401" spans="3:13" ht="12.75" customHeight="1" x14ac:dyDescent="0.2">
      <c r="C4401"/>
      <c r="M4401"/>
    </row>
    <row r="4402" spans="3:13" ht="12.75" customHeight="1" x14ac:dyDescent="0.2">
      <c r="C4402"/>
      <c r="M4402"/>
    </row>
    <row r="4403" spans="3:13" ht="12.75" customHeight="1" x14ac:dyDescent="0.2">
      <c r="C4403"/>
      <c r="M4403"/>
    </row>
    <row r="4404" spans="3:13" ht="12.75" customHeight="1" x14ac:dyDescent="0.2">
      <c r="C4404"/>
      <c r="M4404"/>
    </row>
    <row r="4405" spans="3:13" ht="12.75" customHeight="1" x14ac:dyDescent="0.2">
      <c r="C4405"/>
      <c r="M4405"/>
    </row>
    <row r="4406" spans="3:13" ht="12.75" customHeight="1" x14ac:dyDescent="0.2">
      <c r="C4406"/>
      <c r="M4406"/>
    </row>
    <row r="4407" spans="3:13" ht="12.75" customHeight="1" x14ac:dyDescent="0.2">
      <c r="C4407"/>
      <c r="M4407"/>
    </row>
    <row r="4408" spans="3:13" ht="12.75" customHeight="1" x14ac:dyDescent="0.2">
      <c r="C4408"/>
      <c r="M4408"/>
    </row>
    <row r="4409" spans="3:13" ht="12.75" customHeight="1" x14ac:dyDescent="0.2">
      <c r="C4409"/>
      <c r="M4409"/>
    </row>
    <row r="4410" spans="3:13" ht="12.75" customHeight="1" x14ac:dyDescent="0.2">
      <c r="C4410"/>
      <c r="M4410"/>
    </row>
    <row r="4411" spans="3:13" ht="12.75" customHeight="1" x14ac:dyDescent="0.2">
      <c r="C4411"/>
      <c r="M4411"/>
    </row>
    <row r="4412" spans="3:13" ht="12.75" customHeight="1" x14ac:dyDescent="0.2">
      <c r="C4412"/>
      <c r="M4412"/>
    </row>
    <row r="4413" spans="3:13" ht="12.75" customHeight="1" x14ac:dyDescent="0.2">
      <c r="C4413"/>
      <c r="M4413"/>
    </row>
    <row r="4414" spans="3:13" ht="12.75" customHeight="1" x14ac:dyDescent="0.2">
      <c r="C4414"/>
      <c r="M4414"/>
    </row>
    <row r="4415" spans="3:13" ht="12.75" customHeight="1" x14ac:dyDescent="0.2">
      <c r="C4415"/>
      <c r="M4415"/>
    </row>
    <row r="4416" spans="3:13" ht="12.75" customHeight="1" x14ac:dyDescent="0.2">
      <c r="C4416"/>
      <c r="M4416"/>
    </row>
    <row r="4417" spans="3:13" ht="12.75" customHeight="1" x14ac:dyDescent="0.2">
      <c r="C4417"/>
      <c r="M4417"/>
    </row>
    <row r="4418" spans="3:13" ht="12.75" customHeight="1" x14ac:dyDescent="0.2">
      <c r="C4418"/>
      <c r="M4418"/>
    </row>
    <row r="4419" spans="3:13" ht="12.75" customHeight="1" x14ac:dyDescent="0.2">
      <c r="C4419"/>
      <c r="M4419"/>
    </row>
    <row r="4420" spans="3:13" ht="12.75" customHeight="1" x14ac:dyDescent="0.2">
      <c r="C4420"/>
      <c r="M4420"/>
    </row>
    <row r="4421" spans="3:13" ht="12.75" customHeight="1" x14ac:dyDescent="0.2">
      <c r="C4421"/>
      <c r="M4421"/>
    </row>
    <row r="4422" spans="3:13" ht="12.75" customHeight="1" x14ac:dyDescent="0.2">
      <c r="C4422"/>
      <c r="M4422"/>
    </row>
    <row r="4423" spans="3:13" ht="12.75" customHeight="1" x14ac:dyDescent="0.2">
      <c r="C4423"/>
      <c r="M4423"/>
    </row>
    <row r="4424" spans="3:13" ht="12.75" customHeight="1" x14ac:dyDescent="0.2">
      <c r="C4424"/>
      <c r="M4424"/>
    </row>
    <row r="4425" spans="3:13" ht="12.75" customHeight="1" x14ac:dyDescent="0.2">
      <c r="C4425"/>
      <c r="M4425"/>
    </row>
    <row r="4426" spans="3:13" ht="12.75" customHeight="1" x14ac:dyDescent="0.2">
      <c r="C4426"/>
      <c r="M4426"/>
    </row>
    <row r="4427" spans="3:13" ht="12.75" customHeight="1" x14ac:dyDescent="0.2">
      <c r="C4427"/>
      <c r="M4427"/>
    </row>
    <row r="4428" spans="3:13" ht="12.75" customHeight="1" x14ac:dyDescent="0.2">
      <c r="C4428"/>
      <c r="M4428"/>
    </row>
    <row r="4429" spans="3:13" ht="12.75" customHeight="1" x14ac:dyDescent="0.2">
      <c r="C4429"/>
      <c r="M4429"/>
    </row>
    <row r="4430" spans="3:13" ht="12.75" customHeight="1" x14ac:dyDescent="0.2">
      <c r="C4430"/>
      <c r="M4430"/>
    </row>
    <row r="4431" spans="3:13" ht="12.75" customHeight="1" x14ac:dyDescent="0.2">
      <c r="C4431"/>
      <c r="M4431"/>
    </row>
    <row r="4432" spans="3:13" ht="12.75" customHeight="1" x14ac:dyDescent="0.2">
      <c r="C4432"/>
      <c r="M4432"/>
    </row>
    <row r="4442" spans="3:13" ht="12.75" customHeight="1" x14ac:dyDescent="0.2">
      <c r="C4442"/>
      <c r="M4442"/>
    </row>
    <row r="4443" spans="3:13" ht="12.75" customHeight="1" x14ac:dyDescent="0.2">
      <c r="C4443"/>
      <c r="M4443"/>
    </row>
    <row r="4444" spans="3:13" ht="12.75" customHeight="1" x14ac:dyDescent="0.2">
      <c r="C4444"/>
      <c r="M4444"/>
    </row>
    <row r="4445" spans="3:13" ht="12.75" customHeight="1" x14ac:dyDescent="0.2">
      <c r="C4445"/>
      <c r="M4445"/>
    </row>
    <row r="61103" spans="3:13" ht="12.75" customHeight="1" x14ac:dyDescent="0.2">
      <c r="C61103"/>
      <c r="M61103"/>
    </row>
    <row r="61119" spans="3:13" ht="12.75" customHeight="1" x14ac:dyDescent="0.2">
      <c r="C61119"/>
      <c r="M61119"/>
    </row>
    <row r="61135" spans="3:13" ht="12.75" customHeight="1" x14ac:dyDescent="0.2">
      <c r="C61135"/>
      <c r="M61135"/>
    </row>
    <row r="61151" spans="3:13" ht="12.75" customHeight="1" x14ac:dyDescent="0.2">
      <c r="C61151"/>
      <c r="M61151"/>
    </row>
    <row r="61164" spans="3:13" ht="12.75" customHeight="1" x14ac:dyDescent="0.2">
      <c r="C61164"/>
      <c r="M61164"/>
    </row>
    <row r="61165" spans="3:13" ht="12.75" customHeight="1" x14ac:dyDescent="0.2">
      <c r="C61165"/>
      <c r="M61165"/>
    </row>
    <row r="61167" spans="3:13" ht="12.75" customHeight="1" x14ac:dyDescent="0.2">
      <c r="C61167"/>
      <c r="M61167"/>
    </row>
    <row r="61178" spans="3:13" ht="12.75" customHeight="1" x14ac:dyDescent="0.2">
      <c r="C61178"/>
      <c r="M61178"/>
    </row>
    <row r="61179" spans="3:13" ht="12.75" customHeight="1" x14ac:dyDescent="0.2">
      <c r="C61179"/>
      <c r="M61179"/>
    </row>
    <row r="61180" spans="3:13" ht="12.75" customHeight="1" x14ac:dyDescent="0.2">
      <c r="C61180"/>
      <c r="M61180"/>
    </row>
    <row r="61181" spans="3:13" ht="12.75" customHeight="1" x14ac:dyDescent="0.2">
      <c r="C61181"/>
      <c r="M61181"/>
    </row>
    <row r="61183" spans="3:13" ht="12.75" customHeight="1" x14ac:dyDescent="0.2">
      <c r="C61183"/>
      <c r="M61183"/>
    </row>
    <row r="61194" spans="3:13" ht="12.75" customHeight="1" x14ac:dyDescent="0.2">
      <c r="C61194"/>
      <c r="M61194"/>
    </row>
    <row r="61195" spans="3:13" ht="12.75" customHeight="1" x14ac:dyDescent="0.2">
      <c r="C61195"/>
      <c r="M61195"/>
    </row>
    <row r="61196" spans="3:13" ht="12.75" customHeight="1" x14ac:dyDescent="0.2">
      <c r="C61196"/>
      <c r="M61196"/>
    </row>
    <row r="61197" spans="3:13" ht="12.75" customHeight="1" x14ac:dyDescent="0.2">
      <c r="C61197"/>
      <c r="M61197"/>
    </row>
    <row r="61199" spans="3:13" ht="12.75" customHeight="1" x14ac:dyDescent="0.2">
      <c r="C61199"/>
      <c r="M61199"/>
    </row>
    <row r="61210" spans="3:13" ht="12.75" customHeight="1" x14ac:dyDescent="0.2">
      <c r="C61210"/>
      <c r="M61210"/>
    </row>
    <row r="61211" spans="3:13" ht="12.75" customHeight="1" x14ac:dyDescent="0.2">
      <c r="C61211"/>
      <c r="M61211"/>
    </row>
    <row r="61212" spans="3:13" ht="12.75" customHeight="1" x14ac:dyDescent="0.2">
      <c r="C61212"/>
      <c r="M61212"/>
    </row>
    <row r="61213" spans="3:13" ht="12.75" customHeight="1" x14ac:dyDescent="0.2">
      <c r="C61213"/>
      <c r="M61213"/>
    </row>
    <row r="61215" spans="3:13" ht="12.75" customHeight="1" x14ac:dyDescent="0.2">
      <c r="C61215"/>
      <c r="M61215"/>
    </row>
    <row r="61226" spans="3:13" ht="12.75" customHeight="1" x14ac:dyDescent="0.2">
      <c r="C61226"/>
      <c r="M61226"/>
    </row>
    <row r="61227" spans="3:13" ht="12.75" customHeight="1" x14ac:dyDescent="0.2">
      <c r="C61227"/>
      <c r="M61227"/>
    </row>
    <row r="61228" spans="3:13" ht="12.75" customHeight="1" x14ac:dyDescent="0.2">
      <c r="C61228"/>
      <c r="M61228"/>
    </row>
    <row r="61229" spans="3:13" ht="12.75" customHeight="1" x14ac:dyDescent="0.2">
      <c r="C61229"/>
      <c r="M61229"/>
    </row>
    <row r="61231" spans="3:13" ht="12.75" customHeight="1" x14ac:dyDescent="0.2">
      <c r="C61231"/>
      <c r="M61231"/>
    </row>
    <row r="61242" spans="3:13" ht="12.75" customHeight="1" x14ac:dyDescent="0.2">
      <c r="C61242"/>
      <c r="M61242"/>
    </row>
    <row r="61243" spans="3:13" ht="12.75" customHeight="1" x14ac:dyDescent="0.2">
      <c r="C61243"/>
      <c r="M61243"/>
    </row>
    <row r="61244" spans="3:13" ht="12.75" customHeight="1" x14ac:dyDescent="0.2">
      <c r="C61244"/>
      <c r="M61244"/>
    </row>
    <row r="61245" spans="3:13" ht="12.75" customHeight="1" x14ac:dyDescent="0.2">
      <c r="C61245"/>
      <c r="M61245"/>
    </row>
    <row r="61247" spans="3:13" ht="12.75" customHeight="1" x14ac:dyDescent="0.2">
      <c r="C61247"/>
      <c r="M61247"/>
    </row>
    <row r="61258" spans="3:13" ht="12.75" customHeight="1" x14ac:dyDescent="0.2">
      <c r="C61258"/>
      <c r="M61258"/>
    </row>
    <row r="61259" spans="3:13" ht="12.75" customHeight="1" x14ac:dyDescent="0.2">
      <c r="C61259"/>
      <c r="M61259"/>
    </row>
    <row r="61260" spans="3:13" ht="12.75" customHeight="1" x14ac:dyDescent="0.2">
      <c r="C61260"/>
      <c r="M61260"/>
    </row>
    <row r="61261" spans="3:13" ht="12.75" customHeight="1" x14ac:dyDescent="0.2">
      <c r="C61261"/>
      <c r="M61261"/>
    </row>
    <row r="61263" spans="3:13" ht="12.75" customHeight="1" x14ac:dyDescent="0.2">
      <c r="C61263"/>
      <c r="M61263"/>
    </row>
    <row r="61274" spans="3:13" ht="12.75" customHeight="1" x14ac:dyDescent="0.2">
      <c r="C61274"/>
      <c r="M61274"/>
    </row>
    <row r="61275" spans="3:13" ht="12.75" customHeight="1" x14ac:dyDescent="0.2">
      <c r="C61275"/>
      <c r="M61275"/>
    </row>
    <row r="61276" spans="3:13" ht="12.75" customHeight="1" x14ac:dyDescent="0.2">
      <c r="C61276"/>
      <c r="M61276"/>
    </row>
    <row r="61277" spans="3:13" ht="12.75" customHeight="1" x14ac:dyDescent="0.2">
      <c r="C61277"/>
      <c r="M61277"/>
    </row>
    <row r="61279" spans="3:13" ht="12.75" customHeight="1" x14ac:dyDescent="0.2">
      <c r="C61279"/>
      <c r="M61279"/>
    </row>
    <row r="61290" spans="3:13" ht="12.75" customHeight="1" x14ac:dyDescent="0.2">
      <c r="C61290"/>
      <c r="M61290"/>
    </row>
    <row r="61291" spans="3:13" ht="12.75" customHeight="1" x14ac:dyDescent="0.2">
      <c r="C61291"/>
      <c r="M61291"/>
    </row>
    <row r="61292" spans="3:13" ht="12.75" customHeight="1" x14ac:dyDescent="0.2">
      <c r="C61292"/>
      <c r="M61292"/>
    </row>
    <row r="61293" spans="3:13" ht="12.75" customHeight="1" x14ac:dyDescent="0.2">
      <c r="C61293"/>
      <c r="M61293"/>
    </row>
    <row r="61295" spans="3:13" ht="12.75" customHeight="1" x14ac:dyDescent="0.2">
      <c r="C61295"/>
      <c r="M61295"/>
    </row>
    <row r="61303" spans="3:13" ht="12.75" customHeight="1" x14ac:dyDescent="0.2">
      <c r="C61303"/>
      <c r="M61303"/>
    </row>
    <row r="61306" spans="3:13" ht="12.75" customHeight="1" x14ac:dyDescent="0.2">
      <c r="C61306"/>
      <c r="M61306"/>
    </row>
    <row r="61307" spans="3:13" ht="12.75" customHeight="1" x14ac:dyDescent="0.2">
      <c r="C61307"/>
      <c r="M61307"/>
    </row>
    <row r="61308" spans="3:13" ht="12.75" customHeight="1" x14ac:dyDescent="0.2">
      <c r="C61308"/>
      <c r="M61308"/>
    </row>
    <row r="61309" spans="3:13" ht="12.75" customHeight="1" x14ac:dyDescent="0.2">
      <c r="C61309"/>
      <c r="M61309"/>
    </row>
    <row r="61311" spans="3:13" ht="12.75" customHeight="1" x14ac:dyDescent="0.2">
      <c r="C61311"/>
      <c r="M61311"/>
    </row>
    <row r="61319" spans="3:13" ht="12.75" customHeight="1" x14ac:dyDescent="0.2">
      <c r="C61319"/>
      <c r="M61319"/>
    </row>
    <row r="61322" spans="3:13" ht="12.75" customHeight="1" x14ac:dyDescent="0.2">
      <c r="C61322"/>
      <c r="M61322"/>
    </row>
    <row r="61323" spans="3:13" ht="12.75" customHeight="1" x14ac:dyDescent="0.2">
      <c r="C61323"/>
      <c r="M61323"/>
    </row>
    <row r="61324" spans="3:13" ht="12.75" customHeight="1" x14ac:dyDescent="0.2">
      <c r="C61324"/>
      <c r="M61324"/>
    </row>
    <row r="61325" spans="3:13" ht="12.75" customHeight="1" x14ac:dyDescent="0.2">
      <c r="C61325"/>
      <c r="M61325"/>
    </row>
    <row r="61327" spans="3:13" ht="12.75" customHeight="1" x14ac:dyDescent="0.2">
      <c r="C61327"/>
      <c r="M61327"/>
    </row>
    <row r="61335" spans="3:13" ht="12.75" customHeight="1" x14ac:dyDescent="0.2">
      <c r="C61335"/>
      <c r="M61335"/>
    </row>
    <row r="61336" spans="3:13" ht="12.75" customHeight="1" x14ac:dyDescent="0.2">
      <c r="C61336"/>
      <c r="M61336"/>
    </row>
    <row r="61338" spans="3:13" ht="12.75" customHeight="1" x14ac:dyDescent="0.2">
      <c r="C61338"/>
      <c r="M61338"/>
    </row>
    <row r="61339" spans="3:13" ht="12.75" customHeight="1" x14ac:dyDescent="0.2">
      <c r="C61339"/>
      <c r="M61339"/>
    </row>
    <row r="61340" spans="3:13" ht="12.75" customHeight="1" x14ac:dyDescent="0.2">
      <c r="C61340"/>
      <c r="M61340"/>
    </row>
    <row r="61341" spans="3:13" ht="12.75" customHeight="1" x14ac:dyDescent="0.2">
      <c r="C61341"/>
      <c r="M61341"/>
    </row>
    <row r="61343" spans="3:13" ht="12.75" customHeight="1" x14ac:dyDescent="0.2">
      <c r="C61343"/>
      <c r="M61343"/>
    </row>
    <row r="61351" spans="3:13" ht="12.75" customHeight="1" x14ac:dyDescent="0.2">
      <c r="C61351"/>
      <c r="M61351"/>
    </row>
    <row r="61352" spans="3:13" ht="12.75" customHeight="1" x14ac:dyDescent="0.2">
      <c r="C61352"/>
      <c r="M61352"/>
    </row>
    <row r="61353" spans="3:13" ht="12.75" customHeight="1" x14ac:dyDescent="0.2">
      <c r="C61353"/>
      <c r="M61353"/>
    </row>
    <row r="61354" spans="3:13" ht="12.75" customHeight="1" x14ac:dyDescent="0.2">
      <c r="C61354"/>
      <c r="M61354"/>
    </row>
    <row r="61355" spans="3:13" ht="12.75" customHeight="1" x14ac:dyDescent="0.2">
      <c r="C61355"/>
      <c r="M61355"/>
    </row>
    <row r="61356" spans="3:13" ht="12.75" customHeight="1" x14ac:dyDescent="0.2">
      <c r="C61356"/>
      <c r="M61356"/>
    </row>
    <row r="61357" spans="3:13" ht="12.75" customHeight="1" x14ac:dyDescent="0.2">
      <c r="C61357"/>
      <c r="M61357"/>
    </row>
    <row r="61359" spans="3:13" ht="12.75" customHeight="1" x14ac:dyDescent="0.2">
      <c r="C61359"/>
      <c r="M61359"/>
    </row>
    <row r="61367" spans="3:13" ht="12.75" customHeight="1" x14ac:dyDescent="0.2">
      <c r="C61367"/>
      <c r="M61367"/>
    </row>
    <row r="61368" spans="3:13" ht="12.75" customHeight="1" x14ac:dyDescent="0.2">
      <c r="C61368"/>
      <c r="M61368"/>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3" spans="3:13" ht="12.75" customHeight="1" x14ac:dyDescent="0.2">
      <c r="C61373"/>
      <c r="M61373"/>
    </row>
    <row r="61375" spans="3:13" ht="12.75" customHeight="1" x14ac:dyDescent="0.2">
      <c r="C61375"/>
      <c r="M61375"/>
    </row>
    <row r="61381" spans="3:13" ht="12.75" customHeight="1" x14ac:dyDescent="0.2">
      <c r="C61381"/>
      <c r="M61381"/>
    </row>
    <row r="61382" spans="3:13" ht="12.75" customHeight="1" x14ac:dyDescent="0.2">
      <c r="C61382"/>
      <c r="M61382"/>
    </row>
    <row r="61383" spans="3:13" ht="12.75" customHeight="1" x14ac:dyDescent="0.2">
      <c r="C61383"/>
      <c r="M61383"/>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89" spans="3:13" ht="12.75" customHeight="1" x14ac:dyDescent="0.2">
      <c r="C61389"/>
      <c r="M61389"/>
    </row>
    <row r="61390" spans="3:13" ht="12.75" customHeight="1" x14ac:dyDescent="0.2">
      <c r="C61390"/>
      <c r="M61390"/>
    </row>
    <row r="61391" spans="3:13" ht="12.75" customHeight="1" x14ac:dyDescent="0.2">
      <c r="C61391"/>
      <c r="M61391"/>
    </row>
    <row r="61392" spans="3:13" ht="12.75" customHeight="1" x14ac:dyDescent="0.2">
      <c r="C61392"/>
      <c r="M61392"/>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row r="65348" spans="3:13" ht="12.75" customHeight="1" x14ac:dyDescent="0.2">
      <c r="C65348"/>
      <c r="M65348"/>
    </row>
    <row r="65349" spans="3:13" ht="12.75" customHeight="1" x14ac:dyDescent="0.2">
      <c r="C65349"/>
      <c r="M65349"/>
    </row>
    <row r="65350" spans="3:13" ht="12.75" customHeight="1" x14ac:dyDescent="0.2">
      <c r="C65350"/>
      <c r="M65350"/>
    </row>
    <row r="65351" spans="3:13" ht="12.75" customHeight="1" x14ac:dyDescent="0.2">
      <c r="C65351"/>
      <c r="M65351"/>
    </row>
    <row r="65352" spans="3:13" ht="12.75" customHeight="1" x14ac:dyDescent="0.2">
      <c r="C65352"/>
      <c r="M65352"/>
    </row>
    <row r="65353" spans="3:13" ht="12.75" customHeight="1" x14ac:dyDescent="0.2">
      <c r="C65353"/>
      <c r="M65353"/>
    </row>
    <row r="65354" spans="3:13" ht="12.75" customHeight="1" x14ac:dyDescent="0.2">
      <c r="C65354"/>
      <c r="M65354"/>
    </row>
    <row r="65355" spans="3:13" ht="12.75" customHeight="1" x14ac:dyDescent="0.2">
      <c r="C65355"/>
      <c r="M65355"/>
    </row>
    <row r="65356" spans="3:13" ht="12.75" customHeight="1" x14ac:dyDescent="0.2">
      <c r="C65356"/>
      <c r="M65356"/>
    </row>
    <row r="65357" spans="3:13" ht="12.75" customHeight="1" x14ac:dyDescent="0.2">
      <c r="C65357"/>
      <c r="M65357"/>
    </row>
    <row r="65358" spans="3:13" ht="12.75" customHeight="1" x14ac:dyDescent="0.2">
      <c r="C65358"/>
      <c r="M65358"/>
    </row>
    <row r="65359" spans="3:13" ht="12.75" customHeight="1" x14ac:dyDescent="0.2">
      <c r="C65359"/>
      <c r="M65359"/>
    </row>
    <row r="65360" spans="3:13" ht="12.75" customHeight="1" x14ac:dyDescent="0.2">
      <c r="C65360"/>
      <c r="M65360"/>
    </row>
    <row r="65361" spans="3:13" ht="12.75" customHeight="1" x14ac:dyDescent="0.2">
      <c r="C65361"/>
      <c r="M65361"/>
    </row>
    <row r="65362" spans="3:13" ht="12.75" customHeight="1" x14ac:dyDescent="0.2">
      <c r="C65362"/>
      <c r="M65362"/>
    </row>
    <row r="65363" spans="3:13" ht="12.75" customHeight="1" x14ac:dyDescent="0.2">
      <c r="C65363"/>
      <c r="M65363"/>
    </row>
    <row r="65364" spans="3:13" ht="12.75" customHeight="1" x14ac:dyDescent="0.2">
      <c r="C65364"/>
      <c r="M65364"/>
    </row>
    <row r="65365" spans="3:13" ht="12.75" customHeight="1" x14ac:dyDescent="0.2">
      <c r="C65365"/>
      <c r="M65365"/>
    </row>
    <row r="65366" spans="3:13" ht="12.75" customHeight="1" x14ac:dyDescent="0.2">
      <c r="C65366"/>
      <c r="M65366"/>
    </row>
    <row r="65367" spans="3:13" ht="12.75" customHeight="1" x14ac:dyDescent="0.2">
      <c r="C65367"/>
      <c r="M65367"/>
    </row>
    <row r="65368" spans="3:13" ht="12.75" customHeight="1" x14ac:dyDescent="0.2">
      <c r="C65368"/>
      <c r="M65368"/>
    </row>
    <row r="65369" spans="3:13" ht="12.75" customHeight="1" x14ac:dyDescent="0.2">
      <c r="C65369"/>
      <c r="M65369"/>
    </row>
    <row r="65370" spans="3:13" ht="12.75" customHeight="1" x14ac:dyDescent="0.2">
      <c r="C65370"/>
      <c r="M65370"/>
    </row>
    <row r="65371" spans="3:13" ht="12.75" customHeight="1" x14ac:dyDescent="0.2">
      <c r="C65371"/>
      <c r="M65371"/>
    </row>
    <row r="65372" spans="3:13" ht="12.75" customHeight="1" x14ac:dyDescent="0.2">
      <c r="C65372"/>
      <c r="M65372"/>
    </row>
    <row r="65373" spans="3:13" ht="12.75" customHeight="1" x14ac:dyDescent="0.2">
      <c r="C65373"/>
      <c r="M65373"/>
    </row>
    <row r="65374" spans="3:13" ht="12.75" customHeight="1" x14ac:dyDescent="0.2">
      <c r="C65374"/>
      <c r="M65374"/>
    </row>
    <row r="65375" spans="3:13" ht="12.75" customHeight="1" x14ac:dyDescent="0.2">
      <c r="C65375"/>
      <c r="M65375"/>
    </row>
    <row r="65376" spans="3:13" ht="12.75" customHeight="1" x14ac:dyDescent="0.2">
      <c r="C65376"/>
      <c r="M65376"/>
    </row>
    <row r="65377" spans="3:13" ht="12.75" customHeight="1" x14ac:dyDescent="0.2">
      <c r="C65377"/>
      <c r="M65377"/>
    </row>
    <row r="65378" spans="3:13" ht="12.75" customHeight="1" x14ac:dyDescent="0.2">
      <c r="C65378"/>
      <c r="M65378"/>
    </row>
    <row r="65379" spans="3:13" ht="12.75" customHeight="1" x14ac:dyDescent="0.2">
      <c r="C65379"/>
      <c r="M65379"/>
    </row>
    <row r="65380" spans="3:13" ht="12.75" customHeight="1" x14ac:dyDescent="0.2">
      <c r="C65380"/>
      <c r="M65380"/>
    </row>
    <row r="65381" spans="3:13" ht="12.75" customHeight="1" x14ac:dyDescent="0.2">
      <c r="C65381"/>
      <c r="M65381"/>
    </row>
    <row r="65382" spans="3:13" ht="12.75" customHeight="1" x14ac:dyDescent="0.2">
      <c r="C65382"/>
      <c r="M65382"/>
    </row>
    <row r="65383" spans="3:13" ht="12.75" customHeight="1" x14ac:dyDescent="0.2">
      <c r="C65383"/>
      <c r="M65383"/>
    </row>
    <row r="65384" spans="3:13" ht="12.75" customHeight="1" x14ac:dyDescent="0.2">
      <c r="C65384"/>
      <c r="M65384"/>
    </row>
    <row r="65385" spans="3:13" ht="12.75" customHeight="1" x14ac:dyDescent="0.2">
      <c r="C65385"/>
      <c r="M65385"/>
    </row>
    <row r="65386" spans="3:13" ht="12.75" customHeight="1" x14ac:dyDescent="0.2">
      <c r="C65386"/>
      <c r="M65386"/>
    </row>
    <row r="65387" spans="3:13" ht="12.75" customHeight="1" x14ac:dyDescent="0.2">
      <c r="C65387"/>
      <c r="M65387"/>
    </row>
    <row r="65388" spans="3:13" ht="12.75" customHeight="1" x14ac:dyDescent="0.2">
      <c r="C65388"/>
      <c r="M65388"/>
    </row>
    <row r="65389" spans="3:13" ht="12.75" customHeight="1" x14ac:dyDescent="0.2">
      <c r="C65389"/>
      <c r="M65389"/>
    </row>
    <row r="65390" spans="3:13" ht="12.75" customHeight="1" x14ac:dyDescent="0.2">
      <c r="C65390"/>
      <c r="M65390"/>
    </row>
    <row r="65391" spans="3:13" ht="12.75" customHeight="1" x14ac:dyDescent="0.2">
      <c r="C65391"/>
      <c r="M65391"/>
    </row>
    <row r="65392" spans="3:13" ht="12.75" customHeight="1" x14ac:dyDescent="0.2">
      <c r="C65392"/>
      <c r="M65392"/>
    </row>
    <row r="65393" spans="3:13" ht="12.75" customHeight="1" x14ac:dyDescent="0.2">
      <c r="C65393"/>
      <c r="M65393"/>
    </row>
    <row r="65394" spans="3:13" ht="12.75" customHeight="1" x14ac:dyDescent="0.2">
      <c r="C65394"/>
      <c r="M65394"/>
    </row>
    <row r="65395" spans="3:13" ht="12.75" customHeight="1" x14ac:dyDescent="0.2">
      <c r="C65395"/>
      <c r="M65395"/>
    </row>
    <row r="65396" spans="3:13" ht="12.75" customHeight="1" x14ac:dyDescent="0.2">
      <c r="C65396"/>
      <c r="M65396"/>
    </row>
    <row r="65397" spans="3:13" ht="12.75" customHeight="1" x14ac:dyDescent="0.2">
      <c r="C65397"/>
      <c r="M65397"/>
    </row>
    <row r="65398" spans="3:13" ht="12.75" customHeight="1" x14ac:dyDescent="0.2">
      <c r="C65398"/>
      <c r="M65398"/>
    </row>
    <row r="65399" spans="3:13" ht="12.75" customHeight="1" x14ac:dyDescent="0.2">
      <c r="C65399"/>
      <c r="M65399"/>
    </row>
    <row r="65400" spans="3:13" ht="12.75" customHeight="1" x14ac:dyDescent="0.2">
      <c r="C65400"/>
      <c r="M65400"/>
    </row>
    <row r="65401" spans="3:13" ht="12.75" customHeight="1" x14ac:dyDescent="0.2">
      <c r="C65401"/>
      <c r="M65401"/>
    </row>
    <row r="65402" spans="3:13" ht="12.75" customHeight="1" x14ac:dyDescent="0.2">
      <c r="C65402"/>
      <c r="M65402"/>
    </row>
    <row r="65403" spans="3:13" ht="12.75" customHeight="1" x14ac:dyDescent="0.2">
      <c r="C65403"/>
      <c r="M65403"/>
    </row>
    <row r="65404" spans="3:13" ht="12.75" customHeight="1" x14ac:dyDescent="0.2">
      <c r="C65404"/>
      <c r="M65404"/>
    </row>
    <row r="65405" spans="3:13" ht="12.75" customHeight="1" x14ac:dyDescent="0.2">
      <c r="C65405"/>
      <c r="M65405"/>
    </row>
    <row r="65406" spans="3:13" ht="12.75" customHeight="1" x14ac:dyDescent="0.2">
      <c r="C65406"/>
      <c r="M65406"/>
    </row>
    <row r="65407" spans="3:13" ht="12.75" customHeight="1" x14ac:dyDescent="0.2">
      <c r="C65407"/>
      <c r="M65407"/>
    </row>
    <row r="65408" spans="3:13" ht="12.75" customHeight="1" x14ac:dyDescent="0.2">
      <c r="C65408"/>
      <c r="M65408"/>
    </row>
    <row r="65409" spans="3:13" ht="12.75" customHeight="1" x14ac:dyDescent="0.2">
      <c r="C65409"/>
      <c r="M65409"/>
    </row>
    <row r="65410" spans="3:13" ht="12.75" customHeight="1" x14ac:dyDescent="0.2">
      <c r="C65410"/>
      <c r="M65410"/>
    </row>
    <row r="65411" spans="3:13" ht="12.75" customHeight="1" x14ac:dyDescent="0.2">
      <c r="C65411"/>
      <c r="M65411"/>
    </row>
    <row r="65412" spans="3:13" ht="12.75" customHeight="1" x14ac:dyDescent="0.2">
      <c r="C65412"/>
      <c r="M65412"/>
    </row>
    <row r="65413" spans="3:13" ht="12.75" customHeight="1" x14ac:dyDescent="0.2">
      <c r="C65413"/>
      <c r="M65413"/>
    </row>
    <row r="65414" spans="3:13" ht="12.75" customHeight="1" x14ac:dyDescent="0.2">
      <c r="C65414"/>
      <c r="M65414"/>
    </row>
    <row r="65415" spans="3:13" ht="12.75" customHeight="1" x14ac:dyDescent="0.2">
      <c r="C65415"/>
      <c r="M65415"/>
    </row>
    <row r="65416" spans="3:13" ht="12.75" customHeight="1" x14ac:dyDescent="0.2">
      <c r="C65416"/>
      <c r="M65416"/>
    </row>
    <row r="65417" spans="3:13" ht="12.75" customHeight="1" x14ac:dyDescent="0.2">
      <c r="C65417"/>
      <c r="M65417"/>
    </row>
    <row r="65418" spans="3:13" ht="12.75" customHeight="1" x14ac:dyDescent="0.2">
      <c r="C65418"/>
      <c r="M65418"/>
    </row>
    <row r="65419" spans="3:13" ht="12.75" customHeight="1" x14ac:dyDescent="0.2">
      <c r="C65419"/>
      <c r="M65419"/>
    </row>
    <row r="65420" spans="3:13" ht="12.75" customHeight="1" x14ac:dyDescent="0.2">
      <c r="C65420"/>
      <c r="M65420"/>
    </row>
    <row r="65421" spans="3:13" ht="12.75" customHeight="1" x14ac:dyDescent="0.2">
      <c r="C65421"/>
      <c r="M65421"/>
    </row>
    <row r="65422" spans="3:13" ht="12.75" customHeight="1" x14ac:dyDescent="0.2">
      <c r="C65422"/>
      <c r="M65422"/>
    </row>
    <row r="65423" spans="3:13" ht="12.75" customHeight="1" x14ac:dyDescent="0.2">
      <c r="C65423"/>
      <c r="M65423"/>
    </row>
    <row r="65424" spans="3:13" ht="12.75" customHeight="1" x14ac:dyDescent="0.2">
      <c r="C65424"/>
      <c r="M65424"/>
    </row>
    <row r="65425" spans="3:13" ht="12.75" customHeight="1" x14ac:dyDescent="0.2">
      <c r="C65425"/>
      <c r="M65425"/>
    </row>
    <row r="65426" spans="3:13" ht="12.75" customHeight="1" x14ac:dyDescent="0.2">
      <c r="C65426"/>
      <c r="M65426"/>
    </row>
    <row r="65427" spans="3:13" ht="12.75" customHeight="1" x14ac:dyDescent="0.2">
      <c r="C65427"/>
      <c r="M65427"/>
    </row>
    <row r="65428" spans="3:13" ht="12.75" customHeight="1" x14ac:dyDescent="0.2">
      <c r="C65428"/>
      <c r="M65428"/>
    </row>
    <row r="65429" spans="3:13" ht="12.75" customHeight="1" x14ac:dyDescent="0.2">
      <c r="C65429"/>
      <c r="M65429"/>
    </row>
    <row r="65430" spans="3:13" ht="12.75" customHeight="1" x14ac:dyDescent="0.2">
      <c r="C65430"/>
      <c r="M65430"/>
    </row>
    <row r="65431" spans="3:13" ht="12.75" customHeight="1" x14ac:dyDescent="0.2">
      <c r="C65431"/>
      <c r="M65431"/>
    </row>
    <row r="65432" spans="3:13" ht="12.75" customHeight="1" x14ac:dyDescent="0.2">
      <c r="C65432"/>
      <c r="M65432"/>
    </row>
    <row r="65433" spans="3:13" ht="12.75" customHeight="1" x14ac:dyDescent="0.2">
      <c r="C65433"/>
      <c r="M65433"/>
    </row>
    <row r="65434" spans="3:13" ht="12.75" customHeight="1" x14ac:dyDescent="0.2">
      <c r="C65434"/>
      <c r="M65434"/>
    </row>
    <row r="65435" spans="3:13" ht="12.75" customHeight="1" x14ac:dyDescent="0.2">
      <c r="C65435"/>
      <c r="M65435"/>
    </row>
    <row r="65436" spans="3:13" ht="12.75" customHeight="1" x14ac:dyDescent="0.2">
      <c r="C65436"/>
      <c r="M65436"/>
    </row>
    <row r="65437" spans="3:13" ht="12.75" customHeight="1" x14ac:dyDescent="0.2">
      <c r="C65437"/>
      <c r="M65437"/>
    </row>
    <row r="65438" spans="3:13" ht="12.75" customHeight="1" x14ac:dyDescent="0.2">
      <c r="C65438"/>
      <c r="M65438"/>
    </row>
    <row r="65439" spans="3:13" ht="12.75" customHeight="1" x14ac:dyDescent="0.2">
      <c r="C65439"/>
      <c r="M65439"/>
    </row>
    <row r="65440" spans="3:13" ht="12.75" customHeight="1" x14ac:dyDescent="0.2">
      <c r="C65440"/>
      <c r="M65440"/>
    </row>
    <row r="65441" spans="3:13" ht="12.75" customHeight="1" x14ac:dyDescent="0.2">
      <c r="C65441"/>
      <c r="M65441"/>
    </row>
    <row r="65442" spans="3:13" ht="12.75" customHeight="1" x14ac:dyDescent="0.2">
      <c r="C65442"/>
      <c r="M65442"/>
    </row>
    <row r="65443" spans="3:13" ht="12.75" customHeight="1" x14ac:dyDescent="0.2">
      <c r="C65443"/>
      <c r="M65443"/>
    </row>
    <row r="65444" spans="3:13" ht="12.75" customHeight="1" x14ac:dyDescent="0.2">
      <c r="C65444"/>
      <c r="M65444"/>
    </row>
    <row r="65445" spans="3:13" ht="12.75" customHeight="1" x14ac:dyDescent="0.2">
      <c r="C65445"/>
      <c r="M65445"/>
    </row>
    <row r="65446" spans="3:13" ht="12.75" customHeight="1" x14ac:dyDescent="0.2">
      <c r="C65446"/>
      <c r="M65446"/>
    </row>
    <row r="65447" spans="3:13" ht="12.75" customHeight="1" x14ac:dyDescent="0.2">
      <c r="C65447"/>
      <c r="M65447"/>
    </row>
    <row r="65448" spans="3:13" ht="12.75" customHeight="1" x14ac:dyDescent="0.2">
      <c r="C65448"/>
      <c r="M65448"/>
    </row>
    <row r="65449" spans="3:13" ht="12.75" customHeight="1" x14ac:dyDescent="0.2">
      <c r="C65449"/>
      <c r="M65449"/>
    </row>
    <row r="65450" spans="3:13" ht="12.75" customHeight="1" x14ac:dyDescent="0.2">
      <c r="C65450"/>
      <c r="M65450"/>
    </row>
    <row r="65451" spans="3:13" ht="12.75" customHeight="1" x14ac:dyDescent="0.2">
      <c r="C65451"/>
      <c r="M65451"/>
    </row>
    <row r="65452" spans="3:13" ht="12.75" customHeight="1" x14ac:dyDescent="0.2">
      <c r="C65452"/>
      <c r="M65452"/>
    </row>
    <row r="65453" spans="3:13" ht="12.75" customHeight="1" x14ac:dyDescent="0.2">
      <c r="C65453"/>
      <c r="M65453"/>
    </row>
    <row r="65454" spans="3:13" ht="12.75" customHeight="1" x14ac:dyDescent="0.2">
      <c r="C65454"/>
      <c r="M65454"/>
    </row>
    <row r="65455" spans="3:13" ht="12.75" customHeight="1" x14ac:dyDescent="0.2">
      <c r="C65455"/>
      <c r="M65455"/>
    </row>
    <row r="65456" spans="3:13" ht="12.75" customHeight="1" x14ac:dyDescent="0.2">
      <c r="C65456"/>
      <c r="M65456"/>
    </row>
    <row r="65457" spans="3:13" ht="12.75" customHeight="1" x14ac:dyDescent="0.2">
      <c r="C65457"/>
      <c r="M65457"/>
    </row>
    <row r="65458" spans="3:13" ht="12.75" customHeight="1" x14ac:dyDescent="0.2">
      <c r="C65458"/>
      <c r="M65458"/>
    </row>
    <row r="65459" spans="3:13" ht="12.75" customHeight="1" x14ac:dyDescent="0.2">
      <c r="C65459"/>
      <c r="M65459"/>
    </row>
  </sheetData>
  <sheetProtection algorithmName="SHA-512" hashValue="4vwshSvWxam+tLJi/zEohmAEHqxzR4h7330X4hL0nOfpAQQ/VE3US8TMb7MGQy45wQ44Jd1vijphy+ST5QX5Kg==" saltValue="kmhvJ9olw7h3dlb+kKheuQ==" spinCount="100000" sheet="1" objects="1" scenarios="1" autoFilter="0"/>
  <autoFilter ref="C15:C191" xr:uid="{00000000-0009-0000-0000-000005000000}"/>
  <mergeCells count="21">
    <mergeCell ref="AG6:AH6"/>
    <mergeCell ref="AG7:AH7"/>
    <mergeCell ref="AA9:AB9"/>
    <mergeCell ref="AC9:AH9"/>
    <mergeCell ref="AA10:AB10"/>
    <mergeCell ref="AC10:AH10"/>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G14 I14 D189:I190 I25 D36:I36 D116:I153 D170:I177 D37:G37 I37 D67:I71 D66:G66 I66 D22:G22 I16:I22 D26:I34 D38:I41 D64:I65">
    <cfRule type="expression" dxfId="723" priority="15678" stopIfTrue="1">
      <formula>$B14=1</formula>
    </cfRule>
    <cfRule type="expression" dxfId="722" priority="15679" stopIfTrue="1">
      <formula>OR($B14=0,$B14=2,$B14=3,$B14=4)</formula>
    </cfRule>
  </conditionalFormatting>
  <conditionalFormatting sqref="M12:N15 M189:N191 M116:N153 M170:N177 M26:N34 M36:N41 M64:N71">
    <cfRule type="expression" dxfId="721" priority="15680" stopIfTrue="1">
      <formula>ACOMPANHAMENTO="BM"</formula>
    </cfRule>
    <cfRule type="expression" dxfId="720" priority="15681" stopIfTrue="1">
      <formula>OR($B12=0,$B12=2,$B12=3,$B12=4)</formula>
    </cfRule>
    <cfRule type="expression" dxfId="719" priority="15682" stopIfTrue="1">
      <formula>$B12=1</formula>
    </cfRule>
  </conditionalFormatting>
  <conditionalFormatting sqref="K12:K15 K26:K191">
    <cfRule type="expression" dxfId="718" priority="15683" stopIfTrue="1">
      <formula>OR(ACOMPANHAMENTO="BM",$A$12&lt;&gt;"Manual")</formula>
    </cfRule>
    <cfRule type="expression" dxfId="717" priority="15684" stopIfTrue="1">
      <formula>$B12=1</formula>
    </cfRule>
    <cfRule type="expression" dxfId="716" priority="15685" stopIfTrue="1">
      <formula>OR($B12=2,$B12=3,$B12=4,$B12=0)</formula>
    </cfRule>
  </conditionalFormatting>
  <conditionalFormatting sqref="O63:T63 AI12:AI191 O12:AH62 V63:AB63 AD63:AH63 O64:AH191">
    <cfRule type="expression" dxfId="715" priority="9269" stopIfTrue="1">
      <formula>ACOMPANHAMENTO="BM"</formula>
    </cfRule>
    <cfRule type="expression" dxfId="714" priority="15687" stopIfTrue="1">
      <formula>AND(O$12&lt;&gt;".",OR($B12=0,$B12=2,$B12=3,$B12=4,AND(O$12="",$B12&lt;&gt;"Empty"),OFFSET(O$1,0,-1)=0))</formula>
    </cfRule>
    <cfRule type="expression" dxfId="713" priority="15688" stopIfTrue="1">
      <formula>AND($B12=1,O$1=1)</formula>
    </cfRule>
  </conditionalFormatting>
  <conditionalFormatting sqref="Q15:AH15">
    <cfRule type="expression" dxfId="712" priority="15686">
      <formula>Q$11="▼"</formula>
    </cfRule>
  </conditionalFormatting>
  <conditionalFormatting sqref="O15">
    <cfRule type="expression" dxfId="711" priority="9268">
      <formula>O$11="▼"</formula>
    </cfRule>
  </conditionalFormatting>
  <conditionalFormatting sqref="N14 N189:N190 N116:N153 N170:N177 N26:N34 N36:N41 N64:N71">
    <cfRule type="expression" dxfId="710" priority="6303">
      <formula>$J14="►"</formula>
    </cfRule>
  </conditionalFormatting>
  <conditionalFormatting sqref="N12">
    <cfRule type="cellIs" dxfId="709" priority="6301" operator="notEqual">
      <formula>"FRENTES DE OBRA:"</formula>
    </cfRule>
  </conditionalFormatting>
  <conditionalFormatting sqref="U63 Q14:AI14 Q190:AI190 Q116:AI153 Q170:AI177 Q36:AI41 Q64:AI71 AC63 Q27:AI34">
    <cfRule type="expression" dxfId="708" priority="4086">
      <formula>Q14&lt;&gt;ROUND(Q14,2)</formula>
    </cfRule>
  </conditionalFormatting>
  <conditionalFormatting sqref="H14">
    <cfRule type="expression" dxfId="707" priority="3646" stopIfTrue="1">
      <formula>$B14=1</formula>
    </cfRule>
    <cfRule type="expression" dxfId="706" priority="3647" stopIfTrue="1">
      <formula>OR($B14=0,$B14=2,$B14=3,$B14=4)</formula>
    </cfRule>
  </conditionalFormatting>
  <conditionalFormatting sqref="H14 H189:H190 H116:H153 H170:H177 H26:H34 H36:H41 H64:H71">
    <cfRule type="expression" dxfId="705" priority="3645">
      <formula>$J14="►S"</formula>
    </cfRule>
  </conditionalFormatting>
  <conditionalFormatting sqref="D16:G21 D23:G25">
    <cfRule type="expression" dxfId="704" priority="995" stopIfTrue="1">
      <formula>$B16=1</formula>
    </cfRule>
    <cfRule type="expression" dxfId="703" priority="996" stopIfTrue="1">
      <formula>OR($B16=0,$B16=2,$B16=3,$B16=4)</formula>
    </cfRule>
  </conditionalFormatting>
  <conditionalFormatting sqref="M16:N21 M23:N25">
    <cfRule type="expression" dxfId="702" priority="997" stopIfTrue="1">
      <formula>ACOMPANHAMENTO="BM"</formula>
    </cfRule>
    <cfRule type="expression" dxfId="701" priority="998" stopIfTrue="1">
      <formula>OR($B16=0,$B16=2,$B16=3,$B16=4)</formula>
    </cfRule>
    <cfRule type="expression" dxfId="700" priority="999" stopIfTrue="1">
      <formula>$B16=1</formula>
    </cfRule>
  </conditionalFormatting>
  <conditionalFormatting sqref="K16:K21 K23:K25">
    <cfRule type="expression" dxfId="699" priority="1000" stopIfTrue="1">
      <formula>OR(ACOMPANHAMENTO="BM",$A$12&lt;&gt;"Manual")</formula>
    </cfRule>
    <cfRule type="expression" dxfId="698" priority="1001" stopIfTrue="1">
      <formula>$B16=1</formula>
    </cfRule>
    <cfRule type="expression" dxfId="697" priority="1002" stopIfTrue="1">
      <formula>OR($B16=2,$B16=3,$B16=4,$B16=0)</formula>
    </cfRule>
  </conditionalFormatting>
  <conditionalFormatting sqref="N16:N21 N23:N25">
    <cfRule type="expression" dxfId="696" priority="993">
      <formula>$J16="►"</formula>
    </cfRule>
  </conditionalFormatting>
  <conditionalFormatting sqref="Q16:AI21 Q23:AI25">
    <cfRule type="expression" dxfId="695" priority="992">
      <formula>Q16&lt;&gt;ROUND(Q16,2)</formula>
    </cfRule>
  </conditionalFormatting>
  <conditionalFormatting sqref="H16:H21 H23:H25">
    <cfRule type="expression" dxfId="694" priority="990" stopIfTrue="1">
      <formula>$B16=1</formula>
    </cfRule>
    <cfRule type="expression" dxfId="693" priority="991" stopIfTrue="1">
      <formula>OR($B16=0,$B16=2,$B16=3,$B16=4)</formula>
    </cfRule>
  </conditionalFormatting>
  <conditionalFormatting sqref="H16:H21 H23:H25">
    <cfRule type="expression" dxfId="692" priority="989">
      <formula>$J16="►S"</formula>
    </cfRule>
  </conditionalFormatting>
  <conditionalFormatting sqref="Q26:AI26">
    <cfRule type="expression" dxfId="691" priority="976">
      <formula>Q26&lt;&gt;ROUND(Q26,2)</formula>
    </cfRule>
  </conditionalFormatting>
  <conditionalFormatting sqref="D42:G45 I42:I45 I51:I52 D51:G52 D47:G49 I47:I49">
    <cfRule type="expression" dxfId="690" priority="931" stopIfTrue="1">
      <formula>$B42=1</formula>
    </cfRule>
    <cfRule type="expression" dxfId="689" priority="932" stopIfTrue="1">
      <formula>OR($B42=0,$B42=2,$B42=3,$B42=4)</formula>
    </cfRule>
  </conditionalFormatting>
  <conditionalFormatting sqref="M42:N45 M51:N52 M47:N49">
    <cfRule type="expression" dxfId="688" priority="933" stopIfTrue="1">
      <formula>ACOMPANHAMENTO="BM"</formula>
    </cfRule>
    <cfRule type="expression" dxfId="687" priority="934" stopIfTrue="1">
      <formula>OR($B42=0,$B42=2,$B42=3,$B42=4)</formula>
    </cfRule>
    <cfRule type="expression" dxfId="686" priority="935" stopIfTrue="1">
      <formula>$B42=1</formula>
    </cfRule>
  </conditionalFormatting>
  <conditionalFormatting sqref="N42:N45 N51:N52 N47:N49">
    <cfRule type="expression" dxfId="685" priority="929">
      <formula>$J42="►"</formula>
    </cfRule>
  </conditionalFormatting>
  <conditionalFormatting sqref="Q42:AI45 Q51:AI52 Q47:AI49">
    <cfRule type="expression" dxfId="684" priority="928">
      <formula>Q42&lt;&gt;ROUND(Q42,2)</formula>
    </cfRule>
  </conditionalFormatting>
  <conditionalFormatting sqref="H42:H45 H51:H52 H47:H49">
    <cfRule type="expression" dxfId="683" priority="926" stopIfTrue="1">
      <formula>$B42=1</formula>
    </cfRule>
    <cfRule type="expression" dxfId="682" priority="927" stopIfTrue="1">
      <formula>OR($B42=0,$B42=2,$B42=3,$B42=4)</formula>
    </cfRule>
  </conditionalFormatting>
  <conditionalFormatting sqref="H42:H45 H51:H52 H47:H49">
    <cfRule type="expression" dxfId="681" priority="925">
      <formula>$J42="►S"</formula>
    </cfRule>
  </conditionalFormatting>
  <conditionalFormatting sqref="D53:G57 I53:I57 I59:I61 D59:G61 D63:G63 I63">
    <cfRule type="expression" dxfId="680" priority="915" stopIfTrue="1">
      <formula>$B53=1</formula>
    </cfRule>
    <cfRule type="expression" dxfId="679" priority="916" stopIfTrue="1">
      <formula>OR($B53=0,$B53=2,$B53=3,$B53=4)</formula>
    </cfRule>
  </conditionalFormatting>
  <conditionalFormatting sqref="M53:N57 M59:N61 M63:N63">
    <cfRule type="expression" dxfId="678" priority="917" stopIfTrue="1">
      <formula>ACOMPANHAMENTO="BM"</formula>
    </cfRule>
    <cfRule type="expression" dxfId="677" priority="918" stopIfTrue="1">
      <formula>OR($B53=0,$B53=2,$B53=3,$B53=4)</formula>
    </cfRule>
    <cfRule type="expression" dxfId="676" priority="919" stopIfTrue="1">
      <formula>$B53=1</formula>
    </cfRule>
  </conditionalFormatting>
  <conditionalFormatting sqref="N53:N57 N59:N61 N63">
    <cfRule type="expression" dxfId="675" priority="913">
      <formula>$J53="►"</formula>
    </cfRule>
  </conditionalFormatting>
  <conditionalFormatting sqref="Q53:AI57 Q59:AI61 Q63:AI63">
    <cfRule type="expression" dxfId="674" priority="912">
      <formula>Q53&lt;&gt;ROUND(Q53,2)</formula>
    </cfRule>
  </conditionalFormatting>
  <conditionalFormatting sqref="H53:H57 H59:H61 H63">
    <cfRule type="expression" dxfId="673" priority="910" stopIfTrue="1">
      <formula>$B53=1</formula>
    </cfRule>
    <cfRule type="expression" dxfId="672" priority="911" stopIfTrue="1">
      <formula>OR($B53=0,$B53=2,$B53=3,$B53=4)</formula>
    </cfRule>
  </conditionalFormatting>
  <conditionalFormatting sqref="H53:H57 H59:H61 H63">
    <cfRule type="expression" dxfId="671" priority="909">
      <formula>$J53="►S"</formula>
    </cfRule>
  </conditionalFormatting>
  <conditionalFormatting sqref="D72:G73 I72:I73 I76:I79 D76:G79 D83:G84 I83:I84 I86 D86:G86">
    <cfRule type="expression" dxfId="670" priority="883" stopIfTrue="1">
      <formula>$B72=1</formula>
    </cfRule>
    <cfRule type="expression" dxfId="669" priority="884" stopIfTrue="1">
      <formula>OR($B72=0,$B72=2,$B72=3,$B72=4)</formula>
    </cfRule>
  </conditionalFormatting>
  <conditionalFormatting sqref="M72:N73 M76:N79 M83:N84 M86:N86">
    <cfRule type="expression" dxfId="668" priority="885" stopIfTrue="1">
      <formula>ACOMPANHAMENTO="BM"</formula>
    </cfRule>
    <cfRule type="expression" dxfId="667" priority="886" stopIfTrue="1">
      <formula>OR($B72=0,$B72=2,$B72=3,$B72=4)</formula>
    </cfRule>
    <cfRule type="expression" dxfId="666" priority="887" stopIfTrue="1">
      <formula>$B72=1</formula>
    </cfRule>
  </conditionalFormatting>
  <conditionalFormatting sqref="N72:N73 N76:N79 N83:N84 N86">
    <cfRule type="expression" dxfId="665" priority="881">
      <formula>$J72="►"</formula>
    </cfRule>
  </conditionalFormatting>
  <conditionalFormatting sqref="Q72:AI73 Q76:AI79 Q83:AI84 Q86:AI86">
    <cfRule type="expression" dxfId="664" priority="880">
      <formula>Q72&lt;&gt;ROUND(Q72,2)</formula>
    </cfRule>
  </conditionalFormatting>
  <conditionalFormatting sqref="H72:H73 H76:H79 H83:H84 H86">
    <cfRule type="expression" dxfId="663" priority="878" stopIfTrue="1">
      <formula>$B72=1</formula>
    </cfRule>
    <cfRule type="expression" dxfId="662" priority="879" stopIfTrue="1">
      <formula>OR($B72=0,$B72=2,$B72=3,$B72=4)</formula>
    </cfRule>
  </conditionalFormatting>
  <conditionalFormatting sqref="H72:H73 H76:H79 H83:H84 H86">
    <cfRule type="expression" dxfId="661" priority="877">
      <formula>$J72="►S"</formula>
    </cfRule>
  </conditionalFormatting>
  <conditionalFormatting sqref="I87:I95 D87:G95">
    <cfRule type="expression" dxfId="660" priority="867" stopIfTrue="1">
      <formula>$B87=1</formula>
    </cfRule>
    <cfRule type="expression" dxfId="659" priority="868" stopIfTrue="1">
      <formula>OR($B87=0,$B87=2,$B87=3,$B87=4)</formula>
    </cfRule>
  </conditionalFormatting>
  <conditionalFormatting sqref="M87:N95">
    <cfRule type="expression" dxfId="658" priority="869" stopIfTrue="1">
      <formula>ACOMPANHAMENTO="BM"</formula>
    </cfRule>
    <cfRule type="expression" dxfId="657" priority="870" stopIfTrue="1">
      <formula>OR($B87=0,$B87=2,$B87=3,$B87=4)</formula>
    </cfRule>
    <cfRule type="expression" dxfId="656" priority="871" stopIfTrue="1">
      <formula>$B87=1</formula>
    </cfRule>
  </conditionalFormatting>
  <conditionalFormatting sqref="N87:N95">
    <cfRule type="expression" dxfId="655" priority="865">
      <formula>$J87="►"</formula>
    </cfRule>
  </conditionalFormatting>
  <conditionalFormatting sqref="Q87:AI95">
    <cfRule type="expression" dxfId="654" priority="864">
      <formula>Q87&lt;&gt;ROUND(Q87,2)</formula>
    </cfRule>
  </conditionalFormatting>
  <conditionalFormatting sqref="H87:H95">
    <cfRule type="expression" dxfId="653" priority="862" stopIfTrue="1">
      <formula>$B87=1</formula>
    </cfRule>
    <cfRule type="expression" dxfId="652" priority="863" stopIfTrue="1">
      <formula>OR($B87=0,$B87=2,$B87=3,$B87=4)</formula>
    </cfRule>
  </conditionalFormatting>
  <conditionalFormatting sqref="H87:H95">
    <cfRule type="expression" dxfId="651" priority="861">
      <formula>$J87="►S"</formula>
    </cfRule>
  </conditionalFormatting>
  <conditionalFormatting sqref="D96:G103 I96:I103 I105 D105:G105">
    <cfRule type="expression" dxfId="650" priority="851" stopIfTrue="1">
      <formula>$B96=1</formula>
    </cfRule>
    <cfRule type="expression" dxfId="649" priority="852" stopIfTrue="1">
      <formula>OR($B96=0,$B96=2,$B96=3,$B96=4)</formula>
    </cfRule>
  </conditionalFormatting>
  <conditionalFormatting sqref="M96:N103 M105:N105">
    <cfRule type="expression" dxfId="648" priority="853" stopIfTrue="1">
      <formula>ACOMPANHAMENTO="BM"</formula>
    </cfRule>
    <cfRule type="expression" dxfId="647" priority="854" stopIfTrue="1">
      <formula>OR($B96=0,$B96=2,$B96=3,$B96=4)</formula>
    </cfRule>
    <cfRule type="expression" dxfId="646" priority="855" stopIfTrue="1">
      <formula>$B96=1</formula>
    </cfRule>
  </conditionalFormatting>
  <conditionalFormatting sqref="N96:N103 N105">
    <cfRule type="expression" dxfId="645" priority="849">
      <formula>$J96="►"</formula>
    </cfRule>
  </conditionalFormatting>
  <conditionalFormatting sqref="Q96:AI103 Q105:AI105">
    <cfRule type="expression" dxfId="644" priority="848">
      <formula>Q96&lt;&gt;ROUND(Q96,2)</formula>
    </cfRule>
  </conditionalFormatting>
  <conditionalFormatting sqref="H96:H103 H105">
    <cfRule type="expression" dxfId="643" priority="846" stopIfTrue="1">
      <formula>$B96=1</formula>
    </cfRule>
    <cfRule type="expression" dxfId="642" priority="847" stopIfTrue="1">
      <formula>OR($B96=0,$B96=2,$B96=3,$B96=4)</formula>
    </cfRule>
  </conditionalFormatting>
  <conditionalFormatting sqref="H96:H103 H105">
    <cfRule type="expression" dxfId="641" priority="845">
      <formula>$J96="►S"</formula>
    </cfRule>
  </conditionalFormatting>
  <conditionalFormatting sqref="D106:G107 I106:I107 I109:I115 D109:G115">
    <cfRule type="expression" dxfId="640" priority="835" stopIfTrue="1">
      <formula>$B106=1</formula>
    </cfRule>
    <cfRule type="expression" dxfId="639" priority="836" stopIfTrue="1">
      <formula>OR($B106=0,$B106=2,$B106=3,$B106=4)</formula>
    </cfRule>
  </conditionalFormatting>
  <conditionalFormatting sqref="M106:N107 M109:N115">
    <cfRule type="expression" dxfId="638" priority="837" stopIfTrue="1">
      <formula>ACOMPANHAMENTO="BM"</formula>
    </cfRule>
    <cfRule type="expression" dxfId="637" priority="838" stopIfTrue="1">
      <formula>OR($B106=0,$B106=2,$B106=3,$B106=4)</formula>
    </cfRule>
    <cfRule type="expression" dxfId="636" priority="839" stopIfTrue="1">
      <formula>$B106=1</formula>
    </cfRule>
  </conditionalFormatting>
  <conditionalFormatting sqref="N106:N107 N109:N115">
    <cfRule type="expression" dxfId="635" priority="833">
      <formula>$J106="►"</formula>
    </cfRule>
  </conditionalFormatting>
  <conditionalFormatting sqref="Q106:AI107 Q109:AI115">
    <cfRule type="expression" dxfId="634" priority="832">
      <formula>Q106&lt;&gt;ROUND(Q106,2)</formula>
    </cfRule>
  </conditionalFormatting>
  <conditionalFormatting sqref="H106:H107 H109:H115">
    <cfRule type="expression" dxfId="633" priority="830" stopIfTrue="1">
      <formula>$B106=1</formula>
    </cfRule>
    <cfRule type="expression" dxfId="632" priority="831" stopIfTrue="1">
      <formula>OR($B106=0,$B106=2,$B106=3,$B106=4)</formula>
    </cfRule>
  </conditionalFormatting>
  <conditionalFormatting sqref="H106:H107 H109:H115">
    <cfRule type="expression" dxfId="631" priority="829">
      <formula>$J106="►S"</formula>
    </cfRule>
  </conditionalFormatting>
  <conditionalFormatting sqref="D154:G162 I154:I162">
    <cfRule type="expression" dxfId="630" priority="739" stopIfTrue="1">
      <formula>$B154=1</formula>
    </cfRule>
    <cfRule type="expression" dxfId="629" priority="740" stopIfTrue="1">
      <formula>OR($B154=0,$B154=2,$B154=3,$B154=4)</formula>
    </cfRule>
  </conditionalFormatting>
  <conditionalFormatting sqref="M154:N162">
    <cfRule type="expression" dxfId="628" priority="741" stopIfTrue="1">
      <formula>ACOMPANHAMENTO="BM"</formula>
    </cfRule>
    <cfRule type="expression" dxfId="627" priority="742" stopIfTrue="1">
      <formula>OR($B154=0,$B154=2,$B154=3,$B154=4)</formula>
    </cfRule>
    <cfRule type="expression" dxfId="626" priority="743" stopIfTrue="1">
      <formula>$B154=1</formula>
    </cfRule>
  </conditionalFormatting>
  <conditionalFormatting sqref="N154:N162">
    <cfRule type="expression" dxfId="625" priority="737">
      <formula>$J154="►"</formula>
    </cfRule>
  </conditionalFormatting>
  <conditionalFormatting sqref="Q154:AI162">
    <cfRule type="expression" dxfId="624" priority="736">
      <formula>Q154&lt;&gt;ROUND(Q154,2)</formula>
    </cfRule>
  </conditionalFormatting>
  <conditionalFormatting sqref="H154:H162">
    <cfRule type="expression" dxfId="623" priority="734" stopIfTrue="1">
      <formula>$B154=1</formula>
    </cfRule>
    <cfRule type="expression" dxfId="622" priority="735" stopIfTrue="1">
      <formula>OR($B154=0,$B154=2,$B154=3,$B154=4)</formula>
    </cfRule>
  </conditionalFormatting>
  <conditionalFormatting sqref="H154:H162">
    <cfRule type="expression" dxfId="621" priority="733">
      <formula>$J154="►S"</formula>
    </cfRule>
  </conditionalFormatting>
  <conditionalFormatting sqref="I163:I164 D163:G164 D166:G168 I166:I168">
    <cfRule type="expression" dxfId="620" priority="723" stopIfTrue="1">
      <formula>$B163=1</formula>
    </cfRule>
    <cfRule type="expression" dxfId="619" priority="724" stopIfTrue="1">
      <formula>OR($B163=0,$B163=2,$B163=3,$B163=4)</formula>
    </cfRule>
  </conditionalFormatting>
  <conditionalFormatting sqref="M163:N164 M166:N168">
    <cfRule type="expression" dxfId="618" priority="725" stopIfTrue="1">
      <formula>ACOMPANHAMENTO="BM"</formula>
    </cfRule>
    <cfRule type="expression" dxfId="617" priority="726" stopIfTrue="1">
      <formula>OR($B163=0,$B163=2,$B163=3,$B163=4)</formula>
    </cfRule>
    <cfRule type="expression" dxfId="616" priority="727" stopIfTrue="1">
      <formula>$B163=1</formula>
    </cfRule>
  </conditionalFormatting>
  <conditionalFormatting sqref="N163:N164 N166:N168">
    <cfRule type="expression" dxfId="615" priority="721">
      <formula>$J163="►"</formula>
    </cfRule>
  </conditionalFormatting>
  <conditionalFormatting sqref="Q163:AI164 Q166:AI168">
    <cfRule type="expression" dxfId="614" priority="720">
      <formula>Q163&lt;&gt;ROUND(Q163,2)</formula>
    </cfRule>
  </conditionalFormatting>
  <conditionalFormatting sqref="H163:H164 H166:H168">
    <cfRule type="expression" dxfId="613" priority="718" stopIfTrue="1">
      <formula>$B163=1</formula>
    </cfRule>
    <cfRule type="expression" dxfId="612" priority="719" stopIfTrue="1">
      <formula>OR($B163=0,$B163=2,$B163=3,$B163=4)</formula>
    </cfRule>
  </conditionalFormatting>
  <conditionalFormatting sqref="H163:H164 H166:H168">
    <cfRule type="expression" dxfId="611" priority="717">
      <formula>$J163="►S"</formula>
    </cfRule>
  </conditionalFormatting>
  <conditionalFormatting sqref="D178:G182 I178:I182 I184 D184:G184 D186:G188 I186:I188">
    <cfRule type="expression" dxfId="610" priority="691" stopIfTrue="1">
      <formula>$B178=1</formula>
    </cfRule>
    <cfRule type="expression" dxfId="609" priority="692" stopIfTrue="1">
      <formula>OR($B178=0,$B178=2,$B178=3,$B178=4)</formula>
    </cfRule>
  </conditionalFormatting>
  <conditionalFormatting sqref="M178:N182 M184:N184 M186:N188">
    <cfRule type="expression" dxfId="608" priority="693" stopIfTrue="1">
      <formula>ACOMPANHAMENTO="BM"</formula>
    </cfRule>
    <cfRule type="expression" dxfId="607" priority="694" stopIfTrue="1">
      <formula>OR($B178=0,$B178=2,$B178=3,$B178=4)</formula>
    </cfRule>
    <cfRule type="expression" dxfId="606" priority="695" stopIfTrue="1">
      <formula>$B178=1</formula>
    </cfRule>
  </conditionalFormatting>
  <conditionalFormatting sqref="N178:N182 N184 N186:N188">
    <cfRule type="expression" dxfId="605" priority="689">
      <formula>$J178="►"</formula>
    </cfRule>
  </conditionalFormatting>
  <conditionalFormatting sqref="Q178:AI182 Q184:AI184 Q186:AI188">
    <cfRule type="expression" dxfId="604" priority="688">
      <formula>Q178&lt;&gt;ROUND(Q178,2)</formula>
    </cfRule>
  </conditionalFormatting>
  <conditionalFormatting sqref="H178:H182 H184 H186:H188">
    <cfRule type="expression" dxfId="603" priority="686" stopIfTrue="1">
      <formula>$B178=1</formula>
    </cfRule>
    <cfRule type="expression" dxfId="602" priority="687" stopIfTrue="1">
      <formula>OR($B178=0,$B178=2,$B178=3,$B178=4)</formula>
    </cfRule>
  </conditionalFormatting>
  <conditionalFormatting sqref="H178:H182 H184 H186:H188">
    <cfRule type="expression" dxfId="601" priority="685">
      <formula>$J178="►S"</formula>
    </cfRule>
  </conditionalFormatting>
  <conditionalFormatting sqref="Q189:AI189">
    <cfRule type="expression" dxfId="600" priority="672">
      <formula>Q189&lt;&gt;ROUND(Q189,2)</formula>
    </cfRule>
  </conditionalFormatting>
  <conditionalFormatting sqref="I24">
    <cfRule type="expression" dxfId="599" priority="44413" stopIfTrue="1">
      <formula>$B23=1</formula>
    </cfRule>
    <cfRule type="expression" dxfId="598" priority="44414" stopIfTrue="1">
      <formula>OR($B23=0,$B23=2,$B23=3,$B23=4)</formula>
    </cfRule>
  </conditionalFormatting>
  <conditionalFormatting sqref="D75:G75 I75">
    <cfRule type="expression" dxfId="597" priority="339" stopIfTrue="1">
      <formula>$B75=1</formula>
    </cfRule>
    <cfRule type="expression" dxfId="596" priority="340" stopIfTrue="1">
      <formula>OR($B75=0,$B75=2,$B75=3,$B75=4)</formula>
    </cfRule>
  </conditionalFormatting>
  <conditionalFormatting sqref="M75:N75">
    <cfRule type="expression" dxfId="595" priority="341" stopIfTrue="1">
      <formula>ACOMPANHAMENTO="BM"</formula>
    </cfRule>
    <cfRule type="expression" dxfId="594" priority="342" stopIfTrue="1">
      <formula>OR($B75=0,$B75=2,$B75=3,$B75=4)</formula>
    </cfRule>
    <cfRule type="expression" dxfId="593" priority="343" stopIfTrue="1">
      <formula>$B75=1</formula>
    </cfRule>
  </conditionalFormatting>
  <conditionalFormatting sqref="N75">
    <cfRule type="expression" dxfId="592" priority="337">
      <formula>$J75="►"</formula>
    </cfRule>
  </conditionalFormatting>
  <conditionalFormatting sqref="Q75:AI75">
    <cfRule type="expression" dxfId="591" priority="336">
      <formula>Q75&lt;&gt;ROUND(Q75,2)</formula>
    </cfRule>
  </conditionalFormatting>
  <conditionalFormatting sqref="H75">
    <cfRule type="expression" dxfId="590" priority="334" stopIfTrue="1">
      <formula>$B75=1</formula>
    </cfRule>
    <cfRule type="expression" dxfId="589" priority="335" stopIfTrue="1">
      <formula>OR($B75=0,$B75=2,$B75=3,$B75=4)</formula>
    </cfRule>
  </conditionalFormatting>
  <conditionalFormatting sqref="H75">
    <cfRule type="expression" dxfId="588" priority="333">
      <formula>$J75="►S"</formula>
    </cfRule>
  </conditionalFormatting>
  <conditionalFormatting sqref="D80:G80 I80">
    <cfRule type="expression" dxfId="587" priority="323" stopIfTrue="1">
      <formula>$B80=1</formula>
    </cfRule>
    <cfRule type="expression" dxfId="586" priority="324" stopIfTrue="1">
      <formula>OR($B80=0,$B80=2,$B80=3,$B80=4)</formula>
    </cfRule>
  </conditionalFormatting>
  <conditionalFormatting sqref="M80:N80">
    <cfRule type="expression" dxfId="585" priority="325" stopIfTrue="1">
      <formula>ACOMPANHAMENTO="BM"</formula>
    </cfRule>
    <cfRule type="expression" dxfId="584" priority="326" stopIfTrue="1">
      <formula>OR($B80=0,$B80=2,$B80=3,$B80=4)</formula>
    </cfRule>
    <cfRule type="expression" dxfId="583" priority="327" stopIfTrue="1">
      <formula>$B80=1</formula>
    </cfRule>
  </conditionalFormatting>
  <conditionalFormatting sqref="N80">
    <cfRule type="expression" dxfId="582" priority="321">
      <formula>$J80="►"</formula>
    </cfRule>
  </conditionalFormatting>
  <conditionalFormatting sqref="Q80:AI80">
    <cfRule type="expression" dxfId="581" priority="320">
      <formula>Q80&lt;&gt;ROUND(Q80,2)</formula>
    </cfRule>
  </conditionalFormatting>
  <conditionalFormatting sqref="H80">
    <cfRule type="expression" dxfId="580" priority="318" stopIfTrue="1">
      <formula>$B80=1</formula>
    </cfRule>
    <cfRule type="expression" dxfId="579" priority="319" stopIfTrue="1">
      <formula>OR($B80=0,$B80=2,$B80=3,$B80=4)</formula>
    </cfRule>
  </conditionalFormatting>
  <conditionalFormatting sqref="H80">
    <cfRule type="expression" dxfId="578" priority="317">
      <formula>$J80="►S"</formula>
    </cfRule>
  </conditionalFormatting>
  <conditionalFormatting sqref="D82:G82 I82">
    <cfRule type="expression" dxfId="577" priority="307" stopIfTrue="1">
      <formula>$B82=1</formula>
    </cfRule>
    <cfRule type="expression" dxfId="576" priority="308" stopIfTrue="1">
      <formula>OR($B82=0,$B82=2,$B82=3,$B82=4)</formula>
    </cfRule>
  </conditionalFormatting>
  <conditionalFormatting sqref="M82:N82">
    <cfRule type="expression" dxfId="575" priority="309" stopIfTrue="1">
      <formula>ACOMPANHAMENTO="BM"</formula>
    </cfRule>
    <cfRule type="expression" dxfId="574" priority="310" stopIfTrue="1">
      <formula>OR($B82=0,$B82=2,$B82=3,$B82=4)</formula>
    </cfRule>
    <cfRule type="expression" dxfId="573" priority="311" stopIfTrue="1">
      <formula>$B82=1</formula>
    </cfRule>
  </conditionalFormatting>
  <conditionalFormatting sqref="N82">
    <cfRule type="expression" dxfId="572" priority="305">
      <formula>$J82="►"</formula>
    </cfRule>
  </conditionalFormatting>
  <conditionalFormatting sqref="Q82:AI82">
    <cfRule type="expression" dxfId="571" priority="304">
      <formula>Q82&lt;&gt;ROUND(Q82,2)</formula>
    </cfRule>
  </conditionalFormatting>
  <conditionalFormatting sqref="H82">
    <cfRule type="expression" dxfId="570" priority="302" stopIfTrue="1">
      <formula>$B82=1</formula>
    </cfRule>
    <cfRule type="expression" dxfId="569" priority="303" stopIfTrue="1">
      <formula>OR($B82=0,$B82=2,$B82=3,$B82=4)</formula>
    </cfRule>
  </conditionalFormatting>
  <conditionalFormatting sqref="H82">
    <cfRule type="expression" dxfId="568" priority="301">
      <formula>$J82="►S"</formula>
    </cfRule>
  </conditionalFormatting>
  <conditionalFormatting sqref="D81:G81 I81">
    <cfRule type="expression" dxfId="567" priority="291" stopIfTrue="1">
      <formula>$B81=1</formula>
    </cfRule>
    <cfRule type="expression" dxfId="566" priority="292" stopIfTrue="1">
      <formula>OR($B81=0,$B81=2,$B81=3,$B81=4)</formula>
    </cfRule>
  </conditionalFormatting>
  <conditionalFormatting sqref="M81:N81">
    <cfRule type="expression" dxfId="565" priority="293" stopIfTrue="1">
      <formula>ACOMPANHAMENTO="BM"</formula>
    </cfRule>
    <cfRule type="expression" dxfId="564" priority="294" stopIfTrue="1">
      <formula>OR($B81=0,$B81=2,$B81=3,$B81=4)</formula>
    </cfRule>
    <cfRule type="expression" dxfId="563" priority="295" stopIfTrue="1">
      <formula>$B81=1</formula>
    </cfRule>
  </conditionalFormatting>
  <conditionalFormatting sqref="N81">
    <cfRule type="expression" dxfId="562" priority="289">
      <formula>$J81="►"</formula>
    </cfRule>
  </conditionalFormatting>
  <conditionalFormatting sqref="Q81:AI81">
    <cfRule type="expression" dxfId="561" priority="288">
      <formula>Q81&lt;&gt;ROUND(Q81,2)</formula>
    </cfRule>
  </conditionalFormatting>
  <conditionalFormatting sqref="H81">
    <cfRule type="expression" dxfId="560" priority="286" stopIfTrue="1">
      <formula>$B81=1</formula>
    </cfRule>
    <cfRule type="expression" dxfId="559" priority="287" stopIfTrue="1">
      <formula>OR($B81=0,$B81=2,$B81=3,$B81=4)</formula>
    </cfRule>
  </conditionalFormatting>
  <conditionalFormatting sqref="H81">
    <cfRule type="expression" dxfId="558" priority="285">
      <formula>$J81="►S"</formula>
    </cfRule>
  </conditionalFormatting>
  <conditionalFormatting sqref="D169:G169 I169">
    <cfRule type="expression" dxfId="557" priority="195" stopIfTrue="1">
      <formula>$B169=1</formula>
    </cfRule>
    <cfRule type="expression" dxfId="556" priority="196" stopIfTrue="1">
      <formula>OR($B169=0,$B169=2,$B169=3,$B169=4)</formula>
    </cfRule>
  </conditionalFormatting>
  <conditionalFormatting sqref="M169:N169">
    <cfRule type="expression" dxfId="555" priority="197" stopIfTrue="1">
      <formula>ACOMPANHAMENTO="BM"</formula>
    </cfRule>
    <cfRule type="expression" dxfId="554" priority="198" stopIfTrue="1">
      <formula>OR($B169=0,$B169=2,$B169=3,$B169=4)</formula>
    </cfRule>
    <cfRule type="expression" dxfId="553" priority="199" stopIfTrue="1">
      <formula>$B169=1</formula>
    </cfRule>
  </conditionalFormatting>
  <conditionalFormatting sqref="N169">
    <cfRule type="expression" dxfId="552" priority="193">
      <formula>$J169="►"</formula>
    </cfRule>
  </conditionalFormatting>
  <conditionalFormatting sqref="Q169:AI169">
    <cfRule type="expression" dxfId="551" priority="192">
      <formula>Q169&lt;&gt;ROUND(Q169,2)</formula>
    </cfRule>
  </conditionalFormatting>
  <conditionalFormatting sqref="H169">
    <cfRule type="expression" dxfId="550" priority="190" stopIfTrue="1">
      <formula>$B169=1</formula>
    </cfRule>
    <cfRule type="expression" dxfId="549" priority="191" stopIfTrue="1">
      <formula>OR($B169=0,$B169=2,$B169=3,$B169=4)</formula>
    </cfRule>
  </conditionalFormatting>
  <conditionalFormatting sqref="H169">
    <cfRule type="expression" dxfId="548" priority="189">
      <formula>$J169="►S"</formula>
    </cfRule>
  </conditionalFormatting>
  <conditionalFormatting sqref="D35:G35 I35">
    <cfRule type="expression" dxfId="547" priority="163" stopIfTrue="1">
      <formula>$B35=1</formula>
    </cfRule>
    <cfRule type="expression" dxfId="546" priority="164" stopIfTrue="1">
      <formula>OR($B35=0,$B35=2,$B35=3,$B35=4)</formula>
    </cfRule>
  </conditionalFormatting>
  <conditionalFormatting sqref="M35:N35">
    <cfRule type="expression" dxfId="545" priority="165" stopIfTrue="1">
      <formula>ACOMPANHAMENTO="BM"</formula>
    </cfRule>
    <cfRule type="expression" dxfId="544" priority="166" stopIfTrue="1">
      <formula>OR($B35=0,$B35=2,$B35=3,$B35=4)</formula>
    </cfRule>
    <cfRule type="expression" dxfId="543" priority="167" stopIfTrue="1">
      <formula>$B35=1</formula>
    </cfRule>
  </conditionalFormatting>
  <conditionalFormatting sqref="N35">
    <cfRule type="expression" dxfId="542" priority="161">
      <formula>$J35="►"</formula>
    </cfRule>
  </conditionalFormatting>
  <conditionalFormatting sqref="Q35:AI35">
    <cfRule type="expression" dxfId="541" priority="160">
      <formula>Q35&lt;&gt;ROUND(Q35,2)</formula>
    </cfRule>
  </conditionalFormatting>
  <conditionalFormatting sqref="H35">
    <cfRule type="expression" dxfId="540" priority="158" stopIfTrue="1">
      <formula>$B35=1</formula>
    </cfRule>
    <cfRule type="expression" dxfId="539" priority="159" stopIfTrue="1">
      <formula>OR($B35=0,$B35=2,$B35=3,$B35=4)</formula>
    </cfRule>
  </conditionalFormatting>
  <conditionalFormatting sqref="H35">
    <cfRule type="expression" dxfId="538" priority="157">
      <formula>$J35="►S"</formula>
    </cfRule>
  </conditionalFormatting>
  <conditionalFormatting sqref="D50:G50 I50">
    <cfRule type="expression" dxfId="537" priority="142" stopIfTrue="1">
      <formula>$B50=1</formula>
    </cfRule>
    <cfRule type="expression" dxfId="536" priority="143" stopIfTrue="1">
      <formula>OR($B50=0,$B50=2,$B50=3,$B50=4)</formula>
    </cfRule>
  </conditionalFormatting>
  <conditionalFormatting sqref="M50:N50">
    <cfRule type="expression" dxfId="535" priority="144" stopIfTrue="1">
      <formula>ACOMPANHAMENTO="BM"</formula>
    </cfRule>
    <cfRule type="expression" dxfId="534" priority="145" stopIfTrue="1">
      <formula>OR($B50=0,$B50=2,$B50=3,$B50=4)</formula>
    </cfRule>
    <cfRule type="expression" dxfId="533" priority="146" stopIfTrue="1">
      <formula>$B50=1</formula>
    </cfRule>
  </conditionalFormatting>
  <conditionalFormatting sqref="N50">
    <cfRule type="expression" dxfId="532" priority="141">
      <formula>$J50="►"</formula>
    </cfRule>
  </conditionalFormatting>
  <conditionalFormatting sqref="Q50:AI50">
    <cfRule type="expression" dxfId="531" priority="140">
      <formula>Q50&lt;&gt;ROUND(Q50,2)</formula>
    </cfRule>
  </conditionalFormatting>
  <conditionalFormatting sqref="H50">
    <cfRule type="expression" dxfId="530" priority="138" stopIfTrue="1">
      <formula>$B50=1</formula>
    </cfRule>
    <cfRule type="expression" dxfId="529" priority="139" stopIfTrue="1">
      <formula>OR($B50=0,$B50=2,$B50=3,$B50=4)</formula>
    </cfRule>
  </conditionalFormatting>
  <conditionalFormatting sqref="H50">
    <cfRule type="expression" dxfId="528" priority="137">
      <formula>$J50="►S"</formula>
    </cfRule>
  </conditionalFormatting>
  <conditionalFormatting sqref="D165:G165 I165">
    <cfRule type="expression" dxfId="527" priority="132" stopIfTrue="1">
      <formula>$B165=1</formula>
    </cfRule>
    <cfRule type="expression" dxfId="526" priority="133" stopIfTrue="1">
      <formula>OR($B165=0,$B165=2,$B165=3,$B165=4)</formula>
    </cfRule>
  </conditionalFormatting>
  <conditionalFormatting sqref="M165:N165">
    <cfRule type="expression" dxfId="525" priority="134" stopIfTrue="1">
      <formula>ACOMPANHAMENTO="BM"</formula>
    </cfRule>
    <cfRule type="expression" dxfId="524" priority="135" stopIfTrue="1">
      <formula>OR($B165=0,$B165=2,$B165=3,$B165=4)</formula>
    </cfRule>
    <cfRule type="expression" dxfId="523" priority="136" stopIfTrue="1">
      <formula>$B165=1</formula>
    </cfRule>
  </conditionalFormatting>
  <conditionalFormatting sqref="N165">
    <cfRule type="expression" dxfId="522" priority="131">
      <formula>$J165="►"</formula>
    </cfRule>
  </conditionalFormatting>
  <conditionalFormatting sqref="Q165:AI165">
    <cfRule type="expression" dxfId="521" priority="130">
      <formula>Q165&lt;&gt;ROUND(Q165,2)</formula>
    </cfRule>
  </conditionalFormatting>
  <conditionalFormatting sqref="H165">
    <cfRule type="expression" dxfId="520" priority="128" stopIfTrue="1">
      <formula>$B165=1</formula>
    </cfRule>
    <cfRule type="expression" dxfId="519" priority="129" stopIfTrue="1">
      <formula>OR($B165=0,$B165=2,$B165=3,$B165=4)</formula>
    </cfRule>
  </conditionalFormatting>
  <conditionalFormatting sqref="H165">
    <cfRule type="expression" dxfId="518" priority="127">
      <formula>$J165="►S"</formula>
    </cfRule>
  </conditionalFormatting>
  <conditionalFormatting sqref="D58:G58 I58">
    <cfRule type="expression" dxfId="517" priority="122" stopIfTrue="1">
      <formula>$B58=1</formula>
    </cfRule>
    <cfRule type="expression" dxfId="516" priority="123" stopIfTrue="1">
      <formula>OR($B58=0,$B58=2,$B58=3,$B58=4)</formula>
    </cfRule>
  </conditionalFormatting>
  <conditionalFormatting sqref="M58:N58">
    <cfRule type="expression" dxfId="515" priority="124" stopIfTrue="1">
      <formula>ACOMPANHAMENTO="BM"</formula>
    </cfRule>
    <cfRule type="expression" dxfId="514" priority="125" stopIfTrue="1">
      <formula>OR($B58=0,$B58=2,$B58=3,$B58=4)</formula>
    </cfRule>
    <cfRule type="expression" dxfId="513" priority="126" stopIfTrue="1">
      <formula>$B58=1</formula>
    </cfRule>
  </conditionalFormatting>
  <conditionalFormatting sqref="N58">
    <cfRule type="expression" dxfId="512" priority="121">
      <formula>$J58="►"</formula>
    </cfRule>
  </conditionalFormatting>
  <conditionalFormatting sqref="Q58:AI58">
    <cfRule type="expression" dxfId="511" priority="120">
      <formula>Q58&lt;&gt;ROUND(Q58,2)</formula>
    </cfRule>
  </conditionalFormatting>
  <conditionalFormatting sqref="H58">
    <cfRule type="expression" dxfId="510" priority="118" stopIfTrue="1">
      <formula>$B58=1</formula>
    </cfRule>
    <cfRule type="expression" dxfId="509" priority="119" stopIfTrue="1">
      <formula>OR($B58=0,$B58=2,$B58=3,$B58=4)</formula>
    </cfRule>
  </conditionalFormatting>
  <conditionalFormatting sqref="H58">
    <cfRule type="expression" dxfId="508" priority="117">
      <formula>$J58="►S"</formula>
    </cfRule>
  </conditionalFormatting>
  <conditionalFormatting sqref="D85:G85 I85">
    <cfRule type="expression" dxfId="507" priority="112" stopIfTrue="1">
      <formula>$B85=1</formula>
    </cfRule>
    <cfRule type="expression" dxfId="506" priority="113" stopIfTrue="1">
      <formula>OR($B85=0,$B85=2,$B85=3,$B85=4)</formula>
    </cfRule>
  </conditionalFormatting>
  <conditionalFormatting sqref="M85:N85">
    <cfRule type="expression" dxfId="505" priority="114" stopIfTrue="1">
      <formula>ACOMPANHAMENTO="BM"</formula>
    </cfRule>
    <cfRule type="expression" dxfId="504" priority="115" stopIfTrue="1">
      <formula>OR($B85=0,$B85=2,$B85=3,$B85=4)</formula>
    </cfRule>
    <cfRule type="expression" dxfId="503" priority="116" stopIfTrue="1">
      <formula>$B85=1</formula>
    </cfRule>
  </conditionalFormatting>
  <conditionalFormatting sqref="N85">
    <cfRule type="expression" dxfId="502" priority="111">
      <formula>$J85="►"</formula>
    </cfRule>
  </conditionalFormatting>
  <conditionalFormatting sqref="Q85:AI85">
    <cfRule type="expression" dxfId="501" priority="110">
      <formula>Q85&lt;&gt;ROUND(Q85,2)</formula>
    </cfRule>
  </conditionalFormatting>
  <conditionalFormatting sqref="H85">
    <cfRule type="expression" dxfId="500" priority="108" stopIfTrue="1">
      <formula>$B85=1</formula>
    </cfRule>
    <cfRule type="expression" dxfId="499" priority="109" stopIfTrue="1">
      <formula>OR($B85=0,$B85=2,$B85=3,$B85=4)</formula>
    </cfRule>
  </conditionalFormatting>
  <conditionalFormatting sqref="H85">
    <cfRule type="expression" dxfId="498" priority="107">
      <formula>$J85="►S"</formula>
    </cfRule>
  </conditionalFormatting>
  <conditionalFormatting sqref="D108:G108 I108">
    <cfRule type="expression" dxfId="497" priority="102" stopIfTrue="1">
      <formula>$B108=1</formula>
    </cfRule>
    <cfRule type="expression" dxfId="496" priority="103" stopIfTrue="1">
      <formula>OR($B108=0,$B108=2,$B108=3,$B108=4)</formula>
    </cfRule>
  </conditionalFormatting>
  <conditionalFormatting sqref="M108:N108">
    <cfRule type="expression" dxfId="495" priority="104" stopIfTrue="1">
      <formula>ACOMPANHAMENTO="BM"</formula>
    </cfRule>
    <cfRule type="expression" dxfId="494" priority="105" stopIfTrue="1">
      <formula>OR($B108=0,$B108=2,$B108=3,$B108=4)</formula>
    </cfRule>
    <cfRule type="expression" dxfId="493" priority="106" stopIfTrue="1">
      <formula>$B108=1</formula>
    </cfRule>
  </conditionalFormatting>
  <conditionalFormatting sqref="N108">
    <cfRule type="expression" dxfId="492" priority="101">
      <formula>$J108="►"</formula>
    </cfRule>
  </conditionalFormatting>
  <conditionalFormatting sqref="Q108:AI108">
    <cfRule type="expression" dxfId="491" priority="100">
      <formula>Q108&lt;&gt;ROUND(Q108,2)</formula>
    </cfRule>
  </conditionalFormatting>
  <conditionalFormatting sqref="H108">
    <cfRule type="expression" dxfId="490" priority="98" stopIfTrue="1">
      <formula>$B108=1</formula>
    </cfRule>
    <cfRule type="expression" dxfId="489" priority="99" stopIfTrue="1">
      <formula>OR($B108=0,$B108=2,$B108=3,$B108=4)</formula>
    </cfRule>
  </conditionalFormatting>
  <conditionalFormatting sqref="H108">
    <cfRule type="expression" dxfId="488" priority="97">
      <formula>$J108="►S"</formula>
    </cfRule>
  </conditionalFormatting>
  <conditionalFormatting sqref="D104:G104 I104">
    <cfRule type="expression" dxfId="487" priority="92" stopIfTrue="1">
      <formula>$B104=1</formula>
    </cfRule>
    <cfRule type="expression" dxfId="486" priority="93" stopIfTrue="1">
      <formula>OR($B104=0,$B104=2,$B104=3,$B104=4)</formula>
    </cfRule>
  </conditionalFormatting>
  <conditionalFormatting sqref="M104:N104">
    <cfRule type="expression" dxfId="485" priority="94" stopIfTrue="1">
      <formula>ACOMPANHAMENTO="BM"</formula>
    </cfRule>
    <cfRule type="expression" dxfId="484" priority="95" stopIfTrue="1">
      <formula>OR($B104=0,$B104=2,$B104=3,$B104=4)</formula>
    </cfRule>
    <cfRule type="expression" dxfId="483" priority="96" stopIfTrue="1">
      <formula>$B104=1</formula>
    </cfRule>
  </conditionalFormatting>
  <conditionalFormatting sqref="N104">
    <cfRule type="expression" dxfId="482" priority="91">
      <formula>$J104="►"</formula>
    </cfRule>
  </conditionalFormatting>
  <conditionalFormatting sqref="Q104:AI104">
    <cfRule type="expression" dxfId="481" priority="90">
      <formula>Q104&lt;&gt;ROUND(Q104,2)</formula>
    </cfRule>
  </conditionalFormatting>
  <conditionalFormatting sqref="H104">
    <cfRule type="expression" dxfId="480" priority="88" stopIfTrue="1">
      <formula>$B104=1</formula>
    </cfRule>
    <cfRule type="expression" dxfId="479" priority="89" stopIfTrue="1">
      <formula>OR($B104=0,$B104=2,$B104=3,$B104=4)</formula>
    </cfRule>
  </conditionalFormatting>
  <conditionalFormatting sqref="H104">
    <cfRule type="expression" dxfId="478" priority="87">
      <formula>$J104="►S"</formula>
    </cfRule>
  </conditionalFormatting>
  <conditionalFormatting sqref="D62:G62 I62">
    <cfRule type="expression" dxfId="477" priority="82" stopIfTrue="1">
      <formula>$B62=1</formula>
    </cfRule>
    <cfRule type="expression" dxfId="476" priority="83" stopIfTrue="1">
      <formula>OR($B62=0,$B62=2,$B62=3,$B62=4)</formula>
    </cfRule>
  </conditionalFormatting>
  <conditionalFormatting sqref="M62:N62">
    <cfRule type="expression" dxfId="475" priority="84" stopIfTrue="1">
      <formula>ACOMPANHAMENTO="BM"</formula>
    </cfRule>
    <cfRule type="expression" dxfId="474" priority="85" stopIfTrue="1">
      <formula>OR($B62=0,$B62=2,$B62=3,$B62=4)</formula>
    </cfRule>
    <cfRule type="expression" dxfId="473" priority="86" stopIfTrue="1">
      <formula>$B62=1</formula>
    </cfRule>
  </conditionalFormatting>
  <conditionalFormatting sqref="N62">
    <cfRule type="expression" dxfId="472" priority="81">
      <formula>$J62="►"</formula>
    </cfRule>
  </conditionalFormatting>
  <conditionalFormatting sqref="Q62:AI62">
    <cfRule type="expression" dxfId="471" priority="80">
      <formula>Q62&lt;&gt;ROUND(Q62,2)</formula>
    </cfRule>
  </conditionalFormatting>
  <conditionalFormatting sqref="H62">
    <cfRule type="expression" dxfId="470" priority="78" stopIfTrue="1">
      <formula>$B62=1</formula>
    </cfRule>
    <cfRule type="expression" dxfId="469" priority="79" stopIfTrue="1">
      <formula>OR($B62=0,$B62=2,$B62=3,$B62=4)</formula>
    </cfRule>
  </conditionalFormatting>
  <conditionalFormatting sqref="H62">
    <cfRule type="expression" dxfId="468" priority="77">
      <formula>$J62="►S"</formula>
    </cfRule>
  </conditionalFormatting>
  <conditionalFormatting sqref="H37">
    <cfRule type="expression" dxfId="467" priority="75" stopIfTrue="1">
      <formula>$B37=1</formula>
    </cfRule>
    <cfRule type="expression" dxfId="466" priority="76" stopIfTrue="1">
      <formula>OR($B37=0,$B37=2,$B37=3,$B37=4)</formula>
    </cfRule>
  </conditionalFormatting>
  <conditionalFormatting sqref="D46:G46 I46">
    <cfRule type="expression" dxfId="465" priority="62" stopIfTrue="1">
      <formula>$B46=1</formula>
    </cfRule>
    <cfRule type="expression" dxfId="464" priority="63" stopIfTrue="1">
      <formula>OR($B46=0,$B46=2,$B46=3,$B46=4)</formula>
    </cfRule>
  </conditionalFormatting>
  <conditionalFormatting sqref="M46:N46">
    <cfRule type="expression" dxfId="463" priority="64" stopIfTrue="1">
      <formula>ACOMPANHAMENTO="BM"</formula>
    </cfRule>
    <cfRule type="expression" dxfId="462" priority="65" stopIfTrue="1">
      <formula>OR($B46=0,$B46=2,$B46=3,$B46=4)</formula>
    </cfRule>
    <cfRule type="expression" dxfId="461" priority="66" stopIfTrue="1">
      <formula>$B46=1</formula>
    </cfRule>
  </conditionalFormatting>
  <conditionalFormatting sqref="N46">
    <cfRule type="expression" dxfId="460" priority="61">
      <formula>$J46="►"</formula>
    </cfRule>
  </conditionalFormatting>
  <conditionalFormatting sqref="Q46:AI46">
    <cfRule type="expression" dxfId="459" priority="60">
      <formula>Q46&lt;&gt;ROUND(Q46,2)</formula>
    </cfRule>
  </conditionalFormatting>
  <conditionalFormatting sqref="H46">
    <cfRule type="expression" dxfId="458" priority="58" stopIfTrue="1">
      <formula>$B46=1</formula>
    </cfRule>
    <cfRule type="expression" dxfId="457" priority="59" stopIfTrue="1">
      <formula>OR($B46=0,$B46=2,$B46=3,$B46=4)</formula>
    </cfRule>
  </conditionalFormatting>
  <conditionalFormatting sqref="H46">
    <cfRule type="expression" dxfId="456" priority="57">
      <formula>$J46="►S"</formula>
    </cfRule>
  </conditionalFormatting>
  <conditionalFormatting sqref="D74:G74 I74">
    <cfRule type="expression" dxfId="455" priority="42" stopIfTrue="1">
      <formula>$B74=1</formula>
    </cfRule>
    <cfRule type="expression" dxfId="454" priority="43" stopIfTrue="1">
      <formula>OR($B74=0,$B74=2,$B74=3,$B74=4)</formula>
    </cfRule>
  </conditionalFormatting>
  <conditionalFormatting sqref="M74:N74">
    <cfRule type="expression" dxfId="453" priority="44" stopIfTrue="1">
      <formula>ACOMPANHAMENTO="BM"</formula>
    </cfRule>
    <cfRule type="expression" dxfId="452" priority="45" stopIfTrue="1">
      <formula>OR($B74=0,$B74=2,$B74=3,$B74=4)</formula>
    </cfRule>
    <cfRule type="expression" dxfId="451" priority="46" stopIfTrue="1">
      <formula>$B74=1</formula>
    </cfRule>
  </conditionalFormatting>
  <conditionalFormatting sqref="N74">
    <cfRule type="expression" dxfId="450" priority="41">
      <formula>$J74="►"</formula>
    </cfRule>
  </conditionalFormatting>
  <conditionalFormatting sqref="Q74:AI74">
    <cfRule type="expression" dxfId="449" priority="40">
      <formula>Q74&lt;&gt;ROUND(Q74,2)</formula>
    </cfRule>
  </conditionalFormatting>
  <conditionalFormatting sqref="H74">
    <cfRule type="expression" dxfId="448" priority="38" stopIfTrue="1">
      <formula>$B74=1</formula>
    </cfRule>
    <cfRule type="expression" dxfId="447" priority="39" stopIfTrue="1">
      <formula>OR($B74=0,$B74=2,$B74=3,$B74=4)</formula>
    </cfRule>
  </conditionalFormatting>
  <conditionalFormatting sqref="H74">
    <cfRule type="expression" dxfId="446" priority="37">
      <formula>$J74="►S"</formula>
    </cfRule>
  </conditionalFormatting>
  <conditionalFormatting sqref="H66">
    <cfRule type="expression" dxfId="445" priority="35" stopIfTrue="1">
      <formula>$B66=1</formula>
    </cfRule>
    <cfRule type="expression" dxfId="444" priority="36" stopIfTrue="1">
      <formula>OR($B66=0,$B66=2,$B66=3,$B66=4)</formula>
    </cfRule>
  </conditionalFormatting>
  <conditionalFormatting sqref="D183:G183 I183">
    <cfRule type="expression" dxfId="443" priority="30" stopIfTrue="1">
      <formula>$B183=1</formula>
    </cfRule>
    <cfRule type="expression" dxfId="442" priority="31" stopIfTrue="1">
      <formula>OR($B183=0,$B183=2,$B183=3,$B183=4)</formula>
    </cfRule>
  </conditionalFormatting>
  <conditionalFormatting sqref="M183:N183">
    <cfRule type="expression" dxfId="441" priority="32" stopIfTrue="1">
      <formula>ACOMPANHAMENTO="BM"</formula>
    </cfRule>
    <cfRule type="expression" dxfId="440" priority="33" stopIfTrue="1">
      <formula>OR($B183=0,$B183=2,$B183=3,$B183=4)</formula>
    </cfRule>
    <cfRule type="expression" dxfId="439" priority="34" stopIfTrue="1">
      <formula>$B183=1</formula>
    </cfRule>
  </conditionalFormatting>
  <conditionalFormatting sqref="N183">
    <cfRule type="expression" dxfId="438" priority="29">
      <formula>$J183="►"</formula>
    </cfRule>
  </conditionalFormatting>
  <conditionalFormatting sqref="Q183:AI183">
    <cfRule type="expression" dxfId="437" priority="28">
      <formula>Q183&lt;&gt;ROUND(Q183,2)</formula>
    </cfRule>
  </conditionalFormatting>
  <conditionalFormatting sqref="H183">
    <cfRule type="expression" dxfId="436" priority="26" stopIfTrue="1">
      <formula>$B183=1</formula>
    </cfRule>
    <cfRule type="expression" dxfId="435" priority="27" stopIfTrue="1">
      <formula>OR($B183=0,$B183=2,$B183=3,$B183=4)</formula>
    </cfRule>
  </conditionalFormatting>
  <conditionalFormatting sqref="H183">
    <cfRule type="expression" dxfId="434" priority="25">
      <formula>$J183="►S"</formula>
    </cfRule>
  </conditionalFormatting>
  <conditionalFormatting sqref="D185:G185 I185">
    <cfRule type="expression" dxfId="433" priority="20" stopIfTrue="1">
      <formula>$B185=1</formula>
    </cfRule>
    <cfRule type="expression" dxfId="432" priority="21" stopIfTrue="1">
      <formula>OR($B185=0,$B185=2,$B185=3,$B185=4)</formula>
    </cfRule>
  </conditionalFormatting>
  <conditionalFormatting sqref="M185:N185">
    <cfRule type="expression" dxfId="431" priority="22" stopIfTrue="1">
      <formula>ACOMPANHAMENTO="BM"</formula>
    </cfRule>
    <cfRule type="expression" dxfId="430" priority="23" stopIfTrue="1">
      <formula>OR($B185=0,$B185=2,$B185=3,$B185=4)</formula>
    </cfRule>
    <cfRule type="expression" dxfId="429" priority="24" stopIfTrue="1">
      <formula>$B185=1</formula>
    </cfRule>
  </conditionalFormatting>
  <conditionalFormatting sqref="N185">
    <cfRule type="expression" dxfId="428" priority="19">
      <formula>$J185="►"</formula>
    </cfRule>
  </conditionalFormatting>
  <conditionalFormatting sqref="Q185:AI185">
    <cfRule type="expression" dxfId="427" priority="18">
      <formula>Q185&lt;&gt;ROUND(Q185,2)</formula>
    </cfRule>
  </conditionalFormatting>
  <conditionalFormatting sqref="H185">
    <cfRule type="expression" dxfId="426" priority="16" stopIfTrue="1">
      <formula>$B185=1</formula>
    </cfRule>
    <cfRule type="expression" dxfId="425" priority="17" stopIfTrue="1">
      <formula>OR($B185=0,$B185=2,$B185=3,$B185=4)</formula>
    </cfRule>
  </conditionalFormatting>
  <conditionalFormatting sqref="H185">
    <cfRule type="expression" dxfId="424" priority="15">
      <formula>$J185="►S"</formula>
    </cfRule>
  </conditionalFormatting>
  <conditionalFormatting sqref="M22:N22">
    <cfRule type="expression" dxfId="423" priority="9" stopIfTrue="1">
      <formula>ACOMPANHAMENTO="BM"</formula>
    </cfRule>
    <cfRule type="expression" dxfId="422" priority="10" stopIfTrue="1">
      <formula>OR($B22=0,$B22=2,$B22=3,$B22=4)</formula>
    </cfRule>
    <cfRule type="expression" dxfId="421" priority="11" stopIfTrue="1">
      <formula>$B22=1</formula>
    </cfRule>
  </conditionalFormatting>
  <conditionalFormatting sqref="K22">
    <cfRule type="expression" dxfId="420" priority="12" stopIfTrue="1">
      <formula>OR(ACOMPANHAMENTO="BM",$A$12&lt;&gt;"Manual")</formula>
    </cfRule>
    <cfRule type="expression" dxfId="419" priority="13" stopIfTrue="1">
      <formula>$B22=1</formula>
    </cfRule>
    <cfRule type="expression" dxfId="418" priority="14" stopIfTrue="1">
      <formula>OR($B22=2,$B22=3,$B22=4,$B22=0)</formula>
    </cfRule>
  </conditionalFormatting>
  <conditionalFormatting sqref="N22">
    <cfRule type="expression" dxfId="417" priority="8">
      <formula>$J22="►"</formula>
    </cfRule>
  </conditionalFormatting>
  <conditionalFormatting sqref="Q22:AI22">
    <cfRule type="expression" dxfId="416" priority="7">
      <formula>Q22&lt;&gt;ROUND(Q22,2)</formula>
    </cfRule>
  </conditionalFormatting>
  <conditionalFormatting sqref="H22">
    <cfRule type="expression" dxfId="415" priority="5" stopIfTrue="1">
      <formula>$B22=1</formula>
    </cfRule>
    <cfRule type="expression" dxfId="414" priority="6" stopIfTrue="1">
      <formula>OR($B22=0,$B22=2,$B22=3,$B22=4)</formula>
    </cfRule>
  </conditionalFormatting>
  <conditionalFormatting sqref="H22">
    <cfRule type="expression" dxfId="413" priority="4">
      <formula>$J22="►S"</formula>
    </cfRule>
  </conditionalFormatting>
  <conditionalFormatting sqref="U63">
    <cfRule type="expression" dxfId="412" priority="44667" stopIfTrue="1">
      <formula>ACOMPANHAMENTO="BM"</formula>
    </cfRule>
    <cfRule type="expression" dxfId="411" priority="44668" stopIfTrue="1">
      <formula>AND(U$12&lt;&gt;".",OR(#REF!=0,#REF!=2,#REF!=3,#REF!=4,AND(U$12="",#REF!&lt;&gt;"Empty"),OFFSET(U$1,0,-1)=0))</formula>
    </cfRule>
    <cfRule type="expression" dxfId="410" priority="44669" stopIfTrue="1">
      <formula>AND(#REF!=1,U$1=1)</formula>
    </cfRule>
  </conditionalFormatting>
  <conditionalFormatting sqref="AC63">
    <cfRule type="expression" dxfId="409" priority="1" stopIfTrue="1">
      <formula>ACOMPANHAMENTO="BM"</formula>
    </cfRule>
    <cfRule type="expression" dxfId="408" priority="2" stopIfTrue="1">
      <formula>AND(AC$12&lt;&gt;".",OR(#REF!=0,#REF!=2,#REF!=3,#REF!=4,AND(AC$12="",#REF!&lt;&gt;"Empty"),OFFSET(AC$1,0,-1)=0))</formula>
    </cfRule>
    <cfRule type="expression" dxfId="407" priority="3" stopIfTrue="1">
      <formula>AND(#REF!=1,AC$1=1)</formula>
    </cfRule>
  </conditionalFormatting>
  <dataValidations xWindow="902" yWindow="436" count="4">
    <dataValidation type="decimal" operator="greaterThan" allowBlank="1" showErrorMessage="1" error="Apenas números decimais maiores que zero." sqref="O14 Q16:AH190 O16:O190 Q14:AH14"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190"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190"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3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60"/>
  <sheetViews>
    <sheetView showGridLines="0" zoomScale="80" zoomScaleNormal="8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IF(AUTOEVENTO="Manual",IF(EVENTOS!$F1&gt;0,"F",""),IF(AND(B1&gt;0,B1&lt;=MAX(CÁLCULO!$M$15:$M$191)),"F",""))</f>
        <v>#REF!</v>
      </c>
      <c r="B1" s="247" t="e">
        <f ca="1">OFFSET(B1,-1,0)+1</f>
        <v>#REF!</v>
      </c>
      <c r="C1" s="514" t="e">
        <f ca="1">IF(AUTOEVENTO="Manual",IF($B1&gt;0,OFFSET(EVENTOS!$D$15,$B1-$B$15,0),0),IF(B1&lt;=MAX(CÁLCULO!$M$15:$M$191),VLOOKUP($B1,CÁLCULO!$M$15:$N$191,2,FALSE),0))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836" t="s">
        <v>757</v>
      </c>
      <c r="AD2" s="837"/>
      <c r="AE2" s="838"/>
    </row>
    <row r="3" spans="1:31" ht="12.75" customHeight="1" x14ac:dyDescent="0.2">
      <c r="G3" s="82"/>
      <c r="AD3" s="483"/>
      <c r="AE3" s="483"/>
    </row>
    <row r="4" spans="1:31" ht="12.75" customHeight="1" x14ac:dyDescent="0.2">
      <c r="B4" s="777" t="s">
        <v>652</v>
      </c>
      <c r="C4" s="777"/>
      <c r="D4" s="777"/>
      <c r="G4" s="788" t="s">
        <v>650</v>
      </c>
      <c r="H4" s="788"/>
      <c r="I4" s="788"/>
      <c r="J4" s="788" t="s">
        <v>707</v>
      </c>
      <c r="K4" s="788"/>
      <c r="L4" s="788"/>
      <c r="M4" s="208" t="s">
        <v>758</v>
      </c>
      <c r="N4" s="212"/>
      <c r="P4" s="186"/>
      <c r="Q4" s="186"/>
      <c r="R4" s="186"/>
      <c r="U4" s="484"/>
      <c r="V4" s="186"/>
      <c r="W4" s="186"/>
      <c r="X4" s="186"/>
      <c r="Y4" s="186"/>
      <c r="AD4" s="483"/>
      <c r="AE4" s="485"/>
    </row>
    <row r="5" spans="1:31" ht="12.75" customHeight="1" x14ac:dyDescent="0.2">
      <c r="B5" s="780" t="str">
        <f>Import.Proponente</f>
        <v>MUNICIPIO DE BOA ESPERANCA</v>
      </c>
      <c r="C5" s="780"/>
      <c r="D5" s="780"/>
      <c r="G5" s="793" t="str">
        <f>Import.CR</f>
        <v>56000000966/2023</v>
      </c>
      <c r="H5" s="793"/>
      <c r="I5" s="793"/>
      <c r="J5" s="793" t="str">
        <f>Import.SICONV</f>
        <v>27488/2025</v>
      </c>
      <c r="K5" s="793"/>
      <c r="L5" s="793"/>
      <c r="M5" s="802" t="str">
        <f>Import.Apelido</f>
        <v>AMPLIAÇÃO NO SISTEMA DE ÁGUA- BAIRRO NOVA ESPERANÇA</v>
      </c>
      <c r="N5" s="803"/>
      <c r="O5" s="803"/>
      <c r="P5" s="803"/>
      <c r="Q5" s="803"/>
      <c r="R5" s="803"/>
      <c r="S5" s="803"/>
      <c r="T5" s="803"/>
      <c r="U5" s="803"/>
      <c r="V5" s="803"/>
      <c r="W5" s="803"/>
      <c r="X5" s="803"/>
      <c r="Y5" s="803"/>
      <c r="Z5" s="803"/>
      <c r="AA5" s="803"/>
      <c r="AB5" s="803"/>
      <c r="AC5" s="803"/>
      <c r="AD5" s="803"/>
      <c r="AE5" s="839"/>
    </row>
    <row r="6" spans="1:31" ht="14.25" customHeight="1" x14ac:dyDescent="0.25">
      <c r="B6" s="249" t="str" cm="1">
        <f t="array" aca="1" ref="B6" ca="1">IF(ACOMPANHAMENTO="BM","NO ACOMPANHAMENTO POR BM, UTILIZE A ABA CRONO",
  IF(MAX($B$14:$B$46)&lt;MAX(CÁLCULO!$M$15:$M$191),"ERRO: NÚMERO DE EVENTOS INSUFICIENTE, CLIQUE EM ATUALIZAR LINHAS",
  IF(ROUND(OFFSET(CRONO!$AG$102,0,-1),2)&lt;&gt;CRONO!$R$93,"ERRO: CRONOGRAMA NÃO FECHA 100%","")))</f>
        <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str">
        <f>MID(Import.EventoAdmLocal,1,SEARCH(".",Import.EventoAdmLocal)-1)</f>
        <v>5</v>
      </c>
      <c r="B8" s="809" t="s">
        <v>1336</v>
      </c>
      <c r="C8" s="810"/>
      <c r="D8" s="571" t="str">
        <f ca="1">IF($B$7="","",IF(AND($B$15=0,$B$8=""),"◄ Não foi indicado o Evento de Administração Local",IF(ISERROR(MATCH(Import.EventoAdmLocal,$F$15:$F$46,0)),"◄ Selecione um Título de Evento válido para a Administração Local","")))</f>
        <v/>
      </c>
    </row>
    <row r="9" spans="1:31" ht="3.95" customHeight="1" x14ac:dyDescent="0.2">
      <c r="A9" s="548"/>
    </row>
    <row r="10" spans="1:31" ht="15" customHeight="1" x14ac:dyDescent="0.2">
      <c r="A10" s="548">
        <f ca="1">MATCH(VALUE(A8),CÁLCULO!$M$15:$M$191,0)-2</f>
        <v>12</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Projetos</v>
      </c>
      <c r="G11" s="252" t="str">
        <f ca="1">IF(G$12&gt;CÁLCULO.FrentesPreenchidas,"",OFFSET(CÁLCULO!$P$12,0,G$12))</f>
        <v>Projetos</v>
      </c>
      <c r="H11" s="252" t="str">
        <f ca="1">IF(H$12&gt;CÁLCULO.FrentesPreenchidas,"",OFFSET(CÁLCULO!$P$12,0,H$12))</f>
        <v>Geral</v>
      </c>
      <c r="I11" s="252" t="str">
        <f ca="1">IF(I$12&gt;CÁLCULO.FrentesPreenchidas,"",OFFSET(CÁLCULO!$P$12,0,I$12))</f>
        <v>Reservatório 320m³</v>
      </c>
      <c r="J11" s="252" t="str">
        <f ca="1">IF(J$12&gt;CÁLCULO.FrentesPreenchidas,"",OFFSET(CÁLCULO!$P$12,0,J$12))</f>
        <v>Muro de divisa</v>
      </c>
      <c r="K11" s="252" t="str">
        <f ca="1">IF(K$12&gt;CÁLCULO.FrentesPreenchidas,"",OFFSET(CÁLCULO!$P$12,0,K$12))</f>
        <v>Adutora de água tratada</v>
      </c>
      <c r="L11" s="252" t="str">
        <f ca="1">IF(L$12&gt;CÁLCULO.FrentesPreenchidas,"",OFFSET(CÁLCULO!$P$12,0,L$12))</f>
        <v>Estação Elevatória de água tratada</v>
      </c>
      <c r="M11" s="252" t="str">
        <f ca="1">IF(M$12&gt;CÁLCULO.FrentesPreenchidas,"",OFFSET(CÁLCULO!$P$12,0,M$12))</f>
        <v>Distribuição de água tratada</v>
      </c>
      <c r="N11" s="252" t="str">
        <f ca="1">IF(N$12&gt;CÁLCULO.FrentesPreenchidas,"",OFFSET(CÁLCULO!$P$12,0,N$12))</f>
        <v>Mês 7 de obra</v>
      </c>
      <c r="O11" s="252" t="str">
        <f ca="1">IF(O$12&gt;CÁLCULO.FrentesPreenchidas,"",OFFSET(CÁLCULO!$P$12,0,O$12))</f>
        <v>Mês 8 de obra</v>
      </c>
      <c r="P11" s="252" t="str">
        <f ca="1">IF(P$12&gt;CÁLCULO.FrentesPreenchidas,"",OFFSET(CÁLCULO!$P$12,0,P$12))</f>
        <v>Mês 9 de obra</v>
      </c>
      <c r="Q11" s="252" t="str">
        <f ca="1">IF(Q$12&gt;CÁLCULO.FrentesPreenchidas,"",OFFSET(CÁLCULO!$P$12,0,Q$12))</f>
        <v>Mês 10 de obra</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833" t="s">
        <v>760</v>
      </c>
      <c r="C12" s="833"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833"/>
      <c r="C13" s="833"/>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IF(AUTOEVENTO="Manual",IF(EVENTOS!$F15&gt;0,"F",""),IF(AND(B15&gt;0,B15&lt;=MAX(CÁLCULO!$M$15:$M$191)),"F",""))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A administração local será proporcional a execução dos demais eventos, independente de frentes de obra.</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s="670" customFormat="1" x14ac:dyDescent="0.2">
      <c r="A16" s="668" t="str">
        <f ca="1">IF(AUTOEVENTO="Manual",IF(EVENTOS!$F16&gt;0,"F",""),IF(AND(B16&gt;0,B16&lt;=MAX(CÁLCULO!$M$15:$M$191)),"F",""))</f>
        <v>F</v>
      </c>
      <c r="B16" s="247">
        <f t="shared" ref="B16:B45" ca="1" si="1">OFFSET(B16,-1,0)+1</f>
        <v>1</v>
      </c>
      <c r="C16" s="666" t="str">
        <f ca="1">IF(AUTOEVENTO="Manual",IF($B16&gt;0,OFFSET(EVENTOS!$D$15,$B16-$B$15,0),0),IF(B16&lt;=MAX(CÁLCULO!$M$15:$M$191),VLOOKUP($B16,CÁLCULO!$M$15:$N$191,2,FALSE),0))</f>
        <v>Projetos 1</v>
      </c>
      <c r="D16" s="554"/>
      <c r="E16" s="248"/>
      <c r="F16" s="670" t="str">
        <f t="shared" ref="F16:F45" ca="1" si="2">IF($C16=0,"",CONCATENATE($B16,". ",$C16))</f>
        <v>1. Projetos 1</v>
      </c>
      <c r="G16" s="553">
        <v>1</v>
      </c>
      <c r="H16" s="553"/>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s="739" customFormat="1" x14ac:dyDescent="0.2">
      <c r="A17" s="737" t="str">
        <f ca="1">IF(AUTOEVENTO="Manual",IF(EVENTOS!$F17&gt;0,"F",""),IF(AND(B17&gt;0,B17&lt;=MAX(CÁLCULO!$M$15:$M$191)),"F",""))</f>
        <v>F</v>
      </c>
      <c r="B17" s="247">
        <f ca="1">OFFSET(B17,-1,0)+1</f>
        <v>2</v>
      </c>
      <c r="C17" s="735" t="str">
        <f ca="1">IF(AUTOEVENTO="Manual",IF($B17&gt;0,OFFSET(EVENTOS!$D$15,$B17-$B$15,0),0),IF(B17&lt;=MAX(CÁLCULO!$M$15:$M$191),VLOOKUP($B17,CÁLCULO!$M$15:$N$191,2,FALSE),0))</f>
        <v>Projetos 2</v>
      </c>
      <c r="D17" s="554"/>
      <c r="E17" s="248"/>
      <c r="F17" s="739" t="str">
        <f ca="1">IF($C17=0,"",CONCATENATE($B17,". ",$C17))</f>
        <v>2. Projetos 2</v>
      </c>
      <c r="G17" s="553">
        <v>2</v>
      </c>
      <c r="H17" s="553"/>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s="670" customFormat="1" x14ac:dyDescent="0.2">
      <c r="A18" s="668" t="str">
        <f ca="1">IF(AUTOEVENTO="Manual",IF(EVENTOS!$F18&gt;0,"F",""),IF(AND(B18&gt;0,B18&lt;=MAX(CÁLCULO!$M$15:$M$191)),"F",""))</f>
        <v>F</v>
      </c>
      <c r="B18" s="247">
        <f t="shared" ca="1" si="1"/>
        <v>3</v>
      </c>
      <c r="C18" s="666" t="str">
        <f ca="1">IF(AUTOEVENTO="Manual",IF($B18&gt;0,OFFSET(EVENTOS!$D$15,$B18-$B$15,0),0),IF(B18&lt;=MAX(CÁLCULO!$M$15:$M$191),VLOOKUP($B18,CÁLCULO!$M$15:$N$191,2,FALSE),0))</f>
        <v>Canteiro de Obras</v>
      </c>
      <c r="D18" s="554"/>
      <c r="E18" s="248"/>
      <c r="F18" s="670" t="str">
        <f t="shared" ca="1" si="2"/>
        <v>3. Canteiro de Obras</v>
      </c>
      <c r="G18" s="553">
        <v>10</v>
      </c>
      <c r="H18" s="553">
        <v>3</v>
      </c>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s="670" customFormat="1" x14ac:dyDescent="0.2">
      <c r="A19" s="668" t="str">
        <f ca="1">IF(AUTOEVENTO="Manual",IF(EVENTOS!$F19&gt;0,"F",""),IF(AND(B19&gt;0,B19&lt;=MAX(CÁLCULO!$M$15:$M$191)),"F",""))</f>
        <v>F</v>
      </c>
      <c r="B19" s="247">
        <f t="shared" ca="1" si="1"/>
        <v>4</v>
      </c>
      <c r="C19" s="666" t="str">
        <f ca="1">IF(AUTOEVENTO="Manual",IF($B19&gt;0,OFFSET(EVENTOS!$D$15,$B19-$B$15,0),0),IF(B19&lt;=MAX(CÁLCULO!$M$15:$M$191),VLOOKUP($B19,CÁLCULO!$M$15:$N$191,2,FALSE),0))</f>
        <v>Serviços Preliminares</v>
      </c>
      <c r="D19" s="554"/>
      <c r="E19" s="248"/>
      <c r="F19" s="670" t="str">
        <f t="shared" ca="1" si="2"/>
        <v>4. Serviços Preliminares</v>
      </c>
      <c r="G19" s="553">
        <v>10</v>
      </c>
      <c r="H19" s="553">
        <v>4</v>
      </c>
      <c r="I19" s="553">
        <v>4</v>
      </c>
      <c r="J19" s="553"/>
      <c r="K19" s="553">
        <v>6</v>
      </c>
      <c r="L19" s="553">
        <v>5</v>
      </c>
      <c r="M19" s="553">
        <v>8</v>
      </c>
      <c r="N19" s="553"/>
      <c r="O19" s="553"/>
      <c r="P19" s="553"/>
      <c r="Q19" s="553"/>
      <c r="R19" s="553"/>
      <c r="S19" s="553"/>
      <c r="T19" s="553"/>
      <c r="U19" s="553"/>
      <c r="V19" s="553"/>
      <c r="W19" s="553"/>
      <c r="X19" s="553"/>
      <c r="Y19" s="553"/>
      <c r="Z19" s="553"/>
      <c r="AA19" s="553"/>
      <c r="AB19" s="553"/>
      <c r="AC19" s="553"/>
      <c r="AD19" s="553"/>
      <c r="AE19" s="553"/>
    </row>
    <row r="20" spans="1:31" s="670" customFormat="1" x14ac:dyDescent="0.2">
      <c r="A20" s="668" t="str">
        <f ca="1">IF(AUTOEVENTO="Manual",IF(EVENTOS!$F20&gt;0,"F",""),IF(AND(B20&gt;0,B20&lt;=MAX(CÁLCULO!$M$15:$M$191)),"F",""))</f>
        <v>F</v>
      </c>
      <c r="B20" s="247">
        <f t="shared" ca="1" si="1"/>
        <v>5</v>
      </c>
      <c r="C20" s="666" t="str">
        <f ca="1">IF(AUTOEVENTO="Manual",IF($B20&gt;0,OFFSET(EVENTOS!$D$15,$B20-$B$15,0),0),IF(B20&lt;=MAX(CÁLCULO!$M$15:$M$191),VLOOKUP($B20,CÁLCULO!$M$15:$N$191,2,FALSE),0))</f>
        <v>Administração Local</v>
      </c>
      <c r="D20" s="554"/>
      <c r="E20" s="248"/>
      <c r="F20" s="670" t="str">
        <f t="shared" ca="1" si="2"/>
        <v>5. Administração Local</v>
      </c>
      <c r="G20" s="553">
        <v>10</v>
      </c>
      <c r="H20" s="553">
        <v>3</v>
      </c>
      <c r="I20" s="553">
        <v>4</v>
      </c>
      <c r="J20" s="553">
        <v>5</v>
      </c>
      <c r="K20" s="553">
        <v>6</v>
      </c>
      <c r="L20" s="553">
        <v>7</v>
      </c>
      <c r="M20" s="553">
        <v>8</v>
      </c>
      <c r="N20" s="553">
        <v>9</v>
      </c>
      <c r="O20" s="553">
        <v>10</v>
      </c>
      <c r="P20" s="553">
        <v>11</v>
      </c>
      <c r="Q20" s="553">
        <v>12</v>
      </c>
      <c r="R20" s="553"/>
      <c r="S20" s="553"/>
      <c r="T20" s="553"/>
      <c r="U20" s="553"/>
      <c r="V20" s="553"/>
      <c r="W20" s="553"/>
      <c r="X20" s="553"/>
      <c r="Y20" s="553"/>
      <c r="Z20" s="553"/>
      <c r="AA20" s="553"/>
      <c r="AB20" s="553"/>
      <c r="AC20" s="553"/>
      <c r="AD20" s="553"/>
      <c r="AE20" s="553"/>
    </row>
    <row r="21" spans="1:31" s="670" customFormat="1" x14ac:dyDescent="0.2">
      <c r="A21" s="668" t="str">
        <f ca="1">IF(AUTOEVENTO="Manual",IF(EVENTOS!$F21&gt;0,"F",""),IF(AND(B21&gt;0,B21&lt;=MAX(CÁLCULO!$M$15:$M$191)),"F",""))</f>
        <v>F</v>
      </c>
      <c r="B21" s="247">
        <f t="shared" ca="1" si="1"/>
        <v>6</v>
      </c>
      <c r="C21" s="666" t="str">
        <f ca="1">IF(AUTOEVENTO="Manual",IF($B21&gt;0,OFFSET(EVENTOS!$D$15,$B21-$B$15,0),0),IF(B21&lt;=MAX(CÁLCULO!$M$15:$M$191),VLOOKUP($B21,CÁLCULO!$M$15:$N$191,2,FALSE),0))</f>
        <v>Demolições / Remoções</v>
      </c>
      <c r="D21" s="554"/>
      <c r="E21" s="248"/>
      <c r="F21" s="670" t="str">
        <f t="shared" ca="1" si="2"/>
        <v>6. Demolições / Remoções</v>
      </c>
      <c r="G21" s="553">
        <v>10</v>
      </c>
      <c r="H21" s="553"/>
      <c r="I21" s="553"/>
      <c r="J21" s="553">
        <v>9</v>
      </c>
      <c r="K21" s="553"/>
      <c r="L21" s="553"/>
      <c r="M21" s="553"/>
      <c r="N21" s="553"/>
      <c r="O21" s="553"/>
      <c r="P21" s="553"/>
      <c r="Q21" s="553"/>
      <c r="R21" s="553"/>
      <c r="S21" s="553"/>
      <c r="T21" s="553"/>
      <c r="U21" s="553"/>
      <c r="V21" s="553"/>
      <c r="W21" s="553"/>
      <c r="X21" s="553"/>
      <c r="Y21" s="553"/>
      <c r="Z21" s="553"/>
      <c r="AA21" s="553"/>
      <c r="AB21" s="553"/>
      <c r="AC21" s="553"/>
      <c r="AD21" s="553"/>
      <c r="AE21" s="553"/>
    </row>
    <row r="22" spans="1:31" s="670" customFormat="1" x14ac:dyDescent="0.2">
      <c r="A22" s="668" t="str">
        <f ca="1">IF(AUTOEVENTO="Manual",IF(EVENTOS!$F22&gt;0,"F",""),IF(AND(B22&gt;0,B22&lt;=MAX(CÁLCULO!$M$15:$M$191)),"F",""))</f>
        <v>F</v>
      </c>
      <c r="B22" s="247">
        <f t="shared" ca="1" si="1"/>
        <v>7</v>
      </c>
      <c r="C22" s="666" t="str">
        <f ca="1">IF(AUTOEVENTO="Manual",IF($B22&gt;0,OFFSET(EVENTOS!$D$15,$B22-$B$15,0),0),IF(B22&lt;=MAX(CÁLCULO!$M$15:$M$191),VLOOKUP($B22,CÁLCULO!$M$15:$N$191,2,FALSE),0))</f>
        <v>Escavação - preparo de fundo de vala</v>
      </c>
      <c r="D22" s="554"/>
      <c r="E22" s="248"/>
      <c r="F22" s="670" t="str">
        <f t="shared" ca="1" si="2"/>
        <v>7. Escavação - preparo de fundo de vala</v>
      </c>
      <c r="G22" s="553">
        <v>10</v>
      </c>
      <c r="H22" s="553"/>
      <c r="I22" s="553">
        <v>4</v>
      </c>
      <c r="J22" s="553">
        <v>9</v>
      </c>
      <c r="K22" s="553">
        <v>6</v>
      </c>
      <c r="L22" s="553">
        <v>6</v>
      </c>
      <c r="M22" s="553">
        <v>9</v>
      </c>
      <c r="N22" s="553"/>
      <c r="O22" s="553"/>
      <c r="P22" s="553"/>
      <c r="Q22" s="553"/>
      <c r="R22" s="553"/>
      <c r="S22" s="553"/>
      <c r="T22" s="553"/>
      <c r="U22" s="553"/>
      <c r="V22" s="553"/>
      <c r="W22" s="553"/>
      <c r="X22" s="553"/>
      <c r="Y22" s="553"/>
      <c r="Z22" s="553"/>
      <c r="AA22" s="553"/>
      <c r="AB22" s="553"/>
      <c r="AC22" s="553"/>
      <c r="AD22" s="553"/>
      <c r="AE22" s="553"/>
    </row>
    <row r="23" spans="1:31" s="731" customFormat="1" x14ac:dyDescent="0.2">
      <c r="A23" s="730" t="str">
        <f ca="1">IF(AUTOEVENTO="Manual",IF(EVENTOS!$F23&gt;0,"F",""),IF(AND(B23&gt;0,B23&lt;=MAX(CÁLCULO!$M$15:$M$191)),"F",""))</f>
        <v>F</v>
      </c>
      <c r="B23" s="247">
        <f t="shared" ca="1" si="1"/>
        <v>8</v>
      </c>
      <c r="C23" s="729" t="str">
        <f ca="1">IF(AUTOEVENTO="Manual",IF($B23&gt;0,OFFSET(EVENTOS!$D$15,$B23-$B$15,0),0),IF(B23&lt;=MAX(CÁLCULO!$M$15:$M$191),VLOOKUP($B23,CÁLCULO!$M$15:$N$191,2,FALSE),0))</f>
        <v>Assentamento de tubulação</v>
      </c>
      <c r="D23" s="554"/>
      <c r="E23" s="248"/>
      <c r="F23" s="731" t="str">
        <f t="shared" ca="1" si="2"/>
        <v>8. Assentamento de tubulação</v>
      </c>
      <c r="G23" s="553"/>
      <c r="H23" s="553"/>
      <c r="I23" s="553"/>
      <c r="J23" s="553"/>
      <c r="K23" s="553">
        <v>7</v>
      </c>
      <c r="L23" s="553"/>
      <c r="M23" s="553">
        <v>11</v>
      </c>
      <c r="N23" s="553"/>
      <c r="O23" s="553"/>
      <c r="P23" s="553"/>
      <c r="Q23" s="553"/>
      <c r="R23" s="553"/>
      <c r="S23" s="553"/>
      <c r="T23" s="553"/>
      <c r="U23" s="553"/>
      <c r="V23" s="553"/>
      <c r="W23" s="553"/>
      <c r="X23" s="553"/>
      <c r="Y23" s="553"/>
      <c r="Z23" s="553"/>
      <c r="AA23" s="553"/>
      <c r="AB23" s="553"/>
      <c r="AC23" s="553"/>
      <c r="AD23" s="553"/>
      <c r="AE23" s="553"/>
    </row>
    <row r="24" spans="1:31" s="731" customFormat="1" x14ac:dyDescent="0.2">
      <c r="A24" s="730" t="str">
        <f ca="1">IF(AUTOEVENTO="Manual",IF(EVENTOS!$F24&gt;0,"F",""),IF(AND(B24&gt;0,B24&lt;=MAX(CÁLCULO!$M$15:$M$191)),"F",""))</f>
        <v>F</v>
      </c>
      <c r="B24" s="247">
        <f t="shared" ca="1" si="1"/>
        <v>9</v>
      </c>
      <c r="C24" s="729" t="str">
        <f ca="1">IF(AUTOEVENTO="Manual",IF($B24&gt;0,OFFSET(EVENTOS!$D$15,$B24-$B$15,0),0),IF(B24&lt;=MAX(CÁLCULO!$M$15:$M$191),VLOOKUP($B24,CÁLCULO!$M$15:$N$191,2,FALSE),0))</f>
        <v>Reaterro</v>
      </c>
      <c r="D24" s="554"/>
      <c r="E24" s="248"/>
      <c r="F24" s="731" t="str">
        <f t="shared" ca="1" si="2"/>
        <v>9. Reaterro</v>
      </c>
      <c r="G24" s="553"/>
      <c r="H24" s="553"/>
      <c r="I24" s="553"/>
      <c r="J24" s="553">
        <v>11</v>
      </c>
      <c r="K24" s="553">
        <v>7</v>
      </c>
      <c r="L24" s="553"/>
      <c r="M24" s="553">
        <v>12</v>
      </c>
      <c r="N24" s="553"/>
      <c r="O24" s="553"/>
      <c r="P24" s="553"/>
      <c r="Q24" s="553"/>
      <c r="R24" s="553"/>
      <c r="S24" s="553"/>
      <c r="T24" s="553"/>
      <c r="U24" s="553"/>
      <c r="V24" s="553"/>
      <c r="W24" s="553"/>
      <c r="X24" s="553"/>
      <c r="Y24" s="553"/>
      <c r="Z24" s="553"/>
      <c r="AA24" s="553"/>
      <c r="AB24" s="553"/>
      <c r="AC24" s="553"/>
      <c r="AD24" s="553"/>
      <c r="AE24" s="553"/>
    </row>
    <row r="25" spans="1:31" s="731" customFormat="1" x14ac:dyDescent="0.2">
      <c r="A25" s="730" t="str">
        <f ca="1">IF(AUTOEVENTO="Manual",IF(EVENTOS!$F25&gt;0,"F",""),IF(AND(B25&gt;0,B25&lt;=MAX(CÁLCULO!$M$15:$M$191)),"F",""))</f>
        <v>F</v>
      </c>
      <c r="B25" s="247">
        <f t="shared" ca="1" si="1"/>
        <v>10</v>
      </c>
      <c r="C25" s="729" t="str">
        <f ca="1">IF(AUTOEVENTO="Manual",IF($B25&gt;0,OFFSET(EVENTOS!$D$15,$B25-$B$15,0),0),IF(B25&lt;=MAX(CÁLCULO!$M$15:$M$191),VLOOKUP($B25,CÁLCULO!$M$15:$N$191,2,FALSE),0))</f>
        <v>Fundação - Forma</v>
      </c>
      <c r="D25" s="554"/>
      <c r="E25" s="248"/>
      <c r="F25" s="731" t="str">
        <f t="shared" ca="1" si="2"/>
        <v>10. Fundação - Forma</v>
      </c>
      <c r="G25" s="553"/>
      <c r="H25" s="553"/>
      <c r="I25" s="553"/>
      <c r="J25" s="553"/>
      <c r="K25" s="553">
        <v>9</v>
      </c>
      <c r="L25" s="553"/>
      <c r="M25" s="553"/>
      <c r="N25" s="553"/>
      <c r="O25" s="553"/>
      <c r="P25" s="553"/>
      <c r="Q25" s="553"/>
      <c r="R25" s="553"/>
      <c r="S25" s="553"/>
      <c r="T25" s="553"/>
      <c r="U25" s="553"/>
      <c r="V25" s="553"/>
      <c r="W25" s="553"/>
      <c r="X25" s="553"/>
      <c r="Y25" s="553"/>
      <c r="Z25" s="553"/>
      <c r="AA25" s="553"/>
      <c r="AB25" s="553"/>
      <c r="AC25" s="553"/>
      <c r="AD25" s="553"/>
      <c r="AE25" s="553"/>
    </row>
    <row r="26" spans="1:31" s="731" customFormat="1" x14ac:dyDescent="0.2">
      <c r="A26" s="730" t="str">
        <f ca="1">IF(AUTOEVENTO="Manual",IF(EVENTOS!$F26&gt;0,"F",""),IF(AND(B26&gt;0,B26&lt;=MAX(CÁLCULO!$M$15:$M$191)),"F",""))</f>
        <v>F</v>
      </c>
      <c r="B26" s="247">
        <f t="shared" ca="1" si="1"/>
        <v>11</v>
      </c>
      <c r="C26" s="729" t="str">
        <f ca="1">IF(AUTOEVENTO="Manual",IF($B26&gt;0,OFFSET(EVENTOS!$D$15,$B26-$B$15,0),0),IF(B26&lt;=MAX(CÁLCULO!$M$15:$M$191),VLOOKUP($B26,CÁLCULO!$M$15:$N$191,2,FALSE),0))</f>
        <v>Fundação - Armação</v>
      </c>
      <c r="D26" s="554"/>
      <c r="E26" s="248"/>
      <c r="F26" s="731" t="str">
        <f t="shared" ca="1" si="2"/>
        <v>11. Fundação - Armação</v>
      </c>
      <c r="G26" s="553"/>
      <c r="H26" s="553"/>
      <c r="I26" s="553">
        <v>6</v>
      </c>
      <c r="J26" s="553">
        <v>10</v>
      </c>
      <c r="K26" s="553">
        <v>9</v>
      </c>
      <c r="L26" s="553">
        <v>7</v>
      </c>
      <c r="M26" s="553">
        <v>10</v>
      </c>
      <c r="N26" s="553"/>
      <c r="O26" s="553"/>
      <c r="P26" s="553"/>
      <c r="Q26" s="553"/>
      <c r="R26" s="553"/>
      <c r="S26" s="553"/>
      <c r="T26" s="553"/>
      <c r="U26" s="553"/>
      <c r="V26" s="553"/>
      <c r="W26" s="553"/>
      <c r="X26" s="553"/>
      <c r="Y26" s="553"/>
      <c r="Z26" s="553"/>
      <c r="AA26" s="553"/>
      <c r="AB26" s="553"/>
      <c r="AC26" s="553"/>
      <c r="AD26" s="553"/>
      <c r="AE26" s="553"/>
    </row>
    <row r="27" spans="1:31" s="731" customFormat="1" x14ac:dyDescent="0.2">
      <c r="A27" s="730" t="str">
        <f ca="1">IF(AUTOEVENTO="Manual",IF(EVENTOS!$F27&gt;0,"F",""),IF(AND(B27&gt;0,B27&lt;=MAX(CÁLCULO!$M$15:$M$191)),"F",""))</f>
        <v>F</v>
      </c>
      <c r="B27" s="247">
        <f t="shared" ca="1" si="1"/>
        <v>12</v>
      </c>
      <c r="C27" s="729" t="str">
        <f ca="1">IF(AUTOEVENTO="Manual",IF($B27&gt;0,OFFSET(EVENTOS!$D$15,$B27-$B$15,0),0),IF(B27&lt;=MAX(CÁLCULO!$M$15:$M$191),VLOOKUP($B27,CÁLCULO!$M$15:$N$191,2,FALSE),0))</f>
        <v>Fundação - Concretagem</v>
      </c>
      <c r="D27" s="554"/>
      <c r="E27" s="248"/>
      <c r="F27" s="731" t="str">
        <f t="shared" ca="1" si="2"/>
        <v>12. Fundação - Concretagem</v>
      </c>
      <c r="G27" s="553"/>
      <c r="H27" s="553"/>
      <c r="I27" s="553">
        <v>6</v>
      </c>
      <c r="J27" s="553"/>
      <c r="K27" s="553">
        <v>9</v>
      </c>
      <c r="L27" s="553">
        <v>7</v>
      </c>
      <c r="M27" s="553">
        <v>10</v>
      </c>
      <c r="N27" s="553"/>
      <c r="O27" s="553"/>
      <c r="P27" s="553"/>
      <c r="Q27" s="553"/>
      <c r="R27" s="553"/>
      <c r="S27" s="553"/>
      <c r="T27" s="553"/>
      <c r="U27" s="553"/>
      <c r="V27" s="553"/>
      <c r="W27" s="553"/>
      <c r="X27" s="553"/>
      <c r="Y27" s="553"/>
      <c r="Z27" s="553"/>
      <c r="AA27" s="553"/>
      <c r="AB27" s="553"/>
      <c r="AC27" s="553"/>
      <c r="AD27" s="553"/>
      <c r="AE27" s="553"/>
    </row>
    <row r="28" spans="1:31" s="728" customFormat="1" x14ac:dyDescent="0.2">
      <c r="A28" s="725" t="str">
        <f ca="1">IF(AUTOEVENTO="Manual",IF(EVENTOS!$F28&gt;0,"F",""),IF(AND(B28&gt;0,B28&lt;=MAX(CÁLCULO!$M$15:$M$191)),"F",""))</f>
        <v>F</v>
      </c>
      <c r="B28" s="247">
        <f t="shared" ca="1" si="1"/>
        <v>13</v>
      </c>
      <c r="C28" s="726" t="str">
        <f ca="1">IF(AUTOEVENTO="Manual",IF($B28&gt;0,OFFSET(EVENTOS!$D$15,$B28-$B$15,0),0),IF(B28&lt;=MAX(CÁLCULO!$M$15:$M$191),VLOOKUP($B28,CÁLCULO!$M$15:$N$191,2,FALSE),0))</f>
        <v>Fundação - Estacas / Tubulões</v>
      </c>
      <c r="D28" s="554"/>
      <c r="E28" s="248"/>
      <c r="F28" s="728" t="str">
        <f t="shared" ca="1" si="2"/>
        <v>13. Fundação - Estacas / Tubulões</v>
      </c>
      <c r="G28" s="553"/>
      <c r="H28" s="553"/>
      <c r="I28" s="553">
        <v>5</v>
      </c>
      <c r="J28" s="553"/>
      <c r="K28" s="553">
        <v>8</v>
      </c>
      <c r="L28" s="553">
        <v>7</v>
      </c>
      <c r="M28" s="553"/>
      <c r="N28" s="553"/>
      <c r="O28" s="553"/>
      <c r="P28" s="553"/>
      <c r="Q28" s="553"/>
      <c r="R28" s="553"/>
      <c r="S28" s="553"/>
      <c r="T28" s="553"/>
      <c r="U28" s="553"/>
      <c r="V28" s="553"/>
      <c r="W28" s="553"/>
      <c r="X28" s="553"/>
      <c r="Y28" s="553"/>
      <c r="Z28" s="553"/>
      <c r="AA28" s="553"/>
      <c r="AB28" s="553"/>
      <c r="AC28" s="553"/>
      <c r="AD28" s="553"/>
      <c r="AE28" s="553"/>
    </row>
    <row r="29" spans="1:31" s="728" customFormat="1" x14ac:dyDescent="0.2">
      <c r="A29" s="725" t="str">
        <f ca="1">IF(AUTOEVENTO="Manual",IF(EVENTOS!$F29&gt;0,"F",""),IF(AND(B29&gt;0,B29&lt;=MAX(CÁLCULO!$M$15:$M$191)),"F",""))</f>
        <v>F</v>
      </c>
      <c r="B29" s="247">
        <f t="shared" ca="1" si="1"/>
        <v>14</v>
      </c>
      <c r="C29" s="726" t="str">
        <f ca="1">IF(AUTOEVENTO="Manual",IF($B29&gt;0,OFFSET(EVENTOS!$D$15,$B29-$B$15,0),0),IF(B29&lt;=MAX(CÁLCULO!$M$15:$M$191),VLOOKUP($B29,CÁLCULO!$M$15:$N$191,2,FALSE),0))</f>
        <v>Estrutura - Forma</v>
      </c>
      <c r="D29" s="554"/>
      <c r="E29" s="248"/>
      <c r="F29" s="728" t="str">
        <f t="shared" ca="1" si="2"/>
        <v>14. Estrutura - Forma</v>
      </c>
      <c r="G29" s="553"/>
      <c r="H29" s="553"/>
      <c r="I29" s="553">
        <v>6</v>
      </c>
      <c r="J29" s="553">
        <v>10</v>
      </c>
      <c r="K29" s="553">
        <v>10</v>
      </c>
      <c r="L29" s="553"/>
      <c r="M29" s="553"/>
      <c r="N29" s="553"/>
      <c r="O29" s="553"/>
      <c r="P29" s="553"/>
      <c r="Q29" s="553"/>
      <c r="R29" s="553"/>
      <c r="S29" s="553"/>
      <c r="T29" s="553"/>
      <c r="U29" s="553"/>
      <c r="V29" s="553"/>
      <c r="W29" s="553"/>
      <c r="X29" s="553"/>
      <c r="Y29" s="553"/>
      <c r="Z29" s="553"/>
      <c r="AA29" s="553"/>
      <c r="AB29" s="553"/>
      <c r="AC29" s="553"/>
      <c r="AD29" s="553"/>
      <c r="AE29" s="553"/>
    </row>
    <row r="30" spans="1:31" s="728" customFormat="1" x14ac:dyDescent="0.2">
      <c r="A30" s="725" t="str">
        <f ca="1">IF(AUTOEVENTO="Manual",IF(EVENTOS!$F30&gt;0,"F",""),IF(AND(B30&gt;0,B30&lt;=MAX(CÁLCULO!$M$15:$M$191)),"F",""))</f>
        <v>F</v>
      </c>
      <c r="B30" s="247">
        <f t="shared" ca="1" si="1"/>
        <v>15</v>
      </c>
      <c r="C30" s="726" t="str">
        <f ca="1">IF(AUTOEVENTO="Manual",IF($B30&gt;0,OFFSET(EVENTOS!$D$15,$B30-$B$15,0),0),IF(B30&lt;=MAX(CÁLCULO!$M$15:$M$191),VLOOKUP($B30,CÁLCULO!$M$15:$N$191,2,FALSE),0))</f>
        <v>Estrutura - Armadura</v>
      </c>
      <c r="D30" s="554"/>
      <c r="E30" s="248"/>
      <c r="F30" s="728" t="str">
        <f t="shared" ca="1" si="2"/>
        <v>15. Estrutura - Armadura</v>
      </c>
      <c r="G30" s="553"/>
      <c r="H30" s="553"/>
      <c r="I30" s="553"/>
      <c r="J30" s="553"/>
      <c r="K30" s="553"/>
      <c r="L30" s="553">
        <v>8</v>
      </c>
      <c r="M30" s="553"/>
      <c r="N30" s="553"/>
      <c r="O30" s="553"/>
      <c r="P30" s="553"/>
      <c r="Q30" s="553"/>
      <c r="R30" s="553"/>
      <c r="S30" s="553"/>
      <c r="T30" s="553"/>
      <c r="U30" s="553"/>
      <c r="V30" s="553"/>
      <c r="W30" s="553"/>
      <c r="X30" s="553"/>
      <c r="Y30" s="553"/>
      <c r="Z30" s="553"/>
      <c r="AA30" s="553"/>
      <c r="AB30" s="553"/>
      <c r="AC30" s="553"/>
      <c r="AD30" s="553"/>
      <c r="AE30" s="553"/>
    </row>
    <row r="31" spans="1:31" s="728" customFormat="1" x14ac:dyDescent="0.2">
      <c r="A31" s="725" t="str">
        <f ca="1">IF(AUTOEVENTO="Manual",IF(EVENTOS!$F31&gt;0,"F",""),IF(AND(B31&gt;0,B31&lt;=MAX(CÁLCULO!$M$15:$M$191)),"F",""))</f>
        <v>F</v>
      </c>
      <c r="B31" s="247">
        <f t="shared" ca="1" si="1"/>
        <v>16</v>
      </c>
      <c r="C31" s="726" t="str">
        <f ca="1">IF(AUTOEVENTO="Manual",IF($B31&gt;0,OFFSET(EVENTOS!$D$15,$B31-$B$15,0),0),IF(B31&lt;=MAX(CÁLCULO!$M$15:$M$191),VLOOKUP($B31,CÁLCULO!$M$15:$N$191,2,FALSE),0))</f>
        <v>Estrutura - Concretagem</v>
      </c>
      <c r="D31" s="554"/>
      <c r="E31" s="248"/>
      <c r="F31" s="728" t="str">
        <f t="shared" ca="1" si="2"/>
        <v>16. Estrutura - Concretagem</v>
      </c>
      <c r="G31" s="553"/>
      <c r="H31" s="553"/>
      <c r="I31" s="553">
        <v>7</v>
      </c>
      <c r="J31" s="553">
        <v>11</v>
      </c>
      <c r="K31" s="553"/>
      <c r="L31" s="553">
        <v>8</v>
      </c>
      <c r="M31" s="553"/>
      <c r="N31" s="553"/>
      <c r="O31" s="553"/>
      <c r="P31" s="553"/>
      <c r="Q31" s="553"/>
      <c r="R31" s="553"/>
      <c r="S31" s="553"/>
      <c r="T31" s="553"/>
      <c r="U31" s="553"/>
      <c r="V31" s="553"/>
      <c r="W31" s="553"/>
      <c r="X31" s="553"/>
      <c r="Y31" s="553"/>
      <c r="Z31" s="553"/>
      <c r="AA31" s="553"/>
      <c r="AB31" s="553"/>
      <c r="AC31" s="553"/>
      <c r="AD31" s="553"/>
      <c r="AE31" s="553"/>
    </row>
    <row r="32" spans="1:31" s="728" customFormat="1" x14ac:dyDescent="0.2">
      <c r="A32" s="725" t="str">
        <f ca="1">IF(AUTOEVENTO="Manual",IF(EVENTOS!$F32&gt;0,"F",""),IF(AND(B32&gt;0,B32&lt;=MAX(CÁLCULO!$M$15:$M$191)),"F",""))</f>
        <v>F</v>
      </c>
      <c r="B32" s="247">
        <f t="shared" ca="1" si="1"/>
        <v>17</v>
      </c>
      <c r="C32" s="726" t="str">
        <f ca="1">IF(AUTOEVENTO="Manual",IF($B32&gt;0,OFFSET(EVENTOS!$D$15,$B32-$B$15,0),0),IF(B32&lt;=MAX(CÁLCULO!$M$15:$M$191),VLOOKUP($B32,CÁLCULO!$M$15:$N$191,2,FALSE),0))</f>
        <v>Alvenaria estrutural</v>
      </c>
      <c r="D32" s="554"/>
      <c r="E32" s="248"/>
      <c r="F32" s="728" t="str">
        <f t="shared" ca="1" si="2"/>
        <v>17. Alvenaria estrutural</v>
      </c>
      <c r="G32" s="553"/>
      <c r="H32" s="553"/>
      <c r="I32" s="553"/>
      <c r="J32" s="553">
        <v>12</v>
      </c>
      <c r="K32" s="553"/>
      <c r="L32" s="553"/>
      <c r="M32" s="553"/>
      <c r="N32" s="553"/>
      <c r="O32" s="553"/>
      <c r="P32" s="553"/>
      <c r="Q32" s="553"/>
      <c r="R32" s="553"/>
      <c r="S32" s="553"/>
      <c r="T32" s="553"/>
      <c r="U32" s="553"/>
      <c r="V32" s="553"/>
      <c r="W32" s="553"/>
      <c r="X32" s="553"/>
      <c r="Y32" s="553"/>
      <c r="Z32" s="553"/>
      <c r="AA32" s="553"/>
      <c r="AB32" s="553"/>
      <c r="AC32" s="553"/>
      <c r="AD32" s="553"/>
      <c r="AE32" s="553"/>
    </row>
    <row r="33" spans="1:31" s="728" customFormat="1" x14ac:dyDescent="0.2">
      <c r="A33" s="725" t="str">
        <f ca="1">IF(AUTOEVENTO="Manual",IF(EVENTOS!$F33&gt;0,"F",""),IF(AND(B33&gt;0,B33&lt;=MAX(CÁLCULO!$M$15:$M$191)),"F",""))</f>
        <v>F</v>
      </c>
      <c r="B33" s="247">
        <f t="shared" ca="1" si="1"/>
        <v>18</v>
      </c>
      <c r="C33" s="726" t="str">
        <f ca="1">IF(AUTOEVENTO="Manual",IF($B33&gt;0,OFFSET(EVENTOS!$D$15,$B33-$B$15,0),0),IF(B33&lt;=MAX(CÁLCULO!$M$15:$M$191),VLOOKUP($B33,CÁLCULO!$M$15:$N$191,2,FALSE),0))</f>
        <v>Reservatório metálico</v>
      </c>
      <c r="D33" s="554"/>
      <c r="E33" s="248"/>
      <c r="F33" s="728" t="str">
        <f t="shared" ca="1" si="2"/>
        <v>18. Reservatório metálico</v>
      </c>
      <c r="G33" s="553"/>
      <c r="H33" s="553"/>
      <c r="I33" s="553">
        <v>9</v>
      </c>
      <c r="J33" s="553"/>
      <c r="K33" s="553"/>
      <c r="L33" s="553"/>
      <c r="M33" s="553"/>
      <c r="N33" s="553"/>
      <c r="O33" s="553"/>
      <c r="P33" s="553"/>
      <c r="Q33" s="553"/>
      <c r="R33" s="553"/>
      <c r="S33" s="553"/>
      <c r="T33" s="553"/>
      <c r="U33" s="553"/>
      <c r="V33" s="553"/>
      <c r="W33" s="553"/>
      <c r="X33" s="553"/>
      <c r="Y33" s="553"/>
      <c r="Z33" s="553"/>
      <c r="AA33" s="553"/>
      <c r="AB33" s="553"/>
      <c r="AC33" s="553"/>
      <c r="AD33" s="553"/>
      <c r="AE33" s="553"/>
    </row>
    <row r="34" spans="1:31" s="728" customFormat="1" x14ac:dyDescent="0.2">
      <c r="A34" s="725" t="str">
        <f ca="1">IF(AUTOEVENTO="Manual",IF(EVENTOS!$F34&gt;0,"F",""),IF(AND(B34&gt;0,B34&lt;=MAX(CÁLCULO!$M$15:$M$191)),"F",""))</f>
        <v>F</v>
      </c>
      <c r="B34" s="247">
        <f t="shared" ca="1" si="1"/>
        <v>19</v>
      </c>
      <c r="C34" s="726" t="str">
        <f ca="1">IF(AUTOEVENTO="Manual",IF($B34&gt;0,OFFSET(EVENTOS!$D$15,$B34-$B$15,0),0),IF(B34&lt;=MAX(CÁLCULO!$M$15:$M$191),VLOOKUP($B34,CÁLCULO!$M$15:$N$191,2,FALSE),0))</f>
        <v>Rede de água - assentamento de tubos</v>
      </c>
      <c r="D34" s="554"/>
      <c r="E34" s="248"/>
      <c r="F34" s="728" t="str">
        <f t="shared" ca="1" si="2"/>
        <v>19. Rede de água - assentamento de tubos</v>
      </c>
      <c r="G34" s="553"/>
      <c r="H34" s="553"/>
      <c r="I34" s="553"/>
      <c r="J34" s="553"/>
      <c r="K34" s="553">
        <v>7</v>
      </c>
      <c r="L34" s="553"/>
      <c r="M34" s="553"/>
      <c r="N34" s="553"/>
      <c r="O34" s="553"/>
      <c r="P34" s="553"/>
      <c r="Q34" s="553"/>
      <c r="R34" s="553"/>
      <c r="S34" s="553"/>
      <c r="T34" s="553"/>
      <c r="U34" s="553"/>
      <c r="V34" s="553"/>
      <c r="W34" s="553"/>
      <c r="X34" s="553"/>
      <c r="Y34" s="553"/>
      <c r="Z34" s="553"/>
      <c r="AA34" s="553"/>
      <c r="AB34" s="553"/>
      <c r="AC34" s="553"/>
      <c r="AD34" s="553"/>
      <c r="AE34" s="553"/>
    </row>
    <row r="35" spans="1:31" s="728" customFormat="1" x14ac:dyDescent="0.2">
      <c r="A35" s="725" t="str">
        <f ca="1">IF(AUTOEVENTO="Manual",IF(EVENTOS!$F35&gt;0,"F",""),IF(AND(B35&gt;0,B35&lt;=MAX(CÁLCULO!$M$15:$M$191)),"F",""))</f>
        <v>F</v>
      </c>
      <c r="B35" s="247">
        <f t="shared" ca="1" si="1"/>
        <v>20</v>
      </c>
      <c r="C35" s="726" t="str">
        <f ca="1">IF(AUTOEVENTO="Manual",IF($B35&gt;0,OFFSET(EVENTOS!$D$15,$B35-$B$15,0),0),IF(B35&lt;=MAX(CÁLCULO!$M$15:$M$191),VLOOKUP($B35,CÁLCULO!$M$15:$N$191,2,FALSE),0))</f>
        <v>Alvenaria</v>
      </c>
      <c r="D35" s="554"/>
      <c r="E35" s="248"/>
      <c r="F35" s="728" t="str">
        <f t="shared" ca="1" si="2"/>
        <v>20. Alvenaria</v>
      </c>
      <c r="G35" s="553"/>
      <c r="H35" s="553"/>
      <c r="I35" s="553"/>
      <c r="J35" s="553"/>
      <c r="K35" s="553"/>
      <c r="L35" s="553">
        <v>9</v>
      </c>
      <c r="M35" s="553"/>
      <c r="N35" s="553"/>
      <c r="O35" s="553"/>
      <c r="P35" s="553"/>
      <c r="Q35" s="553"/>
      <c r="R35" s="553"/>
      <c r="S35" s="553"/>
      <c r="T35" s="553"/>
      <c r="U35" s="553"/>
      <c r="V35" s="553"/>
      <c r="W35" s="553"/>
      <c r="X35" s="553"/>
      <c r="Y35" s="553"/>
      <c r="Z35" s="553"/>
      <c r="AA35" s="553"/>
      <c r="AB35" s="553"/>
      <c r="AC35" s="553"/>
      <c r="AD35" s="553"/>
      <c r="AE35" s="553"/>
    </row>
    <row r="36" spans="1:31" s="728" customFormat="1" x14ac:dyDescent="0.2">
      <c r="A36" s="725" t="str">
        <f ca="1">IF(AUTOEVENTO="Manual",IF(EVENTOS!$F36&gt;0,"F",""),IF(AND(B36&gt;0,B36&lt;=MAX(CÁLCULO!$M$15:$M$191)),"F",""))</f>
        <v>F</v>
      </c>
      <c r="B36" s="247">
        <f t="shared" ca="1" si="1"/>
        <v>21</v>
      </c>
      <c r="C36" s="726" t="str">
        <f ca="1">IF(AUTOEVENTO="Manual",IF($B36&gt;0,OFFSET(EVENTOS!$D$15,$B36-$B$15,0),0),IF(B36&lt;=MAX(CÁLCULO!$M$15:$M$191),VLOOKUP($B36,CÁLCULO!$M$15:$N$191,2,FALSE),0))</f>
        <v>Cobertura</v>
      </c>
      <c r="D36" s="554"/>
      <c r="E36" s="248"/>
      <c r="F36" s="728" t="str">
        <f t="shared" ca="1" si="2"/>
        <v>21. Cobertura</v>
      </c>
      <c r="G36" s="553"/>
      <c r="H36" s="553"/>
      <c r="I36" s="553"/>
      <c r="J36" s="553"/>
      <c r="K36" s="553"/>
      <c r="L36" s="553">
        <v>9</v>
      </c>
      <c r="M36" s="553"/>
      <c r="N36" s="553"/>
      <c r="O36" s="553"/>
      <c r="P36" s="553"/>
      <c r="Q36" s="553"/>
      <c r="R36" s="553"/>
      <c r="S36" s="553"/>
      <c r="T36" s="553"/>
      <c r="U36" s="553"/>
      <c r="V36" s="553"/>
      <c r="W36" s="553"/>
      <c r="X36" s="553"/>
      <c r="Y36" s="553"/>
      <c r="Z36" s="553"/>
      <c r="AA36" s="553"/>
      <c r="AB36" s="553"/>
      <c r="AC36" s="553"/>
      <c r="AD36" s="553"/>
      <c r="AE36" s="553"/>
    </row>
    <row r="37" spans="1:31" s="728" customFormat="1" x14ac:dyDescent="0.2">
      <c r="A37" s="725" t="str">
        <f ca="1">IF(AUTOEVENTO="Manual",IF(EVENTOS!$F37&gt;0,"F",""),IF(AND(B37&gt;0,B37&lt;=MAX(CÁLCULO!$M$15:$M$191)),"F",""))</f>
        <v>F</v>
      </c>
      <c r="B37" s="247">
        <f t="shared" ca="1" si="1"/>
        <v>22</v>
      </c>
      <c r="C37" s="726" t="str">
        <f ca="1">IF(AUTOEVENTO="Manual",IF($B37&gt;0,OFFSET(EVENTOS!$D$15,$B37-$B$15,0),0),IF(B37&lt;=MAX(CÁLCULO!$M$15:$M$191),VLOOKUP($B37,CÁLCULO!$M$15:$N$191,2,FALSE),0))</f>
        <v>Revestimento de parede</v>
      </c>
      <c r="D37" s="554"/>
      <c r="E37" s="248"/>
      <c r="F37" s="728" t="str">
        <f t="shared" ca="1" si="2"/>
        <v>22. Revestimento de parede</v>
      </c>
      <c r="G37" s="553"/>
      <c r="H37" s="553"/>
      <c r="I37" s="553"/>
      <c r="J37" s="553"/>
      <c r="K37" s="553"/>
      <c r="L37" s="553">
        <v>10</v>
      </c>
      <c r="M37" s="553"/>
      <c r="N37" s="553"/>
      <c r="O37" s="553"/>
      <c r="P37" s="553"/>
      <c r="Q37" s="553"/>
      <c r="R37" s="553"/>
      <c r="S37" s="553"/>
      <c r="T37" s="553"/>
      <c r="U37" s="553"/>
      <c r="V37" s="553"/>
      <c r="W37" s="553"/>
      <c r="X37" s="553"/>
      <c r="Y37" s="553"/>
      <c r="Z37" s="553"/>
      <c r="AA37" s="553"/>
      <c r="AB37" s="553"/>
      <c r="AC37" s="553"/>
      <c r="AD37" s="553"/>
      <c r="AE37" s="553"/>
    </row>
    <row r="38" spans="1:31" s="734" customFormat="1" x14ac:dyDescent="0.2">
      <c r="A38" s="733" t="str">
        <f ca="1">IF(AUTOEVENTO="Manual",IF(EVENTOS!$F38&gt;0,"F",""),IF(AND(B38&gt;0,B38&lt;=MAX(CÁLCULO!$M$15:$M$191)),"F",""))</f>
        <v>F</v>
      </c>
      <c r="B38" s="247">
        <f t="shared" ca="1" si="1"/>
        <v>23</v>
      </c>
      <c r="C38" s="732" t="str">
        <f ca="1">IF(AUTOEVENTO="Manual",IF($B38&gt;0,OFFSET(EVENTOS!$D$15,$B38-$B$15,0),0),IF(B38&lt;=MAX(CÁLCULO!$M$15:$M$191),VLOOKUP($B38,CÁLCULO!$M$15:$N$191,2,FALSE),0))</f>
        <v>Revestimento de piso</v>
      </c>
      <c r="D38" s="554"/>
      <c r="E38" s="248"/>
      <c r="F38" s="734" t="str">
        <f t="shared" ca="1" si="2"/>
        <v>23. Revestimento de piso</v>
      </c>
      <c r="G38" s="553"/>
      <c r="H38" s="553"/>
      <c r="I38" s="553"/>
      <c r="J38" s="553"/>
      <c r="K38" s="553"/>
      <c r="L38" s="553">
        <v>10</v>
      </c>
      <c r="M38" s="553"/>
      <c r="N38" s="553"/>
      <c r="O38" s="553"/>
      <c r="P38" s="553"/>
      <c r="Q38" s="553"/>
      <c r="R38" s="553"/>
      <c r="S38" s="553"/>
      <c r="T38" s="553"/>
      <c r="U38" s="553"/>
      <c r="V38" s="553"/>
      <c r="W38" s="553"/>
      <c r="X38" s="553"/>
      <c r="Y38" s="553"/>
      <c r="Z38" s="553"/>
      <c r="AA38" s="553"/>
      <c r="AB38" s="553"/>
      <c r="AC38" s="553"/>
      <c r="AD38" s="553"/>
      <c r="AE38" s="553"/>
    </row>
    <row r="39" spans="1:31" s="734" customFormat="1" x14ac:dyDescent="0.2">
      <c r="A39" s="733" t="str">
        <f ca="1">IF(AUTOEVENTO="Manual",IF(EVENTOS!$F39&gt;0,"F",""),IF(AND(B39&gt;0,B39&lt;=MAX(CÁLCULO!$M$15:$M$191)),"F",""))</f>
        <v>F</v>
      </c>
      <c r="B39" s="247">
        <f t="shared" ca="1" si="1"/>
        <v>24</v>
      </c>
      <c r="C39" s="732" t="str">
        <f ca="1">IF(AUTOEVENTO="Manual",IF($B39&gt;0,OFFSET(EVENTOS!$D$15,$B39-$B$15,0),0),IF(B39&lt;=MAX(CÁLCULO!$M$15:$M$191),VLOOKUP($B39,CÁLCULO!$M$15:$N$191,2,FALSE),0))</f>
        <v>Instalações hidrossanitárias</v>
      </c>
      <c r="D39" s="554"/>
      <c r="E39" s="248"/>
      <c r="F39" s="734" t="str">
        <f t="shared" ca="1" si="2"/>
        <v>24. Instalações hidrossanitárias</v>
      </c>
      <c r="G39" s="553"/>
      <c r="H39" s="553"/>
      <c r="I39" s="553">
        <v>3</v>
      </c>
      <c r="J39" s="553"/>
      <c r="K39" s="553"/>
      <c r="L39" s="553">
        <v>9</v>
      </c>
      <c r="M39" s="553"/>
      <c r="N39" s="553"/>
      <c r="O39" s="553"/>
      <c r="P39" s="553"/>
      <c r="Q39" s="553"/>
      <c r="R39" s="553"/>
      <c r="S39" s="553"/>
      <c r="T39" s="553"/>
      <c r="U39" s="553"/>
      <c r="V39" s="553"/>
      <c r="W39" s="553"/>
      <c r="X39" s="553"/>
      <c r="Y39" s="553"/>
      <c r="Z39" s="553"/>
      <c r="AA39" s="553"/>
      <c r="AB39" s="553"/>
      <c r="AC39" s="553"/>
      <c r="AD39" s="553"/>
      <c r="AE39" s="553"/>
    </row>
    <row r="40" spans="1:31" s="734" customFormat="1" x14ac:dyDescent="0.2">
      <c r="A40" s="733" t="str">
        <f ca="1">IF(AUTOEVENTO="Manual",IF(EVENTOS!$F40&gt;0,"F",""),IF(AND(B40&gt;0,B40&lt;=MAX(CÁLCULO!$M$15:$M$191)),"F",""))</f>
        <v>F</v>
      </c>
      <c r="B40" s="247">
        <f t="shared" ca="1" si="1"/>
        <v>25</v>
      </c>
      <c r="C40" s="732" t="str">
        <f ca="1">IF(AUTOEVENTO="Manual",IF($B40&gt;0,OFFSET(EVENTOS!$D$15,$B40-$B$15,0),0),IF(B40&lt;=MAX(CÁLCULO!$M$15:$M$191),VLOOKUP($B40,CÁLCULO!$M$15:$N$191,2,FALSE),0))</f>
        <v>Instalações elétricas</v>
      </c>
      <c r="D40" s="554"/>
      <c r="E40" s="248"/>
      <c r="F40" s="734" t="str">
        <f t="shared" ca="1" si="2"/>
        <v>25. Instalações elétricas</v>
      </c>
      <c r="G40" s="553"/>
      <c r="H40" s="553"/>
      <c r="I40" s="553"/>
      <c r="J40" s="553"/>
      <c r="K40" s="553"/>
      <c r="L40" s="553">
        <v>9</v>
      </c>
      <c r="M40" s="553"/>
      <c r="N40" s="553"/>
      <c r="O40" s="553"/>
      <c r="P40" s="553"/>
      <c r="Q40" s="553"/>
      <c r="R40" s="553"/>
      <c r="S40" s="553"/>
      <c r="T40" s="553"/>
      <c r="U40" s="553"/>
      <c r="V40" s="553"/>
      <c r="W40" s="553"/>
      <c r="X40" s="553"/>
      <c r="Y40" s="553"/>
      <c r="Z40" s="553"/>
      <c r="AA40" s="553"/>
      <c r="AB40" s="553"/>
      <c r="AC40" s="553"/>
      <c r="AD40" s="553"/>
      <c r="AE40" s="553"/>
    </row>
    <row r="41" spans="1:31" s="734" customFormat="1" x14ac:dyDescent="0.2">
      <c r="A41" s="733" t="str">
        <f ca="1">IF(AUTOEVENTO="Manual",IF(EVENTOS!$F41&gt;0,"F",""),IF(AND(B41&gt;0,B41&lt;=MAX(CÁLCULO!$M$15:$M$191)),"F",""))</f>
        <v>F</v>
      </c>
      <c r="B41" s="247">
        <f t="shared" ca="1" si="1"/>
        <v>26</v>
      </c>
      <c r="C41" s="732" t="str">
        <f ca="1">IF(AUTOEVENTO="Manual",IF($B41&gt;0,OFFSET(EVENTOS!$D$15,$B41-$B$15,0),0),IF(B41&lt;=MAX(CÁLCULO!$M$15:$M$191),VLOOKUP($B41,CÁLCULO!$M$15:$N$191,2,FALSE),0))</f>
        <v>Instalações mecânicas</v>
      </c>
      <c r="D41" s="554"/>
      <c r="E41" s="248"/>
      <c r="F41" s="734" t="str">
        <f t="shared" ca="1" si="2"/>
        <v>26. Instalações mecânicas</v>
      </c>
      <c r="G41" s="553"/>
      <c r="H41" s="553"/>
      <c r="I41" s="553"/>
      <c r="J41" s="553"/>
      <c r="K41" s="553"/>
      <c r="L41" s="553">
        <v>12</v>
      </c>
      <c r="M41" s="553"/>
      <c r="N41" s="553"/>
      <c r="O41" s="553"/>
      <c r="P41" s="553"/>
      <c r="Q41" s="553"/>
      <c r="R41" s="553"/>
      <c r="S41" s="553"/>
      <c r="T41" s="553"/>
      <c r="U41" s="553"/>
      <c r="V41" s="553"/>
      <c r="W41" s="553"/>
      <c r="X41" s="553"/>
      <c r="Y41" s="553"/>
      <c r="Z41" s="553"/>
      <c r="AA41" s="553"/>
      <c r="AB41" s="553"/>
      <c r="AC41" s="553"/>
      <c r="AD41" s="553"/>
      <c r="AE41" s="553"/>
    </row>
    <row r="42" spans="1:31" s="734" customFormat="1" x14ac:dyDescent="0.2">
      <c r="A42" s="733" t="str">
        <f ca="1">IF(AUTOEVENTO="Manual",IF(EVENTOS!$F42&gt;0,"F",""),IF(AND(B42&gt;0,B42&lt;=MAX(CÁLCULO!$M$15:$M$191)),"F",""))</f>
        <v>F</v>
      </c>
      <c r="B42" s="247">
        <f t="shared" ca="1" si="1"/>
        <v>27</v>
      </c>
      <c r="C42" s="732" t="str">
        <f ca="1">IF(AUTOEVENTO="Manual",IF($B42&gt;0,OFFSET(EVENTOS!$D$15,$B42-$B$15,0),0),IF(B42&lt;=MAX(CÁLCULO!$M$15:$M$191),VLOOKUP($B42,CÁLCULO!$M$15:$N$191,2,FALSE),0))</f>
        <v>Esquadrias</v>
      </c>
      <c r="D42" s="554"/>
      <c r="E42" s="248"/>
      <c r="F42" s="734" t="str">
        <f t="shared" ca="1" si="2"/>
        <v>27. Esquadrias</v>
      </c>
      <c r="G42" s="553"/>
      <c r="H42" s="553"/>
      <c r="I42" s="553"/>
      <c r="J42" s="553">
        <v>4</v>
      </c>
      <c r="K42" s="553"/>
      <c r="L42" s="553">
        <v>10</v>
      </c>
      <c r="M42" s="553"/>
      <c r="N42" s="553"/>
      <c r="O42" s="553"/>
      <c r="P42" s="553"/>
      <c r="Q42" s="553"/>
      <c r="R42" s="553"/>
      <c r="S42" s="553"/>
      <c r="T42" s="553"/>
      <c r="U42" s="553"/>
      <c r="V42" s="553"/>
      <c r="W42" s="553"/>
      <c r="X42" s="553"/>
      <c r="Y42" s="553"/>
      <c r="Z42" s="553"/>
      <c r="AA42" s="553"/>
      <c r="AB42" s="553"/>
      <c r="AC42" s="553"/>
      <c r="AD42" s="553"/>
      <c r="AE42" s="553"/>
    </row>
    <row r="43" spans="1:31" s="734" customFormat="1" x14ac:dyDescent="0.2">
      <c r="A43" s="733" t="str">
        <f ca="1">IF(AUTOEVENTO="Manual",IF(EVENTOS!$F43&gt;0,"F",""),IF(AND(B43&gt;0,B43&lt;=MAX(CÁLCULO!$M$15:$M$191)),"F",""))</f>
        <v>F</v>
      </c>
      <c r="B43" s="247">
        <f t="shared" ca="1" si="1"/>
        <v>28</v>
      </c>
      <c r="C43" s="732" t="str">
        <f ca="1">IF(AUTOEVENTO="Manual",IF($B43&gt;0,OFFSET(EVENTOS!$D$15,$B43-$B$15,0),0),IF(B43&lt;=MAX(CÁLCULO!$M$15:$M$191),VLOOKUP($B43,CÁLCULO!$M$15:$N$191,2,FALSE),0))</f>
        <v>Pavimentação</v>
      </c>
      <c r="D43" s="554"/>
      <c r="E43" s="248"/>
      <c r="F43" s="734" t="str">
        <f t="shared" ca="1" si="2"/>
        <v>28. Pavimentação</v>
      </c>
      <c r="G43" s="553"/>
      <c r="H43" s="553"/>
      <c r="I43" s="553"/>
      <c r="J43" s="553"/>
      <c r="K43" s="553">
        <v>5</v>
      </c>
      <c r="L43" s="553">
        <v>11</v>
      </c>
      <c r="M43" s="553"/>
      <c r="N43" s="553"/>
      <c r="O43" s="553"/>
      <c r="P43" s="553"/>
      <c r="Q43" s="553"/>
      <c r="R43" s="553"/>
      <c r="S43" s="553"/>
      <c r="T43" s="553"/>
      <c r="U43" s="553"/>
      <c r="V43" s="553"/>
      <c r="W43" s="553"/>
      <c r="X43" s="553"/>
      <c r="Y43" s="553"/>
      <c r="Z43" s="553"/>
      <c r="AA43" s="553"/>
      <c r="AB43" s="553"/>
      <c r="AC43" s="553"/>
      <c r="AD43" s="553"/>
      <c r="AE43" s="553"/>
    </row>
    <row r="44" spans="1:31" s="734" customFormat="1" x14ac:dyDescent="0.2">
      <c r="A44" s="733" t="str">
        <f ca="1">IF(AUTOEVENTO="Manual",IF(EVENTOS!$F44&gt;0,"F",""),IF(AND(B44&gt;0,B44&lt;=MAX(CÁLCULO!$M$15:$M$191)),"F",""))</f>
        <v>F</v>
      </c>
      <c r="B44" s="247">
        <f t="shared" ca="1" si="1"/>
        <v>29</v>
      </c>
      <c r="C44" s="732" t="str">
        <f ca="1">IF(AUTOEVENTO="Manual",IF($B44&gt;0,OFFSET(EVENTOS!$D$15,$B44-$B$15,0),0),IF(B44&lt;=MAX(CÁLCULO!$M$15:$M$191),VLOOKUP($B44,CÁLCULO!$M$15:$N$191,2,FALSE),0))</f>
        <v>Pintura</v>
      </c>
      <c r="D44" s="554"/>
      <c r="E44" s="248"/>
      <c r="F44" s="734" t="str">
        <f t="shared" ca="1" si="2"/>
        <v>29. Pintura</v>
      </c>
      <c r="G44" s="553"/>
      <c r="H44" s="553"/>
      <c r="I44" s="553"/>
      <c r="J44" s="553"/>
      <c r="K44" s="553"/>
      <c r="L44" s="553">
        <v>11</v>
      </c>
      <c r="M44" s="553"/>
      <c r="N44" s="553"/>
      <c r="O44" s="553"/>
      <c r="P44" s="553"/>
      <c r="Q44" s="553"/>
      <c r="R44" s="553"/>
      <c r="S44" s="553"/>
      <c r="T44" s="553"/>
      <c r="U44" s="553"/>
      <c r="V44" s="553"/>
      <c r="W44" s="553"/>
      <c r="X44" s="553"/>
      <c r="Y44" s="553"/>
      <c r="Z44" s="553"/>
      <c r="AA44" s="553"/>
      <c r="AB44" s="553"/>
      <c r="AC44" s="553"/>
      <c r="AD44" s="553"/>
      <c r="AE44" s="553"/>
    </row>
    <row r="45" spans="1:31" s="734" customFormat="1" x14ac:dyDescent="0.2">
      <c r="A45" s="733" t="str">
        <f ca="1">IF(AUTOEVENTO="Manual",IF(EVENTOS!$F45&gt;0,"F",""),IF(AND(B45&gt;0,B45&lt;=MAX(CÁLCULO!$M$15:$M$191)),"F",""))</f>
        <v>F</v>
      </c>
      <c r="B45" s="247">
        <f t="shared" ca="1" si="1"/>
        <v>30</v>
      </c>
      <c r="C45" s="732" t="str">
        <f ca="1">IF(AUTOEVENTO="Manual",IF($B45&gt;0,OFFSET(EVENTOS!$D$15,$B45-$B$15,0),0),IF(B45&lt;=MAX(CÁLCULO!$M$15:$M$191),VLOOKUP($B45,CÁLCULO!$M$15:$N$191,2,FALSE),0))</f>
        <v>Limpeza Final</v>
      </c>
      <c r="D45" s="554"/>
      <c r="E45" s="248"/>
      <c r="F45" s="734" t="str">
        <f t="shared" ca="1" si="2"/>
        <v>30. Limpeza Final</v>
      </c>
      <c r="G45" s="553"/>
      <c r="H45" s="553">
        <v>12</v>
      </c>
      <c r="I45" s="553"/>
      <c r="J45" s="553">
        <v>12</v>
      </c>
      <c r="K45" s="553"/>
      <c r="L45" s="553"/>
      <c r="M45" s="553"/>
      <c r="N45" s="553"/>
      <c r="O45" s="553"/>
      <c r="P45" s="553"/>
      <c r="Q45" s="553"/>
      <c r="R45" s="553"/>
      <c r="S45" s="553"/>
      <c r="T45" s="553"/>
      <c r="U45" s="553"/>
      <c r="V45" s="553"/>
      <c r="W45" s="553"/>
      <c r="X45" s="553"/>
      <c r="Y45" s="553"/>
      <c r="Z45" s="553"/>
      <c r="AA45" s="553"/>
      <c r="AB45" s="553"/>
      <c r="AC45" s="553"/>
      <c r="AD45" s="553"/>
      <c r="AE45" s="553"/>
    </row>
    <row r="46" spans="1:31" ht="5.0999999999999996" customHeight="1" x14ac:dyDescent="0.2">
      <c r="A46" t="s">
        <v>536</v>
      </c>
      <c r="B46" s="638"/>
      <c r="C46" s="433"/>
      <c r="D46" s="555"/>
      <c r="E46" s="262"/>
      <c r="F46" s="262"/>
      <c r="G46" s="638"/>
      <c r="H46" s="639"/>
      <c r="I46" s="639"/>
      <c r="J46" s="639"/>
      <c r="K46" s="639"/>
      <c r="L46" s="639"/>
      <c r="M46" s="639"/>
      <c r="N46" s="639"/>
      <c r="O46" s="639"/>
      <c r="P46" s="639"/>
      <c r="Q46" s="639"/>
      <c r="R46" s="639"/>
      <c r="S46" s="639"/>
      <c r="T46" s="639"/>
      <c r="U46" s="639"/>
      <c r="V46" s="639"/>
      <c r="W46" s="639"/>
      <c r="X46" s="639"/>
      <c r="Y46" s="639"/>
      <c r="Z46" s="639"/>
      <c r="AA46" s="639"/>
      <c r="AB46" s="639"/>
      <c r="AC46" s="639"/>
      <c r="AD46" s="639"/>
      <c r="AE46" s="433"/>
    </row>
    <row r="47" spans="1:31" ht="6" customHeight="1" x14ac:dyDescent="0.2">
      <c r="A47" s="7" t="s">
        <v>536</v>
      </c>
    </row>
    <row r="48" spans="1:31" ht="15" x14ac:dyDescent="0.2">
      <c r="A48" s="7" t="s">
        <v>536</v>
      </c>
      <c r="C48" s="486" t="s">
        <v>779</v>
      </c>
      <c r="H48" s="832">
        <f>(ROW($G48)-ROW($G$48))/8*12+1</f>
        <v>1</v>
      </c>
      <c r="I48" s="832"/>
      <c r="J48" s="832">
        <f>H48+1</f>
        <v>2</v>
      </c>
      <c r="K48" s="832"/>
      <c r="L48" s="832">
        <f>J48+1</f>
        <v>3</v>
      </c>
      <c r="M48" s="832"/>
      <c r="N48" s="832">
        <f>L48+1</f>
        <v>4</v>
      </c>
      <c r="O48" s="832"/>
      <c r="P48" s="832">
        <f>N48+1</f>
        <v>5</v>
      </c>
      <c r="Q48" s="832"/>
      <c r="R48" s="832">
        <f>P48+1</f>
        <v>6</v>
      </c>
      <c r="S48" s="832"/>
      <c r="T48" s="832">
        <f>R48+1</f>
        <v>7</v>
      </c>
      <c r="U48" s="832"/>
      <c r="V48" s="832">
        <f>T48+1</f>
        <v>8</v>
      </c>
      <c r="W48" s="832"/>
      <c r="X48" s="832">
        <f>V48+1</f>
        <v>9</v>
      </c>
      <c r="Y48" s="832"/>
      <c r="Z48" s="832">
        <f>X48+1</f>
        <v>10</v>
      </c>
      <c r="AA48" s="832"/>
      <c r="AB48" s="832">
        <f>Z48+1</f>
        <v>11</v>
      </c>
      <c r="AC48" s="832"/>
      <c r="AD48" s="832">
        <f>AB48+1</f>
        <v>12</v>
      </c>
      <c r="AE48" s="832"/>
    </row>
    <row r="49" spans="1:31" ht="12.75" customHeight="1" x14ac:dyDescent="0.2">
      <c r="A49" s="7" t="s">
        <v>536</v>
      </c>
      <c r="C49" s="819" t="s">
        <v>780</v>
      </c>
      <c r="G49" s="551" t="s">
        <v>781</v>
      </c>
      <c r="H49" s="821">
        <f ca="1">OFFSET(CRONO!$T$93,0,CRONOPLE!H48)</f>
        <v>1.3331953671087278E-2</v>
      </c>
      <c r="I49" s="821"/>
      <c r="J49" s="821">
        <f ca="1">OFFSET(CRONO!$T$93,0,CRONOPLE!J48)</f>
        <v>1.3784848672274249E-2</v>
      </c>
      <c r="K49" s="821"/>
      <c r="L49" s="821">
        <f ca="1">OFFSET(CRONO!$T$93,0,CRONOPLE!L48)</f>
        <v>2.7074722818708784E-2</v>
      </c>
      <c r="M49" s="821"/>
      <c r="N49" s="821">
        <f ca="1">OFFSET(CRONO!$T$93,0,CRONOPLE!N48)</f>
        <v>9.3305232681466718E-3</v>
      </c>
      <c r="O49" s="821"/>
      <c r="P49" s="821">
        <f ca="1">OFFSET(CRONO!$T$93,0,CRONOPLE!P48)</f>
        <v>0.10210658340993567</v>
      </c>
      <c r="Q49" s="821"/>
      <c r="R49" s="821">
        <f ca="1">OFFSET(CRONO!$T$93,0,CRONOPLE!R48)</f>
        <v>7.0011598980152162E-2</v>
      </c>
      <c r="S49" s="821"/>
      <c r="T49" s="821">
        <f ca="1">OFFSET(CRONO!$T$93,0,CRONOPLE!T48)</f>
        <v>0.31715074545682309</v>
      </c>
      <c r="U49" s="821"/>
      <c r="V49" s="821">
        <f ca="1">OFFSET(CRONO!$T$93,0,CRONOPLE!V48)</f>
        <v>6.9401667533910347E-3</v>
      </c>
      <c r="W49" s="821"/>
      <c r="X49" s="821">
        <f ca="1">OFFSET(CRONO!$T$93,0,CRONOPLE!X48)</f>
        <v>0.22148916972391822</v>
      </c>
      <c r="Y49" s="821"/>
      <c r="Z49" s="821">
        <f ca="1">OFFSET(CRONO!$T$93,0,CRONOPLE!Z48)</f>
        <v>4.3758876215552786E-2</v>
      </c>
      <c r="AA49" s="821"/>
      <c r="AB49" s="821">
        <f ca="1">OFFSET(CRONO!$T$93,0,CRONOPLE!AB48)</f>
        <v>5.8813759444089543E-2</v>
      </c>
      <c r="AC49" s="821"/>
      <c r="AD49" s="821">
        <f ca="1">OFFSET(CRONO!$T$93,0,CRONOPLE!AD48)</f>
        <v>0.11620705158592055</v>
      </c>
      <c r="AE49" s="821"/>
    </row>
    <row r="50" spans="1:31" ht="12.75" customHeight="1" x14ac:dyDescent="0.2">
      <c r="A50" s="7" t="s">
        <v>536</v>
      </c>
      <c r="C50" s="834"/>
      <c r="G50" s="487" t="s">
        <v>782</v>
      </c>
      <c r="H50" s="835">
        <f ca="1">OFFSET(CRONO!$T$97,0,CRONOPLE!H48)</f>
        <v>66460.92</v>
      </c>
      <c r="I50" s="835"/>
      <c r="J50" s="830">
        <f ca="1">OFFSET(CRONO!$T$97,0,CRONOPLE!J48)</f>
        <v>68718.64</v>
      </c>
      <c r="K50" s="831"/>
      <c r="L50" s="830">
        <f ca="1">OFFSET(CRONO!$T$97,0,CRONOPLE!L48)</f>
        <v>134969.78999999998</v>
      </c>
      <c r="M50" s="831"/>
      <c r="N50" s="830">
        <f ca="1">OFFSET(CRONO!$T$97,0,CRONOPLE!N48)</f>
        <v>46513.450000000012</v>
      </c>
      <c r="O50" s="831"/>
      <c r="P50" s="830">
        <f ca="1">OFFSET(CRONO!$T$97,0,CRONOPLE!P48)</f>
        <v>509009.98000000004</v>
      </c>
      <c r="Q50" s="831"/>
      <c r="R50" s="830">
        <f ca="1">OFFSET(CRONO!$T$97,0,CRONOPLE!R48)</f>
        <v>349013.76000000001</v>
      </c>
      <c r="S50" s="831"/>
      <c r="T50" s="830">
        <f ca="1">OFFSET(CRONO!$T$97,0,CRONOPLE!T48)</f>
        <v>1581023.37</v>
      </c>
      <c r="U50" s="831"/>
      <c r="V50" s="830">
        <f ca="1">OFFSET(CRONO!$T$97,0,CRONOPLE!V48)</f>
        <v>34597.319999999832</v>
      </c>
      <c r="W50" s="831"/>
      <c r="X50" s="830">
        <f ca="1">OFFSET(CRONO!$T$97,0,CRONOPLE!X48)</f>
        <v>1104142.2999999998</v>
      </c>
      <c r="Y50" s="831"/>
      <c r="Z50" s="830">
        <f ca="1">OFFSET(CRONO!$T$97,0,CRONOPLE!Z48)</f>
        <v>218141.71000000043</v>
      </c>
      <c r="AA50" s="831"/>
      <c r="AB50" s="830">
        <f ca="1">OFFSET(CRONO!$T$97,0,CRONOPLE!AB48)</f>
        <v>293191.58000000007</v>
      </c>
      <c r="AC50" s="831"/>
      <c r="AD50" s="830">
        <f ca="1">OFFSET(CRONO!$T$97,0,CRONOPLE!AD48)</f>
        <v>579302.00999999978</v>
      </c>
      <c r="AE50" s="831"/>
    </row>
    <row r="51" spans="1:31" ht="12.75" customHeight="1" x14ac:dyDescent="0.2">
      <c r="A51" s="7" t="s">
        <v>536</v>
      </c>
      <c r="C51" s="819" t="s">
        <v>783</v>
      </c>
      <c r="G51" s="551" t="s">
        <v>781</v>
      </c>
      <c r="H51" s="821">
        <f ca="1">OFFSET(CRONO!$T$98,0,CRONOPLE!H48)</f>
        <v>1.3299999999999999E-2</v>
      </c>
      <c r="I51" s="821"/>
      <c r="J51" s="824">
        <f ca="1">OFFSET(CRONO!$T$98,0,CRONOPLE!J48)</f>
        <v>2.7099999999999999E-2</v>
      </c>
      <c r="K51" s="825"/>
      <c r="L51" s="824">
        <f ca="1">OFFSET(CRONO!$T$98,0,CRONOPLE!L48)</f>
        <v>5.4199999999999998E-2</v>
      </c>
      <c r="M51" s="825"/>
      <c r="N51" s="824">
        <f ca="1">OFFSET(CRONO!$T$98,0,CRONOPLE!N48)</f>
        <v>6.3500000000000001E-2</v>
      </c>
      <c r="O51" s="825"/>
      <c r="P51" s="824">
        <f ca="1">OFFSET(CRONO!$T$98,0,CRONOPLE!P48)</f>
        <v>0.1656</v>
      </c>
      <c r="Q51" s="825"/>
      <c r="R51" s="824">
        <f ca="1">OFFSET(CRONO!$T$98,0,CRONOPLE!R48)</f>
        <v>0.2356</v>
      </c>
      <c r="S51" s="825"/>
      <c r="T51" s="824">
        <f ca="1">OFFSET(CRONO!$T$98,0,CRONOPLE!T48)</f>
        <v>0.55279999999999996</v>
      </c>
      <c r="U51" s="825"/>
      <c r="V51" s="824">
        <f ca="1">OFFSET(CRONO!$T$98,0,CRONOPLE!V48)</f>
        <v>0.55969999999999998</v>
      </c>
      <c r="W51" s="825"/>
      <c r="X51" s="824">
        <f ca="1">OFFSET(CRONO!$T$98,0,CRONOPLE!X48)</f>
        <v>0.78120000000000001</v>
      </c>
      <c r="Y51" s="825"/>
      <c r="Z51" s="824">
        <f ca="1">OFFSET(CRONO!$T$98,0,CRONOPLE!Z48)</f>
        <v>0.82499999999999996</v>
      </c>
      <c r="AA51" s="825"/>
      <c r="AB51" s="824">
        <f ca="1">OFFSET(CRONO!$T$98,0,CRONOPLE!AB48)</f>
        <v>0.88380000000000003</v>
      </c>
      <c r="AC51" s="825"/>
      <c r="AD51" s="824">
        <f ca="1">OFFSET(CRONO!$T$98,0,CRONOPLE!AD48)</f>
        <v>1</v>
      </c>
      <c r="AE51" s="825"/>
    </row>
    <row r="52" spans="1:31" ht="12.75" customHeight="1" x14ac:dyDescent="0.2">
      <c r="A52" s="7" t="s">
        <v>536</v>
      </c>
      <c r="C52" s="820"/>
      <c r="G52" s="487" t="s">
        <v>782</v>
      </c>
      <c r="H52" s="829">
        <f ca="1">OFFSET(CRONO!$T$102,0,CRONOPLE!H48)</f>
        <v>66460.92</v>
      </c>
      <c r="I52" s="829"/>
      <c r="J52" s="827">
        <f ca="1">OFFSET(CRONO!$T$102,0,CRONOPLE!J48)</f>
        <v>135179.56</v>
      </c>
      <c r="K52" s="828"/>
      <c r="L52" s="827">
        <f ca="1">OFFSET(CRONO!$T$102,0,CRONOPLE!L48)</f>
        <v>270149.34999999998</v>
      </c>
      <c r="M52" s="828"/>
      <c r="N52" s="827">
        <f ca="1">OFFSET(CRONO!$T$102,0,CRONOPLE!N48)</f>
        <v>316662.8</v>
      </c>
      <c r="O52" s="828"/>
      <c r="P52" s="827">
        <f ca="1">OFFSET(CRONO!$T$102,0,CRONOPLE!P48)</f>
        <v>825672.78</v>
      </c>
      <c r="Q52" s="828"/>
      <c r="R52" s="827">
        <f ca="1">OFFSET(CRONO!$T$102,0,CRONOPLE!R48)</f>
        <v>1174686.54</v>
      </c>
      <c r="S52" s="828"/>
      <c r="T52" s="827">
        <f ca="1">OFFSET(CRONO!$T$102,0,CRONOPLE!T48)</f>
        <v>2755709.91</v>
      </c>
      <c r="U52" s="828"/>
      <c r="V52" s="827">
        <f ca="1">OFFSET(CRONO!$T$102,0,CRONOPLE!V48)</f>
        <v>2790307.23</v>
      </c>
      <c r="W52" s="828"/>
      <c r="X52" s="827">
        <f ca="1">OFFSET(CRONO!$T$102,0,CRONOPLE!X48)</f>
        <v>3894449.53</v>
      </c>
      <c r="Y52" s="828"/>
      <c r="Z52" s="827">
        <f ca="1">OFFSET(CRONO!$T$102,0,CRONOPLE!Z48)</f>
        <v>4112591.2399999998</v>
      </c>
      <c r="AA52" s="828"/>
      <c r="AB52" s="827">
        <f ca="1">OFFSET(CRONO!$T$102,0,CRONOPLE!AB48)</f>
        <v>4405782.8199999994</v>
      </c>
      <c r="AC52" s="828"/>
      <c r="AD52" s="827">
        <f ca="1">OFFSET(CRONO!$T$102,0,CRONOPLE!AD48)</f>
        <v>4985084.8299999991</v>
      </c>
      <c r="AE52" s="828"/>
    </row>
    <row r="53" spans="1:31" ht="12.75" customHeight="1" x14ac:dyDescent="0.2">
      <c r="A53" s="7" t="s">
        <v>536</v>
      </c>
      <c r="C53" s="552" t="s">
        <v>784</v>
      </c>
      <c r="D53" s="550"/>
      <c r="G53" s="551" t="s">
        <v>781</v>
      </c>
      <c r="H53" s="821">
        <f ca="1">OFFSET(CRONO!$T$103,0,CRONOPLE!H48)</f>
        <v>0</v>
      </c>
      <c r="I53" s="821"/>
      <c r="J53" s="822">
        <f ca="1">OFFSET(CRONO!$T$103,0,CRONOPLE!J48)</f>
        <v>0</v>
      </c>
      <c r="K53" s="823"/>
      <c r="L53" s="822">
        <f ca="1">OFFSET(CRONO!$T$103,0,CRONOPLE!L48)</f>
        <v>4.999998328209853E-2</v>
      </c>
      <c r="M53" s="823"/>
      <c r="N53" s="822">
        <f ca="1">OFFSET(CRONO!$T$103,0,CRONOPLE!N48)</f>
        <v>4.999998328209853E-2</v>
      </c>
      <c r="O53" s="823"/>
      <c r="P53" s="822">
        <f ca="1">OFFSET(CRONO!$T$103,0,CRONOPLE!P48)</f>
        <v>0.14999999164104927</v>
      </c>
      <c r="Q53" s="823"/>
      <c r="R53" s="822">
        <f ca="1">OFFSET(CRONO!$T$103,0,CRONOPLE!R48)</f>
        <v>0.19999997492314781</v>
      </c>
      <c r="S53" s="823"/>
      <c r="T53" s="822">
        <f ca="1">OFFSET(CRONO!$T$103,0,CRONOPLE!T48)</f>
        <v>0.49999995820524629</v>
      </c>
      <c r="U53" s="823"/>
      <c r="V53" s="822">
        <f ca="1">OFFSET(CRONO!$T$103,0,CRONOPLE!V48)</f>
        <v>0.54999994148734477</v>
      </c>
      <c r="W53" s="823"/>
      <c r="X53" s="822">
        <f ca="1">OFFSET(CRONO!$T$103,0,CRONOPLE!X48)</f>
        <v>0.69999997492314769</v>
      </c>
      <c r="Y53" s="823"/>
      <c r="Z53" s="822">
        <f ca="1">OFFSET(CRONO!$T$103,0,CRONOPLE!Z48)</f>
        <v>0.79999998328209843</v>
      </c>
      <c r="AA53" s="823"/>
      <c r="AB53" s="822">
        <f ca="1">OFFSET(CRONO!$T$103,0,CRONOPLE!AB48)</f>
        <v>0.84999996656419696</v>
      </c>
      <c r="AC53" s="823"/>
      <c r="AD53" s="822">
        <f ca="1">OFFSET(CRONO!$T$103,0,CRONOPLE!AD48)</f>
        <v>0.99999999999999989</v>
      </c>
      <c r="AE53" s="823"/>
    </row>
    <row r="54" spans="1:31" ht="15" customHeight="1" x14ac:dyDescent="0.25">
      <c r="A54" s="7" t="s">
        <v>536</v>
      </c>
      <c r="C54" s="549"/>
      <c r="G54" s="583" t="str">
        <f ca="1">IF(COUNTIF(H54:AF54,"%Adm&gt;%Global")&gt;0,"Verificar proporcionalidade da Administração Local","")</f>
        <v/>
      </c>
      <c r="H54" s="535" t="str">
        <f ca="1">IF(H53="","",IF(ROUND(H53,4)&gt;ROUND(H51,4),"%Adm&gt;%Global",""))</f>
        <v/>
      </c>
      <c r="J54" s="535" t="str">
        <f t="shared" ref="J54" ca="1" si="3">IF(J53="","",IF(ROUND(J53,4)&gt;ROUND(J51,4),"%Adm&gt;%Global",""))</f>
        <v/>
      </c>
      <c r="L54" s="535" t="str">
        <f t="shared" ref="L54" ca="1" si="4">IF(L53="","",IF(ROUND(L53,4)&gt;ROUND(L51,4),"%Adm&gt;%Global",""))</f>
        <v/>
      </c>
      <c r="N54" s="535" t="str">
        <f t="shared" ref="N54" ca="1" si="5">IF(N53="","",IF(ROUND(N53,4)&gt;ROUND(N51,4),"%Adm&gt;%Global",""))</f>
        <v/>
      </c>
      <c r="P54" s="535" t="str">
        <f t="shared" ref="P54" ca="1" si="6">IF(P53="","",IF(ROUND(P53,4)&gt;ROUND(P51,4),"%Adm&gt;%Global",""))</f>
        <v/>
      </c>
      <c r="R54" s="535" t="str">
        <f t="shared" ref="R54" ca="1" si="7">IF(R53="","",IF(ROUND(R53,4)&gt;ROUND(R51,4),"%Adm&gt;%Global",""))</f>
        <v/>
      </c>
      <c r="T54" s="535" t="str">
        <f t="shared" ref="T54" ca="1" si="8">IF(T53="","",IF(ROUND(T53,4)&gt;ROUND(T51,4),"%Adm&gt;%Global",""))</f>
        <v/>
      </c>
      <c r="V54" s="535" t="str">
        <f t="shared" ref="V54" ca="1" si="9">IF(V53="","",IF(ROUND(V53,4)&gt;ROUND(V51,4),"%Adm&gt;%Global",""))</f>
        <v/>
      </c>
      <c r="X54" s="535" t="str">
        <f t="shared" ref="X54" ca="1" si="10">IF(X53="","",IF(ROUND(X53,4)&gt;ROUND(X51,4),"%Adm&gt;%Global",""))</f>
        <v/>
      </c>
      <c r="Z54" s="535" t="str">
        <f t="shared" ref="Z54" ca="1" si="11">IF(Z53="","",IF(ROUND(Z53,4)&gt;ROUND(Z51,4),"%Adm&gt;%Global",""))</f>
        <v/>
      </c>
      <c r="AB54" s="535" t="str">
        <f t="shared" ref="AB54" ca="1" si="12">IF(AB53="","",IF(ROUND(AB53,4)&gt;ROUND(AB51,4),"%Adm&gt;%Global",""))</f>
        <v/>
      </c>
      <c r="AD54" s="535" t="str">
        <f t="shared" ref="AD54" ca="1" si="13">IF(AD53="","",IF(ROUND(AD53,4)&gt;ROUND(AD51,4),"%Adm&gt;%Global",""))</f>
        <v/>
      </c>
    </row>
    <row r="55" spans="1:31" x14ac:dyDescent="0.2">
      <c r="A55" s="7" t="s">
        <v>536</v>
      </c>
    </row>
    <row r="56" spans="1:31" ht="15" x14ac:dyDescent="0.2">
      <c r="A56" s="7" t="s">
        <v>536</v>
      </c>
      <c r="B56" s="138" t="str">
        <f>Import.Município</f>
        <v>BOA ESPERANÇA</v>
      </c>
      <c r="C56" s="138"/>
      <c r="E56" s="488"/>
      <c r="F56" s="488"/>
      <c r="G56" s="488"/>
      <c r="H56" s="488"/>
      <c r="I56" s="488"/>
      <c r="J56" s="488"/>
      <c r="K56" s="488"/>
      <c r="L56" s="488"/>
      <c r="V56" s="460"/>
      <c r="W56" s="417"/>
      <c r="X56" s="417"/>
      <c r="Y56" s="417"/>
      <c r="Z56" s="417"/>
      <c r="AA56" s="417"/>
      <c r="AB56" s="417"/>
      <c r="AC56" s="417"/>
      <c r="AD56" s="417"/>
      <c r="AE56" s="417"/>
    </row>
    <row r="57" spans="1:31" x14ac:dyDescent="0.2">
      <c r="A57" s="7" t="s">
        <v>536</v>
      </c>
      <c r="B57" s="9" t="s">
        <v>693</v>
      </c>
      <c r="F57" s="185"/>
      <c r="G57" s="185"/>
      <c r="H57" s="185"/>
      <c r="I57" s="185"/>
      <c r="J57" s="185"/>
      <c r="K57" s="185"/>
      <c r="L57" s="187"/>
      <c r="V57" s="181" t="s">
        <v>696</v>
      </c>
    </row>
    <row r="58" spans="1:31" x14ac:dyDescent="0.2">
      <c r="A58" s="7" t="s">
        <v>536</v>
      </c>
      <c r="F58" s="185"/>
      <c r="G58" s="185"/>
      <c r="H58" s="185"/>
      <c r="I58" s="185"/>
      <c r="J58" s="185"/>
      <c r="K58" s="185"/>
      <c r="L58" s="187"/>
      <c r="V58" s="398" t="str">
        <f t="array" aca="1" ref="V58:V60" ca="1">OFFSET(Import.RespOrçamento,0,-1) &amp; " " &amp; Import.RespOrçamento</f>
        <v>Nome: LAIZ MOSCARDINI CRUZ NASCIMENTO</v>
      </c>
    </row>
    <row r="59" spans="1:31" ht="16.5" x14ac:dyDescent="0.3">
      <c r="A59" s="7" t="s">
        <v>536</v>
      </c>
      <c r="B59" s="826">
        <f>DADOS!$C$25</f>
        <v>46106</v>
      </c>
      <c r="C59" s="826"/>
      <c r="F59" s="185"/>
      <c r="G59" s="185"/>
      <c r="H59" s="185"/>
      <c r="I59" s="185"/>
      <c r="J59" s="185"/>
      <c r="K59" s="185"/>
      <c r="L59" s="187"/>
      <c r="V59" s="398" t="str">
        <f ca="1"/>
        <v>CREA/CAU: 283596/D</v>
      </c>
    </row>
    <row r="60" spans="1:31" x14ac:dyDescent="0.2">
      <c r="A60" s="7" t="s">
        <v>536</v>
      </c>
      <c r="B60" s="9" t="s">
        <v>694</v>
      </c>
      <c r="F60" s="185"/>
      <c r="G60" s="185"/>
      <c r="H60" s="185"/>
      <c r="I60" s="185"/>
      <c r="J60" s="185"/>
      <c r="K60" s="185"/>
      <c r="L60" s="187"/>
      <c r="V60" s="398" t="str">
        <f ca="1"/>
        <v>ART/RRT: MG20232488275</v>
      </c>
    </row>
  </sheetData>
  <sheetProtection algorithmName="SHA-512" hashValue="t65+4upni6GdHGYL6xyjpXCb8rHLElh5MbM5B7Pt/jKUXXxPvGt/MGSpXXaZTJ05u8p20+1gu/tDpOVryAQxUg==" saltValue="lRT6uoVe72UdlVWq5HAYhA==" spinCount="100000" sheet="1" objects="1" scenarios="1" autoFilter="0"/>
  <autoFilter ref="A13:A60" xr:uid="{00000000-0001-0000-0800-000000000000}"/>
  <mergeCells count="86">
    <mergeCell ref="AB50:AC50"/>
    <mergeCell ref="AB49:AC49"/>
    <mergeCell ref="AD49:AE49"/>
    <mergeCell ref="AD50:AE50"/>
    <mergeCell ref="Z50:AA50"/>
    <mergeCell ref="AB53:AC53"/>
    <mergeCell ref="R50:S50"/>
    <mergeCell ref="X50:Y50"/>
    <mergeCell ref="P50:Q50"/>
    <mergeCell ref="AD51:AE51"/>
    <mergeCell ref="P53:Q53"/>
    <mergeCell ref="AD52:AE52"/>
    <mergeCell ref="AD53:AE53"/>
    <mergeCell ref="R53:S53"/>
    <mergeCell ref="T53:U53"/>
    <mergeCell ref="V53:W53"/>
    <mergeCell ref="X53:Y53"/>
    <mergeCell ref="Z53:AA53"/>
    <mergeCell ref="AB52:AC52"/>
    <mergeCell ref="Z51:AA51"/>
    <mergeCell ref="AB51:AC51"/>
    <mergeCell ref="AC2:AE2"/>
    <mergeCell ref="B4:D4"/>
    <mergeCell ref="G4:I4"/>
    <mergeCell ref="J4:L4"/>
    <mergeCell ref="B5:D5"/>
    <mergeCell ref="G5:I5"/>
    <mergeCell ref="J5:L5"/>
    <mergeCell ref="M5:AE5"/>
    <mergeCell ref="C49:C50"/>
    <mergeCell ref="H49:I49"/>
    <mergeCell ref="J49:K49"/>
    <mergeCell ref="H50:I50"/>
    <mergeCell ref="J50:K50"/>
    <mergeCell ref="AD48:AE48"/>
    <mergeCell ref="X49:Y49"/>
    <mergeCell ref="Z49:AA49"/>
    <mergeCell ref="V49:W49"/>
    <mergeCell ref="AB48:AC48"/>
    <mergeCell ref="X48:Y48"/>
    <mergeCell ref="Z48:AA48"/>
    <mergeCell ref="V48:W48"/>
    <mergeCell ref="H48:I48"/>
    <mergeCell ref="J48:K48"/>
    <mergeCell ref="L48:M48"/>
    <mergeCell ref="T48:U48"/>
    <mergeCell ref="B8:C8"/>
    <mergeCell ref="B12:B13"/>
    <mergeCell ref="C12:C13"/>
    <mergeCell ref="N48:O48"/>
    <mergeCell ref="P48:Q48"/>
    <mergeCell ref="R48:S48"/>
    <mergeCell ref="T50:U50"/>
    <mergeCell ref="V50:W50"/>
    <mergeCell ref="L49:M49"/>
    <mergeCell ref="N49:O49"/>
    <mergeCell ref="L50:M50"/>
    <mergeCell ref="N50:O50"/>
    <mergeCell ref="P49:Q49"/>
    <mergeCell ref="R49:S49"/>
    <mergeCell ref="T49:U49"/>
    <mergeCell ref="Z52:AA52"/>
    <mergeCell ref="H51:I51"/>
    <mergeCell ref="J51:K51"/>
    <mergeCell ref="L51:M51"/>
    <mergeCell ref="N51:O51"/>
    <mergeCell ref="H52:I52"/>
    <mergeCell ref="J52:K52"/>
    <mergeCell ref="N52:O52"/>
    <mergeCell ref="P52:Q52"/>
    <mergeCell ref="R52:S52"/>
    <mergeCell ref="T52:U52"/>
    <mergeCell ref="P51:Q51"/>
    <mergeCell ref="R51:S51"/>
    <mergeCell ref="V51:W51"/>
    <mergeCell ref="L52:M52"/>
    <mergeCell ref="T51:U51"/>
    <mergeCell ref="C51:C52"/>
    <mergeCell ref="H53:I53"/>
    <mergeCell ref="J53:K53"/>
    <mergeCell ref="X51:Y51"/>
    <mergeCell ref="B59:C59"/>
    <mergeCell ref="V52:W52"/>
    <mergeCell ref="X52:Y52"/>
    <mergeCell ref="L53:M53"/>
    <mergeCell ref="N53:O53"/>
  </mergeCells>
  <phoneticPr fontId="38" type="noConversion"/>
  <conditionalFormatting sqref="E1 G1:AE1 E44:E45 G44:AE45">
    <cfRule type="expression" dxfId="406" priority="829" stopIfTrue="1">
      <formula>IF(OR(E$12&gt;CÁLCULO.NúmeroDeFrentes,ACOMPANHAMENTO="BM"),TRUE,CRONOPLE.ValorDoEvento=0)</formula>
    </cfRule>
  </conditionalFormatting>
  <conditionalFormatting sqref="U4:Y4">
    <cfRule type="expression" dxfId="405" priority="719" stopIfTrue="1">
      <formula>QCI.ExisteManual</formula>
    </cfRule>
  </conditionalFormatting>
  <conditionalFormatting sqref="J48:AE48">
    <cfRule type="expression" dxfId="404" priority="718" stopIfTrue="1">
      <formula>OFFSET(J48,3,-2)=1</formula>
    </cfRule>
  </conditionalFormatting>
  <conditionalFormatting sqref="J49:AE49">
    <cfRule type="expression" dxfId="403" priority="713" stopIfTrue="1">
      <formula>OFFSET(J49,2,-2)=1</formula>
    </cfRule>
  </conditionalFormatting>
  <conditionalFormatting sqref="J50:AE50">
    <cfRule type="expression" dxfId="402" priority="712" stopIfTrue="1">
      <formula>OFFSET(J50,1,-2)=1</formula>
    </cfRule>
  </conditionalFormatting>
  <conditionalFormatting sqref="J51:AE51">
    <cfRule type="expression" dxfId="401" priority="711" stopIfTrue="1">
      <formula>OFFSET(J51,0,-2)=1</formula>
    </cfRule>
  </conditionalFormatting>
  <conditionalFormatting sqref="J52:AE52">
    <cfRule type="expression" dxfId="400" priority="710" stopIfTrue="1">
      <formula>OFFSET(J52,-1,-2)=1</formula>
    </cfRule>
  </conditionalFormatting>
  <conditionalFormatting sqref="B15:C15 E15 G15:AF15">
    <cfRule type="expression" dxfId="399" priority="534">
      <formula>$B$15=0</formula>
    </cfRule>
  </conditionalFormatting>
  <conditionalFormatting sqref="B8:C8">
    <cfRule type="expression" dxfId="398" priority="533">
      <formula>$B$7=""</formula>
    </cfRule>
  </conditionalFormatting>
  <conditionalFormatting sqref="J53:AE53">
    <cfRule type="expression" dxfId="397" priority="532">
      <formula>OFFSET(J53,-2,-2)=1</formula>
    </cfRule>
  </conditionalFormatting>
  <conditionalFormatting sqref="H53:AE53">
    <cfRule type="expression" dxfId="396" priority="531">
      <formula>ROUND(H53,4)&gt;ROUND(H51,4)</formula>
    </cfRule>
  </conditionalFormatting>
  <conditionalFormatting sqref="E16 G16:AE16 G18:AE22 E18:E22">
    <cfRule type="expression" dxfId="395" priority="27" stopIfTrue="1">
      <formula>IF(OR(E$12&gt;CÁLCULO.NúmeroDeFrentes,ACOMPANHAMENTO="BM"),TRUE,CRONOPLE.ValorDoEvento=0)</formula>
    </cfRule>
  </conditionalFormatting>
  <conditionalFormatting sqref="E28:E32 G28:AE32">
    <cfRule type="expression" dxfId="394" priority="14" stopIfTrue="1">
      <formula>IF(OR(E$12&gt;CÁLCULO.NúmeroDeFrentes,ACOMPANHAMENTO="BM"),TRUE,CRONOPLE.ValorDoEvento=0)</formula>
    </cfRule>
  </conditionalFormatting>
  <conditionalFormatting sqref="E33:E37 G33:AE37">
    <cfRule type="expression" dxfId="393" priority="13" stopIfTrue="1">
      <formula>IF(OR(E$12&gt;CÁLCULO.NúmeroDeFrentes,ACOMPANHAMENTO="BM"),TRUE,CRONOPLE.ValorDoEvento=0)</formula>
    </cfRule>
  </conditionalFormatting>
  <conditionalFormatting sqref="E23:E27 G23:AE27">
    <cfRule type="expression" dxfId="392" priority="12" stopIfTrue="1">
      <formula>IF(OR(E$12&gt;CÁLCULO.NúmeroDeFrentes,ACOMPANHAMENTO="BM"),TRUE,CRONOPLE.ValorDoEvento=0)</formula>
    </cfRule>
  </conditionalFormatting>
  <conditionalFormatting sqref="E38:E42 G38:AE42">
    <cfRule type="expression" dxfId="391" priority="11" stopIfTrue="1">
      <formula>IF(OR(E$12&gt;CÁLCULO.NúmeroDeFrentes,ACOMPANHAMENTO="BM"),TRUE,CRONOPLE.ValorDoEvento=0)</formula>
    </cfRule>
  </conditionalFormatting>
  <conditionalFormatting sqref="E43 G43:AE43">
    <cfRule type="expression" dxfId="390" priority="10" stopIfTrue="1">
      <formula>IF(OR(E$12&gt;CÁLCULO.NúmeroDeFrentes,ACOMPANHAMENTO="BM"),TRUE,CRONOPLE.ValorDoEvento=0)</formula>
    </cfRule>
  </conditionalFormatting>
  <conditionalFormatting sqref="E17 G17:AE17">
    <cfRule type="expression" dxfId="389"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45 G16:AE45"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109"/>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IF($F2=-1,0,IF(N$13&lt;=$M1,IF(ISERROR(MATCH(N$13,OFFSET($M1,1,0,ROW($M$92)-ROW($M1)-1),0)),ROW($M$92)-ROW($M1)-1,MATCH(N$13,OFFSET($M1,1,0,ROW($M$92)-ROW($M1)-1),0)-1),0))</f>
        <v>#REF!</v>
      </c>
      <c r="O1" s="193" t="e">
        <f ca="1">IF($F2=-1,0,IF(O$13&lt;=$M1,IF(ISERROR(MATCH(O$13,OFFSET($M1,1,0,ROW($M$92)-ROW($M1)-1),0)),ROW($M$92)-ROW($M1)-1,MATCH(O$13,OFFSET($M1,1,0,ROW($M$92)-ROW($M1)-1),0)-1),0))</f>
        <v>#REF!</v>
      </c>
      <c r="P1" s="193" t="e">
        <f ca="1">IF($F2=-1,0,IF(P$13&lt;=$M1,IF(ISERROR(MATCH(P$13,OFFSET($M1,1,0,ROW($M$92)-ROW($M1)-1),0)),ROW($M$92)-ROW($M1)-1,MATCH(P$13,OFFSET($M1,1,0,ROW($M$92)-ROW($M1)-1),0)-1),0))</f>
        <v>#REF!</v>
      </c>
      <c r="Q1" s="193" t="e">
        <f ca="1">IF($F2=-1,0,IF(Q$13&lt;=$M1,IF(ISERROR(MATCH(Q$13,OFFSET($M1,1,0,ROW($M$92)-ROW($M1)-1),0)),ROW($M$92)-ROW($M1)-1,MATCH(Q$13,OFFSET($M1,1,0,ROW($M$92)-ROW($M1)-1),0)-1),0))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str" cm="1">
        <f t="array" aca="1" ref="G2" ca="1">IF(ACOMPANHAMENTO="BM",OFFSET(G2,-1,0),"")</f>
        <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SUMIF((OFFSET(CÁLCULO!$BC$15:$BU$15,$F1,0,OFFSET(ORÇAMENTO!$D$15,CRONO!$F1,0))),CRONO!E$12,OFFSET(CÁLCULO!$AJ$15:$BB$15,$F1,0,OFFSET(ORÇAMENTO!$D$15,CRONO!$F1,0)))
                +IF(AND($F3&lt;&gt;"",$F3&lt;&gt;0),
                        SUMIF(CÁLCULO!$BC$15:$BU$191,CRONO!E$12,CÁLCULO!$AJ$15:$BB$191)/(ORÇAMENTO!$X$15-CÁLCULO.TotalAdmLocal)*CRONO!$F3,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SUMIF((OFFSET(CÁLCULO!$BC$15:$BU$15,$F1,0,OFFSET(ORÇAMENTO!$D$15,CRONO!$F1,0))),CRONO!U$12,OFFSET(CÁLCULO!$AJ$15:$BB$15,$F1,0,OFFSET(ORÇAMENTO!$D$15,CRONO!$F1,0)))
                +IF(AND($F3&lt;&gt;"",$F3&lt;&gt;0),
                        SUMIF(CÁLCULO!$BC$15:$BU$191,CRONO!U$12,CÁLCULO!$AJ$15:$BB$191)/(ORÇAMENTO!$X$15-CÁLCULO.TotalAdmLocal)*CRONO!$F3,
                        0),
                 U2*$S1),
          SUMIF(OFFSET($S3,1,0,$R1-2),($M1+1)&amp;"$",OFFSET(U3,1,0,$R1-2)))</f>
        <v>#REF!</v>
      </c>
      <c r="V3" s="202" t="e" cm="1">
        <f t="array" aca="1" ref="V3" ca="1">IF($R1=2,
         IF(AND(ACOMPANHAMENTO="PLE",ISNUMBER($F1)),
                SUMIF((OFFSET(CÁLCULO!$BC$15:$BU$15,$F1,0,OFFSET(ORÇAMENTO!$D$15,CRONO!$F1,0))),CRONO!V$12,OFFSET(CÁLCULO!$AJ$15:$BB$15,$F1,0,OFFSET(ORÇAMENTO!$D$15,CRONO!$F1,0)))
                +IF(AND($F3&lt;&gt;"",$F3&lt;&gt;0),
                        SUMIF(CÁLCULO!$BC$15:$BU$191,CRONO!V$12,CÁLCULO!$AJ$15:$BB$191)/(ORÇAMENTO!$X$15-CÁLCULO.TotalAdmLocal)*CRONO!$F3,
                        0),
                 V2*$S1),
          SUMIF(OFFSET($S3,1,0,$R1-2),($M1+1)&amp;"$",OFFSET(V3,1,0,$R1-2)))</f>
        <v>#REF!</v>
      </c>
      <c r="W3" s="202" t="e" cm="1">
        <f t="array" aca="1" ref="W3" ca="1">IF($R1=2,
         IF(AND(ACOMPANHAMENTO="PLE",ISNUMBER($F1)),
                SUMIF((OFFSET(CÁLCULO!$BC$15:$BU$15,$F1,0,OFFSET(ORÇAMENTO!$D$15,CRONO!$F1,0))),CRONO!W$12,OFFSET(CÁLCULO!$AJ$15:$BB$15,$F1,0,OFFSET(ORÇAMENTO!$D$15,CRONO!$F1,0)))
                +IF(AND($F3&lt;&gt;"",$F3&lt;&gt;0),
                        SUMIF(CÁLCULO!$BC$15:$BU$191,CRONO!W$12,CÁLCULO!$AJ$15:$BB$191)/(ORÇAMENTO!$X$15-CÁLCULO.TotalAdmLocal)*CRONO!$F3,
                        0),
                 W2*$S1),
          SUMIF(OFFSET($S3,1,0,$R1-2),($M1+1)&amp;"$",OFFSET(W3,1,0,$R1-2)))</f>
        <v>#REF!</v>
      </c>
      <c r="X3" s="202" t="e" cm="1">
        <f t="array" aca="1" ref="X3" ca="1">IF($R1=2,
         IF(AND(ACOMPANHAMENTO="PLE",ISNUMBER($F1)),
                SUMIF((OFFSET(CÁLCULO!$BC$15:$BU$15,$F1,0,OFFSET(ORÇAMENTO!$D$15,CRONO!$F1,0))),CRONO!X$12,OFFSET(CÁLCULO!$AJ$15:$BB$15,$F1,0,OFFSET(ORÇAMENTO!$D$15,CRONO!$F1,0)))
                +IF(AND($F3&lt;&gt;"",$F3&lt;&gt;0),
                        SUMIF(CÁLCULO!$BC$15:$BU$191,CRONO!X$12,CÁLCULO!$AJ$15:$BB$191)/(ORÇAMENTO!$X$15-CÁLCULO.TotalAdmLocal)*CRONO!$F3,
                        0),
                 X2*$S1),
          SUMIF(OFFSET($S3,1,0,$R1-2),($M1+1)&amp;"$",OFFSET(X3,1,0,$R1-2)))</f>
        <v>#REF!</v>
      </c>
      <c r="Y3" s="202" t="e" cm="1">
        <f t="array" aca="1" ref="Y3" ca="1">IF($R1=2,
         IF(AND(ACOMPANHAMENTO="PLE",ISNUMBER($F1)),
                SUMIF((OFFSET(CÁLCULO!$BC$15:$BU$15,$F1,0,OFFSET(ORÇAMENTO!$D$15,CRONO!$F1,0))),CRONO!Y$12,OFFSET(CÁLCULO!$AJ$15:$BB$15,$F1,0,OFFSET(ORÇAMENTO!$D$15,CRONO!$F1,0)))
                +IF(AND($F3&lt;&gt;"",$F3&lt;&gt;0),
                        SUMIF(CÁLCULO!$BC$15:$BU$191,CRONO!Y$12,CÁLCULO!$AJ$15:$BB$191)/(ORÇAMENTO!$X$15-CÁLCULO.TotalAdmLocal)*CRONO!$F3,
                        0),
                 Y2*$S1),
          SUMIF(OFFSET($S3,1,0,$R1-2),($M1+1)&amp;"$",OFFSET(Y3,1,0,$R1-2)))</f>
        <v>#REF!</v>
      </c>
      <c r="Z3" s="202" t="e" cm="1">
        <f t="array" aca="1" ref="Z3" ca="1">IF($R1=2,
         IF(AND(ACOMPANHAMENTO="PLE",ISNUMBER($F1)),
                SUMIF((OFFSET(CÁLCULO!$BC$15:$BU$15,$F1,0,OFFSET(ORÇAMENTO!$D$15,CRONO!$F1,0))),CRONO!Z$12,OFFSET(CÁLCULO!$AJ$15:$BB$15,$F1,0,OFFSET(ORÇAMENTO!$D$15,CRONO!$F1,0)))
                +IF(AND($F3&lt;&gt;"",$F3&lt;&gt;0),
                        SUMIF(CÁLCULO!$BC$15:$BU$191,CRONO!Z$12,CÁLCULO!$AJ$15:$BB$191)/(ORÇAMENTO!$X$15-CÁLCULO.TotalAdmLocal)*CRONO!$F3,
                        0),
                 Z2*$S1),
          SUMIF(OFFSET($S3,1,0,$R1-2),($M1+1)&amp;"$",OFFSET(Z3,1,0,$R1-2)))</f>
        <v>#REF!</v>
      </c>
      <c r="AA3" s="202" t="e" cm="1">
        <f t="array" aca="1" ref="AA3" ca="1">IF($R1=2,
         IF(AND(ACOMPANHAMENTO="PLE",ISNUMBER($F1)),
                SUMIF((OFFSET(CÁLCULO!$BC$15:$BU$15,$F1,0,OFFSET(ORÇAMENTO!$D$15,CRONO!$F1,0))),CRONO!AA$12,OFFSET(CÁLCULO!$AJ$15:$BB$15,$F1,0,OFFSET(ORÇAMENTO!$D$15,CRONO!$F1,0)))
                +IF(AND($F3&lt;&gt;"",$F3&lt;&gt;0),
                        SUMIF(CÁLCULO!$BC$15:$BU$191,CRONO!AA$12,CÁLCULO!$AJ$15:$BB$191)/(ORÇAMENTO!$X$15-CÁLCULO.TotalAdmLocal)*CRONO!$F3,
                        0),
                 AA2*$S1),
          SUMIF(OFFSET($S3,1,0,$R1-2),($M1+1)&amp;"$",OFFSET(AA3,1,0,$R1-2)))</f>
        <v>#REF!</v>
      </c>
      <c r="AB3" s="202" t="e" cm="1">
        <f t="array" aca="1" ref="AB3" ca="1">IF($R1=2,
         IF(AND(ACOMPANHAMENTO="PLE",ISNUMBER($F1)),
                SUMIF((OFFSET(CÁLCULO!$BC$15:$BU$15,$F1,0,OFFSET(ORÇAMENTO!$D$15,CRONO!$F1,0))),CRONO!AB$12,OFFSET(CÁLCULO!$AJ$15:$BB$15,$F1,0,OFFSET(ORÇAMENTO!$D$15,CRONO!$F1,0)))
                +IF(AND($F3&lt;&gt;"",$F3&lt;&gt;0),
                        SUMIF(CÁLCULO!$BC$15:$BU$191,CRONO!AB$12,CÁLCULO!$AJ$15:$BB$191)/(ORÇAMENTO!$X$15-CÁLCULO.TotalAdmLocal)*CRONO!$F3,
                        0),
                 AB2*$S1),
          SUMIF(OFFSET($S3,1,0,$R1-2),($M1+1)&amp;"$",OFFSET(AB3,1,0,$R1-2)))</f>
        <v>#REF!</v>
      </c>
      <c r="AC3" s="202" t="e" cm="1">
        <f t="array" aca="1" ref="AC3" ca="1">IF($R1=2,
         IF(AND(ACOMPANHAMENTO="PLE",ISNUMBER($F1)),
                SUMIF((OFFSET(CÁLCULO!$BC$15:$BU$15,$F1,0,OFFSET(ORÇAMENTO!$D$15,CRONO!$F1,0))),CRONO!AC$12,OFFSET(CÁLCULO!$AJ$15:$BB$15,$F1,0,OFFSET(ORÇAMENTO!$D$15,CRONO!$F1,0)))
                +IF(AND($F3&lt;&gt;"",$F3&lt;&gt;0),
                        SUMIF(CÁLCULO!$BC$15:$BU$191,CRONO!AC$12,CÁLCULO!$AJ$15:$BB$191)/(ORÇAMENTO!$X$15-CÁLCULO.TotalAdmLocal)*CRONO!$F3,
                        0),
                 AC2*$S1),
          SUMIF(OFFSET($S3,1,0,$R1-2),($M1+1)&amp;"$",OFFSET(AC3,1,0,$R1-2)))</f>
        <v>#REF!</v>
      </c>
      <c r="AD3" s="202" t="e" cm="1">
        <f t="array" aca="1" ref="AD3" ca="1">IF($R1=2,
         IF(AND(ACOMPANHAMENTO="PLE",ISNUMBER($F1)),
                SUMIF((OFFSET(CÁLCULO!$BC$15:$BU$15,$F1,0,OFFSET(ORÇAMENTO!$D$15,CRONO!$F1,0))),CRONO!AD$12,OFFSET(CÁLCULO!$AJ$15:$BB$15,$F1,0,OFFSET(ORÇAMENTO!$D$15,CRONO!$F1,0)))
                +IF(AND($F3&lt;&gt;"",$F3&lt;&gt;0),
                        SUMIF(CÁLCULO!$BC$15:$BU$191,CRONO!AD$12,CÁLCULO!$AJ$15:$BB$191)/(ORÇAMENTO!$X$15-CÁLCULO.TotalAdmLocal)*CRONO!$F3,
                        0),
                 AD2*$S1),
          SUMIF(OFFSET($S3,1,0,$R1-2),($M1+1)&amp;"$",OFFSET(AD3,1,0,$R1-2)))</f>
        <v>#REF!</v>
      </c>
      <c r="AE3" s="202" t="e" cm="1">
        <f t="array" aca="1" ref="AE3" ca="1">IF($R1=2,
         IF(AND(ACOMPANHAMENTO="PLE",ISNUMBER($F1)),
                SUMIF((OFFSET(CÁLCULO!$BC$15:$BU$15,$F1,0,OFFSET(ORÇAMENTO!$D$15,CRONO!$F1,0))),CRONO!AE$12,OFFSET(CÁLCULO!$AJ$15:$BB$15,$F1,0,OFFSET(ORÇAMENTO!$D$15,CRONO!$F1,0)))
                +IF(AND($F3&lt;&gt;"",$F3&lt;&gt;0),
                        SUMIF(CÁLCULO!$BC$15:$BU$191,CRONO!AE$12,CÁLCULO!$AJ$15:$BB$191)/(ORÇAMENTO!$X$15-CÁLCULO.TotalAdmLocal)*CRONO!$F3,
                        0),
                 AE2*$S1),
          SUMIF(OFFSET($S3,1,0,$R1-2),($M1+1)&amp;"$",OFFSET(AE3,1,0,$R1-2)))</f>
        <v>#REF!</v>
      </c>
      <c r="AF3" s="202" t="e" cm="1">
        <f t="array" aca="1" ref="AF3" ca="1">IF($R1=2,
         IF(AND(ACOMPANHAMENTO="PLE",ISNUMBER($F1)),
                SUMIF((OFFSET(CÁLCULO!$BC$15:$BU$15,$F1,0,OFFSET(ORÇAMENTO!$D$15,CRONO!$F1,0))),CRONO!AF$12,OFFSET(CÁLCULO!$AJ$15:$BB$15,$F1,0,OFFSET(ORÇAMENTO!$D$15,CRONO!$F1,0)))
                +IF(AND($F3&lt;&gt;"",$F3&lt;&gt;0),
                        SUMIF(CÁLCULO!$BC$15:$BU$191,CRONO!AF$12,CÁLCULO!$AJ$15:$BB$191)/(ORÇAMENTO!$X$15-CÁLCULO.TotalAdmLocal)*CRONO!$F3,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781" t="s">
        <v>644</v>
      </c>
      <c r="AF4" s="781"/>
    </row>
    <row r="5" spans="1:33" ht="15" x14ac:dyDescent="0.2">
      <c r="S5" s="83" t="str">
        <f>import.recurso</f>
        <v>OGU</v>
      </c>
      <c r="AE5" s="782" t="s">
        <v>647</v>
      </c>
      <c r="AF5" s="782"/>
    </row>
    <row r="6" spans="1:33" ht="12.75" customHeight="1" x14ac:dyDescent="0.2"/>
    <row r="7" spans="1:33" ht="12.75" customHeight="1" x14ac:dyDescent="0.2">
      <c r="F7" s="207"/>
      <c r="H7" s="851"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770" t="s">
        <v>655</v>
      </c>
      <c r="H8" s="851"/>
      <c r="I8" s="842" t="str">
        <f>Import.CR</f>
        <v>56000000966/2023</v>
      </c>
      <c r="J8" s="842"/>
      <c r="K8" s="214" t="str">
        <f>Import.TransfereGOV</f>
        <v>27488/2025</v>
      </c>
      <c r="L8" s="841" t="str">
        <f>Import.Proponente</f>
        <v>MUNICIPIO DE BOA ESPERANCA</v>
      </c>
      <c r="M8" s="841"/>
      <c r="N8" s="841"/>
      <c r="O8" s="841"/>
      <c r="P8" s="841"/>
      <c r="Q8" s="841"/>
      <c r="R8" s="841"/>
      <c r="S8" s="841"/>
      <c r="T8" s="841"/>
      <c r="U8" s="842" t="str">
        <f>Import.Apelido</f>
        <v>AMPLIAÇÃO NO SISTEMA DE ÁGUA- BAIRRO NOVA ESPERANÇA</v>
      </c>
      <c r="V8" s="842"/>
      <c r="W8" s="842"/>
      <c r="X8" s="842"/>
      <c r="Y8" s="842"/>
      <c r="Z8" s="852" t="str" cm="1">
        <f t="array" ref="Z8">IF(TIPOORCAMENTO="Licitado",Import.empresa,Import.DescLote)</f>
        <v>Ampliação e modernização do sistema de abastecimento de água do Município de Boa Esperança.</v>
      </c>
      <c r="AA8" s="852"/>
      <c r="AB8" s="852"/>
      <c r="AC8" s="852"/>
      <c r="AD8" s="852"/>
      <c r="AE8" s="852"/>
      <c r="AF8" s="203" t="str" cm="1">
        <f t="array" ref="AF8">IF(TIPOORCAMENTO="Licitado",Import.CTEF,"")</f>
        <v/>
      </c>
    </row>
    <row r="9" spans="1:33" x14ac:dyDescent="0.2">
      <c r="A9" s="655">
        <v>2</v>
      </c>
      <c r="F9" s="114"/>
      <c r="G9" s="770"/>
      <c r="H9" s="851"/>
    </row>
    <row r="10" spans="1:33" x14ac:dyDescent="0.2">
      <c r="A10" s="656">
        <v>3</v>
      </c>
      <c r="F10" s="185" cm="1">
        <f t="array" aca="1" ref="F10" ca="1">CRONO.LinhasNecessarias</f>
        <v>25</v>
      </c>
      <c r="G10" s="770"/>
      <c r="H10" s="215">
        <v>2</v>
      </c>
      <c r="K10" s="843" t="str" cm="1">
        <f t="array" aca="1" ref="K10" ca="1">IF(MAX($B$13:$B$92)&lt;CRONO.LinhasNecessarias,"ERRO: NÚMERO DE LINHAS DO CRONOGRAMA INSUFICIENTE. CLIQUE EM ATUALIZAR LINHAS.",IF(AND(ACOMPANHAMENTO="PLE",ROUND(OFFSET($AG$102,0,-1),2)=0),"CRONOGRAMA DEVE SER PREENCHIDO POR EVENTOS",IF(ROUND(OFFSET($AG$102,0,-1),2)&lt;&gt;$R$93,"ERRO: CRONOGRAMA NÃO FECHA 100%","")))</f>
        <v/>
      </c>
      <c r="L10" s="843"/>
      <c r="M10" s="843"/>
      <c r="N10" s="843"/>
      <c r="O10" s="843"/>
      <c r="P10" s="843"/>
      <c r="Q10" s="843"/>
      <c r="R10" s="843"/>
      <c r="S10" s="843"/>
      <c r="T10" s="843"/>
    </row>
    <row r="11" spans="1:33" ht="12.75" customHeight="1" x14ac:dyDescent="0.2">
      <c r="A11" s="657">
        <v>4</v>
      </c>
      <c r="F11" s="185" cm="1">
        <f t="array" aca="1" ref="F11" ca="1">CRONO.ParcelaFinal</f>
        <v>12</v>
      </c>
      <c r="G11" s="770"/>
      <c r="I11" s="216"/>
      <c r="J11" s="216"/>
      <c r="K11" s="843"/>
      <c r="L11" s="843"/>
      <c r="M11" s="843"/>
      <c r="N11" s="843"/>
      <c r="O11" s="843"/>
      <c r="P11" s="843"/>
      <c r="Q11" s="843"/>
      <c r="R11" s="843"/>
      <c r="S11" s="843"/>
      <c r="T11" s="843"/>
    </row>
    <row r="12" spans="1:33" ht="12.75" customHeight="1" x14ac:dyDescent="0.2">
      <c r="A12" s="186" t="s">
        <v>789</v>
      </c>
      <c r="E12" s="217">
        <f ca="1">OFFSET(E12,0,-1)+1</f>
        <v>1</v>
      </c>
      <c r="G12" s="106" t="s">
        <v>660</v>
      </c>
      <c r="H12" s="845" t="s">
        <v>790</v>
      </c>
      <c r="I12" s="846" t="s">
        <v>735</v>
      </c>
      <c r="J12" s="847" t="s">
        <v>118</v>
      </c>
      <c r="K12" s="218"/>
      <c r="L12" s="218"/>
      <c r="M12" s="219"/>
      <c r="N12" s="219"/>
      <c r="O12" s="219"/>
      <c r="P12" s="219"/>
      <c r="Q12" s="219"/>
      <c r="R12" s="219"/>
      <c r="S12" s="850" t="s">
        <v>791</v>
      </c>
      <c r="T12" s="840"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845"/>
      <c r="I13" s="846"/>
      <c r="J13" s="847"/>
      <c r="K13" s="223"/>
      <c r="L13" s="223"/>
      <c r="M13" s="224" t="s">
        <v>733</v>
      </c>
      <c r="N13" s="224">
        <v>1</v>
      </c>
      <c r="O13" s="224">
        <v>2</v>
      </c>
      <c r="P13" s="224">
        <v>3</v>
      </c>
      <c r="Q13" s="224">
        <v>4</v>
      </c>
      <c r="R13" s="225" t="s">
        <v>796</v>
      </c>
      <c r="S13" s="850"/>
      <c r="T13" s="840"/>
      <c r="U13" s="226">
        <v>46143</v>
      </c>
      <c r="V13" s="222">
        <f ca="1">OFFSET(V13,0,-1)+41-DAY(OFFSET(V13,0,-1)+40)</f>
        <v>46174</v>
      </c>
      <c r="W13" s="222">
        <f ca="1">OFFSET(W13,0,-1)+41-DAY(OFFSET(W13,0,-1)+40)</f>
        <v>46204</v>
      </c>
      <c r="X13" s="222">
        <f t="shared" ref="X13:AF13" ca="1" si="1">OFFSET(X13,0,-1)+41-DAY(OFFSET(X13,0,-1)+40)</f>
        <v>46235</v>
      </c>
      <c r="Y13" s="222">
        <f t="shared" ca="1" si="1"/>
        <v>46266</v>
      </c>
      <c r="Z13" s="222">
        <f t="shared" ca="1" si="1"/>
        <v>46296</v>
      </c>
      <c r="AA13" s="222">
        <f t="shared" ca="1" si="1"/>
        <v>46327</v>
      </c>
      <c r="AB13" s="222">
        <f t="shared" ca="1" si="1"/>
        <v>46357</v>
      </c>
      <c r="AC13" s="222">
        <f t="shared" ca="1" si="1"/>
        <v>46388</v>
      </c>
      <c r="AD13" s="222">
        <f t="shared" ca="1" si="1"/>
        <v>46419</v>
      </c>
      <c r="AE13" s="222">
        <f t="shared" ca="1" si="1"/>
        <v>46447</v>
      </c>
      <c r="AF13" s="538">
        <f t="shared" ca="1" si="1"/>
        <v>46478</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1.3331953671087278E-2</v>
      </c>
      <c r="F14" s="185" cm="1">
        <f t="array" aca="1" ref="F14"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Ampliação do Sistema de Abastecimento de Água</v>
      </c>
      <c r="K14" s="191"/>
      <c r="L14" s="191"/>
      <c r="M14" s="192">
        <f ca="1">IF($F15=0,OFFSET(ORÇAMENTO!C$15,$F14,0),1)</f>
        <v>1</v>
      </c>
      <c r="N14" s="193">
        <f ca="1">IF($F15=-1,0,IF(N$13&lt;=$M14,IF(ISERROR(MATCH(N$13,OFFSET($M14,1,0,ROW($M$92)-ROW($M14)-1),0)),ROW($M$92)-ROW($M14)-1,MATCH(N$13,OFFSET($M14,1,0,ROW($M$92)-ROW($M14)-1),0)-1),0))</f>
        <v>74</v>
      </c>
      <c r="O14" s="193">
        <f ca="1">IF($F15=-1,0,IF(O$13&lt;=$M14,IF(ISERROR(MATCH(O$13,OFFSET($M14,1,0,ROW($M$92)-ROW($M14)-1),0)),ROW($M$92)-ROW($M14)-1,MATCH(O$13,OFFSET($M14,1,0,ROW($M$92)-ROW($M14)-1),0)-1),0))</f>
        <v>0</v>
      </c>
      <c r="P14" s="193">
        <f ca="1">IF($F15=-1,0,IF(P$13&lt;=$M14,IF(ISERROR(MATCH(P$13,OFFSET($M14,1,0,ROW($M$92)-ROW($M14)-1),0)),ROW($M$92)-ROW($M14)-1,MATCH(P$13,OFFSET($M14,1,0,ROW($M$92)-ROW($M14)-1),0)-1),0))</f>
        <v>0</v>
      </c>
      <c r="Q14" s="193">
        <f ca="1">IF($F15=-1,0,IF(Q$13&lt;=$M14,IF(ISERROR(MATCH(Q$13,OFFSET($M14,1,0,ROW($M$92)-ROW($M14)-1),0)),ROW($M$92)-ROW($M14)-1,MATCH(Q$13,OFFSET($M14,1,0,ROW($M$92)-ROW($M14)-1),0)-1),0))</f>
        <v>0</v>
      </c>
      <c r="R14" s="193">
        <f t="shared" ref="R14" ca="1" si="5">MIN(OFFSET(M14,0,1,,M14))</f>
        <v>74</v>
      </c>
      <c r="S14" s="194">
        <f ca="1">IF($F15=0,OFFSET(ORÇAMENTO!X$15,$F14,0),IF($F15&lt;&gt;-1,OFFSET(QCI!$O$13,$F15,0),""))</f>
        <v>4985084.83</v>
      </c>
      <c r="T14" s="195" t="s">
        <v>785</v>
      </c>
      <c r="U14" s="188" cm="1">
        <f t="array" aca="1" ref="U14" ca="1">IF(AND($R14=2,ACOMPANHAMENTO="BM"),ROUND(U15,4),U16/$S14)</f>
        <v>1.3331953671087278E-2</v>
      </c>
      <c r="V14" s="188" cm="1">
        <f t="array" aca="1" ref="V14" ca="1">IF(AND($R14=2,ACOMPANHAMENTO="BM"),ROUND(V15,4),V16/$S14)</f>
        <v>1.3784848672274249E-2</v>
      </c>
      <c r="W14" s="188" cm="1">
        <f t="array" aca="1" ref="W14" ca="1">IF(AND($R14=2,ACOMPANHAMENTO="BM"),ROUND(W15,4),W16/$S14)</f>
        <v>2.7074722818708784E-2</v>
      </c>
      <c r="X14" s="188" cm="1">
        <f t="array" aca="1" ref="X14" ca="1">IF(AND($R14=2,ACOMPANHAMENTO="BM"),ROUND(X15,4),X16/$S14)</f>
        <v>9.3305232681466736E-3</v>
      </c>
      <c r="Y14" s="188" cm="1">
        <f t="array" aca="1" ref="Y14" ca="1">IF(AND($R14=2,ACOMPANHAMENTO="BM"),ROUND(Y15,4),Y16/$S14)</f>
        <v>0.10210658340993567</v>
      </c>
      <c r="Z14" s="188" cm="1">
        <f t="array" aca="1" ref="Z14" ca="1">IF(AND($R14=2,ACOMPANHAMENTO="BM"),ROUND(Z15,4),Z16/$S14)</f>
        <v>7.0011598980152162E-2</v>
      </c>
      <c r="AA14" s="188" cm="1">
        <f t="array" aca="1" ref="AA14" ca="1">IF(AND($R14=2,ACOMPANHAMENTO="BM"),ROUND(AA15,4),AA16/$S14)</f>
        <v>0.31715074545682309</v>
      </c>
      <c r="AB14" s="188" cm="1">
        <f t="array" aca="1" ref="AB14" ca="1">IF(AND($R14=2,ACOMPANHAMENTO="BM"),ROUND(AB15,4),AB16/$S14)</f>
        <v>6.9401667533910347E-3</v>
      </c>
      <c r="AC14" s="188" cm="1">
        <f t="array" aca="1" ref="AC14" ca="1">IF(AND($R14=2,ACOMPANHAMENTO="BM"),ROUND(AC15,4),AC16/$S14)</f>
        <v>0.22148916972391819</v>
      </c>
      <c r="AD14" s="188" cm="1">
        <f t="array" aca="1" ref="AD14" ca="1">IF(AND($R14=2,ACOMPANHAMENTO="BM"),ROUND(AD15,4),AD16/$S14)</f>
        <v>4.3758876215552786E-2</v>
      </c>
      <c r="AE14" s="188" cm="1">
        <f t="array" aca="1" ref="AE14" ca="1">IF(AND($R14=2,ACOMPANHAMENTO="BM"),ROUND(AE15,4),AE16/$S14)</f>
        <v>5.8813759444089543E-2</v>
      </c>
      <c r="AF14" s="188" cm="1">
        <f t="array" aca="1" ref="AF14" ca="1">IF(AND($R14=2,ACOMPANHAMENTO="BM"),ROUND(AF15,4),AF16/$S14)</f>
        <v>0.11620705158592055</v>
      </c>
      <c r="AG14" s="534"/>
    </row>
    <row r="15" spans="1:33" ht="12.75" hidden="1" customHeight="1" x14ac:dyDescent="0.2">
      <c r="E15" s="587"/>
      <c r="F15" s="185">
        <f ca="1">IF(ISERROR(F14),IF(1+COUNTIF($M$13:OFFSET(M14,-1,0),1)&lt;=MAX(QCI!$D$13:$D$24),1+COUNTIF($M$13:OFFSET(M14,-1,0),1),-1),0)</f>
        <v>0</v>
      </c>
      <c r="G15" s="185" t="str" cm="1">
        <f t="array" aca="1" ref="G15" ca="1">IF(ACOMPANHAMENTO="BM",OFFSET(G15,-1,0),"")</f>
        <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v>0.2</v>
      </c>
      <c r="V15" s="587"/>
      <c r="W15" s="587"/>
      <c r="X15" s="587"/>
      <c r="Y15" s="587"/>
      <c r="Z15" s="587"/>
      <c r="AA15" s="587"/>
      <c r="AB15" s="587"/>
      <c r="AC15" s="587"/>
      <c r="AD15" s="587"/>
      <c r="AE15" s="587"/>
      <c r="AF15" s="587"/>
      <c r="AG15" s="534"/>
    </row>
    <row r="16" spans="1:33" ht="12.75" hidden="1" customHeight="1" x14ac:dyDescent="0.2">
      <c r="D16" s="533"/>
      <c r="E16" s="202" cm="1">
        <f t="array" aca="1" ref="E16" ca="1">IF($R14=2,
         IF(AND(ACOMPANHAMENTO="PLE",ISNUMBER($F14)),
                SUMIF((OFFSET(CÁLCULO!$BC$15:$BU$15,$F14,0,OFFSET(ORÇAMENTO!$D$15,CRONO!$F14,0))),CRONO!E$12,OFFSET(CÁLCULO!$AJ$15:$BB$15,$F14,0,OFFSET(ORÇAMENTO!$D$15,CRONO!$F14,0)))
                +IF(AND($F16&lt;&gt;"",$F16&lt;&gt;0),
                        SUMIF(CÁLCULO!$BC$15:$BU$191,CRONO!E$12,CÁLCULO!$AJ$15:$BB$191)/(ORÇAMENTO!$X$15-CÁLCULO.TotalAdmLocal)*CRONO!$F16,
                        0),
                 E15*$S14),
          SUMIF(OFFSET($S16,1,0,$R14-2),($M14+1)&amp;"$",OFFSET(E16,1,0,$R14-2)))</f>
        <v>66460.92</v>
      </c>
      <c r="F16" s="185" t="str">
        <f ca="1">IF(OR($R14&lt;&gt;2,AUTOEVENTO&lt;&gt;"manual",$F15&gt;0),"",
        IF(Import.TipoArredondamento="Tradicional",
              SUMIF(OFFSET(CÁLCULO!$M$15,CRONO!$F14,0,OFFSET(ORÇAMENTO!$D$15,CRONO!$F14,0)),1,OFFSET(ORÇAMENTO!$X$15,CRONO!$F14,0,OFFSET(ORÇAMENTO!$D$15,CRONO!$F14,0))),
              0))</f>
        <v/>
      </c>
      <c r="H16" s="667"/>
      <c r="S16" s="204" t="str">
        <f t="shared" ref="S16" ca="1" si="7">M14&amp;"$"</f>
        <v>1$</v>
      </c>
      <c r="T16" s="205"/>
      <c r="U16" s="202" cm="1">
        <f t="array" aca="1" ref="U16" ca="1">IF($R14=2,
         IF(AND(ACOMPANHAMENTO="PLE",ISNUMBER($F14)),
                SUMIF((OFFSET(CÁLCULO!$BC$15:$BU$15,$F14,0,OFFSET(ORÇAMENTO!$D$15,CRONO!$F14,0))),CRONO!U$12,OFFSET(CÁLCULO!$AJ$15:$BB$15,$F14,0,OFFSET(ORÇAMENTO!$D$15,CRONO!$F14,0)))
                +IF(AND($F16&lt;&gt;"",$F16&lt;&gt;0),
                        SUMIF(CÁLCULO!$BC$15:$BU$191,CRONO!U$12,CÁLCULO!$AJ$15:$BB$191)/(ORÇAMENTO!$X$15-CÁLCULO.TotalAdmLocal)*CRONO!$F16,
                        0),
                 U15*$S14),
          SUMIF(OFFSET($S16,1,0,$R14-2),($M14+1)&amp;"$",OFFSET(U16,1,0,$R14-2)))</f>
        <v>66460.92</v>
      </c>
      <c r="V16" s="202" cm="1">
        <f t="array" aca="1" ref="V16" ca="1">IF($R14=2,
         IF(AND(ACOMPANHAMENTO="PLE",ISNUMBER($F14)),
                SUMIF((OFFSET(CÁLCULO!$BC$15:$BU$15,$F14,0,OFFSET(ORÇAMENTO!$D$15,CRONO!$F14,0))),CRONO!V$12,OFFSET(CÁLCULO!$AJ$15:$BB$15,$F14,0,OFFSET(ORÇAMENTO!$D$15,CRONO!$F14,0)))
                +IF(AND($F16&lt;&gt;"",$F16&lt;&gt;0),
                        SUMIF(CÁLCULO!$BC$15:$BU$191,CRONO!V$12,CÁLCULO!$AJ$15:$BB$191)/(ORÇAMENTO!$X$15-CÁLCULO.TotalAdmLocal)*CRONO!$F16,
                        0),
                 V15*$S14),
          SUMIF(OFFSET($S16,1,0,$R14-2),($M14+1)&amp;"$",OFFSET(V16,1,0,$R14-2)))</f>
        <v>68718.64</v>
      </c>
      <c r="W16" s="202" cm="1">
        <f t="array" aca="1" ref="W16" ca="1">IF($R14=2,
         IF(AND(ACOMPANHAMENTO="PLE",ISNUMBER($F14)),
                SUMIF((OFFSET(CÁLCULO!$BC$15:$BU$15,$F14,0,OFFSET(ORÇAMENTO!$D$15,CRONO!$F14,0))),CRONO!W$12,OFFSET(CÁLCULO!$AJ$15:$BB$15,$F14,0,OFFSET(ORÇAMENTO!$D$15,CRONO!$F14,0)))
                +IF(AND($F16&lt;&gt;"",$F16&lt;&gt;0),
                        SUMIF(CÁLCULO!$BC$15:$BU$191,CRONO!W$12,CÁLCULO!$AJ$15:$BB$191)/(ORÇAMENTO!$X$15-CÁLCULO.TotalAdmLocal)*CRONO!$F16,
                        0),
                 W15*$S14),
          SUMIF(OFFSET($S16,1,0,$R14-2),($M14+1)&amp;"$",OFFSET(W16,1,0,$R14-2)))</f>
        <v>134969.79</v>
      </c>
      <c r="X16" s="202" cm="1">
        <f t="array" aca="1" ref="X16" ca="1">IF($R14=2,
         IF(AND(ACOMPANHAMENTO="PLE",ISNUMBER($F14)),
                SUMIF((OFFSET(CÁLCULO!$BC$15:$BU$15,$F14,0,OFFSET(ORÇAMENTO!$D$15,CRONO!$F14,0))),CRONO!X$12,OFFSET(CÁLCULO!$AJ$15:$BB$15,$F14,0,OFFSET(ORÇAMENTO!$D$15,CRONO!$F14,0)))
                +IF(AND($F16&lt;&gt;"",$F16&lt;&gt;0),
                        SUMIF(CÁLCULO!$BC$15:$BU$191,CRONO!X$12,CÁLCULO!$AJ$15:$BB$191)/(ORÇAMENTO!$X$15-CÁLCULO.TotalAdmLocal)*CRONO!$F16,
                        0),
                 X15*$S14),
          SUMIF(OFFSET($S16,1,0,$R14-2),($M14+1)&amp;"$",OFFSET(X16,1,0,$R14-2)))</f>
        <v>46513.450000000004</v>
      </c>
      <c r="Y16" s="202" cm="1">
        <f t="array" aca="1" ref="Y16" ca="1">IF($R14=2,
         IF(AND(ACOMPANHAMENTO="PLE",ISNUMBER($F14)),
                SUMIF((OFFSET(CÁLCULO!$BC$15:$BU$15,$F14,0,OFFSET(ORÇAMENTO!$D$15,CRONO!$F14,0))),CRONO!Y$12,OFFSET(CÁLCULO!$AJ$15:$BB$15,$F14,0,OFFSET(ORÇAMENTO!$D$15,CRONO!$F14,0)))
                +IF(AND($F16&lt;&gt;"",$F16&lt;&gt;0),
                        SUMIF(CÁLCULO!$BC$15:$BU$191,CRONO!Y$12,CÁLCULO!$AJ$15:$BB$191)/(ORÇAMENTO!$X$15-CÁLCULO.TotalAdmLocal)*CRONO!$F16,
                        0),
                 Y15*$S14),
          SUMIF(OFFSET($S16,1,0,$R14-2),($M14+1)&amp;"$",OFFSET(Y16,1,0,$R14-2)))</f>
        <v>509009.98</v>
      </c>
      <c r="Z16" s="202" cm="1">
        <f t="array" aca="1" ref="Z16" ca="1">IF($R14=2,
         IF(AND(ACOMPANHAMENTO="PLE",ISNUMBER($F14)),
                SUMIF((OFFSET(CÁLCULO!$BC$15:$BU$15,$F14,0,OFFSET(ORÇAMENTO!$D$15,CRONO!$F14,0))),CRONO!Z$12,OFFSET(CÁLCULO!$AJ$15:$BB$15,$F14,0,OFFSET(ORÇAMENTO!$D$15,CRONO!$F14,0)))
                +IF(AND($F16&lt;&gt;"",$F16&lt;&gt;0),
                        SUMIF(CÁLCULO!$BC$15:$BU$191,CRONO!Z$12,CÁLCULO!$AJ$15:$BB$191)/(ORÇAMENTO!$X$15-CÁLCULO.TotalAdmLocal)*CRONO!$F16,
                        0),
                 Z15*$S14),
          SUMIF(OFFSET($S16,1,0,$R14-2),($M14+1)&amp;"$",OFFSET(Z16,1,0,$R14-2)))</f>
        <v>349013.76000000001</v>
      </c>
      <c r="AA16" s="202" cm="1">
        <f t="array" aca="1" ref="AA16" ca="1">IF($R14=2,
         IF(AND(ACOMPANHAMENTO="PLE",ISNUMBER($F14)),
                SUMIF((OFFSET(CÁLCULO!$BC$15:$BU$15,$F14,0,OFFSET(ORÇAMENTO!$D$15,CRONO!$F14,0))),CRONO!AA$12,OFFSET(CÁLCULO!$AJ$15:$BB$15,$F14,0,OFFSET(ORÇAMENTO!$D$15,CRONO!$F14,0)))
                +IF(AND($F16&lt;&gt;"",$F16&lt;&gt;0),
                        SUMIF(CÁLCULO!$BC$15:$BU$191,CRONO!AA$12,CÁLCULO!$AJ$15:$BB$191)/(ORÇAMENTO!$X$15-CÁLCULO.TotalAdmLocal)*CRONO!$F16,
                        0),
                 AA15*$S14),
          SUMIF(OFFSET($S16,1,0,$R14-2),($M14+1)&amp;"$",OFFSET(AA16,1,0,$R14-2)))</f>
        <v>1581023.37</v>
      </c>
      <c r="AB16" s="202" cm="1">
        <f t="array" aca="1" ref="AB16" ca="1">IF($R14=2,
         IF(AND(ACOMPANHAMENTO="PLE",ISNUMBER($F14)),
                SUMIF((OFFSET(CÁLCULO!$BC$15:$BU$15,$F14,0,OFFSET(ORÇAMENTO!$D$15,CRONO!$F14,0))),CRONO!AB$12,OFFSET(CÁLCULO!$AJ$15:$BB$15,$F14,0,OFFSET(ORÇAMENTO!$D$15,CRONO!$F14,0)))
                +IF(AND($F16&lt;&gt;"",$F16&lt;&gt;0),
                        SUMIF(CÁLCULO!$BC$15:$BU$191,CRONO!AB$12,CÁLCULO!$AJ$15:$BB$191)/(ORÇAMENTO!$X$15-CÁLCULO.TotalAdmLocal)*CRONO!$F16,
                        0),
                 AB15*$S14),
          SUMIF(OFFSET($S16,1,0,$R14-2),($M14+1)&amp;"$",OFFSET(AB16,1,0,$R14-2)))</f>
        <v>34597.32</v>
      </c>
      <c r="AC16" s="202" cm="1">
        <f t="array" aca="1" ref="AC16" ca="1">IF($R14=2,
         IF(AND(ACOMPANHAMENTO="PLE",ISNUMBER($F14)),
                SUMIF((OFFSET(CÁLCULO!$BC$15:$BU$15,$F14,0,OFFSET(ORÇAMENTO!$D$15,CRONO!$F14,0))),CRONO!AC$12,OFFSET(CÁLCULO!$AJ$15:$BB$15,$F14,0,OFFSET(ORÇAMENTO!$D$15,CRONO!$F14,0)))
                +IF(AND($F16&lt;&gt;"",$F16&lt;&gt;0),
                        SUMIF(CÁLCULO!$BC$15:$BU$191,CRONO!AC$12,CÁLCULO!$AJ$15:$BB$191)/(ORÇAMENTO!$X$15-CÁLCULO.TotalAdmLocal)*CRONO!$F16,
                        0),
                 AC15*$S14),
          SUMIF(OFFSET($S16,1,0,$R14-2),($M14+1)&amp;"$",OFFSET(AC16,1,0,$R14-2)))</f>
        <v>1104142.2999999998</v>
      </c>
      <c r="AD16" s="202" cm="1">
        <f t="array" aca="1" ref="AD16" ca="1">IF($R14=2,
         IF(AND(ACOMPANHAMENTO="PLE",ISNUMBER($F14)),
                SUMIF((OFFSET(CÁLCULO!$BC$15:$BU$15,$F14,0,OFFSET(ORÇAMENTO!$D$15,CRONO!$F14,0))),CRONO!AD$12,OFFSET(CÁLCULO!$AJ$15:$BB$15,$F14,0,OFFSET(ORÇAMENTO!$D$15,CRONO!$F14,0)))
                +IF(AND($F16&lt;&gt;"",$F16&lt;&gt;0),
                        SUMIF(CÁLCULO!$BC$15:$BU$191,CRONO!AD$12,CÁLCULO!$AJ$15:$BB$191)/(ORÇAMENTO!$X$15-CÁLCULO.TotalAdmLocal)*CRONO!$F16,
                        0),
                 AD15*$S14),
          SUMIF(OFFSET($S16,1,0,$R14-2),($M14+1)&amp;"$",OFFSET(AD16,1,0,$R14-2)))</f>
        <v>218141.71000000002</v>
      </c>
      <c r="AE16" s="202" cm="1">
        <f t="array" aca="1" ref="AE16" ca="1">IF($R14=2,
         IF(AND(ACOMPANHAMENTO="PLE",ISNUMBER($F14)),
                SUMIF((OFFSET(CÁLCULO!$BC$15:$BU$15,$F14,0,OFFSET(ORÇAMENTO!$D$15,CRONO!$F14,0))),CRONO!AE$12,OFFSET(CÁLCULO!$AJ$15:$BB$15,$F14,0,OFFSET(ORÇAMENTO!$D$15,CRONO!$F14,0)))
                +IF(AND($F16&lt;&gt;"",$F16&lt;&gt;0),
                        SUMIF(CÁLCULO!$BC$15:$BU$191,CRONO!AE$12,CÁLCULO!$AJ$15:$BB$191)/(ORÇAMENTO!$X$15-CÁLCULO.TotalAdmLocal)*CRONO!$F16,
                        0),
                 AE15*$S14),
          SUMIF(OFFSET($S16,1,0,$R14-2),($M14+1)&amp;"$",OFFSET(AE16,1,0,$R14-2)))</f>
        <v>293191.58</v>
      </c>
      <c r="AF16" s="202" cm="1">
        <f t="array" aca="1" ref="AF16" ca="1">IF($R14=2,
         IF(AND(ACOMPANHAMENTO="PLE",ISNUMBER($F14)),
                SUMIF((OFFSET(CÁLCULO!$BC$15:$BU$15,$F14,0,OFFSET(ORÇAMENTO!$D$15,CRONO!$F14,0))),CRONO!AF$12,OFFSET(CÁLCULO!$AJ$15:$BB$15,$F14,0,OFFSET(ORÇAMENTO!$D$15,CRONO!$F14,0)))
                +IF(AND($F16&lt;&gt;"",$F16&lt;&gt;0),
                        SUMIF(CÁLCULO!$BC$15:$BU$191,CRONO!AF$12,CÁLCULO!$AJ$15:$BB$191)/(ORÇAMENTO!$X$15-CÁLCULO.TotalAdmLocal)*CRONO!$F16,
                        0),
                 AF15*$S14),
          SUMIF(OFFSET($S16,1,0,$R14-2),($M14+1)&amp;"$",OFFSET(AF16,1,0,$R14-2)))</f>
        <v>579302.01</v>
      </c>
      <c r="AG16" s="534"/>
    </row>
    <row r="17" spans="1:33" x14ac:dyDescent="0.2">
      <c r="A17" s="186" t="str">
        <f t="shared" ref="A17" ca="1" si="8">IF($M17&gt;1,_xlfn.CONCAT($I17," ",$J17),"")</f>
        <v>1.1. CANTEIROS DE OBRAS</v>
      </c>
      <c r="B17" s="185">
        <f t="shared" ref="B17" ca="1" si="9">OFFSET(B17,-3,0)+1</f>
        <v>2</v>
      </c>
      <c r="C17" s="185">
        <f ca="1">IF($R17&lt;&gt;2,0,IF($S17=0,1,IF(F18&gt;0,OFFSET(QCI!$M$13,SUBSTITUTE(F18,".",""),0),OFFSET(ORÇAMENTO!$AA$15,CRONO!$F17,0))/$S17))</f>
        <v>0</v>
      </c>
      <c r="D17" s="185">
        <f ca="1">IF($R17&lt;&gt;2,0,IF($S17=0,1,IF(F18&gt;0,OFFSET(QCI!$N$13,SUBSTITUTE(F18,".",""),0),OFFSET(ORÇAMENTO!$AB$15,CRONO!$F17,0))/$S17))</f>
        <v>0</v>
      </c>
      <c r="E17" s="188" cm="1">
        <f t="array" aca="1" ref="E17" ca="1">IF(AND($R17=2,ACOMPANHAMENTO="BM"),ROUND(E18,4),E19/$S17)</f>
        <v>0</v>
      </c>
      <c r="F17" s="185" cm="1">
        <f t="array" aca="1" ref="F17" ca="1">IF(B17&lt;=ORÇAMENTO.MáximoListaCrono,MATCH(B17,ORÇAMENTO.ListaCrono,0),NA())</f>
        <v>2</v>
      </c>
      <c r="G17" s="185" t="str">
        <f t="shared" ref="G17" ca="1" si="10">IF(AND($F18&lt;&gt;-1,$S17&gt;0),"F","")</f>
        <v>F</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CANTEIROS DE OBRAS</v>
      </c>
      <c r="K17" s="191"/>
      <c r="L17" s="191"/>
      <c r="M17" s="192">
        <f ca="1">IF($F18=0,OFFSET(ORÇAMENTO!C$15,$F17,0),1)</f>
        <v>2</v>
      </c>
      <c r="N17" s="193">
        <f ca="1">IF($F18=-1,0,IF(N$13&lt;=$M17,IF(ISERROR(MATCH(N$13,OFFSET($M17,1,0,ROW($M$92)-ROW($M17)-1),0)),ROW($M$92)-ROW($M17)-1,MATCH(N$13,OFFSET($M17,1,0,ROW($M$92)-ROW($M17)-1),0)-1),0))</f>
        <v>71</v>
      </c>
      <c r="O17" s="193">
        <f ca="1">IF($F18=-1,0,IF(O$13&lt;=$M17,IF(ISERROR(MATCH(O$13,OFFSET($M17,1,0,ROW($M$92)-ROW($M17)-1),0)),ROW($M$92)-ROW($M17)-1,MATCH(O$13,OFFSET($M17,1,0,ROW($M$92)-ROW($M17)-1),0)-1),0))</f>
        <v>2</v>
      </c>
      <c r="P17" s="193">
        <f ca="1">IF($F18=-1,0,IF(P$13&lt;=$M17,IF(ISERROR(MATCH(P$13,OFFSET($M17,1,0,ROW($M$92)-ROW($M17)-1),0)),ROW($M$92)-ROW($M17)-1,MATCH(P$13,OFFSET($M17,1,0,ROW($M$92)-ROW($M17)-1),0)-1),0))</f>
        <v>0</v>
      </c>
      <c r="Q17" s="193">
        <f ca="1">IF($F18=-1,0,IF(Q$13&lt;=$M17,IF(ISERROR(MATCH(Q$13,OFFSET($M17,1,0,ROW($M$92)-ROW($M17)-1),0)),ROW($M$92)-ROW($M17)-1,MATCH(Q$13,OFFSET($M17,1,0,ROW($M$92)-ROW($M17)-1),0)-1),0))</f>
        <v>0</v>
      </c>
      <c r="R17" s="193">
        <f t="shared" ref="R17" ca="1" si="11">MIN(OFFSET(M17,0,1,,M17))</f>
        <v>2</v>
      </c>
      <c r="S17" s="194">
        <f ca="1">IF($F18=0,OFFSET(ORÇAMENTO!X$15,$F17,0),IF($F18&lt;&gt;-1,OFFSET(QCI!$O$13,$F18,0),""))</f>
        <v>17998.599999999999</v>
      </c>
      <c r="T17" s="195" t="s">
        <v>785</v>
      </c>
      <c r="U17" s="188" cm="1">
        <f t="array" aca="1" ref="U17" ca="1">IF(AND($R17=2,ACOMPANHAMENTO="BM"),ROUND(U18,4),U19/$S17)</f>
        <v>0</v>
      </c>
      <c r="V17" s="188" cm="1">
        <f t="array" aca="1" ref="V17" ca="1">IF(AND($R17=2,ACOMPANHAMENTO="BM"),ROUND(V18,4),V19/$S17)</f>
        <v>0</v>
      </c>
      <c r="W17" s="188" cm="1">
        <f t="array" aca="1" ref="W17" ca="1">IF(AND($R17=2,ACOMPANHAMENTO="BM"),ROUND(W18,4),W19/$S17)</f>
        <v>1.0000000000000002</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hidden="1" customHeight="1" x14ac:dyDescent="0.2">
      <c r="E18" s="587"/>
      <c r="F18" s="185">
        <f ca="1">IF(ISERROR(F17),IF(1+COUNTIF($M$13:OFFSET(M17,-1,0),1)&lt;=MAX(QCI!$D$13:$D$24),1+COUNTIF($M$13:OFFSET(M17,-1,0),1),-1),0)</f>
        <v>0</v>
      </c>
      <c r="G18" s="185" t="str" cm="1">
        <f t="array" aca="1" ref="G18" ca="1">IF(ACOMPANHAMENTO="BM",OFFSET(G18,-1,0),"")</f>
        <v/>
      </c>
      <c r="H18" s="196" t="str" cm="1">
        <f t="array" aca="1" ref="H18" ca="1">IF(OR(S17=0,S17=""),"vazia",IF(AND(OR(ACOMPANHAMENTO="PLE",$R17&lt;&gt;2),$F18=0),"calculada","--&gt;"))</f>
        <v>calculada</v>
      </c>
      <c r="I18" s="197"/>
      <c r="J18" s="198" t="str">
        <f t="shared" ref="J18" ca="1" si="12">IF(AND(H17&lt;&gt;0,ISNUMBER(H17)),"PREENCHA ESTA LINHA --&gt;","")</f>
        <v/>
      </c>
      <c r="K18" s="198"/>
      <c r="L18" s="198"/>
      <c r="M18" s="199"/>
      <c r="N18" s="199"/>
      <c r="O18" s="199"/>
      <c r="P18" s="199"/>
      <c r="Q18" s="199"/>
      <c r="R18" s="199"/>
      <c r="S18" s="200"/>
      <c r="T18" s="201"/>
      <c r="U18" s="587"/>
      <c r="V18" s="587"/>
      <c r="W18" s="587"/>
      <c r="X18" s="587"/>
      <c r="Y18" s="587"/>
      <c r="Z18" s="587"/>
      <c r="AA18" s="587"/>
      <c r="AB18" s="587"/>
      <c r="AC18" s="587"/>
      <c r="AD18" s="587"/>
      <c r="AE18" s="587"/>
      <c r="AF18" s="587"/>
      <c r="AG18" s="534"/>
    </row>
    <row r="19" spans="1:33" ht="12.75" hidden="1" customHeight="1" x14ac:dyDescent="0.2">
      <c r="D19" s="533"/>
      <c r="E19" s="202" cm="1">
        <f t="array" aca="1" ref="E19" ca="1">IF($R17=2,
         IF(AND(ACOMPANHAMENTO="PLE",ISNUMBER($F17)),
                SUMIF((OFFSET(CÁLCULO!$BC$15:$BU$15,$F17,0,OFFSET(ORÇAMENTO!$D$15,CRONO!$F17,0))),CRONO!E$12,OFFSET(CÁLCULO!$AJ$15:$BB$15,$F17,0,OFFSET(ORÇAMENTO!$D$15,CRONO!$F17,0)))
                +IF(AND($F19&lt;&gt;"",$F19&lt;&gt;0),
                        SUMIF(CÁLCULO!$BC$15:$BU$191,CRONO!E$12,CÁLCULO!$AJ$15:$BB$191)/(ORÇAMENTO!$X$15-CÁLCULO.TotalAdmLocal)*CRONO!$F19,
                        0),
                 E18*$S17),
          SUMIF(OFFSET($S19,1,0,$R17-2),($M17+1)&amp;"$",OFFSET(E19,1,0,$R17-2)))</f>
        <v>0</v>
      </c>
      <c r="F19" s="185">
        <f ca="1">IF(OR($R17&lt;&gt;2,AUTOEVENTO&lt;&gt;"manual",$F18&gt;0),"",
        IF(Import.TipoArredondamento="Tradicional",
              SUMIF(OFFSET(CÁLCULO!$M$15,CRONO!$F17,0,OFFSET(ORÇAMENTO!$D$15,CRONO!$F17,0)),1,OFFSET(ORÇAMENTO!$X$15,CRONO!$F17,0,OFFSET(ORÇAMENTO!$D$15,CRONO!$F17,0))),
              0))</f>
        <v>0</v>
      </c>
      <c r="H19" s="667"/>
      <c r="S19" s="204" t="str">
        <f t="shared" ref="S19" ca="1" si="13">M17&amp;"$"</f>
        <v>2$</v>
      </c>
      <c r="T19" s="205"/>
      <c r="U19" s="202" cm="1">
        <f t="array" aca="1" ref="U19" ca="1">IF($R17=2,
         IF(AND(ACOMPANHAMENTO="PLE",ISNUMBER($F17)),
                SUMIF((OFFSET(CÁLCULO!$BC$15:$BU$15,$F17,0,OFFSET(ORÇAMENTO!$D$15,CRONO!$F17,0))),CRONO!U$12,OFFSET(CÁLCULO!$AJ$15:$BB$15,$F17,0,OFFSET(ORÇAMENTO!$D$15,CRONO!$F17,0)))
                +IF(AND($F19&lt;&gt;"",$F19&lt;&gt;0),
                        SUMIF(CÁLCULO!$BC$15:$BU$191,CRONO!U$12,CÁLCULO!$AJ$15:$BB$191)/(ORÇAMENTO!$X$15-CÁLCULO.TotalAdmLocal)*CRONO!$F19,
                        0),
                 U18*$S17),
          SUMIF(OFFSET($S19,1,0,$R17-2),($M17+1)&amp;"$",OFFSET(U19,1,0,$R17-2)))</f>
        <v>0</v>
      </c>
      <c r="V19" s="202" cm="1">
        <f t="array" aca="1" ref="V19" ca="1">IF($R17=2,
         IF(AND(ACOMPANHAMENTO="PLE",ISNUMBER($F17)),
                SUMIF((OFFSET(CÁLCULO!$BC$15:$BU$15,$F17,0,OFFSET(ORÇAMENTO!$D$15,CRONO!$F17,0))),CRONO!V$12,OFFSET(CÁLCULO!$AJ$15:$BB$15,$F17,0,OFFSET(ORÇAMENTO!$D$15,CRONO!$F17,0)))
                +IF(AND($F19&lt;&gt;"",$F19&lt;&gt;0),
                        SUMIF(CÁLCULO!$BC$15:$BU$191,CRONO!V$12,CÁLCULO!$AJ$15:$BB$191)/(ORÇAMENTO!$X$15-CÁLCULO.TotalAdmLocal)*CRONO!$F19,
                        0),
                 V18*$S17),
          SUMIF(OFFSET($S19,1,0,$R17-2),($M17+1)&amp;"$",OFFSET(V19,1,0,$R17-2)))</f>
        <v>0</v>
      </c>
      <c r="W19" s="202" cm="1">
        <f t="array" aca="1" ref="W19" ca="1">IF($R17=2,
         IF(AND(ACOMPANHAMENTO="PLE",ISNUMBER($F17)),
                SUMIF((OFFSET(CÁLCULO!$BC$15:$BU$15,$F17,0,OFFSET(ORÇAMENTO!$D$15,CRONO!$F17,0))),CRONO!W$12,OFFSET(CÁLCULO!$AJ$15:$BB$15,$F17,0,OFFSET(ORÇAMENTO!$D$15,CRONO!$F17,0)))
                +IF(AND($F19&lt;&gt;"",$F19&lt;&gt;0),
                        SUMIF(CÁLCULO!$BC$15:$BU$191,CRONO!W$12,CÁLCULO!$AJ$15:$BB$191)/(ORÇAMENTO!$X$15-CÁLCULO.TotalAdmLocal)*CRONO!$F19,
                        0),
                 W18*$S17),
          SUMIF(OFFSET($S19,1,0,$R17-2),($M17+1)&amp;"$",OFFSET(W19,1,0,$R17-2)))</f>
        <v>17998.600000000002</v>
      </c>
      <c r="X19" s="202" cm="1">
        <f t="array" aca="1" ref="X19" ca="1">IF($R17=2,
         IF(AND(ACOMPANHAMENTO="PLE",ISNUMBER($F17)),
                SUMIF((OFFSET(CÁLCULO!$BC$15:$BU$15,$F17,0,OFFSET(ORÇAMENTO!$D$15,CRONO!$F17,0))),CRONO!X$12,OFFSET(CÁLCULO!$AJ$15:$BB$15,$F17,0,OFFSET(ORÇAMENTO!$D$15,CRONO!$F17,0)))
                +IF(AND($F19&lt;&gt;"",$F19&lt;&gt;0),
                        SUMIF(CÁLCULO!$BC$15:$BU$191,CRONO!X$12,CÁLCULO!$AJ$15:$BB$191)/(ORÇAMENTO!$X$15-CÁLCULO.TotalAdmLocal)*CRONO!$F19,
                        0),
                 X18*$S17),
          SUMIF(OFFSET($S19,1,0,$R17-2),($M17+1)&amp;"$",OFFSET(X19,1,0,$R17-2)))</f>
        <v>0</v>
      </c>
      <c r="Y19" s="202" cm="1">
        <f t="array" aca="1" ref="Y19" ca="1">IF($R17=2,
         IF(AND(ACOMPANHAMENTO="PLE",ISNUMBER($F17)),
                SUMIF((OFFSET(CÁLCULO!$BC$15:$BU$15,$F17,0,OFFSET(ORÇAMENTO!$D$15,CRONO!$F17,0))),CRONO!Y$12,OFFSET(CÁLCULO!$AJ$15:$BB$15,$F17,0,OFFSET(ORÇAMENTO!$D$15,CRONO!$F17,0)))
                +IF(AND($F19&lt;&gt;"",$F19&lt;&gt;0),
                        SUMIF(CÁLCULO!$BC$15:$BU$191,CRONO!Y$12,CÁLCULO!$AJ$15:$BB$191)/(ORÇAMENTO!$X$15-CÁLCULO.TotalAdmLocal)*CRONO!$F19,
                        0),
                 Y18*$S17),
          SUMIF(OFFSET($S19,1,0,$R17-2),($M17+1)&amp;"$",OFFSET(Y19,1,0,$R17-2)))</f>
        <v>0</v>
      </c>
      <c r="Z19" s="202" cm="1">
        <f t="array" aca="1" ref="Z19" ca="1">IF($R17=2,
         IF(AND(ACOMPANHAMENTO="PLE",ISNUMBER($F17)),
                SUMIF((OFFSET(CÁLCULO!$BC$15:$BU$15,$F17,0,OFFSET(ORÇAMENTO!$D$15,CRONO!$F17,0))),CRONO!Z$12,OFFSET(CÁLCULO!$AJ$15:$BB$15,$F17,0,OFFSET(ORÇAMENTO!$D$15,CRONO!$F17,0)))
                +IF(AND($F19&lt;&gt;"",$F19&lt;&gt;0),
                        SUMIF(CÁLCULO!$BC$15:$BU$191,CRONO!Z$12,CÁLCULO!$AJ$15:$BB$191)/(ORÇAMENTO!$X$15-CÁLCULO.TotalAdmLocal)*CRONO!$F19,
                        0),
                 Z18*$S17),
          SUMIF(OFFSET($S19,1,0,$R17-2),($M17+1)&amp;"$",OFFSET(Z19,1,0,$R17-2)))</f>
        <v>0</v>
      </c>
      <c r="AA19" s="202" cm="1">
        <f t="array" aca="1" ref="AA19" ca="1">IF($R17=2,
         IF(AND(ACOMPANHAMENTO="PLE",ISNUMBER($F17)),
                SUMIF((OFFSET(CÁLCULO!$BC$15:$BU$15,$F17,0,OFFSET(ORÇAMENTO!$D$15,CRONO!$F17,0))),CRONO!AA$12,OFFSET(CÁLCULO!$AJ$15:$BB$15,$F17,0,OFFSET(ORÇAMENTO!$D$15,CRONO!$F17,0)))
                +IF(AND($F19&lt;&gt;"",$F19&lt;&gt;0),
                        SUMIF(CÁLCULO!$BC$15:$BU$191,CRONO!AA$12,CÁLCULO!$AJ$15:$BB$191)/(ORÇAMENTO!$X$15-CÁLCULO.TotalAdmLocal)*CRONO!$F19,
                        0),
                 AA18*$S17),
          SUMIF(OFFSET($S19,1,0,$R17-2),($M17+1)&amp;"$",OFFSET(AA19,1,0,$R17-2)))</f>
        <v>0</v>
      </c>
      <c r="AB19" s="202" cm="1">
        <f t="array" aca="1" ref="AB19" ca="1">IF($R17=2,
         IF(AND(ACOMPANHAMENTO="PLE",ISNUMBER($F17)),
                SUMIF((OFFSET(CÁLCULO!$BC$15:$BU$15,$F17,0,OFFSET(ORÇAMENTO!$D$15,CRONO!$F17,0))),CRONO!AB$12,OFFSET(CÁLCULO!$AJ$15:$BB$15,$F17,0,OFFSET(ORÇAMENTO!$D$15,CRONO!$F17,0)))
                +IF(AND($F19&lt;&gt;"",$F19&lt;&gt;0),
                        SUMIF(CÁLCULO!$BC$15:$BU$191,CRONO!AB$12,CÁLCULO!$AJ$15:$BB$191)/(ORÇAMENTO!$X$15-CÁLCULO.TotalAdmLocal)*CRONO!$F19,
                        0),
                 AB18*$S17),
          SUMIF(OFFSET($S19,1,0,$R17-2),($M17+1)&amp;"$",OFFSET(AB19,1,0,$R17-2)))</f>
        <v>0</v>
      </c>
      <c r="AC19" s="202" cm="1">
        <f t="array" aca="1" ref="AC19" ca="1">IF($R17=2,
         IF(AND(ACOMPANHAMENTO="PLE",ISNUMBER($F17)),
                SUMIF((OFFSET(CÁLCULO!$BC$15:$BU$15,$F17,0,OFFSET(ORÇAMENTO!$D$15,CRONO!$F17,0))),CRONO!AC$12,OFFSET(CÁLCULO!$AJ$15:$BB$15,$F17,0,OFFSET(ORÇAMENTO!$D$15,CRONO!$F17,0)))
                +IF(AND($F19&lt;&gt;"",$F19&lt;&gt;0),
                        SUMIF(CÁLCULO!$BC$15:$BU$191,CRONO!AC$12,CÁLCULO!$AJ$15:$BB$191)/(ORÇAMENTO!$X$15-CÁLCULO.TotalAdmLocal)*CRONO!$F19,
                        0),
                 AC18*$S17),
          SUMIF(OFFSET($S19,1,0,$R17-2),($M17+1)&amp;"$",OFFSET(AC19,1,0,$R17-2)))</f>
        <v>0</v>
      </c>
      <c r="AD19" s="202" cm="1">
        <f t="array" aca="1" ref="AD19" ca="1">IF($R17=2,
         IF(AND(ACOMPANHAMENTO="PLE",ISNUMBER($F17)),
                SUMIF((OFFSET(CÁLCULO!$BC$15:$BU$15,$F17,0,OFFSET(ORÇAMENTO!$D$15,CRONO!$F17,0))),CRONO!AD$12,OFFSET(CÁLCULO!$AJ$15:$BB$15,$F17,0,OFFSET(ORÇAMENTO!$D$15,CRONO!$F17,0)))
                +IF(AND($F19&lt;&gt;"",$F19&lt;&gt;0),
                        SUMIF(CÁLCULO!$BC$15:$BU$191,CRONO!AD$12,CÁLCULO!$AJ$15:$BB$191)/(ORÇAMENTO!$X$15-CÁLCULO.TotalAdmLocal)*CRONO!$F19,
                        0),
                 AD18*$S17),
          SUMIF(OFFSET($S19,1,0,$R17-2),($M17+1)&amp;"$",OFFSET(AD19,1,0,$R17-2)))</f>
        <v>0</v>
      </c>
      <c r="AE19" s="202" cm="1">
        <f t="array" aca="1" ref="AE19" ca="1">IF($R17=2,
         IF(AND(ACOMPANHAMENTO="PLE",ISNUMBER($F17)),
                SUMIF((OFFSET(CÁLCULO!$BC$15:$BU$15,$F17,0,OFFSET(ORÇAMENTO!$D$15,CRONO!$F17,0))),CRONO!AE$12,OFFSET(CÁLCULO!$AJ$15:$BB$15,$F17,0,OFFSET(ORÇAMENTO!$D$15,CRONO!$F17,0)))
                +IF(AND($F19&lt;&gt;"",$F19&lt;&gt;0),
                        SUMIF(CÁLCULO!$BC$15:$BU$191,CRONO!AE$12,CÁLCULO!$AJ$15:$BB$191)/(ORÇAMENTO!$X$15-CÁLCULO.TotalAdmLocal)*CRONO!$F19,
                        0),
                 AE18*$S17),
          SUMIF(OFFSET($S19,1,0,$R17-2),($M17+1)&amp;"$",OFFSET(AE19,1,0,$R17-2)))</f>
        <v>0</v>
      </c>
      <c r="AF19" s="202" cm="1">
        <f t="array" aca="1" ref="AF19" ca="1">IF($R17=2,
         IF(AND(ACOMPANHAMENTO="PLE",ISNUMBER($F17)),
                SUMIF((OFFSET(CÁLCULO!$BC$15:$BU$15,$F17,0,OFFSET(ORÇAMENTO!$D$15,CRONO!$F17,0))),CRONO!AF$12,OFFSET(CÁLCULO!$AJ$15:$BB$15,$F17,0,OFFSET(ORÇAMENTO!$D$15,CRONO!$F17,0)))
                +IF(AND($F19&lt;&gt;"",$F19&lt;&gt;0),
                        SUMIF(CÁLCULO!$BC$15:$BU$191,CRONO!AF$12,CÁLCULO!$AJ$15:$BB$191)/(ORÇAMENTO!$X$15-CÁLCULO.TotalAdmLocal)*CRONO!$F19,
                        0),
                 AF18*$S17),
          SUMIF(OFFSET($S19,1,0,$R17-2),($M17+1)&amp;"$",OFFSET(AF19,1,0,$R17-2)))</f>
        <v>0</v>
      </c>
      <c r="AG19" s="534"/>
    </row>
    <row r="20" spans="1:33" x14ac:dyDescent="0.2">
      <c r="A20" s="186" t="str">
        <f t="shared" ref="A20" ca="1" si="14">IF($M20&gt;1,_xlfn.CONCAT($I20," ",$J20),"")</f>
        <v>1.2. SERVIÇOS PRELIMINARES</v>
      </c>
      <c r="B20" s="185">
        <f t="shared" ref="B20" ca="1" si="15">OFFSET(B20,-3,0)+1</f>
        <v>3</v>
      </c>
      <c r="C20" s="185">
        <f ca="1">IF($R20&lt;&gt;2,0,IF($S20=0,1,IF(F21&gt;0,OFFSET(QCI!$M$13,SUBSTITUTE(F21,".",""),0),OFFSET(ORÇAMENTO!$AA$15,CRONO!$F20,0))/$S20))</f>
        <v>0</v>
      </c>
      <c r="D20" s="185">
        <f ca="1">IF($R20&lt;&gt;2,0,IF($S20=0,1,IF(F21&gt;0,OFFSET(QCI!$N$13,SUBSTITUTE(F21,".",""),0),OFFSET(ORÇAMENTO!$AB$15,CRONO!$F20,0))/$S20))</f>
        <v>0</v>
      </c>
      <c r="E20" s="188" cm="1">
        <f t="array" aca="1" ref="E20" ca="1">IF(AND($R20=2,ACOMPANHAMENTO="BM"),ROUND(E21,4),E22/$S20)</f>
        <v>0</v>
      </c>
      <c r="F20" s="185" cm="1">
        <f t="array" aca="1" ref="F20" ca="1">IF(B20&lt;=ORÇAMENTO.MáximoListaCrono,MATCH(B20,ORÇAMENTO.ListaCrono,0),NA())</f>
        <v>7</v>
      </c>
      <c r="G20" s="185" t="str">
        <f t="shared" ref="G20" ca="1" si="16">IF(AND($F21&lt;&gt;-1,$S20&gt;0),"F","")</f>
        <v>F</v>
      </c>
      <c r="H20" s="189" t="str" cm="1">
        <f t="array" aca="1" ref="H20" ca="1">IF(OR(S20=0,S20=""),"Linha",IF(AND(OR(ACOMPANHAMENTO="PLE",$R20&lt;&gt;2),$F21=0),"Linha",ROUND(1-SUM(U20:AG20),4)))</f>
        <v>Linha</v>
      </c>
      <c r="I20" s="190" t="str">
        <f ca="1">IF($F21=0,OFFSET(ORÇAMENTO!O$15,$F20,0),IF($F21&lt;&gt;-1,OFFSET(QCI!$D$13,$F21,0),""))</f>
        <v>1.2.</v>
      </c>
      <c r="J20" s="191" t="str">
        <f ca="1">IF($F21=0,OFFSET(ORÇAMENTO!R$15,$F20,0),IF($F21&lt;&gt;-1,OFFSET(QCI!$G$13,$F21,0),""))</f>
        <v>SERVIÇOS PRELIMINARES</v>
      </c>
      <c r="K20" s="191"/>
      <c r="L20" s="191"/>
      <c r="M20" s="192">
        <f ca="1">IF($F21=0,OFFSET(ORÇAMENTO!C$15,$F20,0),1)</f>
        <v>2</v>
      </c>
      <c r="N20" s="193">
        <f ca="1">IF($F21=-1,0,IF(N$13&lt;=$M20,IF(ISERROR(MATCH(N$13,OFFSET($M20,1,0,ROW($M$92)-ROW($M20)-1),0)),ROW($M$92)-ROW($M20)-1,MATCH(N$13,OFFSET($M20,1,0,ROW($M$92)-ROW($M20)-1),0)-1),0))</f>
        <v>68</v>
      </c>
      <c r="O20" s="193">
        <f ca="1">IF($F21=-1,0,IF(O$13&lt;=$M20,IF(ISERROR(MATCH(O$13,OFFSET($M20,1,0,ROW($M$92)-ROW($M20)-1),0)),ROW($M$92)-ROW($M20)-1,MATCH(O$13,OFFSET($M20,1,0,ROW($M$92)-ROW($M20)-1),0)-1),0))</f>
        <v>2</v>
      </c>
      <c r="P20" s="193">
        <f ca="1">IF($F21=-1,0,IF(P$13&lt;=$M20,IF(ISERROR(MATCH(P$13,OFFSET($M20,1,0,ROW($M$92)-ROW($M20)-1),0)),ROW($M$92)-ROW($M20)-1,MATCH(P$13,OFFSET($M20,1,0,ROW($M$92)-ROW($M20)-1),0)-1),0))</f>
        <v>0</v>
      </c>
      <c r="Q20" s="193">
        <f ca="1">IF($F21=-1,0,IF(Q$13&lt;=$M20,IF(ISERROR(MATCH(Q$13,OFFSET($M20,1,0,ROW($M$92)-ROW($M20)-1),0)),ROW($M$92)-ROW($M20)-1,MATCH(Q$13,OFFSET($M20,1,0,ROW($M$92)-ROW($M20)-1),0)-1),0))</f>
        <v>0</v>
      </c>
      <c r="R20" s="193">
        <f t="shared" ref="R20" ca="1" si="17">MIN(OFFSET(M20,0,1,,M20))</f>
        <v>2</v>
      </c>
      <c r="S20" s="194">
        <f ca="1">IF($F21=0,OFFSET(ORÇAMENTO!X$15,$F20,0),IF($F21&lt;&gt;-1,OFFSET(QCI!$O$13,$F21,0),""))</f>
        <v>22366.32</v>
      </c>
      <c r="T20" s="195" t="s">
        <v>785</v>
      </c>
      <c r="U20" s="188" cm="1">
        <f t="array" aca="1" ref="U20" ca="1">IF(AND($R20=2,ACOMPANHAMENTO="BM"),ROUND(U21,4),U22/$S20)</f>
        <v>0</v>
      </c>
      <c r="V20" s="188" cm="1">
        <f t="array" aca="1" ref="V20" ca="1">IF(AND($R20=2,ACOMPANHAMENTO="BM"),ROUND(V21,4),V22/$S20)</f>
        <v>0</v>
      </c>
      <c r="W20" s="188" cm="1">
        <f t="array" aca="1" ref="W20" ca="1">IF(AND($R20=2,ACOMPANHAMENTO="BM"),ROUND(W21,4),W22/$S20)</f>
        <v>0</v>
      </c>
      <c r="X20" s="188" cm="1">
        <f t="array" aca="1" ref="X20" ca="1">IF(AND($R20=2,ACOMPANHAMENTO="BM"),ROUND(X21,4),X22/$S20)</f>
        <v>0.60792790231025939</v>
      </c>
      <c r="Y20" s="188" cm="1">
        <f t="array" aca="1" ref="Y20" ca="1">IF(AND($R20=2,ACOMPANHAMENTO="BM"),ROUND(Y21,4),Y22/$S20)</f>
        <v>2.4192625340243722E-3</v>
      </c>
      <c r="Z20" s="188" cm="1">
        <f t="array" aca="1" ref="Z20" ca="1">IF(AND($R20=2,ACOMPANHAMENTO="BM"),ROUND(Z21,4),Z22/$S20)</f>
        <v>2.4192625340243722E-3</v>
      </c>
      <c r="AA20" s="188" cm="1">
        <f t="array" aca="1" ref="AA20" ca="1">IF(AND($R20=2,ACOMPANHAMENTO="BM"),ROUND(AA21,4),AA22/$S20)</f>
        <v>0</v>
      </c>
      <c r="AB20" s="188" cm="1">
        <f t="array" aca="1" ref="AB20" ca="1">IF(AND($R20=2,ACOMPANHAMENTO="BM"),ROUND(AB21,4),AB22/$S20)</f>
        <v>2.4192625340243722E-3</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0.38481431008766748</v>
      </c>
      <c r="AG20" s="534"/>
    </row>
    <row r="21" spans="1:33" ht="12.75" hidden="1" customHeight="1" x14ac:dyDescent="0.2">
      <c r="E21" s="587"/>
      <c r="F21" s="185">
        <f ca="1">IF(ISERROR(F20),IF(1+COUNTIF($M$13:OFFSET(M20,-1,0),1)&lt;=MAX(QCI!$D$13:$D$24),1+COUNTIF($M$13:OFFSET(M20,-1,0),1),-1),0)</f>
        <v>0</v>
      </c>
      <c r="G21" s="185" t="str" cm="1">
        <f t="array" aca="1" ref="G21" ca="1">IF(ACOMPANHAMENTO="BM",OFFSET(G21,-1,0),"")</f>
        <v/>
      </c>
      <c r="H21" s="196" t="str" cm="1">
        <f t="array" aca="1" ref="H21" ca="1">IF(OR(S20=0,S20=""),"vazia",IF(AND(OR(ACOMPANHAMENTO="PLE",$R20&lt;&gt;2),$F21=0),"calculada","--&gt;"))</f>
        <v>calculada</v>
      </c>
      <c r="I21" s="197"/>
      <c r="J21" s="198" t="str">
        <f t="shared" ref="J21" ca="1" si="18">IF(AND(H20&lt;&gt;0,ISNUMBER(H20)),"PREENCHA ESTA LINHA --&gt;","")</f>
        <v/>
      </c>
      <c r="K21" s="198"/>
      <c r="L21" s="198"/>
      <c r="M21" s="199"/>
      <c r="N21" s="199"/>
      <c r="O21" s="199"/>
      <c r="P21" s="199"/>
      <c r="Q21" s="199"/>
      <c r="R21" s="199"/>
      <c r="S21" s="200"/>
      <c r="T21" s="201"/>
      <c r="U21" s="587"/>
      <c r="V21" s="587"/>
      <c r="W21" s="587"/>
      <c r="X21" s="587"/>
      <c r="Y21" s="587"/>
      <c r="Z21" s="587"/>
      <c r="AA21" s="587"/>
      <c r="AB21" s="587"/>
      <c r="AC21" s="587"/>
      <c r="AD21" s="587"/>
      <c r="AE21" s="587"/>
      <c r="AF21" s="587"/>
      <c r="AG21" s="534"/>
    </row>
    <row r="22" spans="1:33" ht="12.75" hidden="1" customHeight="1" x14ac:dyDescent="0.2">
      <c r="D22" s="533"/>
      <c r="E22" s="202" cm="1">
        <f t="array" aca="1" ref="E22" ca="1">IF($R20=2,
         IF(AND(ACOMPANHAMENTO="PLE",ISNUMBER($F20)),
                SUMIF((OFFSET(CÁLCULO!$BC$15:$BU$15,$F20,0,OFFSET(ORÇAMENTO!$D$15,CRONO!$F20,0))),CRONO!E$12,OFFSET(CÁLCULO!$AJ$15:$BB$15,$F20,0,OFFSET(ORÇAMENTO!$D$15,CRONO!$F20,0)))
                +IF(AND($F22&lt;&gt;"",$F22&lt;&gt;0),
                        SUMIF(CÁLCULO!$BC$15:$BU$191,CRONO!E$12,CÁLCULO!$AJ$15:$BB$191)/(ORÇAMENTO!$X$15-CÁLCULO.TotalAdmLocal)*CRONO!$F22,
                        0),
                 E21*$S20),
          SUMIF(OFFSET($S22,1,0,$R20-2),($M20+1)&amp;"$",OFFSET(E22,1,0,$R20-2)))</f>
        <v>0</v>
      </c>
      <c r="F22" s="185">
        <f ca="1">IF(OR($R20&lt;&gt;2,AUTOEVENTO&lt;&gt;"manual",$F21&gt;0),"",
        IF(Import.TipoArredondamento="Tradicional",
              SUMIF(OFFSET(CÁLCULO!$M$15,CRONO!$F20,0,OFFSET(ORÇAMENTO!$D$15,CRONO!$F20,0)),1,OFFSET(ORÇAMENTO!$X$15,CRONO!$F20,0,OFFSET(ORÇAMENTO!$D$15,CRONO!$F20,0))),
              0))</f>
        <v>0</v>
      </c>
      <c r="H22" s="667"/>
      <c r="S22" s="204" t="str">
        <f t="shared" ref="S22" ca="1" si="19">M20&amp;"$"</f>
        <v>2$</v>
      </c>
      <c r="T22" s="205"/>
      <c r="U22" s="202" cm="1">
        <f t="array" aca="1" ref="U22" ca="1">IF($R20=2,
         IF(AND(ACOMPANHAMENTO="PLE",ISNUMBER($F20)),
                SUMIF((OFFSET(CÁLCULO!$BC$15:$BU$15,$F20,0,OFFSET(ORÇAMENTO!$D$15,CRONO!$F20,0))),CRONO!U$12,OFFSET(CÁLCULO!$AJ$15:$BB$15,$F20,0,OFFSET(ORÇAMENTO!$D$15,CRONO!$F20,0)))
                +IF(AND($F22&lt;&gt;"",$F22&lt;&gt;0),
                        SUMIF(CÁLCULO!$BC$15:$BU$191,CRONO!U$12,CÁLCULO!$AJ$15:$BB$191)/(ORÇAMENTO!$X$15-CÁLCULO.TotalAdmLocal)*CRONO!$F22,
                        0),
                 U21*$S20),
          SUMIF(OFFSET($S22,1,0,$R20-2),($M20+1)&amp;"$",OFFSET(U22,1,0,$R20-2)))</f>
        <v>0</v>
      </c>
      <c r="V22" s="202" cm="1">
        <f t="array" aca="1" ref="V22" ca="1">IF($R20=2,
         IF(AND(ACOMPANHAMENTO="PLE",ISNUMBER($F20)),
                SUMIF((OFFSET(CÁLCULO!$BC$15:$BU$15,$F20,0,OFFSET(ORÇAMENTO!$D$15,CRONO!$F20,0))),CRONO!V$12,OFFSET(CÁLCULO!$AJ$15:$BB$15,$F20,0,OFFSET(ORÇAMENTO!$D$15,CRONO!$F20,0)))
                +IF(AND($F22&lt;&gt;"",$F22&lt;&gt;0),
                        SUMIF(CÁLCULO!$BC$15:$BU$191,CRONO!V$12,CÁLCULO!$AJ$15:$BB$191)/(ORÇAMENTO!$X$15-CÁLCULO.TotalAdmLocal)*CRONO!$F22,
                        0),
                 V21*$S20),
          SUMIF(OFFSET($S22,1,0,$R20-2),($M20+1)&amp;"$",OFFSET(V22,1,0,$R20-2)))</f>
        <v>0</v>
      </c>
      <c r="W22" s="202" cm="1">
        <f t="array" aca="1" ref="W22" ca="1">IF($R20=2,
         IF(AND(ACOMPANHAMENTO="PLE",ISNUMBER($F20)),
                SUMIF((OFFSET(CÁLCULO!$BC$15:$BU$15,$F20,0,OFFSET(ORÇAMENTO!$D$15,CRONO!$F20,0))),CRONO!W$12,OFFSET(CÁLCULO!$AJ$15:$BB$15,$F20,0,OFFSET(ORÇAMENTO!$D$15,CRONO!$F20,0)))
                +IF(AND($F22&lt;&gt;"",$F22&lt;&gt;0),
                        SUMIF(CÁLCULO!$BC$15:$BU$191,CRONO!W$12,CÁLCULO!$AJ$15:$BB$191)/(ORÇAMENTO!$X$15-CÁLCULO.TotalAdmLocal)*CRONO!$F22,
                        0),
                 W21*$S20),
          SUMIF(OFFSET($S22,1,0,$R20-2),($M20+1)&amp;"$",OFFSET(W22,1,0,$R20-2)))</f>
        <v>0</v>
      </c>
      <c r="X22" s="202" cm="1">
        <f t="array" aca="1" ref="X22" ca="1">IF($R20=2,
         IF(AND(ACOMPANHAMENTO="PLE",ISNUMBER($F20)),
                SUMIF((OFFSET(CÁLCULO!$BC$15:$BU$15,$F20,0,OFFSET(ORÇAMENTO!$D$15,CRONO!$F20,0))),CRONO!X$12,OFFSET(CÁLCULO!$AJ$15:$BB$15,$F20,0,OFFSET(ORÇAMENTO!$D$15,CRONO!$F20,0)))
                +IF(AND($F22&lt;&gt;"",$F22&lt;&gt;0),
                        SUMIF(CÁLCULO!$BC$15:$BU$191,CRONO!X$12,CÁLCULO!$AJ$15:$BB$191)/(ORÇAMENTO!$X$15-CÁLCULO.TotalAdmLocal)*CRONO!$F22,
                        0),
                 X21*$S20),
          SUMIF(OFFSET($S22,1,0,$R20-2),($M20+1)&amp;"$",OFFSET(X22,1,0,$R20-2)))</f>
        <v>13597.11</v>
      </c>
      <c r="Y22" s="202" cm="1">
        <f t="array" aca="1" ref="Y22" ca="1">IF($R20=2,
         IF(AND(ACOMPANHAMENTO="PLE",ISNUMBER($F20)),
                SUMIF((OFFSET(CÁLCULO!$BC$15:$BU$15,$F20,0,OFFSET(ORÇAMENTO!$D$15,CRONO!$F20,0))),CRONO!Y$12,OFFSET(CÁLCULO!$AJ$15:$BB$15,$F20,0,OFFSET(ORÇAMENTO!$D$15,CRONO!$F20,0)))
                +IF(AND($F22&lt;&gt;"",$F22&lt;&gt;0),
                        SUMIF(CÁLCULO!$BC$15:$BU$191,CRONO!Y$12,CÁLCULO!$AJ$15:$BB$191)/(ORÇAMENTO!$X$15-CÁLCULO.TotalAdmLocal)*CRONO!$F22,
                        0),
                 Y21*$S20),
          SUMIF(OFFSET($S22,1,0,$R20-2),($M20+1)&amp;"$",OFFSET(Y22,1,0,$R20-2)))</f>
        <v>54.11</v>
      </c>
      <c r="Z22" s="202" cm="1">
        <f t="array" aca="1" ref="Z22" ca="1">IF($R20=2,
         IF(AND(ACOMPANHAMENTO="PLE",ISNUMBER($F20)),
                SUMIF((OFFSET(CÁLCULO!$BC$15:$BU$15,$F20,0,OFFSET(ORÇAMENTO!$D$15,CRONO!$F20,0))),CRONO!Z$12,OFFSET(CÁLCULO!$AJ$15:$BB$15,$F20,0,OFFSET(ORÇAMENTO!$D$15,CRONO!$F20,0)))
                +IF(AND($F22&lt;&gt;"",$F22&lt;&gt;0),
                        SUMIF(CÁLCULO!$BC$15:$BU$191,CRONO!Z$12,CÁLCULO!$AJ$15:$BB$191)/(ORÇAMENTO!$X$15-CÁLCULO.TotalAdmLocal)*CRONO!$F22,
                        0),
                 Z21*$S20),
          SUMIF(OFFSET($S22,1,0,$R20-2),($M20+1)&amp;"$",OFFSET(Z22,1,0,$R20-2)))</f>
        <v>54.11</v>
      </c>
      <c r="AA22" s="202" cm="1">
        <f t="array" aca="1" ref="AA22" ca="1">IF($R20=2,
         IF(AND(ACOMPANHAMENTO="PLE",ISNUMBER($F20)),
                SUMIF((OFFSET(CÁLCULO!$BC$15:$BU$15,$F20,0,OFFSET(ORÇAMENTO!$D$15,CRONO!$F20,0))),CRONO!AA$12,OFFSET(CÁLCULO!$AJ$15:$BB$15,$F20,0,OFFSET(ORÇAMENTO!$D$15,CRONO!$F20,0)))
                +IF(AND($F22&lt;&gt;"",$F22&lt;&gt;0),
                        SUMIF(CÁLCULO!$BC$15:$BU$191,CRONO!AA$12,CÁLCULO!$AJ$15:$BB$191)/(ORÇAMENTO!$X$15-CÁLCULO.TotalAdmLocal)*CRONO!$F22,
                        0),
                 AA21*$S20),
          SUMIF(OFFSET($S22,1,0,$R20-2),($M20+1)&amp;"$",OFFSET(AA22,1,0,$R20-2)))</f>
        <v>0</v>
      </c>
      <c r="AB22" s="202" cm="1">
        <f t="array" aca="1" ref="AB22" ca="1">IF($R20=2,
         IF(AND(ACOMPANHAMENTO="PLE",ISNUMBER($F20)),
                SUMIF((OFFSET(CÁLCULO!$BC$15:$BU$15,$F20,0,OFFSET(ORÇAMENTO!$D$15,CRONO!$F20,0))),CRONO!AB$12,OFFSET(CÁLCULO!$AJ$15:$BB$15,$F20,0,OFFSET(ORÇAMENTO!$D$15,CRONO!$F20,0)))
                +IF(AND($F22&lt;&gt;"",$F22&lt;&gt;0),
                        SUMIF(CÁLCULO!$BC$15:$BU$191,CRONO!AB$12,CÁLCULO!$AJ$15:$BB$191)/(ORÇAMENTO!$X$15-CÁLCULO.TotalAdmLocal)*CRONO!$F22,
                        0),
                 AB21*$S20),
          SUMIF(OFFSET($S22,1,0,$R20-2),($M20+1)&amp;"$",OFFSET(AB22,1,0,$R20-2)))</f>
        <v>54.11</v>
      </c>
      <c r="AC22" s="202" cm="1">
        <f t="array" aca="1" ref="AC22" ca="1">IF($R20=2,
         IF(AND(ACOMPANHAMENTO="PLE",ISNUMBER($F20)),
                SUMIF((OFFSET(CÁLCULO!$BC$15:$BU$15,$F20,0,OFFSET(ORÇAMENTO!$D$15,CRONO!$F20,0))),CRONO!AC$12,OFFSET(CÁLCULO!$AJ$15:$BB$15,$F20,0,OFFSET(ORÇAMENTO!$D$15,CRONO!$F20,0)))
                +IF(AND($F22&lt;&gt;"",$F22&lt;&gt;0),
                        SUMIF(CÁLCULO!$BC$15:$BU$191,CRONO!AC$12,CÁLCULO!$AJ$15:$BB$191)/(ORÇAMENTO!$X$15-CÁLCULO.TotalAdmLocal)*CRONO!$F22,
                        0),
                 AC21*$S20),
          SUMIF(OFFSET($S22,1,0,$R20-2),($M20+1)&amp;"$",OFFSET(AC22,1,0,$R20-2)))</f>
        <v>0</v>
      </c>
      <c r="AD22" s="202" cm="1">
        <f t="array" aca="1" ref="AD22" ca="1">IF($R20=2,
         IF(AND(ACOMPANHAMENTO="PLE",ISNUMBER($F20)),
                SUMIF((OFFSET(CÁLCULO!$BC$15:$BU$15,$F20,0,OFFSET(ORÇAMENTO!$D$15,CRONO!$F20,0))),CRONO!AD$12,OFFSET(CÁLCULO!$AJ$15:$BB$15,$F20,0,OFFSET(ORÇAMENTO!$D$15,CRONO!$F20,0)))
                +IF(AND($F22&lt;&gt;"",$F22&lt;&gt;0),
                        SUMIF(CÁLCULO!$BC$15:$BU$191,CRONO!AD$12,CÁLCULO!$AJ$15:$BB$191)/(ORÇAMENTO!$X$15-CÁLCULO.TotalAdmLocal)*CRONO!$F22,
                        0),
                 AD21*$S20),
          SUMIF(OFFSET($S22,1,0,$R20-2),($M20+1)&amp;"$",OFFSET(AD22,1,0,$R20-2)))</f>
        <v>0</v>
      </c>
      <c r="AE22" s="202" cm="1">
        <f t="array" aca="1" ref="AE22" ca="1">IF($R20=2,
         IF(AND(ACOMPANHAMENTO="PLE",ISNUMBER($F20)),
                SUMIF((OFFSET(CÁLCULO!$BC$15:$BU$15,$F20,0,OFFSET(ORÇAMENTO!$D$15,CRONO!$F20,0))),CRONO!AE$12,OFFSET(CÁLCULO!$AJ$15:$BB$15,$F20,0,OFFSET(ORÇAMENTO!$D$15,CRONO!$F20,0)))
                +IF(AND($F22&lt;&gt;"",$F22&lt;&gt;0),
                        SUMIF(CÁLCULO!$BC$15:$BU$191,CRONO!AE$12,CÁLCULO!$AJ$15:$BB$191)/(ORÇAMENTO!$X$15-CÁLCULO.TotalAdmLocal)*CRONO!$F22,
                        0),
                 AE21*$S20),
          SUMIF(OFFSET($S22,1,0,$R20-2),($M20+1)&amp;"$",OFFSET(AE22,1,0,$R20-2)))</f>
        <v>0</v>
      </c>
      <c r="AF22" s="202" cm="1">
        <f t="array" aca="1" ref="AF22" ca="1">IF($R20=2,
         IF(AND(ACOMPANHAMENTO="PLE",ISNUMBER($F20)),
                SUMIF((OFFSET(CÁLCULO!$BC$15:$BU$15,$F20,0,OFFSET(ORÇAMENTO!$D$15,CRONO!$F20,0))),CRONO!AF$12,OFFSET(CÁLCULO!$AJ$15:$BB$15,$F20,0,OFFSET(ORÇAMENTO!$D$15,CRONO!$F20,0)))
                +IF(AND($F22&lt;&gt;"",$F22&lt;&gt;0),
                        SUMIF(CÁLCULO!$BC$15:$BU$191,CRONO!AF$12,CÁLCULO!$AJ$15:$BB$191)/(ORÇAMENTO!$X$15-CÁLCULO.TotalAdmLocal)*CRONO!$F22,
                        0),
                 AF21*$S20),
          SUMIF(OFFSET($S22,1,0,$R20-2),($M20+1)&amp;"$",OFFSET(AF22,1,0,$R20-2)))</f>
        <v>8606.8799999999992</v>
      </c>
      <c r="AG22" s="534"/>
    </row>
    <row r="23" spans="1:33" x14ac:dyDescent="0.2">
      <c r="A23" s="186" t="str">
        <f t="shared" ref="A23" ca="1" si="20">IF($M23&gt;1,_xlfn.CONCAT($I23," ",$J23),"")</f>
        <v>1.3. ADMINISTRAÇÃO LOCAL</v>
      </c>
      <c r="B23" s="185">
        <f t="shared" ref="B23" ca="1" si="21">OFFSET(B23,-3,0)+1</f>
        <v>4</v>
      </c>
      <c r="C23" s="185">
        <f ca="1">IF($R23&lt;&gt;2,0,IF($S23=0,1,IF(F24&gt;0,OFFSET(QCI!$M$13,SUBSTITUTE(F24,".",""),0),OFFSET(ORÇAMENTO!$AA$15,CRONO!$F23,0))/$S23))</f>
        <v>0</v>
      </c>
      <c r="D23" s="185">
        <f ca="1">IF($R23&lt;&gt;2,0,IF($S23=0,1,IF(F24&gt;0,OFFSET(QCI!$N$13,SUBSTITUTE(F24,".",""),0),OFFSET(ORÇAMENTO!$AB$15,CRONO!$F23,0))/$S23))</f>
        <v>0</v>
      </c>
      <c r="E23" s="188" cm="1">
        <f t="array" aca="1" ref="E23" ca="1">IF(AND($R23=2,ACOMPANHAMENTO="BM"),ROUND(E24,4),E25/$S23)</f>
        <v>0</v>
      </c>
      <c r="F23" s="185" cm="1">
        <f t="array" aca="1" ref="F23" ca="1">IF(B23&lt;=ORÇAMENTO.MáximoListaCrono,MATCH(B23,ORÇAMENTO.ListaCrono,0),NA())</f>
        <v>12</v>
      </c>
      <c r="G23" s="185" t="str">
        <f t="shared" ref="G23" ca="1" si="22">IF(AND($F24&lt;&gt;-1,$S23&gt;0),"F","")</f>
        <v>F</v>
      </c>
      <c r="H23" s="189" t="str" cm="1">
        <f t="array" aca="1" ref="H23" ca="1">IF(OR(S23=0,S23=""),"Linha",IF(AND(OR(ACOMPANHAMENTO="PLE",$R23&lt;&gt;2),$F24=0),"Linha",ROUND(1-SUM(U23:AG23),4)))</f>
        <v>Linha</v>
      </c>
      <c r="I23" s="190" t="str">
        <f ca="1">IF($F24=0,OFFSET(ORÇAMENTO!O$15,$F23,0),IF($F24&lt;&gt;-1,OFFSET(QCI!$D$13,$F24,0),""))</f>
        <v>1.3.</v>
      </c>
      <c r="J23" s="191" t="str">
        <f ca="1">IF($F24=0,OFFSET(ORÇAMENTO!R$15,$F23,0),IF($F24&lt;&gt;-1,OFFSET(QCI!$G$13,$F24,0),""))</f>
        <v>ADMINISTRAÇÃO LOCAL</v>
      </c>
      <c r="K23" s="191"/>
      <c r="L23" s="191"/>
      <c r="M23" s="192">
        <f ca="1">IF($F24=0,OFFSET(ORÇAMENTO!C$15,$F23,0),1)</f>
        <v>2</v>
      </c>
      <c r="N23" s="193">
        <f ca="1">IF($F24=-1,0,IF(N$13&lt;=$M23,IF(ISERROR(MATCH(N$13,OFFSET($M23,1,0,ROW($M$92)-ROW($M23)-1),0)),ROW($M$92)-ROW($M23)-1,MATCH(N$13,OFFSET($M23,1,0,ROW($M$92)-ROW($M23)-1),0)-1),0))</f>
        <v>65</v>
      </c>
      <c r="O23" s="193">
        <f ca="1">IF($F24=-1,0,IF(O$13&lt;=$M23,IF(ISERROR(MATCH(O$13,OFFSET($M23,1,0,ROW($M$92)-ROW($M23)-1),0)),ROW($M$92)-ROW($M23)-1,MATCH(O$13,OFFSET($M23,1,0,ROW($M$92)-ROW($M23)-1),0)-1),0))</f>
        <v>2</v>
      </c>
      <c r="P23" s="193">
        <f ca="1">IF($F24=-1,0,IF(P$13&lt;=$M23,IF(ISERROR(MATCH(P$13,OFFSET($M23,1,0,ROW($M$92)-ROW($M23)-1),0)),ROW($M$92)-ROW($M23)-1,MATCH(P$13,OFFSET($M23,1,0,ROW($M$92)-ROW($M23)-1),0)-1),0))</f>
        <v>0</v>
      </c>
      <c r="Q23" s="193">
        <f ca="1">IF($F24=-1,0,IF(Q$13&lt;=$M23,IF(ISERROR(MATCH(Q$13,OFFSET($M23,1,0,ROW($M$92)-ROW($M23)-1),0)),ROW($M$92)-ROW($M23)-1,MATCH(Q$13,OFFSET($M23,1,0,ROW($M$92)-ROW($M23)-1),0)-1),0))</f>
        <v>0</v>
      </c>
      <c r="R23" s="193">
        <f t="shared" ref="R23" ca="1" si="23">MIN(OFFSET(M23,0,1,,M23))</f>
        <v>2</v>
      </c>
      <c r="S23" s="194">
        <f ca="1">IF($F24=0,OFFSET(ORÇAMENTO!X$15,$F23,0),IF($F24&lt;&gt;-1,OFFSET(QCI!$O$13,$F24,0),""))</f>
        <v>239264.48</v>
      </c>
      <c r="T23" s="195" t="s">
        <v>785</v>
      </c>
      <c r="U23" s="188" cm="1">
        <f t="array" aca="1" ref="U23" ca="1">IF(AND($R23=2,ACOMPANHAMENTO="BM"),ROUND(U24,4),U25/$S23)</f>
        <v>0</v>
      </c>
      <c r="V23" s="188" cm="1">
        <f t="array" aca="1" ref="V23" ca="1">IF(AND($R23=2,ACOMPANHAMENTO="BM"),ROUND(V24,4),V25/$S23)</f>
        <v>0</v>
      </c>
      <c r="W23" s="188" cm="1">
        <f t="array" aca="1" ref="W23" ca="1">IF(AND($R23=2,ACOMPANHAMENTO="BM"),ROUND(W24,4),W25/$S23)</f>
        <v>4.9999983282098544E-2</v>
      </c>
      <c r="X23" s="188" cm="1">
        <f t="array" aca="1" ref="X23" ca="1">IF(AND($R23=2,ACOMPANHAMENTO="BM"),ROUND(X24,4),X25/$S23)</f>
        <v>0</v>
      </c>
      <c r="Y23" s="188" cm="1">
        <f t="array" aca="1" ref="Y23" ca="1">IF(AND($R23=2,ACOMPANHAMENTO="BM"),ROUND(Y24,4),Y25/$S23)</f>
        <v>0.10000000835895073</v>
      </c>
      <c r="Z23" s="188" cm="1">
        <f t="array" aca="1" ref="Z23" ca="1">IF(AND($R23=2,ACOMPANHAMENTO="BM"),ROUND(Z24,4),Z25/$S23)</f>
        <v>4.9999983282098544E-2</v>
      </c>
      <c r="AA23" s="188" cm="1">
        <f t="array" aca="1" ref="AA23" ca="1">IF(AND($R23=2,ACOMPANHAMENTO="BM"),ROUND(AA24,4),AA25/$S23)</f>
        <v>0.29999998328209854</v>
      </c>
      <c r="AB23" s="188" cm="1">
        <f t="array" aca="1" ref="AB23" ca="1">IF(AND($R23=2,ACOMPANHAMENTO="BM"),ROUND(AB24,4),AB25/$S23)</f>
        <v>4.9999983282098544E-2</v>
      </c>
      <c r="AC23" s="188" cm="1">
        <f t="array" aca="1" ref="AC23" ca="1">IF(AND($R23=2,ACOMPANHAMENTO="BM"),ROUND(AC24,4),AC25/$S23)</f>
        <v>0.15000003343580293</v>
      </c>
      <c r="AD23" s="188" cm="1">
        <f t="array" aca="1" ref="AD23" ca="1">IF(AND($R23=2,ACOMPANHAMENTO="BM"),ROUND(AD24,4),AD25/$S23)</f>
        <v>0.10000000835895073</v>
      </c>
      <c r="AE23" s="188" cm="1">
        <f t="array" aca="1" ref="AE23" ca="1">IF(AND($R23=2,ACOMPANHAMENTO="BM"),ROUND(AE24,4),AE25/$S23)</f>
        <v>4.9999983282098544E-2</v>
      </c>
      <c r="AF23" s="188" cm="1">
        <f t="array" aca="1" ref="AF23" ca="1">IF(AND($R23=2,ACOMPANHAMENTO="BM"),ROUND(AF24,4),AF25/$S23)</f>
        <v>0.15000003343580293</v>
      </c>
      <c r="AG23" s="534"/>
    </row>
    <row r="24" spans="1:33" ht="12.75" hidden="1" customHeight="1" x14ac:dyDescent="0.2">
      <c r="E24" s="587"/>
      <c r="F24" s="185">
        <f ca="1">IF(ISERROR(F23),IF(1+COUNTIF($M$13:OFFSET(M23,-1,0),1)&lt;=MAX(QCI!$D$13:$D$24),1+COUNTIF($M$13:OFFSET(M23,-1,0),1),-1),0)</f>
        <v>0</v>
      </c>
      <c r="G24" s="185" t="str" cm="1">
        <f t="array" aca="1" ref="G24" ca="1">IF(ACOMPANHAMENTO="BM",OFFSET(G24,-1,0),"")</f>
        <v/>
      </c>
      <c r="H24" s="196" t="str" cm="1">
        <f t="array" aca="1" ref="H24" ca="1">IF(OR(S23=0,S23=""),"vazia",IF(AND(OR(ACOMPANHAMENTO="PLE",$R23&lt;&gt;2),$F24=0),"calculada","--&gt;"))</f>
        <v>calculada</v>
      </c>
      <c r="I24" s="197"/>
      <c r="J24" s="198" t="str">
        <f t="shared" ref="J24" ca="1" si="24">IF(AND(H23&lt;&gt;0,ISNUMBER(H23)),"PREENCHA ESTA LINHA --&gt;","")</f>
        <v/>
      </c>
      <c r="K24" s="198"/>
      <c r="L24" s="198"/>
      <c r="M24" s="199"/>
      <c r="N24" s="199"/>
      <c r="O24" s="199"/>
      <c r="P24" s="199"/>
      <c r="Q24" s="199"/>
      <c r="R24" s="199"/>
      <c r="S24" s="200"/>
      <c r="T24" s="201"/>
      <c r="U24" s="587"/>
      <c r="V24" s="587"/>
      <c r="W24" s="587"/>
      <c r="X24" s="587"/>
      <c r="Y24" s="587"/>
      <c r="Z24" s="587"/>
      <c r="AA24" s="587"/>
      <c r="AB24" s="587"/>
      <c r="AC24" s="587"/>
      <c r="AD24" s="587"/>
      <c r="AE24" s="587"/>
      <c r="AF24" s="587"/>
      <c r="AG24" s="534"/>
    </row>
    <row r="25" spans="1:33" ht="12.75" hidden="1" customHeight="1" x14ac:dyDescent="0.2">
      <c r="D25" s="533"/>
      <c r="E25" s="202" cm="1">
        <f t="array" aca="1" ref="E25" ca="1">IF($R23=2,
         IF(AND(ACOMPANHAMENTO="PLE",ISNUMBER($F23)),
                SUMIF((OFFSET(CÁLCULO!$BC$15:$BU$15,$F23,0,OFFSET(ORÇAMENTO!$D$15,CRONO!$F23,0))),CRONO!E$12,OFFSET(CÁLCULO!$AJ$15:$BB$15,$F23,0,OFFSET(ORÇAMENTO!$D$15,CRONO!$F23,0)))
                +IF(AND($F25&lt;&gt;"",$F25&lt;&gt;0),
                        SUMIF(CÁLCULO!$BC$15:$BU$191,CRONO!E$12,CÁLCULO!$AJ$15:$BB$191)/(ORÇAMENTO!$X$15-CÁLCULO.TotalAdmLocal)*CRONO!$F25,
                        0),
                 E24*$S23),
          SUMIF(OFFSET($S25,1,0,$R23-2),($M23+1)&amp;"$",OFFSET(E25,1,0,$R23-2)))</f>
        <v>0</v>
      </c>
      <c r="F25" s="185">
        <f ca="1">IF(OR($R23&lt;&gt;2,AUTOEVENTO&lt;&gt;"manual",$F24&gt;0),"",
        IF(Import.TipoArredondamento="Tradicional",
              SUMIF(OFFSET(CÁLCULO!$M$15,CRONO!$F23,0,OFFSET(ORÇAMENTO!$D$15,CRONO!$F23,0)),1,OFFSET(ORÇAMENTO!$X$15,CRONO!$F23,0,OFFSET(ORÇAMENTO!$D$15,CRONO!$F23,0))),
              0))</f>
        <v>0</v>
      </c>
      <c r="H25" s="667"/>
      <c r="S25" s="204" t="str">
        <f t="shared" ref="S25" ca="1" si="25">M23&amp;"$"</f>
        <v>2$</v>
      </c>
      <c r="T25" s="205"/>
      <c r="U25" s="202" cm="1">
        <f t="array" aca="1" ref="U25" ca="1">IF($R23=2,
         IF(AND(ACOMPANHAMENTO="PLE",ISNUMBER($F23)),
                SUMIF((OFFSET(CÁLCULO!$BC$15:$BU$15,$F23,0,OFFSET(ORÇAMENTO!$D$15,CRONO!$F23,0))),CRONO!U$12,OFFSET(CÁLCULO!$AJ$15:$BB$15,$F23,0,OFFSET(ORÇAMENTO!$D$15,CRONO!$F23,0)))
                +IF(AND($F25&lt;&gt;"",$F25&lt;&gt;0),
                        SUMIF(CÁLCULO!$BC$15:$BU$191,CRONO!U$12,CÁLCULO!$AJ$15:$BB$191)/(ORÇAMENTO!$X$15-CÁLCULO.TotalAdmLocal)*CRONO!$F25,
                        0),
                 U24*$S23),
          SUMIF(OFFSET($S25,1,0,$R23-2),($M23+1)&amp;"$",OFFSET(U25,1,0,$R23-2)))</f>
        <v>0</v>
      </c>
      <c r="V25" s="202" cm="1">
        <f t="array" aca="1" ref="V25" ca="1">IF($R23=2,
         IF(AND(ACOMPANHAMENTO="PLE",ISNUMBER($F23)),
                SUMIF((OFFSET(CÁLCULO!$BC$15:$BU$15,$F23,0,OFFSET(ORÇAMENTO!$D$15,CRONO!$F23,0))),CRONO!V$12,OFFSET(CÁLCULO!$AJ$15:$BB$15,$F23,0,OFFSET(ORÇAMENTO!$D$15,CRONO!$F23,0)))
                +IF(AND($F25&lt;&gt;"",$F25&lt;&gt;0),
                        SUMIF(CÁLCULO!$BC$15:$BU$191,CRONO!V$12,CÁLCULO!$AJ$15:$BB$191)/(ORÇAMENTO!$X$15-CÁLCULO.TotalAdmLocal)*CRONO!$F25,
                        0),
                 V24*$S23),
          SUMIF(OFFSET($S25,1,0,$R23-2),($M23+1)&amp;"$",OFFSET(V25,1,0,$R23-2)))</f>
        <v>0</v>
      </c>
      <c r="W25" s="202" cm="1">
        <f t="array" aca="1" ref="W25" ca="1">IF($R23=2,
         IF(AND(ACOMPANHAMENTO="PLE",ISNUMBER($F23)),
                SUMIF((OFFSET(CÁLCULO!$BC$15:$BU$15,$F23,0,OFFSET(ORÇAMENTO!$D$15,CRONO!$F23,0))),CRONO!W$12,OFFSET(CÁLCULO!$AJ$15:$BB$15,$F23,0,OFFSET(ORÇAMENTO!$D$15,CRONO!$F23,0)))
                +IF(AND($F25&lt;&gt;"",$F25&lt;&gt;0),
                        SUMIF(CÁLCULO!$BC$15:$BU$191,CRONO!W$12,CÁLCULO!$AJ$15:$BB$191)/(ORÇAMENTO!$X$15-CÁLCULO.TotalAdmLocal)*CRONO!$F25,
                        0),
                 W24*$S23),
          SUMIF(OFFSET($S25,1,0,$R23-2),($M23+1)&amp;"$",OFFSET(W25,1,0,$R23-2)))</f>
        <v>11963.220000000001</v>
      </c>
      <c r="X25" s="202" cm="1">
        <f t="array" aca="1" ref="X25" ca="1">IF($R23=2,
         IF(AND(ACOMPANHAMENTO="PLE",ISNUMBER($F23)),
                SUMIF((OFFSET(CÁLCULO!$BC$15:$BU$15,$F23,0,OFFSET(ORÇAMENTO!$D$15,CRONO!$F23,0))),CRONO!X$12,OFFSET(CÁLCULO!$AJ$15:$BB$15,$F23,0,OFFSET(ORÇAMENTO!$D$15,CRONO!$F23,0)))
                +IF(AND($F25&lt;&gt;"",$F25&lt;&gt;0),
                        SUMIF(CÁLCULO!$BC$15:$BU$191,CRONO!X$12,CÁLCULO!$AJ$15:$BB$191)/(ORÇAMENTO!$X$15-CÁLCULO.TotalAdmLocal)*CRONO!$F25,
                        0),
                 X24*$S23),
          SUMIF(OFFSET($S25,1,0,$R23-2),($M23+1)&amp;"$",OFFSET(X25,1,0,$R23-2)))</f>
        <v>0</v>
      </c>
      <c r="Y25" s="202" cm="1">
        <f t="array" aca="1" ref="Y25" ca="1">IF($R23=2,
         IF(AND(ACOMPANHAMENTO="PLE",ISNUMBER($F23)),
                SUMIF((OFFSET(CÁLCULO!$BC$15:$BU$15,$F23,0,OFFSET(ORÇAMENTO!$D$15,CRONO!$F23,0))),CRONO!Y$12,OFFSET(CÁLCULO!$AJ$15:$BB$15,$F23,0,OFFSET(ORÇAMENTO!$D$15,CRONO!$F23,0)))
                +IF(AND($F25&lt;&gt;"",$F25&lt;&gt;0),
                        SUMIF(CÁLCULO!$BC$15:$BU$191,CRONO!Y$12,CÁLCULO!$AJ$15:$BB$191)/(ORÇAMENTO!$X$15-CÁLCULO.TotalAdmLocal)*CRONO!$F25,
                        0),
                 Y24*$S23),
          SUMIF(OFFSET($S25,1,0,$R23-2),($M23+1)&amp;"$",OFFSET(Y25,1,0,$R23-2)))</f>
        <v>23926.45</v>
      </c>
      <c r="Z25" s="202" cm="1">
        <f t="array" aca="1" ref="Z25" ca="1">IF($R23=2,
         IF(AND(ACOMPANHAMENTO="PLE",ISNUMBER($F23)),
                SUMIF((OFFSET(CÁLCULO!$BC$15:$BU$15,$F23,0,OFFSET(ORÇAMENTO!$D$15,CRONO!$F23,0))),CRONO!Z$12,OFFSET(CÁLCULO!$AJ$15:$BB$15,$F23,0,OFFSET(ORÇAMENTO!$D$15,CRONO!$F23,0)))
                +IF(AND($F25&lt;&gt;"",$F25&lt;&gt;0),
                        SUMIF(CÁLCULO!$BC$15:$BU$191,CRONO!Z$12,CÁLCULO!$AJ$15:$BB$191)/(ORÇAMENTO!$X$15-CÁLCULO.TotalAdmLocal)*CRONO!$F25,
                        0),
                 Z24*$S23),
          SUMIF(OFFSET($S25,1,0,$R23-2),($M23+1)&amp;"$",OFFSET(Z25,1,0,$R23-2)))</f>
        <v>11963.220000000001</v>
      </c>
      <c r="AA25" s="202" cm="1">
        <f t="array" aca="1" ref="AA25" ca="1">IF($R23=2,
         IF(AND(ACOMPANHAMENTO="PLE",ISNUMBER($F23)),
                SUMIF((OFFSET(CÁLCULO!$BC$15:$BU$15,$F23,0,OFFSET(ORÇAMENTO!$D$15,CRONO!$F23,0))),CRONO!AA$12,OFFSET(CÁLCULO!$AJ$15:$BB$15,$F23,0,OFFSET(ORÇAMENTO!$D$15,CRONO!$F23,0)))
                +IF(AND($F25&lt;&gt;"",$F25&lt;&gt;0),
                        SUMIF(CÁLCULO!$BC$15:$BU$191,CRONO!AA$12,CÁLCULO!$AJ$15:$BB$191)/(ORÇAMENTO!$X$15-CÁLCULO.TotalAdmLocal)*CRONO!$F25,
                        0),
                 AA24*$S23),
          SUMIF(OFFSET($S25,1,0,$R23-2),($M23+1)&amp;"$",OFFSET(AA25,1,0,$R23-2)))</f>
        <v>71779.34</v>
      </c>
      <c r="AB25" s="202" cm="1">
        <f t="array" aca="1" ref="AB25" ca="1">IF($R23=2,
         IF(AND(ACOMPANHAMENTO="PLE",ISNUMBER($F23)),
                SUMIF((OFFSET(CÁLCULO!$BC$15:$BU$15,$F23,0,OFFSET(ORÇAMENTO!$D$15,CRONO!$F23,0))),CRONO!AB$12,OFFSET(CÁLCULO!$AJ$15:$BB$15,$F23,0,OFFSET(ORÇAMENTO!$D$15,CRONO!$F23,0)))
                +IF(AND($F25&lt;&gt;"",$F25&lt;&gt;0),
                        SUMIF(CÁLCULO!$BC$15:$BU$191,CRONO!AB$12,CÁLCULO!$AJ$15:$BB$191)/(ORÇAMENTO!$X$15-CÁLCULO.TotalAdmLocal)*CRONO!$F25,
                        0),
                 AB24*$S23),
          SUMIF(OFFSET($S25,1,0,$R23-2),($M23+1)&amp;"$",OFFSET(AB25,1,0,$R23-2)))</f>
        <v>11963.220000000001</v>
      </c>
      <c r="AC25" s="202" cm="1">
        <f t="array" aca="1" ref="AC25" ca="1">IF($R23=2,
         IF(AND(ACOMPANHAMENTO="PLE",ISNUMBER($F23)),
                SUMIF((OFFSET(CÁLCULO!$BC$15:$BU$15,$F23,0,OFFSET(ORÇAMENTO!$D$15,CRONO!$F23,0))),CRONO!AC$12,OFFSET(CÁLCULO!$AJ$15:$BB$15,$F23,0,OFFSET(ORÇAMENTO!$D$15,CRONO!$F23,0)))
                +IF(AND($F25&lt;&gt;"",$F25&lt;&gt;0),
                        SUMIF(CÁLCULO!$BC$15:$BU$191,CRONO!AC$12,CÁLCULO!$AJ$15:$BB$191)/(ORÇAMENTO!$X$15-CÁLCULO.TotalAdmLocal)*CRONO!$F25,
                        0),
                 AC24*$S23),
          SUMIF(OFFSET($S25,1,0,$R23-2),($M23+1)&amp;"$",OFFSET(AC25,1,0,$R23-2)))</f>
        <v>35889.68</v>
      </c>
      <c r="AD25" s="202" cm="1">
        <f t="array" aca="1" ref="AD25" ca="1">IF($R23=2,
         IF(AND(ACOMPANHAMENTO="PLE",ISNUMBER($F23)),
                SUMIF((OFFSET(CÁLCULO!$BC$15:$BU$15,$F23,0,OFFSET(ORÇAMENTO!$D$15,CRONO!$F23,0))),CRONO!AD$12,OFFSET(CÁLCULO!$AJ$15:$BB$15,$F23,0,OFFSET(ORÇAMENTO!$D$15,CRONO!$F23,0)))
                +IF(AND($F25&lt;&gt;"",$F25&lt;&gt;0),
                        SUMIF(CÁLCULO!$BC$15:$BU$191,CRONO!AD$12,CÁLCULO!$AJ$15:$BB$191)/(ORÇAMENTO!$X$15-CÁLCULO.TotalAdmLocal)*CRONO!$F25,
                        0),
                 AD24*$S23),
          SUMIF(OFFSET($S25,1,0,$R23-2),($M23+1)&amp;"$",OFFSET(AD25,1,0,$R23-2)))</f>
        <v>23926.45</v>
      </c>
      <c r="AE25" s="202" cm="1">
        <f t="array" aca="1" ref="AE25" ca="1">IF($R23=2,
         IF(AND(ACOMPANHAMENTO="PLE",ISNUMBER($F23)),
                SUMIF((OFFSET(CÁLCULO!$BC$15:$BU$15,$F23,0,OFFSET(ORÇAMENTO!$D$15,CRONO!$F23,0))),CRONO!AE$12,OFFSET(CÁLCULO!$AJ$15:$BB$15,$F23,0,OFFSET(ORÇAMENTO!$D$15,CRONO!$F23,0)))
                +IF(AND($F25&lt;&gt;"",$F25&lt;&gt;0),
                        SUMIF(CÁLCULO!$BC$15:$BU$191,CRONO!AE$12,CÁLCULO!$AJ$15:$BB$191)/(ORÇAMENTO!$X$15-CÁLCULO.TotalAdmLocal)*CRONO!$F25,
                        0),
                 AE24*$S23),
          SUMIF(OFFSET($S25,1,0,$R23-2),($M23+1)&amp;"$",OFFSET(AE25,1,0,$R23-2)))</f>
        <v>11963.220000000001</v>
      </c>
      <c r="AF25" s="202" cm="1">
        <f t="array" aca="1" ref="AF25" ca="1">IF($R23=2,
         IF(AND(ACOMPANHAMENTO="PLE",ISNUMBER($F23)),
                SUMIF((OFFSET(CÁLCULO!$BC$15:$BU$15,$F23,0,OFFSET(ORÇAMENTO!$D$15,CRONO!$F23,0))),CRONO!AF$12,OFFSET(CÁLCULO!$AJ$15:$BB$15,$F23,0,OFFSET(ORÇAMENTO!$D$15,CRONO!$F23,0)))
                +IF(AND($F25&lt;&gt;"",$F25&lt;&gt;0),
                        SUMIF(CÁLCULO!$BC$15:$BU$191,CRONO!AF$12,CÁLCULO!$AJ$15:$BB$191)/(ORÇAMENTO!$X$15-CÁLCULO.TotalAdmLocal)*CRONO!$F25,
                        0),
                 AF24*$S23),
          SUMIF(OFFSET($S25,1,0,$R23-2),($M23+1)&amp;"$",OFFSET(AF25,1,0,$R23-2)))</f>
        <v>35889.68</v>
      </c>
      <c r="AG25" s="534"/>
    </row>
    <row r="26" spans="1:33" x14ac:dyDescent="0.2">
      <c r="A26" s="186" t="str">
        <f t="shared" ref="A26" ca="1" si="26">IF($M26&gt;1,_xlfn.CONCAT($I26," ",$J26),"")</f>
        <v>1.4. FUNDAÇÕES - Reservatório de 320 m³</v>
      </c>
      <c r="B26" s="185">
        <f t="shared" ref="B26" ca="1" si="27">OFFSET(B26,-3,0)+1</f>
        <v>5</v>
      </c>
      <c r="C26" s="185">
        <f ca="1">IF($R26&lt;&gt;2,0,IF($S26=0,1,IF(F27&gt;0,OFFSET(QCI!$M$13,SUBSTITUTE(F27,".",""),0),OFFSET(ORÇAMENTO!$AA$15,CRONO!$F26,0))/$S26))</f>
        <v>0</v>
      </c>
      <c r="D26" s="185">
        <f ca="1">IF($R26&lt;&gt;2,0,IF($S26=0,1,IF(F27&gt;0,OFFSET(QCI!$N$13,SUBSTITUTE(F27,".",""),0),OFFSET(ORÇAMENTO!$AB$15,CRONO!$F26,0))/$S26))</f>
        <v>0</v>
      </c>
      <c r="E26" s="188" cm="1">
        <f t="array" aca="1" ref="E26" ca="1">IF(AND($R26=2,ACOMPANHAMENTO="BM"),ROUND(E27,4),E28/$S26)</f>
        <v>0</v>
      </c>
      <c r="F26" s="185" cm="1">
        <f t="array" aca="1" ref="F26" ca="1">IF(B26&lt;=ORÇAMENTO.MáximoListaCrono,MATCH(B26,ORÇAMENTO.ListaCrono,0),NA())</f>
        <v>17</v>
      </c>
      <c r="G26" s="185" t="str">
        <f t="shared" ref="G26" ca="1" si="28">IF(AND($F27&lt;&gt;-1,$S26&gt;0),"F","")</f>
        <v>F</v>
      </c>
      <c r="H26" s="189" t="str" cm="1">
        <f t="array" aca="1" ref="H26" ca="1">IF(OR(S26=0,S26=""),"Linha",IF(AND(OR(ACOMPANHAMENTO="PLE",$R26&lt;&gt;2),$F27=0),"Linha",ROUND(1-SUM(U26:AG26),4)))</f>
        <v>Linha</v>
      </c>
      <c r="I26" s="190" t="str">
        <f ca="1">IF($F27=0,OFFSET(ORÇAMENTO!O$15,$F26,0),IF($F27&lt;&gt;-1,OFFSET(QCI!$D$13,$F27,0),""))</f>
        <v>1.4.</v>
      </c>
      <c r="J26" s="191" t="str">
        <f ca="1">IF($F27=0,OFFSET(ORÇAMENTO!R$15,$F26,0),IF($F27&lt;&gt;-1,OFFSET(QCI!$G$13,$F27,0),""))</f>
        <v>FUNDAÇÕES - Reservatório de 320 m³</v>
      </c>
      <c r="K26" s="191"/>
      <c r="L26" s="191"/>
      <c r="M26" s="192">
        <f ca="1">IF($F27=0,OFFSET(ORÇAMENTO!C$15,$F26,0),1)</f>
        <v>2</v>
      </c>
      <c r="N26" s="193">
        <f ca="1">IF($F27=-1,0,IF(N$13&lt;=$M26,IF(ISERROR(MATCH(N$13,OFFSET($M26,1,0,ROW($M$92)-ROW($M26)-1),0)),ROW($M$92)-ROW($M26)-1,MATCH(N$13,OFFSET($M26,1,0,ROW($M$92)-ROW($M26)-1),0)-1),0))</f>
        <v>62</v>
      </c>
      <c r="O26" s="193">
        <f ca="1">IF($F27=-1,0,IF(O$13&lt;=$M26,IF(ISERROR(MATCH(O$13,OFFSET($M26,1,0,ROW($M$92)-ROW($M26)-1),0)),ROW($M$92)-ROW($M26)-1,MATCH(O$13,OFFSET($M26,1,0,ROW($M$92)-ROW($M26)-1),0)-1),0))</f>
        <v>2</v>
      </c>
      <c r="P26" s="193">
        <f ca="1">IF($F27=-1,0,IF(P$13&lt;=$M26,IF(ISERROR(MATCH(P$13,OFFSET($M26,1,0,ROW($M$92)-ROW($M26)-1),0)),ROW($M$92)-ROW($M26)-1,MATCH(P$13,OFFSET($M26,1,0,ROW($M$92)-ROW($M26)-1),0)-1),0))</f>
        <v>0</v>
      </c>
      <c r="Q26" s="193">
        <f ca="1">IF($F27=-1,0,IF(Q$13&lt;=$M26,IF(ISERROR(MATCH(Q$13,OFFSET($M26,1,0,ROW($M$92)-ROW($M26)-1),0)),ROW($M$92)-ROW($M26)-1,MATCH(Q$13,OFFSET($M26,1,0,ROW($M$92)-ROW($M26)-1),0)-1),0))</f>
        <v>0</v>
      </c>
      <c r="R26" s="193">
        <f t="shared" ref="R26" ca="1" si="29">MIN(OFFSET(M26,0,1,,M26))</f>
        <v>2</v>
      </c>
      <c r="S26" s="194">
        <f ca="1">IF($F27=0,OFFSET(ORÇAMENTO!X$15,$F26,0),IF($F27&lt;&gt;-1,OFFSET(QCI!$O$13,$F27,0),""))</f>
        <v>249565.41</v>
      </c>
      <c r="T26" s="195" t="s">
        <v>785</v>
      </c>
      <c r="U26" s="188" cm="1">
        <f t="array" aca="1" ref="U26" ca="1">IF(AND($R26=2,ACOMPANHAMENTO="BM"),ROUND(U27,4),U28/$S26)</f>
        <v>0</v>
      </c>
      <c r="V26" s="188" cm="1">
        <f t="array" aca="1" ref="V26" ca="1">IF(AND($R26=2,ACOMPANHAMENTO="BM"),ROUND(V27,4),V28/$S26)</f>
        <v>0</v>
      </c>
      <c r="W26" s="188" cm="1">
        <f t="array" aca="1" ref="W26" ca="1">IF(AND($R26=2,ACOMPANHAMENTO="BM"),ROUND(W27,4),W28/$S26)</f>
        <v>0</v>
      </c>
      <c r="X26" s="188" cm="1">
        <f t="array" aca="1" ref="X26" ca="1">IF(AND($R26=2,ACOMPANHAMENTO="BM"),ROUND(X27,4),X28/$S26)</f>
        <v>9.9614766325189064E-2</v>
      </c>
      <c r="Y26" s="188" cm="1">
        <f t="array" aca="1" ref="Y26" ca="1">IF(AND($R26=2,ACOMPANHAMENTO="BM"),ROUND(Y27,4),Y28/$S26)</f>
        <v>0.33146985393528694</v>
      </c>
      <c r="Z26" s="188" cm="1">
        <f t="array" aca="1" ref="Z26" ca="1">IF(AND($R26=2,ACOMPANHAMENTO="BM"),ROUND(Z27,4),Z28/$S26)</f>
        <v>0.568915379739524</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hidden="1" customHeight="1" x14ac:dyDescent="0.2">
      <c r="E27" s="587"/>
      <c r="F27" s="185">
        <f ca="1">IF(ISERROR(F26),IF(1+COUNTIF($M$13:OFFSET(M26,-1,0),1)&lt;=MAX(QCI!$D$13:$D$24),1+COUNTIF($M$13:OFFSET(M26,-1,0),1),-1),0)</f>
        <v>0</v>
      </c>
      <c r="G27" s="185" t="str" cm="1">
        <f t="array" aca="1" ref="G27" ca="1">IF(ACOMPANHAMENTO="BM",OFFSET(G27,-1,0),"")</f>
        <v/>
      </c>
      <c r="H27" s="196" t="str" cm="1">
        <f t="array" aca="1" ref="H27" ca="1">IF(OR(S26=0,S26=""),"vazia",IF(AND(OR(ACOMPANHAMENTO="PLE",$R26&lt;&gt;2),$F27=0),"calculada","--&gt;"))</f>
        <v>calculada</v>
      </c>
      <c r="I27" s="197"/>
      <c r="J27" s="198" t="str">
        <f t="shared" ref="J27" ca="1" si="30">IF(AND(H26&lt;&gt;0,ISNUMBER(H26)),"PREENCHA ESTA LINHA --&gt;","")</f>
        <v/>
      </c>
      <c r="K27" s="198"/>
      <c r="L27" s="198"/>
      <c r="M27" s="199"/>
      <c r="N27" s="199"/>
      <c r="O27" s="199"/>
      <c r="P27" s="199"/>
      <c r="Q27" s="199"/>
      <c r="R27" s="199"/>
      <c r="S27" s="200"/>
      <c r="T27" s="201"/>
      <c r="U27" s="587"/>
      <c r="V27" s="587"/>
      <c r="W27" s="587"/>
      <c r="X27" s="587"/>
      <c r="Y27" s="587"/>
      <c r="Z27" s="587"/>
      <c r="AA27" s="587"/>
      <c r="AB27" s="587"/>
      <c r="AC27" s="587"/>
      <c r="AD27" s="587"/>
      <c r="AE27" s="587"/>
      <c r="AF27" s="587"/>
      <c r="AG27" s="534"/>
    </row>
    <row r="28" spans="1:33" ht="12.75" hidden="1" customHeight="1" x14ac:dyDescent="0.2">
      <c r="D28" s="533"/>
      <c r="E28" s="202" cm="1">
        <f t="array" aca="1" ref="E28" ca="1">IF($R26=2,
         IF(AND(ACOMPANHAMENTO="PLE",ISNUMBER($F26)),
                SUMIF((OFFSET(CÁLCULO!$BC$15:$BU$15,$F26,0,OFFSET(ORÇAMENTO!$D$15,CRONO!$F26,0))),CRONO!E$12,OFFSET(CÁLCULO!$AJ$15:$BB$15,$F26,0,OFFSET(ORÇAMENTO!$D$15,CRONO!$F26,0)))
                +IF(AND($F28&lt;&gt;"",$F28&lt;&gt;0),
                        SUMIF(CÁLCULO!$BC$15:$BU$191,CRONO!E$12,CÁLCULO!$AJ$15:$BB$191)/(ORÇAMENTO!$X$15-CÁLCULO.TotalAdmLocal)*CRONO!$F28,
                        0),
                 E27*$S26),
          SUMIF(OFFSET($S28,1,0,$R26-2),($M26+1)&amp;"$",OFFSET(E28,1,0,$R26-2)))</f>
        <v>0</v>
      </c>
      <c r="F28" s="185">
        <f ca="1">IF(OR($R26&lt;&gt;2,AUTOEVENTO&lt;&gt;"manual",$F27&gt;0),"",
        IF(Import.TipoArredondamento="Tradicional",
              SUMIF(OFFSET(CÁLCULO!$M$15,CRONO!$F26,0,OFFSET(ORÇAMENTO!$D$15,CRONO!$F26,0)),1,OFFSET(ORÇAMENTO!$X$15,CRONO!$F26,0,OFFSET(ORÇAMENTO!$D$15,CRONO!$F26,0))),
              0))</f>
        <v>0</v>
      </c>
      <c r="H28" s="667"/>
      <c r="S28" s="204" t="str">
        <f t="shared" ref="S28" ca="1" si="31">M26&amp;"$"</f>
        <v>2$</v>
      </c>
      <c r="T28" s="205"/>
      <c r="U28" s="202" cm="1">
        <f t="array" aca="1" ref="U28" ca="1">IF($R26=2,
         IF(AND(ACOMPANHAMENTO="PLE",ISNUMBER($F26)),
                SUMIF((OFFSET(CÁLCULO!$BC$15:$BU$15,$F26,0,OFFSET(ORÇAMENTO!$D$15,CRONO!$F26,0))),CRONO!U$12,OFFSET(CÁLCULO!$AJ$15:$BB$15,$F26,0,OFFSET(ORÇAMENTO!$D$15,CRONO!$F26,0)))
                +IF(AND($F28&lt;&gt;"",$F28&lt;&gt;0),
                        SUMIF(CÁLCULO!$BC$15:$BU$191,CRONO!U$12,CÁLCULO!$AJ$15:$BB$191)/(ORÇAMENTO!$X$15-CÁLCULO.TotalAdmLocal)*CRONO!$F28,
                        0),
                 U27*$S26),
          SUMIF(OFFSET($S28,1,0,$R26-2),($M26+1)&amp;"$",OFFSET(U28,1,0,$R26-2)))</f>
        <v>0</v>
      </c>
      <c r="V28" s="202" cm="1">
        <f t="array" aca="1" ref="V28" ca="1">IF($R26=2,
         IF(AND(ACOMPANHAMENTO="PLE",ISNUMBER($F26)),
                SUMIF((OFFSET(CÁLCULO!$BC$15:$BU$15,$F26,0,OFFSET(ORÇAMENTO!$D$15,CRONO!$F26,0))),CRONO!V$12,OFFSET(CÁLCULO!$AJ$15:$BB$15,$F26,0,OFFSET(ORÇAMENTO!$D$15,CRONO!$F26,0)))
                +IF(AND($F28&lt;&gt;"",$F28&lt;&gt;0),
                        SUMIF(CÁLCULO!$BC$15:$BU$191,CRONO!V$12,CÁLCULO!$AJ$15:$BB$191)/(ORÇAMENTO!$X$15-CÁLCULO.TotalAdmLocal)*CRONO!$F28,
                        0),
                 V27*$S26),
          SUMIF(OFFSET($S28,1,0,$R26-2),($M26+1)&amp;"$",OFFSET(V28,1,0,$R26-2)))</f>
        <v>0</v>
      </c>
      <c r="W28" s="202" cm="1">
        <f t="array" aca="1" ref="W28" ca="1">IF($R26=2,
         IF(AND(ACOMPANHAMENTO="PLE",ISNUMBER($F26)),
                SUMIF((OFFSET(CÁLCULO!$BC$15:$BU$15,$F26,0,OFFSET(ORÇAMENTO!$D$15,CRONO!$F26,0))),CRONO!W$12,OFFSET(CÁLCULO!$AJ$15:$BB$15,$F26,0,OFFSET(ORÇAMENTO!$D$15,CRONO!$F26,0)))
                +IF(AND($F28&lt;&gt;"",$F28&lt;&gt;0),
                        SUMIF(CÁLCULO!$BC$15:$BU$191,CRONO!W$12,CÁLCULO!$AJ$15:$BB$191)/(ORÇAMENTO!$X$15-CÁLCULO.TotalAdmLocal)*CRONO!$F28,
                        0),
                 W27*$S26),
          SUMIF(OFFSET($S28,1,0,$R26-2),($M26+1)&amp;"$",OFFSET(W28,1,0,$R26-2)))</f>
        <v>0</v>
      </c>
      <c r="X28" s="202" cm="1">
        <f t="array" aca="1" ref="X28" ca="1">IF($R26=2,
         IF(AND(ACOMPANHAMENTO="PLE",ISNUMBER($F26)),
                SUMIF((OFFSET(CÁLCULO!$BC$15:$BU$15,$F26,0,OFFSET(ORÇAMENTO!$D$15,CRONO!$F26,0))),CRONO!X$12,OFFSET(CÁLCULO!$AJ$15:$BB$15,$F26,0,OFFSET(ORÇAMENTO!$D$15,CRONO!$F26,0)))
                +IF(AND($F28&lt;&gt;"",$F28&lt;&gt;0),
                        SUMIF(CÁLCULO!$BC$15:$BU$191,CRONO!X$12,CÁLCULO!$AJ$15:$BB$191)/(ORÇAMENTO!$X$15-CÁLCULO.TotalAdmLocal)*CRONO!$F28,
                        0),
                 X27*$S26),
          SUMIF(OFFSET($S28,1,0,$R26-2),($M26+1)&amp;"$",OFFSET(X28,1,0,$R26-2)))</f>
        <v>24860.400000000001</v>
      </c>
      <c r="Y28" s="202" cm="1">
        <f t="array" aca="1" ref="Y28" ca="1">IF($R26=2,
         IF(AND(ACOMPANHAMENTO="PLE",ISNUMBER($F26)),
                SUMIF((OFFSET(CÁLCULO!$BC$15:$BU$15,$F26,0,OFFSET(ORÇAMENTO!$D$15,CRONO!$F26,0))),CRONO!Y$12,OFFSET(CÁLCULO!$AJ$15:$BB$15,$F26,0,OFFSET(ORÇAMENTO!$D$15,CRONO!$F26,0)))
                +IF(AND($F28&lt;&gt;"",$F28&lt;&gt;0),
                        SUMIF(CÁLCULO!$BC$15:$BU$191,CRONO!Y$12,CÁLCULO!$AJ$15:$BB$191)/(ORÇAMENTO!$X$15-CÁLCULO.TotalAdmLocal)*CRONO!$F28,
                        0),
                 Y27*$S26),
          SUMIF(OFFSET($S28,1,0,$R26-2),($M26+1)&amp;"$",OFFSET(Y28,1,0,$R26-2)))</f>
        <v>82723.41</v>
      </c>
      <c r="Z28" s="202" cm="1">
        <f t="array" aca="1" ref="Z28" ca="1">IF($R26=2,
         IF(AND(ACOMPANHAMENTO="PLE",ISNUMBER($F26)),
                SUMIF((OFFSET(CÁLCULO!$BC$15:$BU$15,$F26,0,OFFSET(ORÇAMENTO!$D$15,CRONO!$F26,0))),CRONO!Z$12,OFFSET(CÁLCULO!$AJ$15:$BB$15,$F26,0,OFFSET(ORÇAMENTO!$D$15,CRONO!$F26,0)))
                +IF(AND($F28&lt;&gt;"",$F28&lt;&gt;0),
                        SUMIF(CÁLCULO!$BC$15:$BU$191,CRONO!Z$12,CÁLCULO!$AJ$15:$BB$191)/(ORÇAMENTO!$X$15-CÁLCULO.TotalAdmLocal)*CRONO!$F28,
                        0),
                 Z27*$S26),
          SUMIF(OFFSET($S28,1,0,$R26-2),($M26+1)&amp;"$",OFFSET(Z28,1,0,$R26-2)))</f>
        <v>141981.6</v>
      </c>
      <c r="AA28" s="202" cm="1">
        <f t="array" aca="1" ref="AA28" ca="1">IF($R26=2,
         IF(AND(ACOMPANHAMENTO="PLE",ISNUMBER($F26)),
                SUMIF((OFFSET(CÁLCULO!$BC$15:$BU$15,$F26,0,OFFSET(ORÇAMENTO!$D$15,CRONO!$F26,0))),CRONO!AA$12,OFFSET(CÁLCULO!$AJ$15:$BB$15,$F26,0,OFFSET(ORÇAMENTO!$D$15,CRONO!$F26,0)))
                +IF(AND($F28&lt;&gt;"",$F28&lt;&gt;0),
                        SUMIF(CÁLCULO!$BC$15:$BU$191,CRONO!AA$12,CÁLCULO!$AJ$15:$BB$191)/(ORÇAMENTO!$X$15-CÁLCULO.TotalAdmLocal)*CRONO!$F28,
                        0),
                 AA27*$S26),
          SUMIF(OFFSET($S28,1,0,$R26-2),($M26+1)&amp;"$",OFFSET(AA28,1,0,$R26-2)))</f>
        <v>0</v>
      </c>
      <c r="AB28" s="202" cm="1">
        <f t="array" aca="1" ref="AB28" ca="1">IF($R26=2,
         IF(AND(ACOMPANHAMENTO="PLE",ISNUMBER($F26)),
                SUMIF((OFFSET(CÁLCULO!$BC$15:$BU$15,$F26,0,OFFSET(ORÇAMENTO!$D$15,CRONO!$F26,0))),CRONO!AB$12,OFFSET(CÁLCULO!$AJ$15:$BB$15,$F26,0,OFFSET(ORÇAMENTO!$D$15,CRONO!$F26,0)))
                +IF(AND($F28&lt;&gt;"",$F28&lt;&gt;0),
                        SUMIF(CÁLCULO!$BC$15:$BU$191,CRONO!AB$12,CÁLCULO!$AJ$15:$BB$191)/(ORÇAMENTO!$X$15-CÁLCULO.TotalAdmLocal)*CRONO!$F28,
                        0),
                 AB27*$S26),
          SUMIF(OFFSET($S28,1,0,$R26-2),($M26+1)&amp;"$",OFFSET(AB28,1,0,$R26-2)))</f>
        <v>0</v>
      </c>
      <c r="AC28" s="202" cm="1">
        <f t="array" aca="1" ref="AC28" ca="1">IF($R26=2,
         IF(AND(ACOMPANHAMENTO="PLE",ISNUMBER($F26)),
                SUMIF((OFFSET(CÁLCULO!$BC$15:$BU$15,$F26,0,OFFSET(ORÇAMENTO!$D$15,CRONO!$F26,0))),CRONO!AC$12,OFFSET(CÁLCULO!$AJ$15:$BB$15,$F26,0,OFFSET(ORÇAMENTO!$D$15,CRONO!$F26,0)))
                +IF(AND($F28&lt;&gt;"",$F28&lt;&gt;0),
                        SUMIF(CÁLCULO!$BC$15:$BU$191,CRONO!AC$12,CÁLCULO!$AJ$15:$BB$191)/(ORÇAMENTO!$X$15-CÁLCULO.TotalAdmLocal)*CRONO!$F28,
                        0),
                 AC27*$S26),
          SUMIF(OFFSET($S28,1,0,$R26-2),($M26+1)&amp;"$",OFFSET(AC28,1,0,$R26-2)))</f>
        <v>0</v>
      </c>
      <c r="AD28" s="202" cm="1">
        <f t="array" aca="1" ref="AD28" ca="1">IF($R26=2,
         IF(AND(ACOMPANHAMENTO="PLE",ISNUMBER($F26)),
                SUMIF((OFFSET(CÁLCULO!$BC$15:$BU$15,$F26,0,OFFSET(ORÇAMENTO!$D$15,CRONO!$F26,0))),CRONO!AD$12,OFFSET(CÁLCULO!$AJ$15:$BB$15,$F26,0,OFFSET(ORÇAMENTO!$D$15,CRONO!$F26,0)))
                +IF(AND($F28&lt;&gt;"",$F28&lt;&gt;0),
                        SUMIF(CÁLCULO!$BC$15:$BU$191,CRONO!AD$12,CÁLCULO!$AJ$15:$BB$191)/(ORÇAMENTO!$X$15-CÁLCULO.TotalAdmLocal)*CRONO!$F28,
                        0),
                 AD27*$S26),
          SUMIF(OFFSET($S28,1,0,$R26-2),($M26+1)&amp;"$",OFFSET(AD28,1,0,$R26-2)))</f>
        <v>0</v>
      </c>
      <c r="AE28" s="202" cm="1">
        <f t="array" aca="1" ref="AE28" ca="1">IF($R26=2,
         IF(AND(ACOMPANHAMENTO="PLE",ISNUMBER($F26)),
                SUMIF((OFFSET(CÁLCULO!$BC$15:$BU$15,$F26,0,OFFSET(ORÇAMENTO!$D$15,CRONO!$F26,0))),CRONO!AE$12,OFFSET(CÁLCULO!$AJ$15:$BB$15,$F26,0,OFFSET(ORÇAMENTO!$D$15,CRONO!$F26,0)))
                +IF(AND($F28&lt;&gt;"",$F28&lt;&gt;0),
                        SUMIF(CÁLCULO!$BC$15:$BU$191,CRONO!AE$12,CÁLCULO!$AJ$15:$BB$191)/(ORÇAMENTO!$X$15-CÁLCULO.TotalAdmLocal)*CRONO!$F28,
                        0),
                 AE27*$S26),
          SUMIF(OFFSET($S28,1,0,$R26-2),($M26+1)&amp;"$",OFFSET(AE28,1,0,$R26-2)))</f>
        <v>0</v>
      </c>
      <c r="AF28" s="202" cm="1">
        <f t="array" aca="1" ref="AF28" ca="1">IF($R26=2,
         IF(AND(ACOMPANHAMENTO="PLE",ISNUMBER($F26)),
                SUMIF((OFFSET(CÁLCULO!$BC$15:$BU$15,$F26,0,OFFSET(ORÇAMENTO!$D$15,CRONO!$F26,0))),CRONO!AF$12,OFFSET(CÁLCULO!$AJ$15:$BB$15,$F26,0,OFFSET(ORÇAMENTO!$D$15,CRONO!$F26,0)))
                +IF(AND($F28&lt;&gt;"",$F28&lt;&gt;0),
                        SUMIF(CÁLCULO!$BC$15:$BU$191,CRONO!AF$12,CÁLCULO!$AJ$15:$BB$191)/(ORÇAMENTO!$X$15-CÁLCULO.TotalAdmLocal)*CRONO!$F28,
                        0),
                 AF27*$S26),
          SUMIF(OFFSET($S28,1,0,$R26-2),($M26+1)&amp;"$",OFFSET(AF28,1,0,$R26-2)))</f>
        <v>0</v>
      </c>
      <c r="AG28" s="534"/>
    </row>
    <row r="29" spans="1:33" x14ac:dyDescent="0.2">
      <c r="A29" s="186" t="str">
        <f t="shared" ref="A29" ca="1" si="32">IF($M29&gt;1,_xlfn.CONCAT($I29," ",$J29),"")</f>
        <v>1.5. ESTRUTURAS - Reservatório de 320 m³</v>
      </c>
      <c r="B29" s="185">
        <f t="shared" ref="B29" ca="1" si="33">OFFSET(B29,-3,0)+1</f>
        <v>6</v>
      </c>
      <c r="C29" s="185">
        <f ca="1">IF($R29&lt;&gt;2,0,IF($S29=0,1,IF(F30&gt;0,OFFSET(QCI!$M$13,SUBSTITUTE(F30,".",""),0),OFFSET(ORÇAMENTO!$AA$15,CRONO!$F29,0))/$S29))</f>
        <v>0</v>
      </c>
      <c r="D29" s="185">
        <f ca="1">IF($R29&lt;&gt;2,0,IF($S29=0,1,IF(F30&gt;0,OFFSET(QCI!$N$13,SUBSTITUTE(F30,".",""),0),OFFSET(ORÇAMENTO!$AB$15,CRONO!$F29,0))/$S29))</f>
        <v>0</v>
      </c>
      <c r="E29" s="188" cm="1">
        <f t="array" aca="1" ref="E29" ca="1">IF(AND($R29=2,ACOMPANHAMENTO="BM"),ROUND(E30,4),E31/$S29)</f>
        <v>0</v>
      </c>
      <c r="F29" s="185" cm="1">
        <f t="array" aca="1" ref="F29" ca="1">IF(B29&lt;=ORÇAMENTO.MáximoListaCrono,MATCH(B29,ORÇAMENTO.ListaCrono,0),NA())</f>
        <v>23</v>
      </c>
      <c r="G29" s="185" t="str">
        <f t="shared" ref="G29" ca="1" si="34">IF(AND($F30&lt;&gt;-1,$S29&gt;0),"F","")</f>
        <v>F</v>
      </c>
      <c r="H29" s="189" t="str" cm="1">
        <f t="array" aca="1" ref="H29" ca="1">IF(OR(S29=0,S29=""),"Linha",IF(AND(OR(ACOMPANHAMENTO="PLE",$R29&lt;&gt;2),$F30=0),"Linha",ROUND(1-SUM(U29:AG29),4)))</f>
        <v>Linha</v>
      </c>
      <c r="I29" s="190" t="str">
        <f ca="1">IF($F30=0,OFFSET(ORÇAMENTO!O$15,$F29,0),IF($F30&lt;&gt;-1,OFFSET(QCI!$D$13,$F30,0),""))</f>
        <v>1.5.</v>
      </c>
      <c r="J29" s="191" t="str">
        <f ca="1">IF($F30=0,OFFSET(ORÇAMENTO!R$15,$F29,0),IF($F30&lt;&gt;-1,OFFSET(QCI!$G$13,$F30,0),""))</f>
        <v>ESTRUTURAS - Reservatório de 320 m³</v>
      </c>
      <c r="K29" s="191"/>
      <c r="L29" s="191"/>
      <c r="M29" s="192">
        <f ca="1">IF($F30=0,OFFSET(ORÇAMENTO!C$15,$F29,0),1)</f>
        <v>2</v>
      </c>
      <c r="N29" s="193">
        <f ca="1">IF($F30=-1,0,IF(N$13&lt;=$M29,IF(ISERROR(MATCH(N$13,OFFSET($M29,1,0,ROW($M$92)-ROW($M29)-1),0)),ROW($M$92)-ROW($M29)-1,MATCH(N$13,OFFSET($M29,1,0,ROW($M$92)-ROW($M29)-1),0)-1),0))</f>
        <v>59</v>
      </c>
      <c r="O29" s="193">
        <f ca="1">IF($F30=-1,0,IF(O$13&lt;=$M29,IF(ISERROR(MATCH(O$13,OFFSET($M29,1,0,ROW($M$92)-ROW($M29)-1),0)),ROW($M$92)-ROW($M29)-1,MATCH(O$13,OFFSET($M29,1,0,ROW($M$92)-ROW($M29)-1),0)-1),0))</f>
        <v>2</v>
      </c>
      <c r="P29" s="193">
        <f ca="1">IF($F30=-1,0,IF(P$13&lt;=$M29,IF(ISERROR(MATCH(P$13,OFFSET($M29,1,0,ROW($M$92)-ROW($M29)-1),0)),ROW($M$92)-ROW($M29)-1,MATCH(P$13,OFFSET($M29,1,0,ROW($M$92)-ROW($M29)-1),0)-1),0))</f>
        <v>0</v>
      </c>
      <c r="Q29" s="193">
        <f ca="1">IF($F30=-1,0,IF(Q$13&lt;=$M29,IF(ISERROR(MATCH(Q$13,OFFSET($M29,1,0,ROW($M$92)-ROW($M29)-1),0)),ROW($M$92)-ROW($M29)-1,MATCH(Q$13,OFFSET($M29,1,0,ROW($M$92)-ROW($M29)-1),0)-1),0))</f>
        <v>0</v>
      </c>
      <c r="R29" s="193">
        <f t="shared" ref="R29" ca="1" si="35">MIN(OFFSET(M29,0,1,,M29))</f>
        <v>2</v>
      </c>
      <c r="S29" s="194">
        <f ca="1">IF($F30=0,OFFSET(ORÇAMENTO!X$15,$F29,0),IF($F30&lt;&gt;-1,OFFSET(QCI!$O$13,$F30,0),""))</f>
        <v>102850.02</v>
      </c>
      <c r="T29" s="195" t="s">
        <v>785</v>
      </c>
      <c r="U29" s="188" cm="1">
        <f t="array" aca="1" ref="U29" ca="1">IF(AND($R29=2,ACOMPANHAMENTO="BM"),ROUND(U30,4),U31/$S29)</f>
        <v>0</v>
      </c>
      <c r="V29" s="188" cm="1">
        <f t="array" aca="1" ref="V29" ca="1">IF(AND($R29=2,ACOMPANHAMENTO="BM"),ROUND(V30,4),V31/$S29)</f>
        <v>0</v>
      </c>
      <c r="W29" s="188" cm="1">
        <f t="array" aca="1" ref="W29" ca="1">IF(AND($R29=2,ACOMPANHAMENTO="BM"),ROUND(W30,4),W31/$S29)</f>
        <v>0</v>
      </c>
      <c r="X29" s="188" cm="1">
        <f t="array" aca="1" ref="X29" ca="1">IF(AND($R29=2,ACOMPANHAMENTO="BM"),ROUND(X30,4),X31/$S29)</f>
        <v>0</v>
      </c>
      <c r="Y29" s="188" cm="1">
        <f t="array" aca="1" ref="Y29" ca="1">IF(AND($R29=2,ACOMPANHAMENTO="BM"),ROUND(Y30,4),Y31/$S29)</f>
        <v>0</v>
      </c>
      <c r="Z29" s="188" cm="1">
        <f t="array" aca="1" ref="Z29" ca="1">IF(AND($R29=2,ACOMPANHAMENTO="BM"),ROUND(Z30,4),Z31/$S29)</f>
        <v>1.8996593291863238E-2</v>
      </c>
      <c r="AA29" s="188" cm="1">
        <f t="array" aca="1" ref="AA29" ca="1">IF(AND($R29=2,ACOMPANHAMENTO="BM"),ROUND(AA30,4),AA31/$S29)</f>
        <v>0.98100340670813668</v>
      </c>
      <c r="AB29" s="188" cm="1">
        <f t="array" aca="1" ref="AB29" ca="1">IF(AND($R29=2,ACOMPANHAMENTO="BM"),ROUND(AB30,4),AB31/$S29)</f>
        <v>0</v>
      </c>
      <c r="AC29" s="188" cm="1">
        <f t="array" aca="1" ref="AC29" ca="1">IF(AND($R29=2,ACOMPANHAMENTO="BM"),ROUND(AC30,4),AC31/$S29)</f>
        <v>0</v>
      </c>
      <c r="AD29" s="188" cm="1">
        <f t="array" aca="1" ref="AD29" ca="1">IF(AND($R29=2,ACOMPANHAMENTO="BM"),ROUND(AD30,4),AD31/$S29)</f>
        <v>0</v>
      </c>
      <c r="AE29" s="188" cm="1">
        <f t="array" aca="1" ref="AE29" ca="1">IF(AND($R29=2,ACOMPANHAMENTO="BM"),ROUND(AE30,4),AE31/$S29)</f>
        <v>0</v>
      </c>
      <c r="AF29" s="188" cm="1">
        <f t="array" aca="1" ref="AF29" ca="1">IF(AND($R29=2,ACOMPANHAMENTO="BM"),ROUND(AF30,4),AF31/$S29)</f>
        <v>0</v>
      </c>
      <c r="AG29" s="534"/>
    </row>
    <row r="30" spans="1:33" ht="12.75" hidden="1" customHeight="1" x14ac:dyDescent="0.2">
      <c r="E30" s="587"/>
      <c r="F30" s="185">
        <f ca="1">IF(ISERROR(F29),IF(1+COUNTIF($M$13:OFFSET(M29,-1,0),1)&lt;=MAX(QCI!$D$13:$D$24),1+COUNTIF($M$13:OFFSET(M29,-1,0),1),-1),0)</f>
        <v>0</v>
      </c>
      <c r="G30" s="185" t="str" cm="1">
        <f t="array" aca="1" ref="G30" ca="1">IF(ACOMPANHAMENTO="BM",OFFSET(G30,-1,0),"")</f>
        <v/>
      </c>
      <c r="H30" s="196" t="str" cm="1">
        <f t="array" aca="1" ref="H30" ca="1">IF(OR(S29=0,S29=""),"vazia",IF(AND(OR(ACOMPANHAMENTO="PLE",$R29&lt;&gt;2),$F30=0),"calculada","--&gt;"))</f>
        <v>calculada</v>
      </c>
      <c r="I30" s="197"/>
      <c r="J30" s="198" t="str">
        <f t="shared" ref="J30" ca="1" si="36">IF(AND(H29&lt;&gt;0,ISNUMBER(H29)),"PREENCHA ESTA LINHA --&gt;","")</f>
        <v/>
      </c>
      <c r="K30" s="198"/>
      <c r="L30" s="198"/>
      <c r="M30" s="199"/>
      <c r="N30" s="199"/>
      <c r="O30" s="199"/>
      <c r="P30" s="199"/>
      <c r="Q30" s="199"/>
      <c r="R30" s="199"/>
      <c r="S30" s="200"/>
      <c r="T30" s="201"/>
      <c r="U30" s="587"/>
      <c r="V30" s="587"/>
      <c r="W30" s="587"/>
      <c r="X30" s="587"/>
      <c r="Y30" s="587"/>
      <c r="Z30" s="587"/>
      <c r="AA30" s="587"/>
      <c r="AB30" s="587"/>
      <c r="AC30" s="587"/>
      <c r="AD30" s="587"/>
      <c r="AE30" s="587"/>
      <c r="AF30" s="587"/>
      <c r="AG30" s="534"/>
    </row>
    <row r="31" spans="1:33" ht="12.75" hidden="1" customHeight="1" x14ac:dyDescent="0.2">
      <c r="D31" s="533"/>
      <c r="E31" s="202" cm="1">
        <f t="array" aca="1" ref="E31" ca="1">IF($R29=2,
         IF(AND(ACOMPANHAMENTO="PLE",ISNUMBER($F29)),
                SUMIF((OFFSET(CÁLCULO!$BC$15:$BU$15,$F29,0,OFFSET(ORÇAMENTO!$D$15,CRONO!$F29,0))),CRONO!E$12,OFFSET(CÁLCULO!$AJ$15:$BB$15,$F29,0,OFFSET(ORÇAMENTO!$D$15,CRONO!$F29,0)))
                +IF(AND($F31&lt;&gt;"",$F31&lt;&gt;0),
                        SUMIF(CÁLCULO!$BC$15:$BU$191,CRONO!E$12,CÁLCULO!$AJ$15:$BB$191)/(ORÇAMENTO!$X$15-CÁLCULO.TotalAdmLocal)*CRONO!$F31,
                        0),
                 E30*$S29),
          SUMIF(OFFSET($S31,1,0,$R29-2),($M29+1)&amp;"$",OFFSET(E31,1,0,$R29-2)))</f>
        <v>0</v>
      </c>
      <c r="F31" s="185">
        <f ca="1">IF(OR($R29&lt;&gt;2,AUTOEVENTO&lt;&gt;"manual",$F30&gt;0),"",
        IF(Import.TipoArredondamento="Tradicional",
              SUMIF(OFFSET(CÁLCULO!$M$15,CRONO!$F29,0,OFFSET(ORÇAMENTO!$D$15,CRONO!$F29,0)),1,OFFSET(ORÇAMENTO!$X$15,CRONO!$F29,0,OFFSET(ORÇAMENTO!$D$15,CRONO!$F29,0))),
              0))</f>
        <v>0</v>
      </c>
      <c r="H31" s="667"/>
      <c r="S31" s="204" t="str">
        <f t="shared" ref="S31" ca="1" si="37">M29&amp;"$"</f>
        <v>2$</v>
      </c>
      <c r="T31" s="205"/>
      <c r="U31" s="202" cm="1">
        <f t="array" aca="1" ref="U31" ca="1">IF($R29=2,
         IF(AND(ACOMPANHAMENTO="PLE",ISNUMBER($F29)),
                SUMIF((OFFSET(CÁLCULO!$BC$15:$BU$15,$F29,0,OFFSET(ORÇAMENTO!$D$15,CRONO!$F29,0))),CRONO!U$12,OFFSET(CÁLCULO!$AJ$15:$BB$15,$F29,0,OFFSET(ORÇAMENTO!$D$15,CRONO!$F29,0)))
                +IF(AND($F31&lt;&gt;"",$F31&lt;&gt;0),
                        SUMIF(CÁLCULO!$BC$15:$BU$191,CRONO!U$12,CÁLCULO!$AJ$15:$BB$191)/(ORÇAMENTO!$X$15-CÁLCULO.TotalAdmLocal)*CRONO!$F31,
                        0),
                 U30*$S29),
          SUMIF(OFFSET($S31,1,0,$R29-2),($M29+1)&amp;"$",OFFSET(U31,1,0,$R29-2)))</f>
        <v>0</v>
      </c>
      <c r="V31" s="202" cm="1">
        <f t="array" aca="1" ref="V31" ca="1">IF($R29=2,
         IF(AND(ACOMPANHAMENTO="PLE",ISNUMBER($F29)),
                SUMIF((OFFSET(CÁLCULO!$BC$15:$BU$15,$F29,0,OFFSET(ORÇAMENTO!$D$15,CRONO!$F29,0))),CRONO!V$12,OFFSET(CÁLCULO!$AJ$15:$BB$15,$F29,0,OFFSET(ORÇAMENTO!$D$15,CRONO!$F29,0)))
                +IF(AND($F31&lt;&gt;"",$F31&lt;&gt;0),
                        SUMIF(CÁLCULO!$BC$15:$BU$191,CRONO!V$12,CÁLCULO!$AJ$15:$BB$191)/(ORÇAMENTO!$X$15-CÁLCULO.TotalAdmLocal)*CRONO!$F31,
                        0),
                 V30*$S29),
          SUMIF(OFFSET($S31,1,0,$R29-2),($M29+1)&amp;"$",OFFSET(V31,1,0,$R29-2)))</f>
        <v>0</v>
      </c>
      <c r="W31" s="202" cm="1">
        <f t="array" aca="1" ref="W31" ca="1">IF($R29=2,
         IF(AND(ACOMPANHAMENTO="PLE",ISNUMBER($F29)),
                SUMIF((OFFSET(CÁLCULO!$BC$15:$BU$15,$F29,0,OFFSET(ORÇAMENTO!$D$15,CRONO!$F29,0))),CRONO!W$12,OFFSET(CÁLCULO!$AJ$15:$BB$15,$F29,0,OFFSET(ORÇAMENTO!$D$15,CRONO!$F29,0)))
                +IF(AND($F31&lt;&gt;"",$F31&lt;&gt;0),
                        SUMIF(CÁLCULO!$BC$15:$BU$191,CRONO!W$12,CÁLCULO!$AJ$15:$BB$191)/(ORÇAMENTO!$X$15-CÁLCULO.TotalAdmLocal)*CRONO!$F31,
                        0),
                 W30*$S29),
          SUMIF(OFFSET($S31,1,0,$R29-2),($M29+1)&amp;"$",OFFSET(W31,1,0,$R29-2)))</f>
        <v>0</v>
      </c>
      <c r="X31" s="202" cm="1">
        <f t="array" aca="1" ref="X31" ca="1">IF($R29=2,
         IF(AND(ACOMPANHAMENTO="PLE",ISNUMBER($F29)),
                SUMIF((OFFSET(CÁLCULO!$BC$15:$BU$15,$F29,0,OFFSET(ORÇAMENTO!$D$15,CRONO!$F29,0))),CRONO!X$12,OFFSET(CÁLCULO!$AJ$15:$BB$15,$F29,0,OFFSET(ORÇAMENTO!$D$15,CRONO!$F29,0)))
                +IF(AND($F31&lt;&gt;"",$F31&lt;&gt;0),
                        SUMIF(CÁLCULO!$BC$15:$BU$191,CRONO!X$12,CÁLCULO!$AJ$15:$BB$191)/(ORÇAMENTO!$X$15-CÁLCULO.TotalAdmLocal)*CRONO!$F31,
                        0),
                 X30*$S29),
          SUMIF(OFFSET($S31,1,0,$R29-2),($M29+1)&amp;"$",OFFSET(X31,1,0,$R29-2)))</f>
        <v>0</v>
      </c>
      <c r="Y31" s="202" cm="1">
        <f t="array" aca="1" ref="Y31" ca="1">IF($R29=2,
         IF(AND(ACOMPANHAMENTO="PLE",ISNUMBER($F29)),
                SUMIF((OFFSET(CÁLCULO!$BC$15:$BU$15,$F29,0,OFFSET(ORÇAMENTO!$D$15,CRONO!$F29,0))),CRONO!Y$12,OFFSET(CÁLCULO!$AJ$15:$BB$15,$F29,0,OFFSET(ORÇAMENTO!$D$15,CRONO!$F29,0)))
                +IF(AND($F31&lt;&gt;"",$F31&lt;&gt;0),
                        SUMIF(CÁLCULO!$BC$15:$BU$191,CRONO!Y$12,CÁLCULO!$AJ$15:$BB$191)/(ORÇAMENTO!$X$15-CÁLCULO.TotalAdmLocal)*CRONO!$F31,
                        0),
                 Y30*$S29),
          SUMIF(OFFSET($S31,1,0,$R29-2),($M29+1)&amp;"$",OFFSET(Y31,1,0,$R29-2)))</f>
        <v>0</v>
      </c>
      <c r="Z31" s="202" cm="1">
        <f t="array" aca="1" ref="Z31" ca="1">IF($R29=2,
         IF(AND(ACOMPANHAMENTO="PLE",ISNUMBER($F29)),
                SUMIF((OFFSET(CÁLCULO!$BC$15:$BU$15,$F29,0,OFFSET(ORÇAMENTO!$D$15,CRONO!$F29,0))),CRONO!Z$12,OFFSET(CÁLCULO!$AJ$15:$BB$15,$F29,0,OFFSET(ORÇAMENTO!$D$15,CRONO!$F29,0)))
                +IF(AND($F31&lt;&gt;"",$F31&lt;&gt;0),
                        SUMIF(CÁLCULO!$BC$15:$BU$191,CRONO!Z$12,CÁLCULO!$AJ$15:$BB$191)/(ORÇAMENTO!$X$15-CÁLCULO.TotalAdmLocal)*CRONO!$F31,
                        0),
                 Z30*$S29),
          SUMIF(OFFSET($S31,1,0,$R29-2),($M29+1)&amp;"$",OFFSET(Z31,1,0,$R29-2)))</f>
        <v>1953.8</v>
      </c>
      <c r="AA31" s="202" cm="1">
        <f t="array" aca="1" ref="AA31" ca="1">IF($R29=2,
         IF(AND(ACOMPANHAMENTO="PLE",ISNUMBER($F29)),
                SUMIF((OFFSET(CÁLCULO!$BC$15:$BU$15,$F29,0,OFFSET(ORÇAMENTO!$D$15,CRONO!$F29,0))),CRONO!AA$12,OFFSET(CÁLCULO!$AJ$15:$BB$15,$F29,0,OFFSET(ORÇAMENTO!$D$15,CRONO!$F29,0)))
                +IF(AND($F31&lt;&gt;"",$F31&lt;&gt;0),
                        SUMIF(CÁLCULO!$BC$15:$BU$191,CRONO!AA$12,CÁLCULO!$AJ$15:$BB$191)/(ORÇAMENTO!$X$15-CÁLCULO.TotalAdmLocal)*CRONO!$F31,
                        0),
                 AA30*$S29),
          SUMIF(OFFSET($S31,1,0,$R29-2),($M29+1)&amp;"$",OFFSET(AA31,1,0,$R29-2)))</f>
        <v>100896.22</v>
      </c>
      <c r="AB31" s="202" cm="1">
        <f t="array" aca="1" ref="AB31" ca="1">IF($R29=2,
         IF(AND(ACOMPANHAMENTO="PLE",ISNUMBER($F29)),
                SUMIF((OFFSET(CÁLCULO!$BC$15:$BU$15,$F29,0,OFFSET(ORÇAMENTO!$D$15,CRONO!$F29,0))),CRONO!AB$12,OFFSET(CÁLCULO!$AJ$15:$BB$15,$F29,0,OFFSET(ORÇAMENTO!$D$15,CRONO!$F29,0)))
                +IF(AND($F31&lt;&gt;"",$F31&lt;&gt;0),
                        SUMIF(CÁLCULO!$BC$15:$BU$191,CRONO!AB$12,CÁLCULO!$AJ$15:$BB$191)/(ORÇAMENTO!$X$15-CÁLCULO.TotalAdmLocal)*CRONO!$F31,
                        0),
                 AB30*$S29),
          SUMIF(OFFSET($S31,1,0,$R29-2),($M29+1)&amp;"$",OFFSET(AB31,1,0,$R29-2)))</f>
        <v>0</v>
      </c>
      <c r="AC31" s="202" cm="1">
        <f t="array" aca="1" ref="AC31" ca="1">IF($R29=2,
         IF(AND(ACOMPANHAMENTO="PLE",ISNUMBER($F29)),
                SUMIF((OFFSET(CÁLCULO!$BC$15:$BU$15,$F29,0,OFFSET(ORÇAMENTO!$D$15,CRONO!$F29,0))),CRONO!AC$12,OFFSET(CÁLCULO!$AJ$15:$BB$15,$F29,0,OFFSET(ORÇAMENTO!$D$15,CRONO!$F29,0)))
                +IF(AND($F31&lt;&gt;"",$F31&lt;&gt;0),
                        SUMIF(CÁLCULO!$BC$15:$BU$191,CRONO!AC$12,CÁLCULO!$AJ$15:$BB$191)/(ORÇAMENTO!$X$15-CÁLCULO.TotalAdmLocal)*CRONO!$F31,
                        0),
                 AC30*$S29),
          SUMIF(OFFSET($S31,1,0,$R29-2),($M29+1)&amp;"$",OFFSET(AC31,1,0,$R29-2)))</f>
        <v>0</v>
      </c>
      <c r="AD31" s="202" cm="1">
        <f t="array" aca="1" ref="AD31" ca="1">IF($R29=2,
         IF(AND(ACOMPANHAMENTO="PLE",ISNUMBER($F29)),
                SUMIF((OFFSET(CÁLCULO!$BC$15:$BU$15,$F29,0,OFFSET(ORÇAMENTO!$D$15,CRONO!$F29,0))),CRONO!AD$12,OFFSET(CÁLCULO!$AJ$15:$BB$15,$F29,0,OFFSET(ORÇAMENTO!$D$15,CRONO!$F29,0)))
                +IF(AND($F31&lt;&gt;"",$F31&lt;&gt;0),
                        SUMIF(CÁLCULO!$BC$15:$BU$191,CRONO!AD$12,CÁLCULO!$AJ$15:$BB$191)/(ORÇAMENTO!$X$15-CÁLCULO.TotalAdmLocal)*CRONO!$F31,
                        0),
                 AD30*$S29),
          SUMIF(OFFSET($S31,1,0,$R29-2),($M29+1)&amp;"$",OFFSET(AD31,1,0,$R29-2)))</f>
        <v>0</v>
      </c>
      <c r="AE31" s="202" cm="1">
        <f t="array" aca="1" ref="AE31" ca="1">IF($R29=2,
         IF(AND(ACOMPANHAMENTO="PLE",ISNUMBER($F29)),
                SUMIF((OFFSET(CÁLCULO!$BC$15:$BU$15,$F29,0,OFFSET(ORÇAMENTO!$D$15,CRONO!$F29,0))),CRONO!AE$12,OFFSET(CÁLCULO!$AJ$15:$BB$15,$F29,0,OFFSET(ORÇAMENTO!$D$15,CRONO!$F29,0)))
                +IF(AND($F31&lt;&gt;"",$F31&lt;&gt;0),
                        SUMIF(CÁLCULO!$BC$15:$BU$191,CRONO!AE$12,CÁLCULO!$AJ$15:$BB$191)/(ORÇAMENTO!$X$15-CÁLCULO.TotalAdmLocal)*CRONO!$F31,
                        0),
                 AE30*$S29),
          SUMIF(OFFSET($S31,1,0,$R29-2),($M29+1)&amp;"$",OFFSET(AE31,1,0,$R29-2)))</f>
        <v>0</v>
      </c>
      <c r="AF31" s="202" cm="1">
        <f t="array" aca="1" ref="AF31" ca="1">IF($R29=2,
         IF(AND(ACOMPANHAMENTO="PLE",ISNUMBER($F29)),
                SUMIF((OFFSET(CÁLCULO!$BC$15:$BU$15,$F29,0,OFFSET(ORÇAMENTO!$D$15,CRONO!$F29,0))),CRONO!AF$12,OFFSET(CÁLCULO!$AJ$15:$BB$15,$F29,0,OFFSET(ORÇAMENTO!$D$15,CRONO!$F29,0)))
                +IF(AND($F31&lt;&gt;"",$F31&lt;&gt;0),
                        SUMIF(CÁLCULO!$BC$15:$BU$191,CRONO!AF$12,CÁLCULO!$AJ$15:$BB$191)/(ORÇAMENTO!$X$15-CÁLCULO.TotalAdmLocal)*CRONO!$F31,
                        0),
                 AF30*$S29),
          SUMIF(OFFSET($S31,1,0,$R29-2),($M29+1)&amp;"$",OFFSET(AF31,1,0,$R29-2)))</f>
        <v>0</v>
      </c>
      <c r="AG31" s="534"/>
    </row>
    <row r="32" spans="1:33" x14ac:dyDescent="0.2">
      <c r="A32" s="186" t="str">
        <f t="shared" ref="A32" ca="1" si="38">IF($M32&gt;1,_xlfn.CONCAT($I32," ",$J32),"")</f>
        <v xml:space="preserve">1.6. RESERVATÓRIO </v>
      </c>
      <c r="B32" s="185">
        <f t="shared" ref="B32" ca="1" si="39">OFFSET(B32,-3,0)+1</f>
        <v>7</v>
      </c>
      <c r="C32" s="185">
        <f ca="1">IF($R32&lt;&gt;2,0,IF($S32=0,1,IF(F33&gt;0,OFFSET(QCI!$M$13,SUBSTITUTE(F33,".",""),0),OFFSET(ORÇAMENTO!$AA$15,CRONO!$F32,0))/$S32))</f>
        <v>0</v>
      </c>
      <c r="D32" s="185">
        <f ca="1">IF($R32&lt;&gt;2,0,IF($S32=0,1,IF(F33&gt;0,OFFSET(QCI!$N$13,SUBSTITUTE(F33,".",""),0),OFFSET(ORÇAMENTO!$AB$15,CRONO!$F32,0))/$S32))</f>
        <v>0</v>
      </c>
      <c r="E32" s="188" cm="1">
        <f t="array" aca="1" ref="E32" ca="1">IF(AND($R32=2,ACOMPANHAMENTO="BM"),ROUND(E33,4),E34/$S32)</f>
        <v>0</v>
      </c>
      <c r="F32" s="185" cm="1">
        <f t="array" aca="1" ref="F32" ca="1">IF(B32&lt;=ORÇAMENTO.MáximoListaCrono,MATCH(B32,ORÇAMENTO.ListaCrono,0),NA())</f>
        <v>27</v>
      </c>
      <c r="G32" s="185" t="str">
        <f t="shared" ref="G32" ca="1" si="40">IF(AND($F33&lt;&gt;-1,$S32&gt;0),"F","")</f>
        <v>F</v>
      </c>
      <c r="H32" s="189" t="str" cm="1">
        <f t="array" aca="1" ref="H32" ca="1">IF(OR(S32=0,S32=""),"Linha",IF(AND(OR(ACOMPANHAMENTO="PLE",$R32&lt;&gt;2),$F33=0),"Linha",ROUND(1-SUM(U32:AG32),4)))</f>
        <v>Linha</v>
      </c>
      <c r="I32" s="190" t="str">
        <f ca="1">IF($F33=0,OFFSET(ORÇAMENTO!O$15,$F32,0),IF($F33&lt;&gt;-1,OFFSET(QCI!$D$13,$F33,0),""))</f>
        <v>1.6.</v>
      </c>
      <c r="J32" s="191" t="str">
        <f ca="1">IF($F33=0,OFFSET(ORÇAMENTO!R$15,$F32,0),IF($F33&lt;&gt;-1,OFFSET(QCI!$G$13,$F33,0),""))</f>
        <v xml:space="preserve">RESERVATÓRIO </v>
      </c>
      <c r="K32" s="191"/>
      <c r="L32" s="191"/>
      <c r="M32" s="192">
        <f ca="1">IF($F33=0,OFFSET(ORÇAMENTO!C$15,$F32,0),1)</f>
        <v>2</v>
      </c>
      <c r="N32" s="193">
        <f ca="1">IF($F33=-1,0,IF(N$13&lt;=$M32,IF(ISERROR(MATCH(N$13,OFFSET($M32,1,0,ROW($M$92)-ROW($M32)-1),0)),ROW($M$92)-ROW($M32)-1,MATCH(N$13,OFFSET($M32,1,0,ROW($M$92)-ROW($M32)-1),0)-1),0))</f>
        <v>56</v>
      </c>
      <c r="O32" s="193">
        <f ca="1">IF($F33=-1,0,IF(O$13&lt;=$M32,IF(ISERROR(MATCH(O$13,OFFSET($M32,1,0,ROW($M$92)-ROW($M32)-1),0)),ROW($M$92)-ROW($M32)-1,MATCH(O$13,OFFSET($M32,1,0,ROW($M$92)-ROW($M32)-1),0)-1),0))</f>
        <v>2</v>
      </c>
      <c r="P32" s="193">
        <f ca="1">IF($F33=-1,0,IF(P$13&lt;=$M32,IF(ISERROR(MATCH(P$13,OFFSET($M32,1,0,ROW($M$92)-ROW($M32)-1),0)),ROW($M$92)-ROW($M32)-1,MATCH(P$13,OFFSET($M32,1,0,ROW($M$92)-ROW($M32)-1),0)-1),0))</f>
        <v>0</v>
      </c>
      <c r="Q32" s="193">
        <f ca="1">IF($F33=-1,0,IF(Q$13&lt;=$M32,IF(ISERROR(MATCH(Q$13,OFFSET($M32,1,0,ROW($M$92)-ROW($M32)-1),0)),ROW($M$92)-ROW($M32)-1,MATCH(Q$13,OFFSET($M32,1,0,ROW($M$92)-ROW($M32)-1),0)-1),0))</f>
        <v>0</v>
      </c>
      <c r="R32" s="193">
        <f t="shared" ref="R32" ca="1" si="41">MIN(OFFSET(M32,0,1,,M32))</f>
        <v>2</v>
      </c>
      <c r="S32" s="194">
        <f ca="1">IF($F33=0,OFFSET(ORÇAMENTO!X$15,$F32,0),IF($F33&lt;&gt;-1,OFFSET(QCI!$O$13,$F33,0),""))</f>
        <v>513137.44</v>
      </c>
      <c r="T32" s="195" t="s">
        <v>785</v>
      </c>
      <c r="U32" s="188" cm="1">
        <f t="array" aca="1" ref="U32" ca="1">IF(AND($R32=2,ACOMPANHAMENTO="BM"),ROUND(U33,4),U34/$S32)</f>
        <v>0</v>
      </c>
      <c r="V32" s="188" cm="1">
        <f t="array" aca="1" ref="V32" ca="1">IF(AND($R32=2,ACOMPANHAMENTO="BM"),ROUND(V33,4),V34/$S32)</f>
        <v>0</v>
      </c>
      <c r="W32" s="188" cm="1">
        <f t="array" aca="1" ref="W32" ca="1">IF(AND($R32=2,ACOMPANHAMENTO="BM"),ROUND(W33,4),W34/$S32)</f>
        <v>0</v>
      </c>
      <c r="X32" s="188" cm="1">
        <f t="array" aca="1" ref="X32" ca="1">IF(AND($R32=2,ACOMPANHAMENTO="BM"),ROUND(X33,4),X34/$S32)</f>
        <v>0</v>
      </c>
      <c r="Y32" s="188" cm="1">
        <f t="array" aca="1" ref="Y32" ca="1">IF(AND($R32=2,ACOMPANHAMENTO="BM"),ROUND(Y33,4),Y34/$S32)</f>
        <v>0</v>
      </c>
      <c r="Z32" s="188" cm="1">
        <f t="array" aca="1" ref="Z32" ca="1">IF(AND($R32=2,ACOMPANHAMENTO="BM"),ROUND(Z33,4),Z34/$S32)</f>
        <v>0</v>
      </c>
      <c r="AA32" s="188" cm="1">
        <f t="array" aca="1" ref="AA32" ca="1">IF(AND($R32=2,ACOMPANHAMENTO="BM"),ROUND(AA33,4),AA34/$S32)</f>
        <v>0</v>
      </c>
      <c r="AB32" s="188" cm="1">
        <f t="array" aca="1" ref="AB32" ca="1">IF(AND($R32=2,ACOMPANHAMENTO="BM"),ROUND(AB33,4),AB34/$S32)</f>
        <v>0</v>
      </c>
      <c r="AC32" s="188" cm="1">
        <f t="array" aca="1" ref="AC32" ca="1">IF(AND($R32=2,ACOMPANHAMENTO="BM"),ROUND(AC33,4),AC34/$S32)</f>
        <v>1</v>
      </c>
      <c r="AD32" s="188" cm="1">
        <f t="array" aca="1" ref="AD32" ca="1">IF(AND($R32=2,ACOMPANHAMENTO="BM"),ROUND(AD33,4),AD34/$S32)</f>
        <v>0</v>
      </c>
      <c r="AE32" s="188" cm="1">
        <f t="array" aca="1" ref="AE32" ca="1">IF(AND($R32=2,ACOMPANHAMENTO="BM"),ROUND(AE33,4),AE34/$S32)</f>
        <v>0</v>
      </c>
      <c r="AF32" s="188" cm="1">
        <f t="array" aca="1" ref="AF32" ca="1">IF(AND($R32=2,ACOMPANHAMENTO="BM"),ROUND(AF33,4),AF34/$S32)</f>
        <v>0</v>
      </c>
      <c r="AG32" s="534"/>
    </row>
    <row r="33" spans="1:33" ht="12.75" hidden="1" customHeight="1" x14ac:dyDescent="0.2">
      <c r="E33" s="587"/>
      <c r="F33" s="185">
        <f ca="1">IF(ISERROR(F32),IF(1+COUNTIF($M$13:OFFSET(M32,-1,0),1)&lt;=MAX(QCI!$D$13:$D$24),1+COUNTIF($M$13:OFFSET(M32,-1,0),1),-1),0)</f>
        <v>0</v>
      </c>
      <c r="G33" s="185" t="str" cm="1">
        <f t="array" aca="1" ref="G33" ca="1">IF(ACOMPANHAMENTO="BM",OFFSET(G33,-1,0),"")</f>
        <v/>
      </c>
      <c r="H33" s="196" t="str" cm="1">
        <f t="array" aca="1" ref="H33" ca="1">IF(OR(S32=0,S32=""),"vazia",IF(AND(OR(ACOMPANHAMENTO="PLE",$R32&lt;&gt;2),$F33=0),"calculada","--&gt;"))</f>
        <v>calculada</v>
      </c>
      <c r="I33" s="197"/>
      <c r="J33" s="198" t="str">
        <f t="shared" ref="J33" ca="1" si="42">IF(AND(H32&lt;&gt;0,ISNUMBER(H32)),"PREENCHA ESTA LINHA --&gt;","")</f>
        <v/>
      </c>
      <c r="K33" s="198"/>
      <c r="L33" s="198"/>
      <c r="M33" s="199"/>
      <c r="N33" s="199"/>
      <c r="O33" s="199"/>
      <c r="P33" s="199"/>
      <c r="Q33" s="199"/>
      <c r="R33" s="199"/>
      <c r="S33" s="200"/>
      <c r="T33" s="201"/>
      <c r="U33" s="587"/>
      <c r="V33" s="587"/>
      <c r="W33" s="587"/>
      <c r="X33" s="587"/>
      <c r="Y33" s="587"/>
      <c r="Z33" s="587"/>
      <c r="AA33" s="587"/>
      <c r="AB33" s="587"/>
      <c r="AC33" s="587"/>
      <c r="AD33" s="587"/>
      <c r="AE33" s="587"/>
      <c r="AF33" s="587"/>
      <c r="AG33" s="534"/>
    </row>
    <row r="34" spans="1:33" ht="12.75" hidden="1" customHeight="1" x14ac:dyDescent="0.2">
      <c r="D34" s="533"/>
      <c r="E34" s="202" cm="1">
        <f t="array" aca="1" ref="E34" ca="1">IF($R32=2,
         IF(AND(ACOMPANHAMENTO="PLE",ISNUMBER($F32)),
                SUMIF((OFFSET(CÁLCULO!$BC$15:$BU$15,$F32,0,OFFSET(ORÇAMENTO!$D$15,CRONO!$F32,0))),CRONO!E$12,OFFSET(CÁLCULO!$AJ$15:$BB$15,$F32,0,OFFSET(ORÇAMENTO!$D$15,CRONO!$F32,0)))
                +IF(AND($F34&lt;&gt;"",$F34&lt;&gt;0),
                        SUMIF(CÁLCULO!$BC$15:$BU$191,CRONO!E$12,CÁLCULO!$AJ$15:$BB$191)/(ORÇAMENTO!$X$15-CÁLCULO.TotalAdmLocal)*CRONO!$F34,
                        0),
                 E33*$S32),
          SUMIF(OFFSET($S34,1,0,$R32-2),($M32+1)&amp;"$",OFFSET(E34,1,0,$R32-2)))</f>
        <v>0</v>
      </c>
      <c r="F34" s="185">
        <f ca="1">IF(OR($R32&lt;&gt;2,AUTOEVENTO&lt;&gt;"manual",$F33&gt;0),"",
        IF(Import.TipoArredondamento="Tradicional",
              SUMIF(OFFSET(CÁLCULO!$M$15,CRONO!$F32,0,OFFSET(ORÇAMENTO!$D$15,CRONO!$F32,0)),1,OFFSET(ORÇAMENTO!$X$15,CRONO!$F32,0,OFFSET(ORÇAMENTO!$D$15,CRONO!$F32,0))),
              0))</f>
        <v>0</v>
      </c>
      <c r="H34" s="667"/>
      <c r="S34" s="204" t="str">
        <f t="shared" ref="S34" ca="1" si="43">M32&amp;"$"</f>
        <v>2$</v>
      </c>
      <c r="T34" s="205"/>
      <c r="U34" s="202" cm="1">
        <f t="array" aca="1" ref="U34" ca="1">IF($R32=2,
         IF(AND(ACOMPANHAMENTO="PLE",ISNUMBER($F32)),
                SUMIF((OFFSET(CÁLCULO!$BC$15:$BU$15,$F32,0,OFFSET(ORÇAMENTO!$D$15,CRONO!$F32,0))),CRONO!U$12,OFFSET(CÁLCULO!$AJ$15:$BB$15,$F32,0,OFFSET(ORÇAMENTO!$D$15,CRONO!$F32,0)))
                +IF(AND($F34&lt;&gt;"",$F34&lt;&gt;0),
                        SUMIF(CÁLCULO!$BC$15:$BU$191,CRONO!U$12,CÁLCULO!$AJ$15:$BB$191)/(ORÇAMENTO!$X$15-CÁLCULO.TotalAdmLocal)*CRONO!$F34,
                        0),
                 U33*$S32),
          SUMIF(OFFSET($S34,1,0,$R32-2),($M32+1)&amp;"$",OFFSET(U34,1,0,$R32-2)))</f>
        <v>0</v>
      </c>
      <c r="V34" s="202" cm="1">
        <f t="array" aca="1" ref="V34" ca="1">IF($R32=2,
         IF(AND(ACOMPANHAMENTO="PLE",ISNUMBER($F32)),
                SUMIF((OFFSET(CÁLCULO!$BC$15:$BU$15,$F32,0,OFFSET(ORÇAMENTO!$D$15,CRONO!$F32,0))),CRONO!V$12,OFFSET(CÁLCULO!$AJ$15:$BB$15,$F32,0,OFFSET(ORÇAMENTO!$D$15,CRONO!$F32,0)))
                +IF(AND($F34&lt;&gt;"",$F34&lt;&gt;0),
                        SUMIF(CÁLCULO!$BC$15:$BU$191,CRONO!V$12,CÁLCULO!$AJ$15:$BB$191)/(ORÇAMENTO!$X$15-CÁLCULO.TotalAdmLocal)*CRONO!$F34,
                        0),
                 V33*$S32),
          SUMIF(OFFSET($S34,1,0,$R32-2),($M32+1)&amp;"$",OFFSET(V34,1,0,$R32-2)))</f>
        <v>0</v>
      </c>
      <c r="W34" s="202" cm="1">
        <f t="array" aca="1" ref="W34" ca="1">IF($R32=2,
         IF(AND(ACOMPANHAMENTO="PLE",ISNUMBER($F32)),
                SUMIF((OFFSET(CÁLCULO!$BC$15:$BU$15,$F32,0,OFFSET(ORÇAMENTO!$D$15,CRONO!$F32,0))),CRONO!W$12,OFFSET(CÁLCULO!$AJ$15:$BB$15,$F32,0,OFFSET(ORÇAMENTO!$D$15,CRONO!$F32,0)))
                +IF(AND($F34&lt;&gt;"",$F34&lt;&gt;0),
                        SUMIF(CÁLCULO!$BC$15:$BU$191,CRONO!W$12,CÁLCULO!$AJ$15:$BB$191)/(ORÇAMENTO!$X$15-CÁLCULO.TotalAdmLocal)*CRONO!$F34,
                        0),
                 W33*$S32),
          SUMIF(OFFSET($S34,1,0,$R32-2),($M32+1)&amp;"$",OFFSET(W34,1,0,$R32-2)))</f>
        <v>0</v>
      </c>
      <c r="X34" s="202" cm="1">
        <f t="array" aca="1" ref="X34" ca="1">IF($R32=2,
         IF(AND(ACOMPANHAMENTO="PLE",ISNUMBER($F32)),
                SUMIF((OFFSET(CÁLCULO!$BC$15:$BU$15,$F32,0,OFFSET(ORÇAMENTO!$D$15,CRONO!$F32,0))),CRONO!X$12,OFFSET(CÁLCULO!$AJ$15:$BB$15,$F32,0,OFFSET(ORÇAMENTO!$D$15,CRONO!$F32,0)))
                +IF(AND($F34&lt;&gt;"",$F34&lt;&gt;0),
                        SUMIF(CÁLCULO!$BC$15:$BU$191,CRONO!X$12,CÁLCULO!$AJ$15:$BB$191)/(ORÇAMENTO!$X$15-CÁLCULO.TotalAdmLocal)*CRONO!$F34,
                        0),
                 X33*$S32),
          SUMIF(OFFSET($S34,1,0,$R32-2),($M32+1)&amp;"$",OFFSET(X34,1,0,$R32-2)))</f>
        <v>0</v>
      </c>
      <c r="Y34" s="202" cm="1">
        <f t="array" aca="1" ref="Y34" ca="1">IF($R32=2,
         IF(AND(ACOMPANHAMENTO="PLE",ISNUMBER($F32)),
                SUMIF((OFFSET(CÁLCULO!$BC$15:$BU$15,$F32,0,OFFSET(ORÇAMENTO!$D$15,CRONO!$F32,0))),CRONO!Y$12,OFFSET(CÁLCULO!$AJ$15:$BB$15,$F32,0,OFFSET(ORÇAMENTO!$D$15,CRONO!$F32,0)))
                +IF(AND($F34&lt;&gt;"",$F34&lt;&gt;0),
                        SUMIF(CÁLCULO!$BC$15:$BU$191,CRONO!Y$12,CÁLCULO!$AJ$15:$BB$191)/(ORÇAMENTO!$X$15-CÁLCULO.TotalAdmLocal)*CRONO!$F34,
                        0),
                 Y33*$S32),
          SUMIF(OFFSET($S34,1,0,$R32-2),($M32+1)&amp;"$",OFFSET(Y34,1,0,$R32-2)))</f>
        <v>0</v>
      </c>
      <c r="Z34" s="202" cm="1">
        <f t="array" aca="1" ref="Z34" ca="1">IF($R32=2,
         IF(AND(ACOMPANHAMENTO="PLE",ISNUMBER($F32)),
                SUMIF((OFFSET(CÁLCULO!$BC$15:$BU$15,$F32,0,OFFSET(ORÇAMENTO!$D$15,CRONO!$F32,0))),CRONO!Z$12,OFFSET(CÁLCULO!$AJ$15:$BB$15,$F32,0,OFFSET(ORÇAMENTO!$D$15,CRONO!$F32,0)))
                +IF(AND($F34&lt;&gt;"",$F34&lt;&gt;0),
                        SUMIF(CÁLCULO!$BC$15:$BU$191,CRONO!Z$12,CÁLCULO!$AJ$15:$BB$191)/(ORÇAMENTO!$X$15-CÁLCULO.TotalAdmLocal)*CRONO!$F34,
                        0),
                 Z33*$S32),
          SUMIF(OFFSET($S34,1,0,$R32-2),($M32+1)&amp;"$",OFFSET(Z34,1,0,$R32-2)))</f>
        <v>0</v>
      </c>
      <c r="AA34" s="202" cm="1">
        <f t="array" aca="1" ref="AA34" ca="1">IF($R32=2,
         IF(AND(ACOMPANHAMENTO="PLE",ISNUMBER($F32)),
                SUMIF((OFFSET(CÁLCULO!$BC$15:$BU$15,$F32,0,OFFSET(ORÇAMENTO!$D$15,CRONO!$F32,0))),CRONO!AA$12,OFFSET(CÁLCULO!$AJ$15:$BB$15,$F32,0,OFFSET(ORÇAMENTO!$D$15,CRONO!$F32,0)))
                +IF(AND($F34&lt;&gt;"",$F34&lt;&gt;0),
                        SUMIF(CÁLCULO!$BC$15:$BU$191,CRONO!AA$12,CÁLCULO!$AJ$15:$BB$191)/(ORÇAMENTO!$X$15-CÁLCULO.TotalAdmLocal)*CRONO!$F34,
                        0),
                 AA33*$S32),
          SUMIF(OFFSET($S34,1,0,$R32-2),($M32+1)&amp;"$",OFFSET(AA34,1,0,$R32-2)))</f>
        <v>0</v>
      </c>
      <c r="AB34" s="202" cm="1">
        <f t="array" aca="1" ref="AB34" ca="1">IF($R32=2,
         IF(AND(ACOMPANHAMENTO="PLE",ISNUMBER($F32)),
                SUMIF((OFFSET(CÁLCULO!$BC$15:$BU$15,$F32,0,OFFSET(ORÇAMENTO!$D$15,CRONO!$F32,0))),CRONO!AB$12,OFFSET(CÁLCULO!$AJ$15:$BB$15,$F32,0,OFFSET(ORÇAMENTO!$D$15,CRONO!$F32,0)))
                +IF(AND($F34&lt;&gt;"",$F34&lt;&gt;0),
                        SUMIF(CÁLCULO!$BC$15:$BU$191,CRONO!AB$12,CÁLCULO!$AJ$15:$BB$191)/(ORÇAMENTO!$X$15-CÁLCULO.TotalAdmLocal)*CRONO!$F34,
                        0),
                 AB33*$S32),
          SUMIF(OFFSET($S34,1,0,$R32-2),($M32+1)&amp;"$",OFFSET(AB34,1,0,$R32-2)))</f>
        <v>0</v>
      </c>
      <c r="AC34" s="202" cm="1">
        <f t="array" aca="1" ref="AC34" ca="1">IF($R32=2,
         IF(AND(ACOMPANHAMENTO="PLE",ISNUMBER($F32)),
                SUMIF((OFFSET(CÁLCULO!$BC$15:$BU$15,$F32,0,OFFSET(ORÇAMENTO!$D$15,CRONO!$F32,0))),CRONO!AC$12,OFFSET(CÁLCULO!$AJ$15:$BB$15,$F32,0,OFFSET(ORÇAMENTO!$D$15,CRONO!$F32,0)))
                +IF(AND($F34&lt;&gt;"",$F34&lt;&gt;0),
                        SUMIF(CÁLCULO!$BC$15:$BU$191,CRONO!AC$12,CÁLCULO!$AJ$15:$BB$191)/(ORÇAMENTO!$X$15-CÁLCULO.TotalAdmLocal)*CRONO!$F34,
                        0),
                 AC33*$S32),
          SUMIF(OFFSET($S34,1,0,$R32-2),($M32+1)&amp;"$",OFFSET(AC34,1,0,$R32-2)))</f>
        <v>513137.44</v>
      </c>
      <c r="AD34" s="202" cm="1">
        <f t="array" aca="1" ref="AD34" ca="1">IF($R32=2,
         IF(AND(ACOMPANHAMENTO="PLE",ISNUMBER($F32)),
                SUMIF((OFFSET(CÁLCULO!$BC$15:$BU$15,$F32,0,OFFSET(ORÇAMENTO!$D$15,CRONO!$F32,0))),CRONO!AD$12,OFFSET(CÁLCULO!$AJ$15:$BB$15,$F32,0,OFFSET(ORÇAMENTO!$D$15,CRONO!$F32,0)))
                +IF(AND($F34&lt;&gt;"",$F34&lt;&gt;0),
                        SUMIF(CÁLCULO!$BC$15:$BU$191,CRONO!AD$12,CÁLCULO!$AJ$15:$BB$191)/(ORÇAMENTO!$X$15-CÁLCULO.TotalAdmLocal)*CRONO!$F34,
                        0),
                 AD33*$S32),
          SUMIF(OFFSET($S34,1,0,$R32-2),($M32+1)&amp;"$",OFFSET(AD34,1,0,$R32-2)))</f>
        <v>0</v>
      </c>
      <c r="AE34" s="202" cm="1">
        <f t="array" aca="1" ref="AE34" ca="1">IF($R32=2,
         IF(AND(ACOMPANHAMENTO="PLE",ISNUMBER($F32)),
                SUMIF((OFFSET(CÁLCULO!$BC$15:$BU$15,$F32,0,OFFSET(ORÇAMENTO!$D$15,CRONO!$F32,0))),CRONO!AE$12,OFFSET(CÁLCULO!$AJ$15:$BB$15,$F32,0,OFFSET(ORÇAMENTO!$D$15,CRONO!$F32,0)))
                +IF(AND($F34&lt;&gt;"",$F34&lt;&gt;0),
                        SUMIF(CÁLCULO!$BC$15:$BU$191,CRONO!AE$12,CÁLCULO!$AJ$15:$BB$191)/(ORÇAMENTO!$X$15-CÁLCULO.TotalAdmLocal)*CRONO!$F34,
                        0),
                 AE33*$S32),
          SUMIF(OFFSET($S34,1,0,$R32-2),($M32+1)&amp;"$",OFFSET(AE34,1,0,$R32-2)))</f>
        <v>0</v>
      </c>
      <c r="AF34" s="202" cm="1">
        <f t="array" aca="1" ref="AF34" ca="1">IF($R32=2,
         IF(AND(ACOMPANHAMENTO="PLE",ISNUMBER($F32)),
                SUMIF((OFFSET(CÁLCULO!$BC$15:$BU$15,$F32,0,OFFSET(ORÇAMENTO!$D$15,CRONO!$F32,0))),CRONO!AF$12,OFFSET(CÁLCULO!$AJ$15:$BB$15,$F32,0,OFFSET(ORÇAMENTO!$D$15,CRONO!$F32,0)))
                +IF(AND($F34&lt;&gt;"",$F34&lt;&gt;0),
                        SUMIF(CÁLCULO!$BC$15:$BU$191,CRONO!AF$12,CÁLCULO!$AJ$15:$BB$191)/(ORÇAMENTO!$X$15-CÁLCULO.TotalAdmLocal)*CRONO!$F34,
                        0),
                 AF33*$S32),
          SUMIF(OFFSET($S34,1,0,$R32-2),($M32+1)&amp;"$",OFFSET(AF34,1,0,$R32-2)))</f>
        <v>0</v>
      </c>
      <c r="AG34" s="534"/>
    </row>
    <row r="35" spans="1:33" x14ac:dyDescent="0.2">
      <c r="A35" s="186" t="str">
        <f t="shared" ref="A35" ca="1" si="44">IF($M35&gt;1,_xlfn.CONCAT($I35," ",$J35),"")</f>
        <v>1.7. TUBOS, PEÇAS E CONEXÕES - Reservatório de 320 m³</v>
      </c>
      <c r="B35" s="185">
        <f t="shared" ref="B35" ca="1" si="45">OFFSET(B35,-3,0)+1</f>
        <v>8</v>
      </c>
      <c r="C35" s="185">
        <f ca="1">IF($R35&lt;&gt;2,0,IF($S35=0,1,IF(F36&gt;0,OFFSET(QCI!$M$13,SUBSTITUTE(F36,".",""),0),OFFSET(ORÇAMENTO!$AA$15,CRONO!$F35,0))/$S35))</f>
        <v>0</v>
      </c>
      <c r="D35" s="185">
        <f ca="1">IF($R35&lt;&gt;2,0,IF($S35=0,1,IF(F36&gt;0,OFFSET(QCI!$N$13,SUBSTITUTE(F36,".",""),0),OFFSET(ORÇAMENTO!$AB$15,CRONO!$F35,0))/$S35))</f>
        <v>0</v>
      </c>
      <c r="E35" s="188" cm="1">
        <f t="array" aca="1" ref="E35" ca="1">IF(AND($R35=2,ACOMPANHAMENTO="BM"),ROUND(E36,4),E37/$S35)</f>
        <v>0</v>
      </c>
      <c r="F35" s="185" cm="1">
        <f t="array" aca="1" ref="F35" ca="1">IF(B35&lt;=ORÇAMENTO.MáximoListaCrono,MATCH(B35,ORÇAMENTO.ListaCrono,0),NA())</f>
        <v>29</v>
      </c>
      <c r="G35" s="185" t="str">
        <f t="shared" ref="G35" ca="1" si="46">IF(AND($F36&lt;&gt;-1,$S35&gt;0),"F","")</f>
        <v>F</v>
      </c>
      <c r="H35" s="189" t="str" cm="1">
        <f t="array" aca="1" ref="H35" ca="1">IF(OR(S35=0,S35=""),"Linha",IF(AND(OR(ACOMPANHAMENTO="PLE",$R35&lt;&gt;2),$F36=0),"Linha",ROUND(1-SUM(U35:AG35),4)))</f>
        <v>Linha</v>
      </c>
      <c r="I35" s="190" t="str">
        <f ca="1">IF($F36=0,OFFSET(ORÇAMENTO!O$15,$F35,0),IF($F36&lt;&gt;-1,OFFSET(QCI!$D$13,$F36,0),""))</f>
        <v>1.7.</v>
      </c>
      <c r="J35" s="191" t="str">
        <f ca="1">IF($F36=0,OFFSET(ORÇAMENTO!R$15,$F35,0),IF($F36&lt;&gt;-1,OFFSET(QCI!$G$13,$F36,0),""))</f>
        <v>TUBOS, PEÇAS E CONEXÕES - Reservatório de 320 m³</v>
      </c>
      <c r="K35" s="191"/>
      <c r="L35" s="191"/>
      <c r="M35" s="192">
        <f ca="1">IF($F36=0,OFFSET(ORÇAMENTO!C$15,$F35,0),1)</f>
        <v>2</v>
      </c>
      <c r="N35" s="193">
        <f ca="1">IF($F36=-1,0,IF(N$13&lt;=$M35,IF(ISERROR(MATCH(N$13,OFFSET($M35,1,0,ROW($M$92)-ROW($M35)-1),0)),ROW($M$92)-ROW($M35)-1,MATCH(N$13,OFFSET($M35,1,0,ROW($M$92)-ROW($M35)-1),0)-1),0))</f>
        <v>53</v>
      </c>
      <c r="O35" s="193">
        <f ca="1">IF($F36=-1,0,IF(O$13&lt;=$M35,IF(ISERROR(MATCH(O$13,OFFSET($M35,1,0,ROW($M$92)-ROW($M35)-1),0)),ROW($M$92)-ROW($M35)-1,MATCH(O$13,OFFSET($M35,1,0,ROW($M$92)-ROW($M35)-1),0)-1),0))</f>
        <v>2</v>
      </c>
      <c r="P35" s="193">
        <f ca="1">IF($F36=-1,0,IF(P$13&lt;=$M35,IF(ISERROR(MATCH(P$13,OFFSET($M35,1,0,ROW($M$92)-ROW($M35)-1),0)),ROW($M$92)-ROW($M35)-1,MATCH(P$13,OFFSET($M35,1,0,ROW($M$92)-ROW($M35)-1),0)-1),0))</f>
        <v>0</v>
      </c>
      <c r="Q35" s="193">
        <f ca="1">IF($F36=-1,0,IF(Q$13&lt;=$M35,IF(ISERROR(MATCH(Q$13,OFFSET($M35,1,0,ROW($M$92)-ROW($M35)-1),0)),ROW($M$92)-ROW($M35)-1,MATCH(Q$13,OFFSET($M35,1,0,ROW($M$92)-ROW($M35)-1),0)-1),0))</f>
        <v>0</v>
      </c>
      <c r="R35" s="193">
        <f t="shared" ref="R35" ca="1" si="47">MIN(OFFSET(M35,0,1,,M35))</f>
        <v>2</v>
      </c>
      <c r="S35" s="194">
        <f ca="1">IF($F36=0,OFFSET(ORÇAMENTO!X$15,$F35,0),IF($F36&lt;&gt;-1,OFFSET(QCI!$O$13,$F36,0),""))</f>
        <v>105007.97</v>
      </c>
      <c r="T35" s="195" t="s">
        <v>785</v>
      </c>
      <c r="U35" s="188" cm="1">
        <f t="array" aca="1" ref="U35" ca="1">IF(AND($R35=2,ACOMPANHAMENTO="BM"),ROUND(U36,4),U37/$S35)</f>
        <v>0</v>
      </c>
      <c r="V35" s="188" cm="1">
        <f t="array" aca="1" ref="V35" ca="1">IF(AND($R35=2,ACOMPANHAMENTO="BM"),ROUND(V36,4),V37/$S35)</f>
        <v>0</v>
      </c>
      <c r="W35" s="188" cm="1">
        <f t="array" aca="1" ref="W35" ca="1">IF(AND($R35=2,ACOMPANHAMENTO="BM"),ROUND(W36,4),W37/$S35)</f>
        <v>1</v>
      </c>
      <c r="X35" s="188" cm="1">
        <f t="array" aca="1" ref="X35" ca="1">IF(AND($R35=2,ACOMPANHAMENTO="BM"),ROUND(X36,4),X37/$S35)</f>
        <v>0</v>
      </c>
      <c r="Y35" s="188" cm="1">
        <f t="array" aca="1" ref="Y35" ca="1">IF(AND($R35=2,ACOMPANHAMENTO="BM"),ROUND(Y36,4),Y37/$S35)</f>
        <v>0</v>
      </c>
      <c r="Z35" s="188" cm="1">
        <f t="array" aca="1" ref="Z35" ca="1">IF(AND($R35=2,ACOMPANHAMENTO="BM"),ROUND(Z36,4),Z37/$S35)</f>
        <v>0</v>
      </c>
      <c r="AA35" s="188" cm="1">
        <f t="array" aca="1" ref="AA35" ca="1">IF(AND($R35=2,ACOMPANHAMENTO="BM"),ROUND(AA36,4),AA37/$S35)</f>
        <v>0</v>
      </c>
      <c r="AB35" s="188" cm="1">
        <f t="array" aca="1" ref="AB35" ca="1">IF(AND($R35=2,ACOMPANHAMENTO="BM"),ROUND(AB36,4),AB37/$S35)</f>
        <v>0</v>
      </c>
      <c r="AC35" s="188" cm="1">
        <f t="array" aca="1" ref="AC35" ca="1">IF(AND($R35=2,ACOMPANHAMENTO="BM"),ROUND(AC36,4),AC37/$S35)</f>
        <v>0</v>
      </c>
      <c r="AD35" s="188" cm="1">
        <f t="array" aca="1" ref="AD35" ca="1">IF(AND($R35=2,ACOMPANHAMENTO="BM"),ROUND(AD36,4),AD37/$S35)</f>
        <v>0</v>
      </c>
      <c r="AE35" s="188" cm="1">
        <f t="array" aca="1" ref="AE35" ca="1">IF(AND($R35=2,ACOMPANHAMENTO="BM"),ROUND(AE36,4),AE37/$S35)</f>
        <v>0</v>
      </c>
      <c r="AF35" s="188" cm="1">
        <f t="array" aca="1" ref="AF35" ca="1">IF(AND($R35=2,ACOMPANHAMENTO="BM"),ROUND(AF36,4),AF37/$S35)</f>
        <v>0</v>
      </c>
      <c r="AG35" s="534"/>
    </row>
    <row r="36" spans="1:33" ht="12.75" hidden="1" customHeight="1" x14ac:dyDescent="0.2">
      <c r="E36" s="587"/>
      <c r="F36" s="185">
        <f ca="1">IF(ISERROR(F35),IF(1+COUNTIF($M$13:OFFSET(M35,-1,0),1)&lt;=MAX(QCI!$D$13:$D$24),1+COUNTIF($M$13:OFFSET(M35,-1,0),1),-1),0)</f>
        <v>0</v>
      </c>
      <c r="G36" s="185" t="str" cm="1">
        <f t="array" aca="1" ref="G36" ca="1">IF(ACOMPANHAMENTO="BM",OFFSET(G36,-1,0),"")</f>
        <v/>
      </c>
      <c r="H36" s="196" t="str" cm="1">
        <f t="array" aca="1" ref="H36" ca="1">IF(OR(S35=0,S35=""),"vazia",IF(AND(OR(ACOMPANHAMENTO="PLE",$R35&lt;&gt;2),$F36=0),"calculada","--&gt;"))</f>
        <v>calculada</v>
      </c>
      <c r="I36" s="197"/>
      <c r="J36" s="198" t="str">
        <f t="shared" ref="J36" ca="1" si="48">IF(AND(H35&lt;&gt;0,ISNUMBER(H35)),"PREENCHA ESTA LINHA --&gt;","")</f>
        <v/>
      </c>
      <c r="K36" s="198"/>
      <c r="L36" s="198"/>
      <c r="M36" s="199"/>
      <c r="N36" s="199"/>
      <c r="O36" s="199"/>
      <c r="P36" s="199"/>
      <c r="Q36" s="199"/>
      <c r="R36" s="199"/>
      <c r="S36" s="200"/>
      <c r="T36" s="201"/>
      <c r="U36" s="587"/>
      <c r="V36" s="587"/>
      <c r="W36" s="587"/>
      <c r="X36" s="587"/>
      <c r="Y36" s="587"/>
      <c r="Z36" s="587"/>
      <c r="AA36" s="587"/>
      <c r="AB36" s="587"/>
      <c r="AC36" s="587"/>
      <c r="AD36" s="587"/>
      <c r="AE36" s="587"/>
      <c r="AF36" s="587"/>
      <c r="AG36" s="534"/>
    </row>
    <row r="37" spans="1:33" ht="12.75" hidden="1" customHeight="1" x14ac:dyDescent="0.2">
      <c r="D37" s="533"/>
      <c r="E37" s="202" cm="1">
        <f t="array" aca="1" ref="E37" ca="1">IF($R35=2,
         IF(AND(ACOMPANHAMENTO="PLE",ISNUMBER($F35)),
                SUMIF((OFFSET(CÁLCULO!$BC$15:$BU$15,$F35,0,OFFSET(ORÇAMENTO!$D$15,CRONO!$F35,0))),CRONO!E$12,OFFSET(CÁLCULO!$AJ$15:$BB$15,$F35,0,OFFSET(ORÇAMENTO!$D$15,CRONO!$F35,0)))
                +IF(AND($F37&lt;&gt;"",$F37&lt;&gt;0),
                        SUMIF(CÁLCULO!$BC$15:$BU$191,CRONO!E$12,CÁLCULO!$AJ$15:$BB$191)/(ORÇAMENTO!$X$15-CÁLCULO.TotalAdmLocal)*CRONO!$F37,
                        0),
                 E36*$S35),
          SUMIF(OFFSET($S37,1,0,$R35-2),($M35+1)&amp;"$",OFFSET(E37,1,0,$R35-2)))</f>
        <v>0</v>
      </c>
      <c r="F37" s="185">
        <f ca="1">IF(OR($R35&lt;&gt;2,AUTOEVENTO&lt;&gt;"manual",$F36&gt;0),"",
        IF(Import.TipoArredondamento="Tradicional",
              SUMIF(OFFSET(CÁLCULO!$M$15,CRONO!$F35,0,OFFSET(ORÇAMENTO!$D$15,CRONO!$F35,0)),1,OFFSET(ORÇAMENTO!$X$15,CRONO!$F35,0,OFFSET(ORÇAMENTO!$D$15,CRONO!$F35,0))),
              0))</f>
        <v>0</v>
      </c>
      <c r="H37" s="736"/>
      <c r="S37" s="204" t="str">
        <f t="shared" ref="S37" ca="1" si="49">M35&amp;"$"</f>
        <v>2$</v>
      </c>
      <c r="T37" s="205"/>
      <c r="U37" s="202" cm="1">
        <f t="array" aca="1" ref="U37" ca="1">IF($R35=2,
         IF(AND(ACOMPANHAMENTO="PLE",ISNUMBER($F35)),
                SUMIF((OFFSET(CÁLCULO!$BC$15:$BU$15,$F35,0,OFFSET(ORÇAMENTO!$D$15,CRONO!$F35,0))),CRONO!U$12,OFFSET(CÁLCULO!$AJ$15:$BB$15,$F35,0,OFFSET(ORÇAMENTO!$D$15,CRONO!$F35,0)))
                +IF(AND($F37&lt;&gt;"",$F37&lt;&gt;0),
                        SUMIF(CÁLCULO!$BC$15:$BU$191,CRONO!U$12,CÁLCULO!$AJ$15:$BB$191)/(ORÇAMENTO!$X$15-CÁLCULO.TotalAdmLocal)*CRONO!$F37,
                        0),
                 U36*$S35),
          SUMIF(OFFSET($S37,1,0,$R35-2),($M35+1)&amp;"$",OFFSET(U37,1,0,$R35-2)))</f>
        <v>0</v>
      </c>
      <c r="V37" s="202" cm="1">
        <f t="array" aca="1" ref="V37" ca="1">IF($R35=2,
         IF(AND(ACOMPANHAMENTO="PLE",ISNUMBER($F35)),
                SUMIF((OFFSET(CÁLCULO!$BC$15:$BU$15,$F35,0,OFFSET(ORÇAMENTO!$D$15,CRONO!$F35,0))),CRONO!V$12,OFFSET(CÁLCULO!$AJ$15:$BB$15,$F35,0,OFFSET(ORÇAMENTO!$D$15,CRONO!$F35,0)))
                +IF(AND($F37&lt;&gt;"",$F37&lt;&gt;0),
                        SUMIF(CÁLCULO!$BC$15:$BU$191,CRONO!V$12,CÁLCULO!$AJ$15:$BB$191)/(ORÇAMENTO!$X$15-CÁLCULO.TotalAdmLocal)*CRONO!$F37,
                        0),
                 V36*$S35),
          SUMIF(OFFSET($S37,1,0,$R35-2),($M35+1)&amp;"$",OFFSET(V37,1,0,$R35-2)))</f>
        <v>0</v>
      </c>
      <c r="W37" s="202" cm="1">
        <f t="array" aca="1" ref="W37" ca="1">IF($R35=2,
         IF(AND(ACOMPANHAMENTO="PLE",ISNUMBER($F35)),
                SUMIF((OFFSET(CÁLCULO!$BC$15:$BU$15,$F35,0,OFFSET(ORÇAMENTO!$D$15,CRONO!$F35,0))),CRONO!W$12,OFFSET(CÁLCULO!$AJ$15:$BB$15,$F35,0,OFFSET(ORÇAMENTO!$D$15,CRONO!$F35,0)))
                +IF(AND($F37&lt;&gt;"",$F37&lt;&gt;0),
                        SUMIF(CÁLCULO!$BC$15:$BU$191,CRONO!W$12,CÁLCULO!$AJ$15:$BB$191)/(ORÇAMENTO!$X$15-CÁLCULO.TotalAdmLocal)*CRONO!$F37,
                        0),
                 W36*$S35),
          SUMIF(OFFSET($S37,1,0,$R35-2),($M35+1)&amp;"$",OFFSET(W37,1,0,$R35-2)))</f>
        <v>105007.97</v>
      </c>
      <c r="X37" s="202" cm="1">
        <f t="array" aca="1" ref="X37" ca="1">IF($R35=2,
         IF(AND(ACOMPANHAMENTO="PLE",ISNUMBER($F35)),
                SUMIF((OFFSET(CÁLCULO!$BC$15:$BU$15,$F35,0,OFFSET(ORÇAMENTO!$D$15,CRONO!$F35,0))),CRONO!X$12,OFFSET(CÁLCULO!$AJ$15:$BB$15,$F35,0,OFFSET(ORÇAMENTO!$D$15,CRONO!$F35,0)))
                +IF(AND($F37&lt;&gt;"",$F37&lt;&gt;0),
                        SUMIF(CÁLCULO!$BC$15:$BU$191,CRONO!X$12,CÁLCULO!$AJ$15:$BB$191)/(ORÇAMENTO!$X$15-CÁLCULO.TotalAdmLocal)*CRONO!$F37,
                        0),
                 X36*$S35),
          SUMIF(OFFSET($S37,1,0,$R35-2),($M35+1)&amp;"$",OFFSET(X37,1,0,$R35-2)))</f>
        <v>0</v>
      </c>
      <c r="Y37" s="202" cm="1">
        <f t="array" aca="1" ref="Y37" ca="1">IF($R35=2,
         IF(AND(ACOMPANHAMENTO="PLE",ISNUMBER($F35)),
                SUMIF((OFFSET(CÁLCULO!$BC$15:$BU$15,$F35,0,OFFSET(ORÇAMENTO!$D$15,CRONO!$F35,0))),CRONO!Y$12,OFFSET(CÁLCULO!$AJ$15:$BB$15,$F35,0,OFFSET(ORÇAMENTO!$D$15,CRONO!$F35,0)))
                +IF(AND($F37&lt;&gt;"",$F37&lt;&gt;0),
                        SUMIF(CÁLCULO!$BC$15:$BU$191,CRONO!Y$12,CÁLCULO!$AJ$15:$BB$191)/(ORÇAMENTO!$X$15-CÁLCULO.TotalAdmLocal)*CRONO!$F37,
                        0),
                 Y36*$S35),
          SUMIF(OFFSET($S37,1,0,$R35-2),($M35+1)&amp;"$",OFFSET(Y37,1,0,$R35-2)))</f>
        <v>0</v>
      </c>
      <c r="Z37" s="202" cm="1">
        <f t="array" aca="1" ref="Z37" ca="1">IF($R35=2,
         IF(AND(ACOMPANHAMENTO="PLE",ISNUMBER($F35)),
                SUMIF((OFFSET(CÁLCULO!$BC$15:$BU$15,$F35,0,OFFSET(ORÇAMENTO!$D$15,CRONO!$F35,0))),CRONO!Z$12,OFFSET(CÁLCULO!$AJ$15:$BB$15,$F35,0,OFFSET(ORÇAMENTO!$D$15,CRONO!$F35,0)))
                +IF(AND($F37&lt;&gt;"",$F37&lt;&gt;0),
                        SUMIF(CÁLCULO!$BC$15:$BU$191,CRONO!Z$12,CÁLCULO!$AJ$15:$BB$191)/(ORÇAMENTO!$X$15-CÁLCULO.TotalAdmLocal)*CRONO!$F37,
                        0),
                 Z36*$S35),
          SUMIF(OFFSET($S37,1,0,$R35-2),($M35+1)&amp;"$",OFFSET(Z37,1,0,$R35-2)))</f>
        <v>0</v>
      </c>
      <c r="AA37" s="202" cm="1">
        <f t="array" aca="1" ref="AA37" ca="1">IF($R35=2,
         IF(AND(ACOMPANHAMENTO="PLE",ISNUMBER($F35)),
                SUMIF((OFFSET(CÁLCULO!$BC$15:$BU$15,$F35,0,OFFSET(ORÇAMENTO!$D$15,CRONO!$F35,0))),CRONO!AA$12,OFFSET(CÁLCULO!$AJ$15:$BB$15,$F35,0,OFFSET(ORÇAMENTO!$D$15,CRONO!$F35,0)))
                +IF(AND($F37&lt;&gt;"",$F37&lt;&gt;0),
                        SUMIF(CÁLCULO!$BC$15:$BU$191,CRONO!AA$12,CÁLCULO!$AJ$15:$BB$191)/(ORÇAMENTO!$X$15-CÁLCULO.TotalAdmLocal)*CRONO!$F37,
                        0),
                 AA36*$S35),
          SUMIF(OFFSET($S37,1,0,$R35-2),($M35+1)&amp;"$",OFFSET(AA37,1,0,$R35-2)))</f>
        <v>0</v>
      </c>
      <c r="AB37" s="202" cm="1">
        <f t="array" aca="1" ref="AB37" ca="1">IF($R35=2,
         IF(AND(ACOMPANHAMENTO="PLE",ISNUMBER($F35)),
                SUMIF((OFFSET(CÁLCULO!$BC$15:$BU$15,$F35,0,OFFSET(ORÇAMENTO!$D$15,CRONO!$F35,0))),CRONO!AB$12,OFFSET(CÁLCULO!$AJ$15:$BB$15,$F35,0,OFFSET(ORÇAMENTO!$D$15,CRONO!$F35,0)))
                +IF(AND($F37&lt;&gt;"",$F37&lt;&gt;0),
                        SUMIF(CÁLCULO!$BC$15:$BU$191,CRONO!AB$12,CÁLCULO!$AJ$15:$BB$191)/(ORÇAMENTO!$X$15-CÁLCULO.TotalAdmLocal)*CRONO!$F37,
                        0),
                 AB36*$S35),
          SUMIF(OFFSET($S37,1,0,$R35-2),($M35+1)&amp;"$",OFFSET(AB37,1,0,$R35-2)))</f>
        <v>0</v>
      </c>
      <c r="AC37" s="202" cm="1">
        <f t="array" aca="1" ref="AC37" ca="1">IF($R35=2,
         IF(AND(ACOMPANHAMENTO="PLE",ISNUMBER($F35)),
                SUMIF((OFFSET(CÁLCULO!$BC$15:$BU$15,$F35,0,OFFSET(ORÇAMENTO!$D$15,CRONO!$F35,0))),CRONO!AC$12,OFFSET(CÁLCULO!$AJ$15:$BB$15,$F35,0,OFFSET(ORÇAMENTO!$D$15,CRONO!$F35,0)))
                +IF(AND($F37&lt;&gt;"",$F37&lt;&gt;0),
                        SUMIF(CÁLCULO!$BC$15:$BU$191,CRONO!AC$12,CÁLCULO!$AJ$15:$BB$191)/(ORÇAMENTO!$X$15-CÁLCULO.TotalAdmLocal)*CRONO!$F37,
                        0),
                 AC36*$S35),
          SUMIF(OFFSET($S37,1,0,$R35-2),($M35+1)&amp;"$",OFFSET(AC37,1,0,$R35-2)))</f>
        <v>0</v>
      </c>
      <c r="AD37" s="202" cm="1">
        <f t="array" aca="1" ref="AD37" ca="1">IF($R35=2,
         IF(AND(ACOMPANHAMENTO="PLE",ISNUMBER($F35)),
                SUMIF((OFFSET(CÁLCULO!$BC$15:$BU$15,$F35,0,OFFSET(ORÇAMENTO!$D$15,CRONO!$F35,0))),CRONO!AD$12,OFFSET(CÁLCULO!$AJ$15:$BB$15,$F35,0,OFFSET(ORÇAMENTO!$D$15,CRONO!$F35,0)))
                +IF(AND($F37&lt;&gt;"",$F37&lt;&gt;0),
                        SUMIF(CÁLCULO!$BC$15:$BU$191,CRONO!AD$12,CÁLCULO!$AJ$15:$BB$191)/(ORÇAMENTO!$X$15-CÁLCULO.TotalAdmLocal)*CRONO!$F37,
                        0),
                 AD36*$S35),
          SUMIF(OFFSET($S37,1,0,$R35-2),($M35+1)&amp;"$",OFFSET(AD37,1,0,$R35-2)))</f>
        <v>0</v>
      </c>
      <c r="AE37" s="202" cm="1">
        <f t="array" aca="1" ref="AE37" ca="1">IF($R35=2,
         IF(AND(ACOMPANHAMENTO="PLE",ISNUMBER($F35)),
                SUMIF((OFFSET(CÁLCULO!$BC$15:$BU$15,$F35,0,OFFSET(ORÇAMENTO!$D$15,CRONO!$F35,0))),CRONO!AE$12,OFFSET(CÁLCULO!$AJ$15:$BB$15,$F35,0,OFFSET(ORÇAMENTO!$D$15,CRONO!$F35,0)))
                +IF(AND($F37&lt;&gt;"",$F37&lt;&gt;0),
                        SUMIF(CÁLCULO!$BC$15:$BU$191,CRONO!AE$12,CÁLCULO!$AJ$15:$BB$191)/(ORÇAMENTO!$X$15-CÁLCULO.TotalAdmLocal)*CRONO!$F37,
                        0),
                 AE36*$S35),
          SUMIF(OFFSET($S37,1,0,$R35-2),($M35+1)&amp;"$",OFFSET(AE37,1,0,$R35-2)))</f>
        <v>0</v>
      </c>
      <c r="AF37" s="202" cm="1">
        <f t="array" aca="1" ref="AF37" ca="1">IF($R35=2,
         IF(AND(ACOMPANHAMENTO="PLE",ISNUMBER($F35)),
                SUMIF((OFFSET(CÁLCULO!$BC$15:$BU$15,$F35,0,OFFSET(ORÇAMENTO!$D$15,CRONO!$F35,0))),CRONO!AF$12,OFFSET(CÁLCULO!$AJ$15:$BB$15,$F35,0,OFFSET(ORÇAMENTO!$D$15,CRONO!$F35,0)))
                +IF(AND($F37&lt;&gt;"",$F37&lt;&gt;0),
                        SUMIF(CÁLCULO!$BC$15:$BU$191,CRONO!AF$12,CÁLCULO!$AJ$15:$BB$191)/(ORÇAMENTO!$X$15-CÁLCULO.TotalAdmLocal)*CRONO!$F37,
                        0),
                 AF36*$S35),
          SUMIF(OFFSET($S37,1,0,$R35-2),($M35+1)&amp;"$",OFFSET(AF37,1,0,$R35-2)))</f>
        <v>0</v>
      </c>
      <c r="AG37" s="534"/>
    </row>
    <row r="38" spans="1:33" x14ac:dyDescent="0.2">
      <c r="A38" s="186" t="str">
        <f t="shared" ref="A38" ca="1" si="50">IF($M38&gt;1,_xlfn.CONCAT($I38," ",$J38),"")</f>
        <v xml:space="preserve">1.8. MURO DE DIVISA </v>
      </c>
      <c r="B38" s="185">
        <f t="shared" ref="B38" ca="1" si="51">OFFSET(B38,-3,0)+1</f>
        <v>9</v>
      </c>
      <c r="C38" s="185">
        <f ca="1">IF($R38&lt;&gt;2,0,IF($S38=0,1,IF(F39&gt;0,OFFSET(QCI!$M$13,SUBSTITUTE(F39,".",""),0),OFFSET(ORÇAMENTO!$AA$15,CRONO!$F38,0))/$S38))</f>
        <v>0</v>
      </c>
      <c r="D38" s="185">
        <f ca="1">IF($R38&lt;&gt;2,0,IF($S38=0,1,IF(F39&gt;0,OFFSET(QCI!$N$13,SUBSTITUTE(F39,".",""),0),OFFSET(ORÇAMENTO!$AB$15,CRONO!$F38,0))/$S38))</f>
        <v>0</v>
      </c>
      <c r="E38" s="188" cm="1">
        <f t="array" aca="1" ref="E38" ca="1">IF(AND($R38=2,ACOMPANHAMENTO="BM"),ROUND(E39,4),E40/$S38)</f>
        <v>0</v>
      </c>
      <c r="F38" s="185" cm="1">
        <f t="array" aca="1" ref="F38" ca="1">IF(B38&lt;=ORÇAMENTO.MáximoListaCrono,MATCH(B38,ORÇAMENTO.ListaCrono,0),NA())</f>
        <v>36</v>
      </c>
      <c r="G38" s="185" t="str">
        <f t="shared" ref="G38" ca="1" si="52">IF(AND($F39&lt;&gt;-1,$S38&gt;0),"F","")</f>
        <v>F</v>
      </c>
      <c r="H38" s="189" t="str" cm="1">
        <f t="array" aca="1" ref="H38" ca="1">IF(OR(S38=0,S38=""),"Linha",IF(AND(OR(ACOMPANHAMENTO="PLE",$R38&lt;&gt;2),$F39=0),"Linha",ROUND(1-SUM(U38:AG38),4)))</f>
        <v>Linha</v>
      </c>
      <c r="I38" s="190" t="str">
        <f ca="1">IF($F39=0,OFFSET(ORÇAMENTO!O$15,$F38,0),IF($F39&lt;&gt;-1,OFFSET(QCI!$D$13,$F39,0),""))</f>
        <v>1.8.</v>
      </c>
      <c r="J38" s="191" t="str">
        <f ca="1">IF($F39=0,OFFSET(ORÇAMENTO!R$15,$F38,0),IF($F39&lt;&gt;-1,OFFSET(QCI!$G$13,$F39,0),""))</f>
        <v xml:space="preserve">MURO DE DIVISA </v>
      </c>
      <c r="K38" s="191"/>
      <c r="L38" s="191"/>
      <c r="M38" s="192">
        <f ca="1">IF($F39=0,OFFSET(ORÇAMENTO!C$15,$F38,0),1)</f>
        <v>2</v>
      </c>
      <c r="N38" s="193">
        <f ca="1">IF($F39=-1,0,IF(N$13&lt;=$M38,IF(ISERROR(MATCH(N$13,OFFSET($M38,1,0,ROW($M$92)-ROW($M38)-1),0)),ROW($M$92)-ROW($M38)-1,MATCH(N$13,OFFSET($M38,1,0,ROW($M$92)-ROW($M38)-1),0)-1),0))</f>
        <v>50</v>
      </c>
      <c r="O38" s="193">
        <f ca="1">IF($F39=-1,0,IF(O$13&lt;=$M38,IF(ISERROR(MATCH(O$13,OFFSET($M38,1,0,ROW($M$92)-ROW($M38)-1),0)),ROW($M$92)-ROW($M38)-1,MATCH(O$13,OFFSET($M38,1,0,ROW($M$92)-ROW($M38)-1),0)-1),0))</f>
        <v>2</v>
      </c>
      <c r="P38" s="193">
        <f ca="1">IF($F39=-1,0,IF(P$13&lt;=$M38,IF(ISERROR(MATCH(P$13,OFFSET($M38,1,0,ROW($M$92)-ROW($M38)-1),0)),ROW($M$92)-ROW($M38)-1,MATCH(P$13,OFFSET($M38,1,0,ROW($M$92)-ROW($M38)-1),0)-1),0))</f>
        <v>0</v>
      </c>
      <c r="Q38" s="193">
        <f ca="1">IF($F39=-1,0,IF(Q$13&lt;=$M38,IF(ISERROR(MATCH(Q$13,OFFSET($M38,1,0,ROW($M$92)-ROW($M38)-1),0)),ROW($M$92)-ROW($M38)-1,MATCH(Q$13,OFFSET($M38,1,0,ROW($M$92)-ROW($M38)-1),0)-1),0))</f>
        <v>0</v>
      </c>
      <c r="R38" s="193">
        <f t="shared" ref="R38" ca="1" si="53">MIN(OFFSET(M38,0,1,,M38))</f>
        <v>2</v>
      </c>
      <c r="S38" s="194">
        <f ca="1">IF($F39=0,OFFSET(ORÇAMENTO!X$15,$F38,0),IF($F39&lt;&gt;-1,OFFSET(QCI!$O$13,$F39,0),""))</f>
        <v>192295.65</v>
      </c>
      <c r="T38" s="195" t="s">
        <v>785</v>
      </c>
      <c r="U38" s="188" cm="1">
        <f t="array" aca="1" ref="U38" ca="1">IF(AND($R38=2,ACOMPANHAMENTO="BM"),ROUND(U39,4),U40/$S38)</f>
        <v>0</v>
      </c>
      <c r="V38" s="188" cm="1">
        <f t="array" aca="1" ref="V38" ca="1">IF(AND($R38=2,ACOMPANHAMENTO="BM"),ROUND(V39,4),V40/$S38)</f>
        <v>0</v>
      </c>
      <c r="W38" s="188" cm="1">
        <f t="array" aca="1" ref="W38" ca="1">IF(AND($R38=2,ACOMPANHAMENTO="BM"),ROUND(W39,4),W40/$S38)</f>
        <v>0</v>
      </c>
      <c r="X38" s="188" cm="1">
        <f t="array" aca="1" ref="X38" ca="1">IF(AND($R38=2,ACOMPANHAMENTO="BM"),ROUND(X39,4),X40/$S38)</f>
        <v>4.1893511371682096E-2</v>
      </c>
      <c r="Y38" s="188" cm="1">
        <f t="array" aca="1" ref="Y38" ca="1">IF(AND($R38=2,ACOMPANHAMENTO="BM"),ROUND(Y39,4),Y40/$S38)</f>
        <v>0</v>
      </c>
      <c r="Z38" s="188" cm="1">
        <f t="array" aca="1" ref="Z38" ca="1">IF(AND($R38=2,ACOMPANHAMENTO="BM"),ROUND(Z39,4),Z40/$S38)</f>
        <v>0</v>
      </c>
      <c r="AA38" s="188" cm="1">
        <f t="array" aca="1" ref="AA38" ca="1">IF(AND($R38=2,ACOMPANHAMENTO="BM"),ROUND(AA39,4),AA40/$S38)</f>
        <v>0</v>
      </c>
      <c r="AB38" s="188" cm="1">
        <f t="array" aca="1" ref="AB38" ca="1">IF(AND($R38=2,ACOMPANHAMENTO="BM"),ROUND(AB39,4),AB40/$S38)</f>
        <v>0</v>
      </c>
      <c r="AC38" s="188" cm="1">
        <f t="array" aca="1" ref="AC38" ca="1">IF(AND($R38=2,ACOMPANHAMENTO="BM"),ROUND(AC39,4),AC40/$S38)</f>
        <v>8.6725466748727803E-2</v>
      </c>
      <c r="AD38" s="188" cm="1">
        <f t="array" aca="1" ref="AD38" ca="1">IF(AND($R38=2,ACOMPANHAMENTO="BM"),ROUND(AD39,4),AD40/$S38)</f>
        <v>0.53646304531589772</v>
      </c>
      <c r="AE38" s="188" cm="1">
        <f t="array" aca="1" ref="AE38" ca="1">IF(AND($R38=2,ACOMPANHAMENTO="BM"),ROUND(AE39,4),AE40/$S38)</f>
        <v>0.16683601527127628</v>
      </c>
      <c r="AF38" s="188" cm="1">
        <f t="array" aca="1" ref="AF38" ca="1">IF(AND($R38=2,ACOMPANHAMENTO="BM"),ROUND(AF39,4),AF40/$S38)</f>
        <v>0.16808196129241615</v>
      </c>
      <c r="AG38" s="534"/>
    </row>
    <row r="39" spans="1:33" ht="12.75" hidden="1" customHeight="1" x14ac:dyDescent="0.2">
      <c r="E39" s="587"/>
      <c r="F39" s="185">
        <f ca="1">IF(ISERROR(F38),IF(1+COUNTIF($M$13:OFFSET(M38,-1,0),1)&lt;=MAX(QCI!$D$13:$D$24),1+COUNTIF($M$13:OFFSET(M38,-1,0),1),-1),0)</f>
        <v>0</v>
      </c>
      <c r="G39" s="185" t="str" cm="1">
        <f t="array" aca="1" ref="G39" ca="1">IF(ACOMPANHAMENTO="BM",OFFSET(G39,-1,0),"")</f>
        <v/>
      </c>
      <c r="H39" s="196" t="str" cm="1">
        <f t="array" aca="1" ref="H39" ca="1">IF(OR(S38=0,S38=""),"vazia",IF(AND(OR(ACOMPANHAMENTO="PLE",$R38&lt;&gt;2),$F39=0),"calculada","--&gt;"))</f>
        <v>calculada</v>
      </c>
      <c r="I39" s="197"/>
      <c r="J39" s="198" t="str">
        <f t="shared" ref="J39" ca="1" si="54">IF(AND(H38&lt;&gt;0,ISNUMBER(H38)),"PREENCHA ESTA LINHA --&gt;","")</f>
        <v/>
      </c>
      <c r="K39" s="198"/>
      <c r="L39" s="198"/>
      <c r="M39" s="199"/>
      <c r="N39" s="199"/>
      <c r="O39" s="199"/>
      <c r="P39" s="199"/>
      <c r="Q39" s="199"/>
      <c r="R39" s="199"/>
      <c r="S39" s="200"/>
      <c r="T39" s="201"/>
      <c r="U39" s="587"/>
      <c r="V39" s="587"/>
      <c r="W39" s="587"/>
      <c r="X39" s="587"/>
      <c r="Y39" s="587"/>
      <c r="Z39" s="587"/>
      <c r="AA39" s="587"/>
      <c r="AB39" s="587"/>
      <c r="AC39" s="587"/>
      <c r="AD39" s="587"/>
      <c r="AE39" s="587"/>
      <c r="AF39" s="587"/>
      <c r="AG39" s="534"/>
    </row>
    <row r="40" spans="1:33" ht="12.75" hidden="1" customHeight="1" x14ac:dyDescent="0.2">
      <c r="D40" s="533"/>
      <c r="E40" s="202" cm="1">
        <f t="array" aca="1" ref="E40" ca="1">IF($R38=2,
         IF(AND(ACOMPANHAMENTO="PLE",ISNUMBER($F38)),
                SUMIF((OFFSET(CÁLCULO!$BC$15:$BU$15,$F38,0,OFFSET(ORÇAMENTO!$D$15,CRONO!$F38,0))),CRONO!E$12,OFFSET(CÁLCULO!$AJ$15:$BB$15,$F38,0,OFFSET(ORÇAMENTO!$D$15,CRONO!$F38,0)))
                +IF(AND($F40&lt;&gt;"",$F40&lt;&gt;0),
                        SUMIF(CÁLCULO!$BC$15:$BU$191,CRONO!E$12,CÁLCULO!$AJ$15:$BB$191)/(ORÇAMENTO!$X$15-CÁLCULO.TotalAdmLocal)*CRONO!$F40,
                        0),
                 E39*$S38),
          SUMIF(OFFSET($S40,1,0,$R38-2),($M38+1)&amp;"$",OFFSET(E40,1,0,$R38-2)))</f>
        <v>0</v>
      </c>
      <c r="F40" s="185">
        <f ca="1">IF(OR($R38&lt;&gt;2,AUTOEVENTO&lt;&gt;"manual",$F39&gt;0),"",
        IF(Import.TipoArredondamento="Tradicional",
              SUMIF(OFFSET(CÁLCULO!$M$15,CRONO!$F38,0,OFFSET(ORÇAMENTO!$D$15,CRONO!$F38,0)),1,OFFSET(ORÇAMENTO!$X$15,CRONO!$F38,0,OFFSET(ORÇAMENTO!$D$15,CRONO!$F38,0))),
              0))</f>
        <v>0</v>
      </c>
      <c r="H40" s="736"/>
      <c r="S40" s="204" t="str">
        <f t="shared" ref="S40" ca="1" si="55">M38&amp;"$"</f>
        <v>2$</v>
      </c>
      <c r="T40" s="205"/>
      <c r="U40" s="202" cm="1">
        <f t="array" aca="1" ref="U40" ca="1">IF($R38=2,
         IF(AND(ACOMPANHAMENTO="PLE",ISNUMBER($F38)),
                SUMIF((OFFSET(CÁLCULO!$BC$15:$BU$15,$F38,0,OFFSET(ORÇAMENTO!$D$15,CRONO!$F38,0))),CRONO!U$12,OFFSET(CÁLCULO!$AJ$15:$BB$15,$F38,0,OFFSET(ORÇAMENTO!$D$15,CRONO!$F38,0)))
                +IF(AND($F40&lt;&gt;"",$F40&lt;&gt;0),
                        SUMIF(CÁLCULO!$BC$15:$BU$191,CRONO!U$12,CÁLCULO!$AJ$15:$BB$191)/(ORÇAMENTO!$X$15-CÁLCULO.TotalAdmLocal)*CRONO!$F40,
                        0),
                 U39*$S38),
          SUMIF(OFFSET($S40,1,0,$R38-2),($M38+1)&amp;"$",OFFSET(U40,1,0,$R38-2)))</f>
        <v>0</v>
      </c>
      <c r="V40" s="202" cm="1">
        <f t="array" aca="1" ref="V40" ca="1">IF($R38=2,
         IF(AND(ACOMPANHAMENTO="PLE",ISNUMBER($F38)),
                SUMIF((OFFSET(CÁLCULO!$BC$15:$BU$15,$F38,0,OFFSET(ORÇAMENTO!$D$15,CRONO!$F38,0))),CRONO!V$12,OFFSET(CÁLCULO!$AJ$15:$BB$15,$F38,0,OFFSET(ORÇAMENTO!$D$15,CRONO!$F38,0)))
                +IF(AND($F40&lt;&gt;"",$F40&lt;&gt;0),
                        SUMIF(CÁLCULO!$BC$15:$BU$191,CRONO!V$12,CÁLCULO!$AJ$15:$BB$191)/(ORÇAMENTO!$X$15-CÁLCULO.TotalAdmLocal)*CRONO!$F40,
                        0),
                 V39*$S38),
          SUMIF(OFFSET($S40,1,0,$R38-2),($M38+1)&amp;"$",OFFSET(V40,1,0,$R38-2)))</f>
        <v>0</v>
      </c>
      <c r="W40" s="202" cm="1">
        <f t="array" aca="1" ref="W40" ca="1">IF($R38=2,
         IF(AND(ACOMPANHAMENTO="PLE",ISNUMBER($F38)),
                SUMIF((OFFSET(CÁLCULO!$BC$15:$BU$15,$F38,0,OFFSET(ORÇAMENTO!$D$15,CRONO!$F38,0))),CRONO!W$12,OFFSET(CÁLCULO!$AJ$15:$BB$15,$F38,0,OFFSET(ORÇAMENTO!$D$15,CRONO!$F38,0)))
                +IF(AND($F40&lt;&gt;"",$F40&lt;&gt;0),
                        SUMIF(CÁLCULO!$BC$15:$BU$191,CRONO!W$12,CÁLCULO!$AJ$15:$BB$191)/(ORÇAMENTO!$X$15-CÁLCULO.TotalAdmLocal)*CRONO!$F40,
                        0),
                 W39*$S38),
          SUMIF(OFFSET($S40,1,0,$R38-2),($M38+1)&amp;"$",OFFSET(W40,1,0,$R38-2)))</f>
        <v>0</v>
      </c>
      <c r="X40" s="202" cm="1">
        <f t="array" aca="1" ref="X40" ca="1">IF($R38=2,
         IF(AND(ACOMPANHAMENTO="PLE",ISNUMBER($F38)),
                SUMIF((OFFSET(CÁLCULO!$BC$15:$BU$15,$F38,0,OFFSET(ORÇAMENTO!$D$15,CRONO!$F38,0))),CRONO!X$12,OFFSET(CÁLCULO!$AJ$15:$BB$15,$F38,0,OFFSET(ORÇAMENTO!$D$15,CRONO!$F38,0)))
                +IF(AND($F40&lt;&gt;"",$F40&lt;&gt;0),
                        SUMIF(CÁLCULO!$BC$15:$BU$191,CRONO!X$12,CÁLCULO!$AJ$15:$BB$191)/(ORÇAMENTO!$X$15-CÁLCULO.TotalAdmLocal)*CRONO!$F40,
                        0),
                 X39*$S38),
          SUMIF(OFFSET($S40,1,0,$R38-2),($M38+1)&amp;"$",OFFSET(X40,1,0,$R38-2)))</f>
        <v>8055.94</v>
      </c>
      <c r="Y40" s="202" cm="1">
        <f t="array" aca="1" ref="Y40" ca="1">IF($R38=2,
         IF(AND(ACOMPANHAMENTO="PLE",ISNUMBER($F38)),
                SUMIF((OFFSET(CÁLCULO!$BC$15:$BU$15,$F38,0,OFFSET(ORÇAMENTO!$D$15,CRONO!$F38,0))),CRONO!Y$12,OFFSET(CÁLCULO!$AJ$15:$BB$15,$F38,0,OFFSET(ORÇAMENTO!$D$15,CRONO!$F38,0)))
                +IF(AND($F40&lt;&gt;"",$F40&lt;&gt;0),
                        SUMIF(CÁLCULO!$BC$15:$BU$191,CRONO!Y$12,CÁLCULO!$AJ$15:$BB$191)/(ORÇAMENTO!$X$15-CÁLCULO.TotalAdmLocal)*CRONO!$F40,
                        0),
                 Y39*$S38),
          SUMIF(OFFSET($S40,1,0,$R38-2),($M38+1)&amp;"$",OFFSET(Y40,1,0,$R38-2)))</f>
        <v>0</v>
      </c>
      <c r="Z40" s="202" cm="1">
        <f t="array" aca="1" ref="Z40" ca="1">IF($R38=2,
         IF(AND(ACOMPANHAMENTO="PLE",ISNUMBER($F38)),
                SUMIF((OFFSET(CÁLCULO!$BC$15:$BU$15,$F38,0,OFFSET(ORÇAMENTO!$D$15,CRONO!$F38,0))),CRONO!Z$12,OFFSET(CÁLCULO!$AJ$15:$BB$15,$F38,0,OFFSET(ORÇAMENTO!$D$15,CRONO!$F38,0)))
                +IF(AND($F40&lt;&gt;"",$F40&lt;&gt;0),
                        SUMIF(CÁLCULO!$BC$15:$BU$191,CRONO!Z$12,CÁLCULO!$AJ$15:$BB$191)/(ORÇAMENTO!$X$15-CÁLCULO.TotalAdmLocal)*CRONO!$F40,
                        0),
                 Z39*$S38),
          SUMIF(OFFSET($S40,1,0,$R38-2),($M38+1)&amp;"$",OFFSET(Z40,1,0,$R38-2)))</f>
        <v>0</v>
      </c>
      <c r="AA40" s="202" cm="1">
        <f t="array" aca="1" ref="AA40" ca="1">IF($R38=2,
         IF(AND(ACOMPANHAMENTO="PLE",ISNUMBER($F38)),
                SUMIF((OFFSET(CÁLCULO!$BC$15:$BU$15,$F38,0,OFFSET(ORÇAMENTO!$D$15,CRONO!$F38,0))),CRONO!AA$12,OFFSET(CÁLCULO!$AJ$15:$BB$15,$F38,0,OFFSET(ORÇAMENTO!$D$15,CRONO!$F38,0)))
                +IF(AND($F40&lt;&gt;"",$F40&lt;&gt;0),
                        SUMIF(CÁLCULO!$BC$15:$BU$191,CRONO!AA$12,CÁLCULO!$AJ$15:$BB$191)/(ORÇAMENTO!$X$15-CÁLCULO.TotalAdmLocal)*CRONO!$F40,
                        0),
                 AA39*$S38),
          SUMIF(OFFSET($S40,1,0,$R38-2),($M38+1)&amp;"$",OFFSET(AA40,1,0,$R38-2)))</f>
        <v>0</v>
      </c>
      <c r="AB40" s="202" cm="1">
        <f t="array" aca="1" ref="AB40" ca="1">IF($R38=2,
         IF(AND(ACOMPANHAMENTO="PLE",ISNUMBER($F38)),
                SUMIF((OFFSET(CÁLCULO!$BC$15:$BU$15,$F38,0,OFFSET(ORÇAMENTO!$D$15,CRONO!$F38,0))),CRONO!AB$12,OFFSET(CÁLCULO!$AJ$15:$BB$15,$F38,0,OFFSET(ORÇAMENTO!$D$15,CRONO!$F38,0)))
                +IF(AND($F40&lt;&gt;"",$F40&lt;&gt;0),
                        SUMIF(CÁLCULO!$BC$15:$BU$191,CRONO!AB$12,CÁLCULO!$AJ$15:$BB$191)/(ORÇAMENTO!$X$15-CÁLCULO.TotalAdmLocal)*CRONO!$F40,
                        0),
                 AB39*$S38),
          SUMIF(OFFSET($S40,1,0,$R38-2),($M38+1)&amp;"$",OFFSET(AB40,1,0,$R38-2)))</f>
        <v>0</v>
      </c>
      <c r="AC40" s="202" cm="1">
        <f t="array" aca="1" ref="AC40" ca="1">IF($R38=2,
         IF(AND(ACOMPANHAMENTO="PLE",ISNUMBER($F38)),
                SUMIF((OFFSET(CÁLCULO!$BC$15:$BU$15,$F38,0,OFFSET(ORÇAMENTO!$D$15,CRONO!$F38,0))),CRONO!AC$12,OFFSET(CÁLCULO!$AJ$15:$BB$15,$F38,0,OFFSET(ORÇAMENTO!$D$15,CRONO!$F38,0)))
                +IF(AND($F40&lt;&gt;"",$F40&lt;&gt;0),
                        SUMIF(CÁLCULO!$BC$15:$BU$191,CRONO!AC$12,CÁLCULO!$AJ$15:$BB$191)/(ORÇAMENTO!$X$15-CÁLCULO.TotalAdmLocal)*CRONO!$F40,
                        0),
                 AC39*$S38),
          SUMIF(OFFSET($S40,1,0,$R38-2),($M38+1)&amp;"$",OFFSET(AC40,1,0,$R38-2)))</f>
        <v>16676.93</v>
      </c>
      <c r="AD40" s="202" cm="1">
        <f t="array" aca="1" ref="AD40" ca="1">IF($R38=2,
         IF(AND(ACOMPANHAMENTO="PLE",ISNUMBER($F38)),
                SUMIF((OFFSET(CÁLCULO!$BC$15:$BU$15,$F38,0,OFFSET(ORÇAMENTO!$D$15,CRONO!$F38,0))),CRONO!AD$12,OFFSET(CÁLCULO!$AJ$15:$BB$15,$F38,0,OFFSET(ORÇAMENTO!$D$15,CRONO!$F38,0)))
                +IF(AND($F40&lt;&gt;"",$F40&lt;&gt;0),
                        SUMIF(CÁLCULO!$BC$15:$BU$191,CRONO!AD$12,CÁLCULO!$AJ$15:$BB$191)/(ORÇAMENTO!$X$15-CÁLCULO.TotalAdmLocal)*CRONO!$F40,
                        0),
                 AD39*$S38),
          SUMIF(OFFSET($S40,1,0,$R38-2),($M38+1)&amp;"$",OFFSET(AD40,1,0,$R38-2)))</f>
        <v>103159.51000000001</v>
      </c>
      <c r="AE40" s="202" cm="1">
        <f t="array" aca="1" ref="AE40" ca="1">IF($R38=2,
         IF(AND(ACOMPANHAMENTO="PLE",ISNUMBER($F38)),
                SUMIF((OFFSET(CÁLCULO!$BC$15:$BU$15,$F38,0,OFFSET(ORÇAMENTO!$D$15,CRONO!$F38,0))),CRONO!AE$12,OFFSET(CÁLCULO!$AJ$15:$BB$15,$F38,0,OFFSET(ORÇAMENTO!$D$15,CRONO!$F38,0)))
                +IF(AND($F40&lt;&gt;"",$F40&lt;&gt;0),
                        SUMIF(CÁLCULO!$BC$15:$BU$191,CRONO!AE$12,CÁLCULO!$AJ$15:$BB$191)/(ORÇAMENTO!$X$15-CÁLCULO.TotalAdmLocal)*CRONO!$F40,
                        0),
                 AE39*$S38),
          SUMIF(OFFSET($S40,1,0,$R38-2),($M38+1)&amp;"$",OFFSET(AE40,1,0,$R38-2)))</f>
        <v>32081.84</v>
      </c>
      <c r="AF40" s="202" cm="1">
        <f t="array" aca="1" ref="AF40" ca="1">IF($R38=2,
         IF(AND(ACOMPANHAMENTO="PLE",ISNUMBER($F38)),
                SUMIF((OFFSET(CÁLCULO!$BC$15:$BU$15,$F38,0,OFFSET(ORÇAMENTO!$D$15,CRONO!$F38,0))),CRONO!AF$12,OFFSET(CÁLCULO!$AJ$15:$BB$15,$F38,0,OFFSET(ORÇAMENTO!$D$15,CRONO!$F38,0)))
                +IF(AND($F40&lt;&gt;"",$F40&lt;&gt;0),
                        SUMIF(CÁLCULO!$BC$15:$BU$191,CRONO!AF$12,CÁLCULO!$AJ$15:$BB$191)/(ORÇAMENTO!$X$15-CÁLCULO.TotalAdmLocal)*CRONO!$F40,
                        0),
                 AF39*$S38),
          SUMIF(OFFSET($S40,1,0,$R38-2),($M38+1)&amp;"$",OFFSET(AF40,1,0,$R38-2)))</f>
        <v>32321.43</v>
      </c>
      <c r="AG40" s="534"/>
    </row>
    <row r="41" spans="1:33" x14ac:dyDescent="0.2">
      <c r="A41" s="186" t="str">
        <f t="shared" ref="A41" ca="1" si="56">IF($M41&gt;1,_xlfn.CONCAT($I41," ",$J41),"")</f>
        <v>1.9. MATERIAIS E EQUIPAMENTOS HIDRAULICOS - Adutora de Água Tratada</v>
      </c>
      <c r="B41" s="185">
        <f t="shared" ref="B41" ca="1" si="57">OFFSET(B41,-3,0)+1</f>
        <v>10</v>
      </c>
      <c r="C41" s="185">
        <f ca="1">IF($R41&lt;&gt;2,0,IF($S41=0,1,IF(F42&gt;0,OFFSET(QCI!$M$13,SUBSTITUTE(F42,".",""),0),OFFSET(ORÇAMENTO!$AA$15,CRONO!$F41,0))/$S41))</f>
        <v>0</v>
      </c>
      <c r="D41" s="185">
        <f ca="1">IF($R41&lt;&gt;2,0,IF($S41=0,1,IF(F42&gt;0,OFFSET(QCI!$N$13,SUBSTITUTE(F42,".",""),0),OFFSET(ORÇAMENTO!$AB$15,CRONO!$F41,0))/$S41))</f>
        <v>0</v>
      </c>
      <c r="E41" s="188" cm="1">
        <f t="array" aca="1" ref="E41" ca="1">IF(AND($R41=2,ACOMPANHAMENTO="BM"),ROUND(E42,4),E43/$S41)</f>
        <v>0</v>
      </c>
      <c r="F41" s="185" cm="1">
        <f t="array" aca="1" ref="F41" ca="1">IF(B41&lt;=ORÇAMENTO.MáximoListaCrono,MATCH(B41,ORÇAMENTO.ListaCrono,0),NA())</f>
        <v>49</v>
      </c>
      <c r="G41" s="185" t="str">
        <f t="shared" ref="G41" ca="1" si="58">IF(AND($F42&lt;&gt;-1,$S41&gt;0),"F","")</f>
        <v>F</v>
      </c>
      <c r="H41" s="189" t="str" cm="1">
        <f t="array" aca="1" ref="H41" ca="1">IF(OR(S41=0,S41=""),"Linha",IF(AND(OR(ACOMPANHAMENTO="PLE",$R41&lt;&gt;2),$F42=0),"Linha",ROUND(1-SUM(U41:AG41),4)))</f>
        <v>Linha</v>
      </c>
      <c r="I41" s="190" t="str">
        <f ca="1">IF($F42=0,OFFSET(ORÇAMENTO!O$15,$F41,0),IF($F42&lt;&gt;-1,OFFSET(QCI!$D$13,$F42,0),""))</f>
        <v>1.9.</v>
      </c>
      <c r="J41" s="191" t="str">
        <f ca="1">IF($F42=0,OFFSET(ORÇAMENTO!R$15,$F41,0),IF($F42&lt;&gt;-1,OFFSET(QCI!$G$13,$F42,0),""))</f>
        <v>MATERIAIS E EQUIPAMENTOS HIDRAULICOS - Adutora de Água Tratada</v>
      </c>
      <c r="K41" s="191"/>
      <c r="L41" s="191"/>
      <c r="M41" s="192">
        <f ca="1">IF($F42=0,OFFSET(ORÇAMENTO!C$15,$F41,0),1)</f>
        <v>2</v>
      </c>
      <c r="N41" s="193">
        <f ca="1">IF($F42=-1,0,IF(N$13&lt;=$M41,IF(ISERROR(MATCH(N$13,OFFSET($M41,1,0,ROW($M$92)-ROW($M41)-1),0)),ROW($M$92)-ROW($M41)-1,MATCH(N$13,OFFSET($M41,1,0,ROW($M$92)-ROW($M41)-1),0)-1),0))</f>
        <v>47</v>
      </c>
      <c r="O41" s="193">
        <f ca="1">IF($F42=-1,0,IF(O$13&lt;=$M41,IF(ISERROR(MATCH(O$13,OFFSET($M41,1,0,ROW($M$92)-ROW($M41)-1),0)),ROW($M$92)-ROW($M41)-1,MATCH(O$13,OFFSET($M41,1,0,ROW($M$92)-ROW($M41)-1),0)-1),0))</f>
        <v>2</v>
      </c>
      <c r="P41" s="193">
        <f ca="1">IF($F42=-1,0,IF(P$13&lt;=$M41,IF(ISERROR(MATCH(P$13,OFFSET($M41,1,0,ROW($M$92)-ROW($M41)-1),0)),ROW($M$92)-ROW($M41)-1,MATCH(P$13,OFFSET($M41,1,0,ROW($M$92)-ROW($M41)-1),0)-1),0))</f>
        <v>0</v>
      </c>
      <c r="Q41" s="193">
        <f ca="1">IF($F42=-1,0,IF(Q$13&lt;=$M41,IF(ISERROR(MATCH(Q$13,OFFSET($M41,1,0,ROW($M$92)-ROW($M41)-1),0)),ROW($M$92)-ROW($M41)-1,MATCH(Q$13,OFFSET($M41,1,0,ROW($M$92)-ROW($M41)-1),0)-1),0))</f>
        <v>0</v>
      </c>
      <c r="R41" s="193">
        <f t="shared" ref="R41" ca="1" si="59">MIN(OFFSET(M41,0,1,,M41))</f>
        <v>2</v>
      </c>
      <c r="S41" s="194">
        <f ca="1">IF($F42=0,OFFSET(ORÇAMENTO!X$15,$F41,0),IF($F42&lt;&gt;-1,OFFSET(QCI!$O$13,$F42,0),""))</f>
        <v>1126964.55</v>
      </c>
      <c r="T41" s="195" t="s">
        <v>785</v>
      </c>
      <c r="U41" s="188" cm="1">
        <f t="array" aca="1" ref="U41" ca="1">IF(AND($R41=2,ACOMPANHAMENTO="BM"),ROUND(U42,4),U43/$S41)</f>
        <v>0</v>
      </c>
      <c r="V41" s="188" cm="1">
        <f t="array" aca="1" ref="V41" ca="1">IF(AND($R41=2,ACOMPANHAMENTO="BM"),ROUND(V42,4),V43/$S41)</f>
        <v>0</v>
      </c>
      <c r="W41" s="188" cm="1">
        <f t="array" aca="1" ref="W41" ca="1">IF(AND($R41=2,ACOMPANHAMENTO="BM"),ROUND(W42,4),W43/$S41)</f>
        <v>0</v>
      </c>
      <c r="X41" s="188" cm="1">
        <f t="array" aca="1" ref="X41" ca="1">IF(AND($R41=2,ACOMPANHAMENTO="BM"),ROUND(X42,4),X43/$S41)</f>
        <v>0</v>
      </c>
      <c r="Y41" s="188" cm="1">
        <f t="array" aca="1" ref="Y41" ca="1">IF(AND($R41=2,ACOMPANHAMENTO="BM"),ROUND(Y42,4),Y43/$S41)</f>
        <v>0</v>
      </c>
      <c r="Z41" s="188" cm="1">
        <f t="array" aca="1" ref="Z41" ca="1">IF(AND($R41=2,ACOMPANHAMENTO="BM"),ROUND(Z42,4),Z43/$S41)</f>
        <v>0</v>
      </c>
      <c r="AA41" s="188" cm="1">
        <f t="array" aca="1" ref="AA41" ca="1">IF(AND($R41=2,ACOMPANHAMENTO="BM"),ROUND(AA42,4),AA43/$S41)</f>
        <v>1</v>
      </c>
      <c r="AB41" s="188" cm="1">
        <f t="array" aca="1" ref="AB41" ca="1">IF(AND($R41=2,ACOMPANHAMENTO="BM"),ROUND(AB42,4),AB43/$S41)</f>
        <v>0</v>
      </c>
      <c r="AC41" s="188" cm="1">
        <f t="array" aca="1" ref="AC41" ca="1">IF(AND($R41=2,ACOMPANHAMENTO="BM"),ROUND(AC42,4),AC43/$S41)</f>
        <v>0</v>
      </c>
      <c r="AD41" s="188" cm="1">
        <f t="array" aca="1" ref="AD41" ca="1">IF(AND($R41=2,ACOMPANHAMENTO="BM"),ROUND(AD42,4),AD43/$S41)</f>
        <v>0</v>
      </c>
      <c r="AE41" s="188" cm="1">
        <f t="array" aca="1" ref="AE41" ca="1">IF(AND($R41=2,ACOMPANHAMENTO="BM"),ROUND(AE42,4),AE43/$S41)</f>
        <v>0</v>
      </c>
      <c r="AF41" s="188" cm="1">
        <f t="array" aca="1" ref="AF41" ca="1">IF(AND($R41=2,ACOMPANHAMENTO="BM"),ROUND(AF42,4),AF43/$S41)</f>
        <v>0</v>
      </c>
      <c r="AG41" s="534"/>
    </row>
    <row r="42" spans="1:33" ht="12.75" hidden="1" customHeight="1" x14ac:dyDescent="0.2">
      <c r="E42" s="587"/>
      <c r="F42" s="185">
        <f ca="1">IF(ISERROR(F41),IF(1+COUNTIF($M$13:OFFSET(M41,-1,0),1)&lt;=MAX(QCI!$D$13:$D$24),1+COUNTIF($M$13:OFFSET(M41,-1,0),1),-1),0)</f>
        <v>0</v>
      </c>
      <c r="G42" s="185" t="str" cm="1">
        <f t="array" aca="1" ref="G42" ca="1">IF(ACOMPANHAMENTO="BM",OFFSET(G42,-1,0),"")</f>
        <v/>
      </c>
      <c r="H42" s="196" t="str" cm="1">
        <f t="array" aca="1" ref="H42" ca="1">IF(OR(S41=0,S41=""),"vazia",IF(AND(OR(ACOMPANHAMENTO="PLE",$R41&lt;&gt;2),$F42=0),"calculada","--&gt;"))</f>
        <v>calculada</v>
      </c>
      <c r="I42" s="197"/>
      <c r="J42" s="198" t="str">
        <f t="shared" ref="J42" ca="1" si="60">IF(AND(H41&lt;&gt;0,ISNUMBER(H41)),"PREENCHA ESTA LINHA --&gt;","")</f>
        <v/>
      </c>
      <c r="K42" s="198"/>
      <c r="L42" s="198"/>
      <c r="M42" s="199"/>
      <c r="N42" s="199"/>
      <c r="O42" s="199"/>
      <c r="P42" s="199"/>
      <c r="Q42" s="199"/>
      <c r="R42" s="199"/>
      <c r="S42" s="200"/>
      <c r="T42" s="201"/>
      <c r="U42" s="587"/>
      <c r="V42" s="587"/>
      <c r="W42" s="587"/>
      <c r="X42" s="587"/>
      <c r="Y42" s="587"/>
      <c r="Z42" s="587"/>
      <c r="AA42" s="587"/>
      <c r="AB42" s="587"/>
      <c r="AC42" s="587"/>
      <c r="AD42" s="587"/>
      <c r="AE42" s="587"/>
      <c r="AF42" s="587"/>
      <c r="AG42" s="534"/>
    </row>
    <row r="43" spans="1:33" ht="12.75" hidden="1" customHeight="1" x14ac:dyDescent="0.2">
      <c r="D43" s="533"/>
      <c r="E43" s="202" cm="1">
        <f t="array" aca="1" ref="E43" ca="1">IF($R41=2,
         IF(AND(ACOMPANHAMENTO="PLE",ISNUMBER($F41)),
                SUMIF((OFFSET(CÁLCULO!$BC$15:$BU$15,$F41,0,OFFSET(ORÇAMENTO!$D$15,CRONO!$F41,0))),CRONO!E$12,OFFSET(CÁLCULO!$AJ$15:$BB$15,$F41,0,OFFSET(ORÇAMENTO!$D$15,CRONO!$F41,0)))
                +IF(AND($F43&lt;&gt;"",$F43&lt;&gt;0),
                        SUMIF(CÁLCULO!$BC$15:$BU$191,CRONO!E$12,CÁLCULO!$AJ$15:$BB$191)/(ORÇAMENTO!$X$15-CÁLCULO.TotalAdmLocal)*CRONO!$F43,
                        0),
                 E42*$S41),
          SUMIF(OFFSET($S43,1,0,$R41-2),($M41+1)&amp;"$",OFFSET(E43,1,0,$R41-2)))</f>
        <v>0</v>
      </c>
      <c r="F43" s="185">
        <f ca="1">IF(OR($R41&lt;&gt;2,AUTOEVENTO&lt;&gt;"manual",$F42&gt;0),"",
        IF(Import.TipoArredondamento="Tradicional",
              SUMIF(OFFSET(CÁLCULO!$M$15,CRONO!$F41,0,OFFSET(ORÇAMENTO!$D$15,CRONO!$F41,0)),1,OFFSET(ORÇAMENTO!$X$15,CRONO!$F41,0,OFFSET(ORÇAMENTO!$D$15,CRONO!$F41,0))),
              0))</f>
        <v>0</v>
      </c>
      <c r="H43" s="736"/>
      <c r="S43" s="204" t="str">
        <f t="shared" ref="S43" ca="1" si="61">M41&amp;"$"</f>
        <v>2$</v>
      </c>
      <c r="T43" s="205"/>
      <c r="U43" s="202" cm="1">
        <f t="array" aca="1" ref="U43" ca="1">IF($R41=2,
         IF(AND(ACOMPANHAMENTO="PLE",ISNUMBER($F41)),
                SUMIF((OFFSET(CÁLCULO!$BC$15:$BU$15,$F41,0,OFFSET(ORÇAMENTO!$D$15,CRONO!$F41,0))),CRONO!U$12,OFFSET(CÁLCULO!$AJ$15:$BB$15,$F41,0,OFFSET(ORÇAMENTO!$D$15,CRONO!$F41,0)))
                +IF(AND($F43&lt;&gt;"",$F43&lt;&gt;0),
                        SUMIF(CÁLCULO!$BC$15:$BU$191,CRONO!U$12,CÁLCULO!$AJ$15:$BB$191)/(ORÇAMENTO!$X$15-CÁLCULO.TotalAdmLocal)*CRONO!$F43,
                        0),
                 U42*$S41),
          SUMIF(OFFSET($S43,1,0,$R41-2),($M41+1)&amp;"$",OFFSET(U43,1,0,$R41-2)))</f>
        <v>0</v>
      </c>
      <c r="V43" s="202" cm="1">
        <f t="array" aca="1" ref="V43" ca="1">IF($R41=2,
         IF(AND(ACOMPANHAMENTO="PLE",ISNUMBER($F41)),
                SUMIF((OFFSET(CÁLCULO!$BC$15:$BU$15,$F41,0,OFFSET(ORÇAMENTO!$D$15,CRONO!$F41,0))),CRONO!V$12,OFFSET(CÁLCULO!$AJ$15:$BB$15,$F41,0,OFFSET(ORÇAMENTO!$D$15,CRONO!$F41,0)))
                +IF(AND($F43&lt;&gt;"",$F43&lt;&gt;0),
                        SUMIF(CÁLCULO!$BC$15:$BU$191,CRONO!V$12,CÁLCULO!$AJ$15:$BB$191)/(ORÇAMENTO!$X$15-CÁLCULO.TotalAdmLocal)*CRONO!$F43,
                        0),
                 V42*$S41),
          SUMIF(OFFSET($S43,1,0,$R41-2),($M41+1)&amp;"$",OFFSET(V43,1,0,$R41-2)))</f>
        <v>0</v>
      </c>
      <c r="W43" s="202" cm="1">
        <f t="array" aca="1" ref="W43" ca="1">IF($R41=2,
         IF(AND(ACOMPANHAMENTO="PLE",ISNUMBER($F41)),
                SUMIF((OFFSET(CÁLCULO!$BC$15:$BU$15,$F41,0,OFFSET(ORÇAMENTO!$D$15,CRONO!$F41,0))),CRONO!W$12,OFFSET(CÁLCULO!$AJ$15:$BB$15,$F41,0,OFFSET(ORÇAMENTO!$D$15,CRONO!$F41,0)))
                +IF(AND($F43&lt;&gt;"",$F43&lt;&gt;0),
                        SUMIF(CÁLCULO!$BC$15:$BU$191,CRONO!W$12,CÁLCULO!$AJ$15:$BB$191)/(ORÇAMENTO!$X$15-CÁLCULO.TotalAdmLocal)*CRONO!$F43,
                        0),
                 W42*$S41),
          SUMIF(OFFSET($S43,1,0,$R41-2),($M41+1)&amp;"$",OFFSET(W43,1,0,$R41-2)))</f>
        <v>0</v>
      </c>
      <c r="X43" s="202" cm="1">
        <f t="array" aca="1" ref="X43" ca="1">IF($R41=2,
         IF(AND(ACOMPANHAMENTO="PLE",ISNUMBER($F41)),
                SUMIF((OFFSET(CÁLCULO!$BC$15:$BU$15,$F41,0,OFFSET(ORÇAMENTO!$D$15,CRONO!$F41,0))),CRONO!X$12,OFFSET(CÁLCULO!$AJ$15:$BB$15,$F41,0,OFFSET(ORÇAMENTO!$D$15,CRONO!$F41,0)))
                +IF(AND($F43&lt;&gt;"",$F43&lt;&gt;0),
                        SUMIF(CÁLCULO!$BC$15:$BU$191,CRONO!X$12,CÁLCULO!$AJ$15:$BB$191)/(ORÇAMENTO!$X$15-CÁLCULO.TotalAdmLocal)*CRONO!$F43,
                        0),
                 X42*$S41),
          SUMIF(OFFSET($S43,1,0,$R41-2),($M41+1)&amp;"$",OFFSET(X43,1,0,$R41-2)))</f>
        <v>0</v>
      </c>
      <c r="Y43" s="202" cm="1">
        <f t="array" aca="1" ref="Y43" ca="1">IF($R41=2,
         IF(AND(ACOMPANHAMENTO="PLE",ISNUMBER($F41)),
                SUMIF((OFFSET(CÁLCULO!$BC$15:$BU$15,$F41,0,OFFSET(ORÇAMENTO!$D$15,CRONO!$F41,0))),CRONO!Y$12,OFFSET(CÁLCULO!$AJ$15:$BB$15,$F41,0,OFFSET(ORÇAMENTO!$D$15,CRONO!$F41,0)))
                +IF(AND($F43&lt;&gt;"",$F43&lt;&gt;0),
                        SUMIF(CÁLCULO!$BC$15:$BU$191,CRONO!Y$12,CÁLCULO!$AJ$15:$BB$191)/(ORÇAMENTO!$X$15-CÁLCULO.TotalAdmLocal)*CRONO!$F43,
                        0),
                 Y42*$S41),
          SUMIF(OFFSET($S43,1,0,$R41-2),($M41+1)&amp;"$",OFFSET(Y43,1,0,$R41-2)))</f>
        <v>0</v>
      </c>
      <c r="Z43" s="202" cm="1">
        <f t="array" aca="1" ref="Z43" ca="1">IF($R41=2,
         IF(AND(ACOMPANHAMENTO="PLE",ISNUMBER($F41)),
                SUMIF((OFFSET(CÁLCULO!$BC$15:$BU$15,$F41,0,OFFSET(ORÇAMENTO!$D$15,CRONO!$F41,0))),CRONO!Z$12,OFFSET(CÁLCULO!$AJ$15:$BB$15,$F41,0,OFFSET(ORÇAMENTO!$D$15,CRONO!$F41,0)))
                +IF(AND($F43&lt;&gt;"",$F43&lt;&gt;0),
                        SUMIF(CÁLCULO!$BC$15:$BU$191,CRONO!Z$12,CÁLCULO!$AJ$15:$BB$191)/(ORÇAMENTO!$X$15-CÁLCULO.TotalAdmLocal)*CRONO!$F43,
                        0),
                 Z42*$S41),
          SUMIF(OFFSET($S43,1,0,$R41-2),($M41+1)&amp;"$",OFFSET(Z43,1,0,$R41-2)))</f>
        <v>0</v>
      </c>
      <c r="AA43" s="202" cm="1">
        <f t="array" aca="1" ref="AA43" ca="1">IF($R41=2,
         IF(AND(ACOMPANHAMENTO="PLE",ISNUMBER($F41)),
                SUMIF((OFFSET(CÁLCULO!$BC$15:$BU$15,$F41,0,OFFSET(ORÇAMENTO!$D$15,CRONO!$F41,0))),CRONO!AA$12,OFFSET(CÁLCULO!$AJ$15:$BB$15,$F41,0,OFFSET(ORÇAMENTO!$D$15,CRONO!$F41,0)))
                +IF(AND($F43&lt;&gt;"",$F43&lt;&gt;0),
                        SUMIF(CÁLCULO!$BC$15:$BU$191,CRONO!AA$12,CÁLCULO!$AJ$15:$BB$191)/(ORÇAMENTO!$X$15-CÁLCULO.TotalAdmLocal)*CRONO!$F43,
                        0),
                 AA42*$S41),
          SUMIF(OFFSET($S43,1,0,$R41-2),($M41+1)&amp;"$",OFFSET(AA43,1,0,$R41-2)))</f>
        <v>1126964.55</v>
      </c>
      <c r="AB43" s="202" cm="1">
        <f t="array" aca="1" ref="AB43" ca="1">IF($R41=2,
         IF(AND(ACOMPANHAMENTO="PLE",ISNUMBER($F41)),
                SUMIF((OFFSET(CÁLCULO!$BC$15:$BU$15,$F41,0,OFFSET(ORÇAMENTO!$D$15,CRONO!$F41,0))),CRONO!AB$12,OFFSET(CÁLCULO!$AJ$15:$BB$15,$F41,0,OFFSET(ORÇAMENTO!$D$15,CRONO!$F41,0)))
                +IF(AND($F43&lt;&gt;"",$F43&lt;&gt;0),
                        SUMIF(CÁLCULO!$BC$15:$BU$191,CRONO!AB$12,CÁLCULO!$AJ$15:$BB$191)/(ORÇAMENTO!$X$15-CÁLCULO.TotalAdmLocal)*CRONO!$F43,
                        0),
                 AB42*$S41),
          SUMIF(OFFSET($S43,1,0,$R41-2),($M41+1)&amp;"$",OFFSET(AB43,1,0,$R41-2)))</f>
        <v>0</v>
      </c>
      <c r="AC43" s="202" cm="1">
        <f t="array" aca="1" ref="AC43" ca="1">IF($R41=2,
         IF(AND(ACOMPANHAMENTO="PLE",ISNUMBER($F41)),
                SUMIF((OFFSET(CÁLCULO!$BC$15:$BU$15,$F41,0,OFFSET(ORÇAMENTO!$D$15,CRONO!$F41,0))),CRONO!AC$12,OFFSET(CÁLCULO!$AJ$15:$BB$15,$F41,0,OFFSET(ORÇAMENTO!$D$15,CRONO!$F41,0)))
                +IF(AND($F43&lt;&gt;"",$F43&lt;&gt;0),
                        SUMIF(CÁLCULO!$BC$15:$BU$191,CRONO!AC$12,CÁLCULO!$AJ$15:$BB$191)/(ORÇAMENTO!$X$15-CÁLCULO.TotalAdmLocal)*CRONO!$F43,
                        0),
                 AC42*$S41),
          SUMIF(OFFSET($S43,1,0,$R41-2),($M41+1)&amp;"$",OFFSET(AC43,1,0,$R41-2)))</f>
        <v>0</v>
      </c>
      <c r="AD43" s="202" cm="1">
        <f t="array" aca="1" ref="AD43" ca="1">IF($R41=2,
         IF(AND(ACOMPANHAMENTO="PLE",ISNUMBER($F41)),
                SUMIF((OFFSET(CÁLCULO!$BC$15:$BU$15,$F41,0,OFFSET(ORÇAMENTO!$D$15,CRONO!$F41,0))),CRONO!AD$12,OFFSET(CÁLCULO!$AJ$15:$BB$15,$F41,0,OFFSET(ORÇAMENTO!$D$15,CRONO!$F41,0)))
                +IF(AND($F43&lt;&gt;"",$F43&lt;&gt;0),
                        SUMIF(CÁLCULO!$BC$15:$BU$191,CRONO!AD$12,CÁLCULO!$AJ$15:$BB$191)/(ORÇAMENTO!$X$15-CÁLCULO.TotalAdmLocal)*CRONO!$F43,
                        0),
                 AD42*$S41),
          SUMIF(OFFSET($S43,1,0,$R41-2),($M41+1)&amp;"$",OFFSET(AD43,1,0,$R41-2)))</f>
        <v>0</v>
      </c>
      <c r="AE43" s="202" cm="1">
        <f t="array" aca="1" ref="AE43" ca="1">IF($R41=2,
         IF(AND(ACOMPANHAMENTO="PLE",ISNUMBER($F41)),
                SUMIF((OFFSET(CÁLCULO!$BC$15:$BU$15,$F41,0,OFFSET(ORÇAMENTO!$D$15,CRONO!$F41,0))),CRONO!AE$12,OFFSET(CÁLCULO!$AJ$15:$BB$15,$F41,0,OFFSET(ORÇAMENTO!$D$15,CRONO!$F41,0)))
                +IF(AND($F43&lt;&gt;"",$F43&lt;&gt;0),
                        SUMIF(CÁLCULO!$BC$15:$BU$191,CRONO!AE$12,CÁLCULO!$AJ$15:$BB$191)/(ORÇAMENTO!$X$15-CÁLCULO.TotalAdmLocal)*CRONO!$F43,
                        0),
                 AE42*$S41),
          SUMIF(OFFSET($S43,1,0,$R41-2),($M41+1)&amp;"$",OFFSET(AE43,1,0,$R41-2)))</f>
        <v>0</v>
      </c>
      <c r="AF43" s="202" cm="1">
        <f t="array" aca="1" ref="AF43" ca="1">IF($R41=2,
         IF(AND(ACOMPANHAMENTO="PLE",ISNUMBER($F41)),
                SUMIF((OFFSET(CÁLCULO!$BC$15:$BU$15,$F41,0,OFFSET(ORÇAMENTO!$D$15,CRONO!$F41,0))),CRONO!AF$12,OFFSET(CÁLCULO!$AJ$15:$BB$15,$F41,0,OFFSET(ORÇAMENTO!$D$15,CRONO!$F41,0)))
                +IF(AND($F43&lt;&gt;"",$F43&lt;&gt;0),
                        SUMIF(CÁLCULO!$BC$15:$BU$191,CRONO!AF$12,CÁLCULO!$AJ$15:$BB$191)/(ORÇAMENTO!$X$15-CÁLCULO.TotalAdmLocal)*CRONO!$F43,
                        0),
                 AF42*$S41),
          SUMIF(OFFSET($S43,1,0,$R41-2),($M41+1)&amp;"$",OFFSET(AF43,1,0,$R41-2)))</f>
        <v>0</v>
      </c>
      <c r="AG43" s="534"/>
    </row>
    <row r="44" spans="1:33" x14ac:dyDescent="0.2">
      <c r="A44" s="186" t="str">
        <f t="shared" ref="A44" ca="1" si="62">IF($M44&gt;1,_xlfn.CONCAT($I44," ",$J44),"")</f>
        <v>1.10. ASSENTANDO E MOVIMENTAÇÃO DE TERRA - Adutora de Água Tratada</v>
      </c>
      <c r="B44" s="185">
        <f t="shared" ref="B44" ca="1" si="63">OFFSET(B44,-3,0)+1</f>
        <v>11</v>
      </c>
      <c r="C44" s="185">
        <f ca="1">IF($R44&lt;&gt;2,0,IF($S44=0,1,IF(F45&gt;0,OFFSET(QCI!$M$13,SUBSTITUTE(F45,".",""),0),OFFSET(ORÇAMENTO!$AA$15,CRONO!$F44,0))/$S44))</f>
        <v>0</v>
      </c>
      <c r="D44" s="185">
        <f ca="1">IF($R44&lt;&gt;2,0,IF($S44=0,1,IF(F45&gt;0,OFFSET(QCI!$N$13,SUBSTITUTE(F45,".",""),0),OFFSET(ORÇAMENTO!$AB$15,CRONO!$F44,0))/$S44))</f>
        <v>0</v>
      </c>
      <c r="E44" s="188" cm="1">
        <f t="array" aca="1" ref="E44" ca="1">IF(AND($R44=2,ACOMPANHAMENTO="BM"),ROUND(E45,4),E46/$S44)</f>
        <v>0</v>
      </c>
      <c r="F44" s="185" cm="1">
        <f t="array" aca="1" ref="F44" ca="1">IF(B44&lt;=ORÇAMENTO.MáximoListaCrono,MATCH(B44,ORÇAMENTO.ListaCrono,0),NA())</f>
        <v>60</v>
      </c>
      <c r="G44" s="185" t="str">
        <f t="shared" ref="G44" ca="1" si="64">IF(AND($F45&lt;&gt;-1,$S44&gt;0),"F","")</f>
        <v>F</v>
      </c>
      <c r="H44" s="189" t="str" cm="1">
        <f t="array" aca="1" ref="H44" ca="1">IF(OR(S44=0,S44=""),"Linha",IF(AND(OR(ACOMPANHAMENTO="PLE",$R44&lt;&gt;2),$F45=0),"Linha",ROUND(1-SUM(U44:AG44),4)))</f>
        <v>Linha</v>
      </c>
      <c r="I44" s="190" t="str">
        <f ca="1">IF($F45=0,OFFSET(ORÇAMENTO!O$15,$F44,0),IF($F45&lt;&gt;-1,OFFSET(QCI!$D$13,$F45,0),""))</f>
        <v>1.10.</v>
      </c>
      <c r="J44" s="191" t="str">
        <f ca="1">IF($F45=0,OFFSET(ORÇAMENTO!R$15,$F44,0),IF($F45&lt;&gt;-1,OFFSET(QCI!$G$13,$F45,0),""))</f>
        <v>ASSENTANDO E MOVIMENTAÇÃO DE TERRA - Adutora de Água Tratada</v>
      </c>
      <c r="K44" s="191"/>
      <c r="L44" s="191"/>
      <c r="M44" s="192">
        <f ca="1">IF($F45=0,OFFSET(ORÇAMENTO!C$15,$F44,0),1)</f>
        <v>2</v>
      </c>
      <c r="N44" s="193">
        <f ca="1">IF($F45=-1,0,IF(N$13&lt;=$M44,IF(ISERROR(MATCH(N$13,OFFSET($M44,1,0,ROW($M$92)-ROW($M44)-1),0)),ROW($M$92)-ROW($M44)-1,MATCH(N$13,OFFSET($M44,1,0,ROW($M$92)-ROW($M44)-1),0)-1),0))</f>
        <v>44</v>
      </c>
      <c r="O44" s="193">
        <f ca="1">IF($F45=-1,0,IF(O$13&lt;=$M44,IF(ISERROR(MATCH(O$13,OFFSET($M44,1,0,ROW($M$92)-ROW($M44)-1),0)),ROW($M$92)-ROW($M44)-1,MATCH(O$13,OFFSET($M44,1,0,ROW($M$92)-ROW($M44)-1),0)-1),0))</f>
        <v>2</v>
      </c>
      <c r="P44" s="193">
        <f ca="1">IF($F45=-1,0,IF(P$13&lt;=$M44,IF(ISERROR(MATCH(P$13,OFFSET($M44,1,0,ROW($M$92)-ROW($M44)-1),0)),ROW($M$92)-ROW($M44)-1,MATCH(P$13,OFFSET($M44,1,0,ROW($M$92)-ROW($M44)-1),0)-1),0))</f>
        <v>0</v>
      </c>
      <c r="Q44" s="193">
        <f ca="1">IF($F45=-1,0,IF(Q$13&lt;=$M44,IF(ISERROR(MATCH(Q$13,OFFSET($M44,1,0,ROW($M$92)-ROW($M44)-1),0)),ROW($M$92)-ROW($M44)-1,MATCH(Q$13,OFFSET($M44,1,0,ROW($M$92)-ROW($M44)-1),0)-1),0))</f>
        <v>0</v>
      </c>
      <c r="R44" s="193">
        <f t="shared" ref="R44" ca="1" si="65">MIN(OFFSET(M44,0,1,,M44))</f>
        <v>2</v>
      </c>
      <c r="S44" s="194">
        <f ca="1">IF($F45=0,OFFSET(ORÇAMENTO!X$15,$F44,0),IF($F45&lt;&gt;-1,OFFSET(QCI!$O$13,$F45,0),""))</f>
        <v>653944.93000000005</v>
      </c>
      <c r="T44" s="195" t="s">
        <v>785</v>
      </c>
      <c r="U44" s="188" cm="1">
        <f t="array" aca="1" ref="U44" ca="1">IF(AND($R44=2,ACOMPANHAMENTO="BM"),ROUND(U45,4),U46/$S44)</f>
        <v>0</v>
      </c>
      <c r="V44" s="188" cm="1">
        <f t="array" aca="1" ref="V44" ca="1">IF(AND($R44=2,ACOMPANHAMENTO="BM"),ROUND(V45,4),V46/$S44)</f>
        <v>0</v>
      </c>
      <c r="W44" s="188" cm="1">
        <f t="array" aca="1" ref="W44" ca="1">IF(AND($R44=2,ACOMPANHAMENTO="BM"),ROUND(W45,4),W46/$S44)</f>
        <v>0</v>
      </c>
      <c r="X44" s="188" cm="1">
        <f t="array" aca="1" ref="X44" ca="1">IF(AND($R44=2,ACOMPANHAMENTO="BM"),ROUND(X45,4),X46/$S44)</f>
        <v>0</v>
      </c>
      <c r="Y44" s="188" cm="1">
        <f t="array" aca="1" ref="Y44" ca="1">IF(AND($R44=2,ACOMPANHAMENTO="BM"),ROUND(Y45,4),Y46/$S44)</f>
        <v>0.1847993530586742</v>
      </c>
      <c r="Z44" s="188" cm="1">
        <f t="array" aca="1" ref="Z44" ca="1">IF(AND($R44=2,ACOMPANHAMENTO="BM"),ROUND(Z45,4),Z46/$S44)</f>
        <v>0.29153931967941094</v>
      </c>
      <c r="AA44" s="188" cm="1">
        <f t="array" aca="1" ref="AA44" ca="1">IF(AND($R44=2,ACOMPANHAMENTO="BM"),ROUND(AA45,4),AA46/$S44)</f>
        <v>0.35949467488034503</v>
      </c>
      <c r="AB44" s="188" cm="1">
        <f t="array" aca="1" ref="AB44" ca="1">IF(AND($R44=2,ACOMPANHAMENTO="BM"),ROUND(AB45,4),AB46/$S44)</f>
        <v>0</v>
      </c>
      <c r="AC44" s="188" cm="1">
        <f t="array" aca="1" ref="AC44" ca="1">IF(AND($R44=2,ACOMPANHAMENTO="BM"),ROUND(AC45,4),AC46/$S44)</f>
        <v>0.1641666523815698</v>
      </c>
      <c r="AD44" s="188" cm="1">
        <f t="array" aca="1" ref="AD44" ca="1">IF(AND($R44=2,ACOMPANHAMENTO="BM"),ROUND(AD45,4),AD46/$S44)</f>
        <v>0</v>
      </c>
      <c r="AE44" s="188" cm="1">
        <f t="array" aca="1" ref="AE44" ca="1">IF(AND($R44=2,ACOMPANHAMENTO="BM"),ROUND(AE45,4),AE46/$S44)</f>
        <v>0</v>
      </c>
      <c r="AF44" s="188" cm="1">
        <f t="array" aca="1" ref="AF44" ca="1">IF(AND($R44=2,ACOMPANHAMENTO="BM"),ROUND(AF45,4),AF46/$S44)</f>
        <v>0</v>
      </c>
      <c r="AG44" s="534"/>
    </row>
    <row r="45" spans="1:33" ht="12.75" hidden="1" customHeight="1" x14ac:dyDescent="0.2">
      <c r="E45" s="587"/>
      <c r="F45" s="185">
        <f ca="1">IF(ISERROR(F44),IF(1+COUNTIF($M$13:OFFSET(M44,-1,0),1)&lt;=MAX(QCI!$D$13:$D$24),1+COUNTIF($M$13:OFFSET(M44,-1,0),1),-1),0)</f>
        <v>0</v>
      </c>
      <c r="G45" s="185" t="str" cm="1">
        <f t="array" aca="1" ref="G45" ca="1">IF(ACOMPANHAMENTO="BM",OFFSET(G45,-1,0),"")</f>
        <v/>
      </c>
      <c r="H45" s="196" t="str" cm="1">
        <f t="array" aca="1" ref="H45" ca="1">IF(OR(S44=0,S44=""),"vazia",IF(AND(OR(ACOMPANHAMENTO="PLE",$R44&lt;&gt;2),$F45=0),"calculada","--&gt;"))</f>
        <v>calculada</v>
      </c>
      <c r="I45" s="197"/>
      <c r="J45" s="198" t="str">
        <f t="shared" ref="J45" ca="1" si="66">IF(AND(H44&lt;&gt;0,ISNUMBER(H44)),"PREENCHA ESTA LINHA --&gt;","")</f>
        <v/>
      </c>
      <c r="K45" s="198"/>
      <c r="L45" s="198"/>
      <c r="M45" s="199"/>
      <c r="N45" s="199"/>
      <c r="O45" s="199"/>
      <c r="P45" s="199"/>
      <c r="Q45" s="199"/>
      <c r="R45" s="199"/>
      <c r="S45" s="200"/>
      <c r="T45" s="201"/>
      <c r="U45" s="587"/>
      <c r="V45" s="587"/>
      <c r="W45" s="587"/>
      <c r="X45" s="587"/>
      <c r="Y45" s="587"/>
      <c r="Z45" s="587"/>
      <c r="AA45" s="587"/>
      <c r="AB45" s="587"/>
      <c r="AC45" s="587"/>
      <c r="AD45" s="587"/>
      <c r="AE45" s="587"/>
      <c r="AF45" s="587"/>
      <c r="AG45" s="534"/>
    </row>
    <row r="46" spans="1:33" ht="12.75" hidden="1" customHeight="1" x14ac:dyDescent="0.2">
      <c r="D46" s="533"/>
      <c r="E46" s="202" cm="1">
        <f t="array" aca="1" ref="E46" ca="1">IF($R44=2,
         IF(AND(ACOMPANHAMENTO="PLE",ISNUMBER($F44)),
                SUMIF((OFFSET(CÁLCULO!$BC$15:$BU$15,$F44,0,OFFSET(ORÇAMENTO!$D$15,CRONO!$F44,0))),CRONO!E$12,OFFSET(CÁLCULO!$AJ$15:$BB$15,$F44,0,OFFSET(ORÇAMENTO!$D$15,CRONO!$F44,0)))
                +IF(AND($F46&lt;&gt;"",$F46&lt;&gt;0),
                        SUMIF(CÁLCULO!$BC$15:$BU$191,CRONO!E$12,CÁLCULO!$AJ$15:$BB$191)/(ORÇAMENTO!$X$15-CÁLCULO.TotalAdmLocal)*CRONO!$F46,
                        0),
                 E45*$S44),
          SUMIF(OFFSET($S46,1,0,$R44-2),($M44+1)&amp;"$",OFFSET(E46,1,0,$R44-2)))</f>
        <v>0</v>
      </c>
      <c r="F46" s="185">
        <f ca="1">IF(OR($R44&lt;&gt;2,AUTOEVENTO&lt;&gt;"manual",$F45&gt;0),"",
        IF(Import.TipoArredondamento="Tradicional",
              SUMIF(OFFSET(CÁLCULO!$M$15,CRONO!$F44,0,OFFSET(ORÇAMENTO!$D$15,CRONO!$F44,0)),1,OFFSET(ORÇAMENTO!$X$15,CRONO!$F44,0,OFFSET(ORÇAMENTO!$D$15,CRONO!$F44,0))),
              0))</f>
        <v>0</v>
      </c>
      <c r="H46" s="736"/>
      <c r="S46" s="204" t="str">
        <f t="shared" ref="S46" ca="1" si="67">M44&amp;"$"</f>
        <v>2$</v>
      </c>
      <c r="T46" s="205"/>
      <c r="U46" s="202" cm="1">
        <f t="array" aca="1" ref="U46" ca="1">IF($R44=2,
         IF(AND(ACOMPANHAMENTO="PLE",ISNUMBER($F44)),
                SUMIF((OFFSET(CÁLCULO!$BC$15:$BU$15,$F44,0,OFFSET(ORÇAMENTO!$D$15,CRONO!$F44,0))),CRONO!U$12,OFFSET(CÁLCULO!$AJ$15:$BB$15,$F44,0,OFFSET(ORÇAMENTO!$D$15,CRONO!$F44,0)))
                +IF(AND($F46&lt;&gt;"",$F46&lt;&gt;0),
                        SUMIF(CÁLCULO!$BC$15:$BU$191,CRONO!U$12,CÁLCULO!$AJ$15:$BB$191)/(ORÇAMENTO!$X$15-CÁLCULO.TotalAdmLocal)*CRONO!$F46,
                        0),
                 U45*$S44),
          SUMIF(OFFSET($S46,1,0,$R44-2),($M44+1)&amp;"$",OFFSET(U46,1,0,$R44-2)))</f>
        <v>0</v>
      </c>
      <c r="V46" s="202" cm="1">
        <f t="array" aca="1" ref="V46" ca="1">IF($R44=2,
         IF(AND(ACOMPANHAMENTO="PLE",ISNUMBER($F44)),
                SUMIF((OFFSET(CÁLCULO!$BC$15:$BU$15,$F44,0,OFFSET(ORÇAMENTO!$D$15,CRONO!$F44,0))),CRONO!V$12,OFFSET(CÁLCULO!$AJ$15:$BB$15,$F44,0,OFFSET(ORÇAMENTO!$D$15,CRONO!$F44,0)))
                +IF(AND($F46&lt;&gt;"",$F46&lt;&gt;0),
                        SUMIF(CÁLCULO!$BC$15:$BU$191,CRONO!V$12,CÁLCULO!$AJ$15:$BB$191)/(ORÇAMENTO!$X$15-CÁLCULO.TotalAdmLocal)*CRONO!$F46,
                        0),
                 V45*$S44),
          SUMIF(OFFSET($S46,1,0,$R44-2),($M44+1)&amp;"$",OFFSET(V46,1,0,$R44-2)))</f>
        <v>0</v>
      </c>
      <c r="W46" s="202" cm="1">
        <f t="array" aca="1" ref="W46" ca="1">IF($R44=2,
         IF(AND(ACOMPANHAMENTO="PLE",ISNUMBER($F44)),
                SUMIF((OFFSET(CÁLCULO!$BC$15:$BU$15,$F44,0,OFFSET(ORÇAMENTO!$D$15,CRONO!$F44,0))),CRONO!W$12,OFFSET(CÁLCULO!$AJ$15:$BB$15,$F44,0,OFFSET(ORÇAMENTO!$D$15,CRONO!$F44,0)))
                +IF(AND($F46&lt;&gt;"",$F46&lt;&gt;0),
                        SUMIF(CÁLCULO!$BC$15:$BU$191,CRONO!W$12,CÁLCULO!$AJ$15:$BB$191)/(ORÇAMENTO!$X$15-CÁLCULO.TotalAdmLocal)*CRONO!$F46,
                        0),
                 W45*$S44),
          SUMIF(OFFSET($S46,1,0,$R44-2),($M44+1)&amp;"$",OFFSET(W46,1,0,$R44-2)))</f>
        <v>0</v>
      </c>
      <c r="X46" s="202" cm="1">
        <f t="array" aca="1" ref="X46" ca="1">IF($R44=2,
         IF(AND(ACOMPANHAMENTO="PLE",ISNUMBER($F44)),
                SUMIF((OFFSET(CÁLCULO!$BC$15:$BU$15,$F44,0,OFFSET(ORÇAMENTO!$D$15,CRONO!$F44,0))),CRONO!X$12,OFFSET(CÁLCULO!$AJ$15:$BB$15,$F44,0,OFFSET(ORÇAMENTO!$D$15,CRONO!$F44,0)))
                +IF(AND($F46&lt;&gt;"",$F46&lt;&gt;0),
                        SUMIF(CÁLCULO!$BC$15:$BU$191,CRONO!X$12,CÁLCULO!$AJ$15:$BB$191)/(ORÇAMENTO!$X$15-CÁLCULO.TotalAdmLocal)*CRONO!$F46,
                        0),
                 X45*$S44),
          SUMIF(OFFSET($S46,1,0,$R44-2),($M44+1)&amp;"$",OFFSET(X46,1,0,$R44-2)))</f>
        <v>0</v>
      </c>
      <c r="Y46" s="202" cm="1">
        <f t="array" aca="1" ref="Y46" ca="1">IF($R44=2,
         IF(AND(ACOMPANHAMENTO="PLE",ISNUMBER($F44)),
                SUMIF((OFFSET(CÁLCULO!$BC$15:$BU$15,$F44,0,OFFSET(ORÇAMENTO!$D$15,CRONO!$F44,0))),CRONO!Y$12,OFFSET(CÁLCULO!$AJ$15:$BB$15,$F44,0,OFFSET(ORÇAMENTO!$D$15,CRONO!$F44,0)))
                +IF(AND($F46&lt;&gt;"",$F46&lt;&gt;0),
                        SUMIF(CÁLCULO!$BC$15:$BU$191,CRONO!Y$12,CÁLCULO!$AJ$15:$BB$191)/(ORÇAMENTO!$X$15-CÁLCULO.TotalAdmLocal)*CRONO!$F46,
                        0),
                 Y45*$S44),
          SUMIF(OFFSET($S46,1,0,$R44-2),($M44+1)&amp;"$",OFFSET(Y46,1,0,$R44-2)))</f>
        <v>120848.6</v>
      </c>
      <c r="Z46" s="202" cm="1">
        <f t="array" aca="1" ref="Z46" ca="1">IF($R44=2,
         IF(AND(ACOMPANHAMENTO="PLE",ISNUMBER($F44)),
                SUMIF((OFFSET(CÁLCULO!$BC$15:$BU$15,$F44,0,OFFSET(ORÇAMENTO!$D$15,CRONO!$F44,0))),CRONO!Z$12,OFFSET(CÁLCULO!$AJ$15:$BB$15,$F44,0,OFFSET(ORÇAMENTO!$D$15,CRONO!$F44,0)))
                +IF(AND($F46&lt;&gt;"",$F46&lt;&gt;0),
                        SUMIF(CÁLCULO!$BC$15:$BU$191,CRONO!Z$12,CÁLCULO!$AJ$15:$BB$191)/(ORÇAMENTO!$X$15-CÁLCULO.TotalAdmLocal)*CRONO!$F46,
                        0),
                 Z45*$S44),
          SUMIF(OFFSET($S46,1,0,$R44-2),($M44+1)&amp;"$",OFFSET(Z46,1,0,$R44-2)))</f>
        <v>190650.66</v>
      </c>
      <c r="AA46" s="202" cm="1">
        <f t="array" aca="1" ref="AA46" ca="1">IF($R44=2,
         IF(AND(ACOMPANHAMENTO="PLE",ISNUMBER($F44)),
                SUMIF((OFFSET(CÁLCULO!$BC$15:$BU$15,$F44,0,OFFSET(ORÇAMENTO!$D$15,CRONO!$F44,0))),CRONO!AA$12,OFFSET(CÁLCULO!$AJ$15:$BB$15,$F44,0,OFFSET(ORÇAMENTO!$D$15,CRONO!$F44,0)))
                +IF(AND($F46&lt;&gt;"",$F46&lt;&gt;0),
                        SUMIF(CÁLCULO!$BC$15:$BU$191,CRONO!AA$12,CÁLCULO!$AJ$15:$BB$191)/(ORÇAMENTO!$X$15-CÁLCULO.TotalAdmLocal)*CRONO!$F46,
                        0),
                 AA45*$S44),
          SUMIF(OFFSET($S46,1,0,$R44-2),($M44+1)&amp;"$",OFFSET(AA46,1,0,$R44-2)))</f>
        <v>235089.72</v>
      </c>
      <c r="AB46" s="202" cm="1">
        <f t="array" aca="1" ref="AB46" ca="1">IF($R44=2,
         IF(AND(ACOMPANHAMENTO="PLE",ISNUMBER($F44)),
                SUMIF((OFFSET(CÁLCULO!$BC$15:$BU$15,$F44,0,OFFSET(ORÇAMENTO!$D$15,CRONO!$F44,0))),CRONO!AB$12,OFFSET(CÁLCULO!$AJ$15:$BB$15,$F44,0,OFFSET(ORÇAMENTO!$D$15,CRONO!$F44,0)))
                +IF(AND($F46&lt;&gt;"",$F46&lt;&gt;0),
                        SUMIF(CÁLCULO!$BC$15:$BU$191,CRONO!AB$12,CÁLCULO!$AJ$15:$BB$191)/(ORÇAMENTO!$X$15-CÁLCULO.TotalAdmLocal)*CRONO!$F46,
                        0),
                 AB45*$S44),
          SUMIF(OFFSET($S46,1,0,$R44-2),($M44+1)&amp;"$",OFFSET(AB46,1,0,$R44-2)))</f>
        <v>0</v>
      </c>
      <c r="AC46" s="202" cm="1">
        <f t="array" aca="1" ref="AC46" ca="1">IF($R44=2,
         IF(AND(ACOMPANHAMENTO="PLE",ISNUMBER($F44)),
                SUMIF((OFFSET(CÁLCULO!$BC$15:$BU$15,$F44,0,OFFSET(ORÇAMENTO!$D$15,CRONO!$F44,0))),CRONO!AC$12,OFFSET(CÁLCULO!$AJ$15:$BB$15,$F44,0,OFFSET(ORÇAMENTO!$D$15,CRONO!$F44,0)))
                +IF(AND($F46&lt;&gt;"",$F46&lt;&gt;0),
                        SUMIF(CÁLCULO!$BC$15:$BU$191,CRONO!AC$12,CÁLCULO!$AJ$15:$BB$191)/(ORÇAMENTO!$X$15-CÁLCULO.TotalAdmLocal)*CRONO!$F46,
                        0),
                 AC45*$S44),
          SUMIF(OFFSET($S46,1,0,$R44-2),($M44+1)&amp;"$",OFFSET(AC46,1,0,$R44-2)))</f>
        <v>107355.95</v>
      </c>
      <c r="AD46" s="202" cm="1">
        <f t="array" aca="1" ref="AD46" ca="1">IF($R44=2,
         IF(AND(ACOMPANHAMENTO="PLE",ISNUMBER($F44)),
                SUMIF((OFFSET(CÁLCULO!$BC$15:$BU$15,$F44,0,OFFSET(ORÇAMENTO!$D$15,CRONO!$F44,0))),CRONO!AD$12,OFFSET(CÁLCULO!$AJ$15:$BB$15,$F44,0,OFFSET(ORÇAMENTO!$D$15,CRONO!$F44,0)))
                +IF(AND($F46&lt;&gt;"",$F46&lt;&gt;0),
                        SUMIF(CÁLCULO!$BC$15:$BU$191,CRONO!AD$12,CÁLCULO!$AJ$15:$BB$191)/(ORÇAMENTO!$X$15-CÁLCULO.TotalAdmLocal)*CRONO!$F46,
                        0),
                 AD45*$S44),
          SUMIF(OFFSET($S46,1,0,$R44-2),($M44+1)&amp;"$",OFFSET(AD46,1,0,$R44-2)))</f>
        <v>0</v>
      </c>
      <c r="AE46" s="202" cm="1">
        <f t="array" aca="1" ref="AE46" ca="1">IF($R44=2,
         IF(AND(ACOMPANHAMENTO="PLE",ISNUMBER($F44)),
                SUMIF((OFFSET(CÁLCULO!$BC$15:$BU$15,$F44,0,OFFSET(ORÇAMENTO!$D$15,CRONO!$F44,0))),CRONO!AE$12,OFFSET(CÁLCULO!$AJ$15:$BB$15,$F44,0,OFFSET(ORÇAMENTO!$D$15,CRONO!$F44,0)))
                +IF(AND($F46&lt;&gt;"",$F46&lt;&gt;0),
                        SUMIF(CÁLCULO!$BC$15:$BU$191,CRONO!AE$12,CÁLCULO!$AJ$15:$BB$191)/(ORÇAMENTO!$X$15-CÁLCULO.TotalAdmLocal)*CRONO!$F46,
                        0),
                 AE45*$S44),
          SUMIF(OFFSET($S46,1,0,$R44-2),($M44+1)&amp;"$",OFFSET(AE46,1,0,$R44-2)))</f>
        <v>0</v>
      </c>
      <c r="AF46" s="202" cm="1">
        <f t="array" aca="1" ref="AF46" ca="1">IF($R44=2,
         IF(AND(ACOMPANHAMENTO="PLE",ISNUMBER($F44)),
                SUMIF((OFFSET(CÁLCULO!$BC$15:$BU$15,$F44,0,OFFSET(ORÇAMENTO!$D$15,CRONO!$F44,0))),CRONO!AF$12,OFFSET(CÁLCULO!$AJ$15:$BB$15,$F44,0,OFFSET(ORÇAMENTO!$D$15,CRONO!$F44,0)))
                +IF(AND($F46&lt;&gt;"",$F46&lt;&gt;0),
                        SUMIF(CÁLCULO!$BC$15:$BU$191,CRONO!AF$12,CÁLCULO!$AJ$15:$BB$191)/(ORÇAMENTO!$X$15-CÁLCULO.TotalAdmLocal)*CRONO!$F46,
                        0),
                 AF45*$S44),
          SUMIF(OFFSET($S46,1,0,$R44-2),($M44+1)&amp;"$",OFFSET(AF46,1,0,$R44-2)))</f>
        <v>0</v>
      </c>
      <c r="AG46" s="534"/>
    </row>
    <row r="47" spans="1:33" x14ac:dyDescent="0.2">
      <c r="A47" s="186" t="str">
        <f t="shared" ref="A47" ca="1" si="68">IF($M47&gt;1,_xlfn.CONCAT($I47," ",$J47),"")</f>
        <v>1.11. BLOCOS DE ANCORAGEM - Adutora de Água Tratada</v>
      </c>
      <c r="B47" s="185">
        <f t="shared" ref="B47" ca="1" si="69">OFFSET(B47,-3,0)+1</f>
        <v>12</v>
      </c>
      <c r="C47" s="185">
        <f ca="1">IF($R47&lt;&gt;2,0,IF($S47=0,1,IF(F48&gt;0,OFFSET(QCI!$M$13,SUBSTITUTE(F48,".",""),0),OFFSET(ORÇAMENTO!$AA$15,CRONO!$F47,0))/$S47))</f>
        <v>0</v>
      </c>
      <c r="D47" s="185">
        <f ca="1">IF($R47&lt;&gt;2,0,IF($S47=0,1,IF(F48&gt;0,OFFSET(QCI!$N$13,SUBSTITUTE(F48,".",""),0),OFFSET(ORÇAMENTO!$AB$15,CRONO!$F47,0))/$S47))</f>
        <v>0</v>
      </c>
      <c r="E47" s="188" cm="1">
        <f t="array" aca="1" ref="E47" ca="1">IF(AND($R47=2,ACOMPANHAMENTO="BM"),ROUND(E48,4),E49/$S47)</f>
        <v>0</v>
      </c>
      <c r="F47" s="185" cm="1">
        <f t="array" aca="1" ref="F47" ca="1">IF(B47&lt;=ORÇAMENTO.MáximoListaCrono,MATCH(B47,ORÇAMENTO.ListaCrono,0),NA())</f>
        <v>68</v>
      </c>
      <c r="G47" s="185" t="str">
        <f t="shared" ref="G47" ca="1" si="70">IF(AND($F48&lt;&gt;-1,$S47&gt;0),"F","")</f>
        <v>F</v>
      </c>
      <c r="H47" s="189" t="str" cm="1">
        <f t="array" aca="1" ref="H47" ca="1">IF(OR(S47=0,S47=""),"Linha",IF(AND(OR(ACOMPANHAMENTO="PLE",$R47&lt;&gt;2),$F48=0),"Linha",ROUND(1-SUM(U47:AG47),4)))</f>
        <v>Linha</v>
      </c>
      <c r="I47" s="190" t="str">
        <f ca="1">IF($F48=0,OFFSET(ORÇAMENTO!O$15,$F47,0),IF($F48&lt;&gt;-1,OFFSET(QCI!$D$13,$F48,0),""))</f>
        <v>1.11.</v>
      </c>
      <c r="J47" s="191" t="str">
        <f ca="1">IF($F48=0,OFFSET(ORÇAMENTO!R$15,$F47,0),IF($F48&lt;&gt;-1,OFFSET(QCI!$G$13,$F48,0),""))</f>
        <v>BLOCOS DE ANCORAGEM - Adutora de Água Tratada</v>
      </c>
      <c r="K47" s="191"/>
      <c r="L47" s="191"/>
      <c r="M47" s="192">
        <f ca="1">IF($F48=0,OFFSET(ORÇAMENTO!C$15,$F47,0),1)</f>
        <v>2</v>
      </c>
      <c r="N47" s="193">
        <f ca="1">IF($F48=-1,0,IF(N$13&lt;=$M47,IF(ISERROR(MATCH(N$13,OFFSET($M47,1,0,ROW($M$92)-ROW($M47)-1),0)),ROW($M$92)-ROW($M47)-1,MATCH(N$13,OFFSET($M47,1,0,ROW($M$92)-ROW($M47)-1),0)-1),0))</f>
        <v>41</v>
      </c>
      <c r="O47" s="193">
        <f ca="1">IF($F48=-1,0,IF(O$13&lt;=$M47,IF(ISERROR(MATCH(O$13,OFFSET($M47,1,0,ROW($M$92)-ROW($M47)-1),0)),ROW($M$92)-ROW($M47)-1,MATCH(O$13,OFFSET($M47,1,0,ROW($M$92)-ROW($M47)-1),0)-1),0))</f>
        <v>2</v>
      </c>
      <c r="P47" s="193">
        <f ca="1">IF($F48=-1,0,IF(P$13&lt;=$M47,IF(ISERROR(MATCH(P$13,OFFSET($M47,1,0,ROW($M$92)-ROW($M47)-1),0)),ROW($M$92)-ROW($M47)-1,MATCH(P$13,OFFSET($M47,1,0,ROW($M$92)-ROW($M47)-1),0)-1),0))</f>
        <v>0</v>
      </c>
      <c r="Q47" s="193">
        <f ca="1">IF($F48=-1,0,IF(Q$13&lt;=$M47,IF(ISERROR(MATCH(Q$13,OFFSET($M47,1,0,ROW($M$92)-ROW($M47)-1),0)),ROW($M$92)-ROW($M47)-1,MATCH(Q$13,OFFSET($M47,1,0,ROW($M$92)-ROW($M47)-1),0)-1),0))</f>
        <v>0</v>
      </c>
      <c r="R47" s="193">
        <f t="shared" ref="R47" ca="1" si="71">MIN(OFFSET(M47,0,1,,M47))</f>
        <v>2</v>
      </c>
      <c r="S47" s="194">
        <f ca="1">IF($F48=0,OFFSET(ORÇAMENTO!X$15,$F47,0),IF($F48&lt;&gt;-1,OFFSET(QCI!$O$13,$F48,0),""))</f>
        <v>103363.95</v>
      </c>
      <c r="T47" s="195" t="s">
        <v>785</v>
      </c>
      <c r="U47" s="188" cm="1">
        <f t="array" aca="1" ref="U47" ca="1">IF(AND($R47=2,ACOMPANHAMENTO="BM"),ROUND(U48,4),U49/$S47)</f>
        <v>0</v>
      </c>
      <c r="V47" s="188" cm="1">
        <f t="array" aca="1" ref="V47" ca="1">IF(AND($R47=2,ACOMPANHAMENTO="BM"),ROUND(V48,4),V49/$S47)</f>
        <v>0</v>
      </c>
      <c r="W47" s="188" cm="1">
        <f t="array" aca="1" ref="W47" ca="1">IF(AND($R47=2,ACOMPANHAMENTO="BM"),ROUND(W48,4),W49/$S47)</f>
        <v>0</v>
      </c>
      <c r="X47" s="188" cm="1">
        <f t="array" aca="1" ref="X47" ca="1">IF(AND($R47=2,ACOMPANHAMENTO="BM"),ROUND(X48,4),X49/$S47)</f>
        <v>0</v>
      </c>
      <c r="Y47" s="188" cm="1">
        <f t="array" aca="1" ref="Y47" ca="1">IF(AND($R47=2,ACOMPANHAMENTO="BM"),ROUND(Y48,4),Y49/$S47)</f>
        <v>0</v>
      </c>
      <c r="Z47" s="188" cm="1">
        <f t="array" aca="1" ref="Z47" ca="1">IF(AND($R47=2,ACOMPANHAMENTO="BM"),ROUND(Z48,4),Z49/$S47)</f>
        <v>1.3057357037922797E-2</v>
      </c>
      <c r="AA47" s="188" cm="1">
        <f t="array" aca="1" ref="AA47" ca="1">IF(AND($R47=2,ACOMPANHAMENTO="BM"),ROUND(AA48,4),AA49/$S47)</f>
        <v>0</v>
      </c>
      <c r="AB47" s="188" cm="1">
        <f t="array" aca="1" ref="AB47" ca="1">IF(AND($R47=2,ACOMPANHAMENTO="BM"),ROUND(AB48,4),AB49/$S47)</f>
        <v>1.3884434563501106E-2</v>
      </c>
      <c r="AC47" s="188" cm="1">
        <f t="array" aca="1" ref="AC47" ca="1">IF(AND($R47=2,ACOMPANHAMENTO="BM"),ROUND(AC48,4),AC49/$S47)</f>
        <v>0.46428817784150089</v>
      </c>
      <c r="AD47" s="188" cm="1">
        <f t="array" aca="1" ref="AD47" ca="1">IF(AND($R47=2,ACOMPANHAMENTO="BM"),ROUND(AD48,4),AD49/$S47)</f>
        <v>0.50877003055707526</v>
      </c>
      <c r="AE47" s="188" cm="1">
        <f t="array" aca="1" ref="AE47" ca="1">IF(AND($R47=2,ACOMPANHAMENTO="BM"),ROUND(AE48,4),AE49/$S47)</f>
        <v>0</v>
      </c>
      <c r="AF47" s="188" cm="1">
        <f t="array" aca="1" ref="AF47" ca="1">IF(AND($R47=2,ACOMPANHAMENTO="BM"),ROUND(AF48,4),AF49/$S47)</f>
        <v>0</v>
      </c>
      <c r="AG47" s="534"/>
    </row>
    <row r="48" spans="1:33" ht="12.75" hidden="1" customHeight="1" x14ac:dyDescent="0.2">
      <c r="E48" s="587"/>
      <c r="F48" s="185">
        <f ca="1">IF(ISERROR(F47),IF(1+COUNTIF($M$13:OFFSET(M47,-1,0),1)&lt;=MAX(QCI!$D$13:$D$24),1+COUNTIF($M$13:OFFSET(M47,-1,0),1),-1),0)</f>
        <v>0</v>
      </c>
      <c r="G48" s="185" t="str" cm="1">
        <f t="array" aca="1" ref="G48" ca="1">IF(ACOMPANHAMENTO="BM",OFFSET(G48,-1,0),"")</f>
        <v/>
      </c>
      <c r="H48" s="196" t="str" cm="1">
        <f t="array" aca="1" ref="H48" ca="1">IF(OR(S47=0,S47=""),"vazia",IF(AND(OR(ACOMPANHAMENTO="PLE",$R47&lt;&gt;2),$F48=0),"calculada","--&gt;"))</f>
        <v>calculada</v>
      </c>
      <c r="I48" s="197"/>
      <c r="J48" s="198" t="str">
        <f t="shared" ref="J48" ca="1" si="72">IF(AND(H47&lt;&gt;0,ISNUMBER(H47)),"PREENCHA ESTA LINHA --&gt;","")</f>
        <v/>
      </c>
      <c r="K48" s="198"/>
      <c r="L48" s="198"/>
      <c r="M48" s="199"/>
      <c r="N48" s="199"/>
      <c r="O48" s="199"/>
      <c r="P48" s="199"/>
      <c r="Q48" s="199"/>
      <c r="R48" s="199"/>
      <c r="S48" s="200"/>
      <c r="T48" s="201"/>
      <c r="U48" s="587"/>
      <c r="V48" s="587"/>
      <c r="W48" s="587"/>
      <c r="X48" s="587"/>
      <c r="Y48" s="587"/>
      <c r="Z48" s="587"/>
      <c r="AA48" s="587"/>
      <c r="AB48" s="587"/>
      <c r="AC48" s="587"/>
      <c r="AD48" s="587"/>
      <c r="AE48" s="587"/>
      <c r="AF48" s="587"/>
      <c r="AG48" s="534"/>
    </row>
    <row r="49" spans="1:33" ht="12.75" hidden="1" customHeight="1" x14ac:dyDescent="0.2">
      <c r="D49" s="533"/>
      <c r="E49" s="202" cm="1">
        <f t="array" aca="1" ref="E49" ca="1">IF($R47=2,
         IF(AND(ACOMPANHAMENTO="PLE",ISNUMBER($F47)),
                SUMIF((OFFSET(CÁLCULO!$BC$15:$BU$15,$F47,0,OFFSET(ORÇAMENTO!$D$15,CRONO!$F47,0))),CRONO!E$12,OFFSET(CÁLCULO!$AJ$15:$BB$15,$F47,0,OFFSET(ORÇAMENTO!$D$15,CRONO!$F47,0)))
                +IF(AND($F49&lt;&gt;"",$F49&lt;&gt;0),
                        SUMIF(CÁLCULO!$BC$15:$BU$191,CRONO!E$12,CÁLCULO!$AJ$15:$BB$191)/(ORÇAMENTO!$X$15-CÁLCULO.TotalAdmLocal)*CRONO!$F49,
                        0),
                 E48*$S47),
          SUMIF(OFFSET($S49,1,0,$R47-2),($M47+1)&amp;"$",OFFSET(E49,1,0,$R47-2)))</f>
        <v>0</v>
      </c>
      <c r="F49" s="185">
        <f ca="1">IF(OR($R47&lt;&gt;2,AUTOEVENTO&lt;&gt;"manual",$F48&gt;0),"",
        IF(Import.TipoArredondamento="Tradicional",
              SUMIF(OFFSET(CÁLCULO!$M$15,CRONO!$F47,0,OFFSET(ORÇAMENTO!$D$15,CRONO!$F47,0)),1,OFFSET(ORÇAMENTO!$X$15,CRONO!$F47,0,OFFSET(ORÇAMENTO!$D$15,CRONO!$F47,0))),
              0))</f>
        <v>0</v>
      </c>
      <c r="H49" s="736"/>
      <c r="S49" s="204" t="str">
        <f t="shared" ref="S49" ca="1" si="73">M47&amp;"$"</f>
        <v>2$</v>
      </c>
      <c r="T49" s="205"/>
      <c r="U49" s="202" cm="1">
        <f t="array" aca="1" ref="U49" ca="1">IF($R47=2,
         IF(AND(ACOMPANHAMENTO="PLE",ISNUMBER($F47)),
                SUMIF((OFFSET(CÁLCULO!$BC$15:$BU$15,$F47,0,OFFSET(ORÇAMENTO!$D$15,CRONO!$F47,0))),CRONO!U$12,OFFSET(CÁLCULO!$AJ$15:$BB$15,$F47,0,OFFSET(ORÇAMENTO!$D$15,CRONO!$F47,0)))
                +IF(AND($F49&lt;&gt;"",$F49&lt;&gt;0),
                        SUMIF(CÁLCULO!$BC$15:$BU$191,CRONO!U$12,CÁLCULO!$AJ$15:$BB$191)/(ORÇAMENTO!$X$15-CÁLCULO.TotalAdmLocal)*CRONO!$F49,
                        0),
                 U48*$S47),
          SUMIF(OFFSET($S49,1,0,$R47-2),($M47+1)&amp;"$",OFFSET(U49,1,0,$R47-2)))</f>
        <v>0</v>
      </c>
      <c r="V49" s="202" cm="1">
        <f t="array" aca="1" ref="V49" ca="1">IF($R47=2,
         IF(AND(ACOMPANHAMENTO="PLE",ISNUMBER($F47)),
                SUMIF((OFFSET(CÁLCULO!$BC$15:$BU$15,$F47,0,OFFSET(ORÇAMENTO!$D$15,CRONO!$F47,0))),CRONO!V$12,OFFSET(CÁLCULO!$AJ$15:$BB$15,$F47,0,OFFSET(ORÇAMENTO!$D$15,CRONO!$F47,0)))
                +IF(AND($F49&lt;&gt;"",$F49&lt;&gt;0),
                        SUMIF(CÁLCULO!$BC$15:$BU$191,CRONO!V$12,CÁLCULO!$AJ$15:$BB$191)/(ORÇAMENTO!$X$15-CÁLCULO.TotalAdmLocal)*CRONO!$F49,
                        0),
                 V48*$S47),
          SUMIF(OFFSET($S49,1,0,$R47-2),($M47+1)&amp;"$",OFFSET(V49,1,0,$R47-2)))</f>
        <v>0</v>
      </c>
      <c r="W49" s="202" cm="1">
        <f t="array" aca="1" ref="W49" ca="1">IF($R47=2,
         IF(AND(ACOMPANHAMENTO="PLE",ISNUMBER($F47)),
                SUMIF((OFFSET(CÁLCULO!$BC$15:$BU$15,$F47,0,OFFSET(ORÇAMENTO!$D$15,CRONO!$F47,0))),CRONO!W$12,OFFSET(CÁLCULO!$AJ$15:$BB$15,$F47,0,OFFSET(ORÇAMENTO!$D$15,CRONO!$F47,0)))
                +IF(AND($F49&lt;&gt;"",$F49&lt;&gt;0),
                        SUMIF(CÁLCULO!$BC$15:$BU$191,CRONO!W$12,CÁLCULO!$AJ$15:$BB$191)/(ORÇAMENTO!$X$15-CÁLCULO.TotalAdmLocal)*CRONO!$F49,
                        0),
                 W48*$S47),
          SUMIF(OFFSET($S49,1,0,$R47-2),($M47+1)&amp;"$",OFFSET(W49,1,0,$R47-2)))</f>
        <v>0</v>
      </c>
      <c r="X49" s="202" cm="1">
        <f t="array" aca="1" ref="X49" ca="1">IF($R47=2,
         IF(AND(ACOMPANHAMENTO="PLE",ISNUMBER($F47)),
                SUMIF((OFFSET(CÁLCULO!$BC$15:$BU$15,$F47,0,OFFSET(ORÇAMENTO!$D$15,CRONO!$F47,0))),CRONO!X$12,OFFSET(CÁLCULO!$AJ$15:$BB$15,$F47,0,OFFSET(ORÇAMENTO!$D$15,CRONO!$F47,0)))
                +IF(AND($F49&lt;&gt;"",$F49&lt;&gt;0),
                        SUMIF(CÁLCULO!$BC$15:$BU$191,CRONO!X$12,CÁLCULO!$AJ$15:$BB$191)/(ORÇAMENTO!$X$15-CÁLCULO.TotalAdmLocal)*CRONO!$F49,
                        0),
                 X48*$S47),
          SUMIF(OFFSET($S49,1,0,$R47-2),($M47+1)&amp;"$",OFFSET(X49,1,0,$R47-2)))</f>
        <v>0</v>
      </c>
      <c r="Y49" s="202" cm="1">
        <f t="array" aca="1" ref="Y49" ca="1">IF($R47=2,
         IF(AND(ACOMPANHAMENTO="PLE",ISNUMBER($F47)),
                SUMIF((OFFSET(CÁLCULO!$BC$15:$BU$15,$F47,0,OFFSET(ORÇAMENTO!$D$15,CRONO!$F47,0))),CRONO!Y$12,OFFSET(CÁLCULO!$AJ$15:$BB$15,$F47,0,OFFSET(ORÇAMENTO!$D$15,CRONO!$F47,0)))
                +IF(AND($F49&lt;&gt;"",$F49&lt;&gt;0),
                        SUMIF(CÁLCULO!$BC$15:$BU$191,CRONO!Y$12,CÁLCULO!$AJ$15:$BB$191)/(ORÇAMENTO!$X$15-CÁLCULO.TotalAdmLocal)*CRONO!$F49,
                        0),
                 Y48*$S47),
          SUMIF(OFFSET($S49,1,0,$R47-2),($M47+1)&amp;"$",OFFSET(Y49,1,0,$R47-2)))</f>
        <v>0</v>
      </c>
      <c r="Z49" s="202" cm="1">
        <f t="array" aca="1" ref="Z49" ca="1">IF($R47=2,
         IF(AND(ACOMPANHAMENTO="PLE",ISNUMBER($F47)),
                SUMIF((OFFSET(CÁLCULO!$BC$15:$BU$15,$F47,0,OFFSET(ORÇAMENTO!$D$15,CRONO!$F47,0))),CRONO!Z$12,OFFSET(CÁLCULO!$AJ$15:$BB$15,$F47,0,OFFSET(ORÇAMENTO!$D$15,CRONO!$F47,0)))
                +IF(AND($F49&lt;&gt;"",$F49&lt;&gt;0),
                        SUMIF(CÁLCULO!$BC$15:$BU$191,CRONO!Z$12,CÁLCULO!$AJ$15:$BB$191)/(ORÇAMENTO!$X$15-CÁLCULO.TotalAdmLocal)*CRONO!$F49,
                        0),
                 Z48*$S47),
          SUMIF(OFFSET($S49,1,0,$R47-2),($M47+1)&amp;"$",OFFSET(Z49,1,0,$R47-2)))</f>
        <v>1349.66</v>
      </c>
      <c r="AA49" s="202" cm="1">
        <f t="array" aca="1" ref="AA49" ca="1">IF($R47=2,
         IF(AND(ACOMPANHAMENTO="PLE",ISNUMBER($F47)),
                SUMIF((OFFSET(CÁLCULO!$BC$15:$BU$15,$F47,0,OFFSET(ORÇAMENTO!$D$15,CRONO!$F47,0))),CRONO!AA$12,OFFSET(CÁLCULO!$AJ$15:$BB$15,$F47,0,OFFSET(ORÇAMENTO!$D$15,CRONO!$F47,0)))
                +IF(AND($F49&lt;&gt;"",$F49&lt;&gt;0),
                        SUMIF(CÁLCULO!$BC$15:$BU$191,CRONO!AA$12,CÁLCULO!$AJ$15:$BB$191)/(ORÇAMENTO!$X$15-CÁLCULO.TotalAdmLocal)*CRONO!$F49,
                        0),
                 AA48*$S47),
          SUMIF(OFFSET($S49,1,0,$R47-2),($M47+1)&amp;"$",OFFSET(AA49,1,0,$R47-2)))</f>
        <v>0</v>
      </c>
      <c r="AB49" s="202" cm="1">
        <f t="array" aca="1" ref="AB49" ca="1">IF($R47=2,
         IF(AND(ACOMPANHAMENTO="PLE",ISNUMBER($F47)),
                SUMIF((OFFSET(CÁLCULO!$BC$15:$BU$15,$F47,0,OFFSET(ORÇAMENTO!$D$15,CRONO!$F47,0))),CRONO!AB$12,OFFSET(CÁLCULO!$AJ$15:$BB$15,$F47,0,OFFSET(ORÇAMENTO!$D$15,CRONO!$F47,0)))
                +IF(AND($F49&lt;&gt;"",$F49&lt;&gt;0),
                        SUMIF(CÁLCULO!$BC$15:$BU$191,CRONO!AB$12,CÁLCULO!$AJ$15:$BB$191)/(ORÇAMENTO!$X$15-CÁLCULO.TotalAdmLocal)*CRONO!$F49,
                        0),
                 AB48*$S47),
          SUMIF(OFFSET($S49,1,0,$R47-2),($M47+1)&amp;"$",OFFSET(AB49,1,0,$R47-2)))</f>
        <v>1435.15</v>
      </c>
      <c r="AC49" s="202" cm="1">
        <f t="array" aca="1" ref="AC49" ca="1">IF($R47=2,
         IF(AND(ACOMPANHAMENTO="PLE",ISNUMBER($F47)),
                SUMIF((OFFSET(CÁLCULO!$BC$15:$BU$15,$F47,0,OFFSET(ORÇAMENTO!$D$15,CRONO!$F47,0))),CRONO!AC$12,OFFSET(CÁLCULO!$AJ$15:$BB$15,$F47,0,OFFSET(ORÇAMENTO!$D$15,CRONO!$F47,0)))
                +IF(AND($F49&lt;&gt;"",$F49&lt;&gt;0),
                        SUMIF(CÁLCULO!$BC$15:$BU$191,CRONO!AC$12,CÁLCULO!$AJ$15:$BB$191)/(ORÇAMENTO!$X$15-CÁLCULO.TotalAdmLocal)*CRONO!$F49,
                        0),
                 AC48*$S47),
          SUMIF(OFFSET($S49,1,0,$R47-2),($M47+1)&amp;"$",OFFSET(AC49,1,0,$R47-2)))</f>
        <v>47990.66</v>
      </c>
      <c r="AD49" s="202" cm="1">
        <f t="array" aca="1" ref="AD49" ca="1">IF($R47=2,
         IF(AND(ACOMPANHAMENTO="PLE",ISNUMBER($F47)),
                SUMIF((OFFSET(CÁLCULO!$BC$15:$BU$15,$F47,0,OFFSET(ORÇAMENTO!$D$15,CRONO!$F47,0))),CRONO!AD$12,OFFSET(CÁLCULO!$AJ$15:$BB$15,$F47,0,OFFSET(ORÇAMENTO!$D$15,CRONO!$F47,0)))
                +IF(AND($F49&lt;&gt;"",$F49&lt;&gt;0),
                        SUMIF(CÁLCULO!$BC$15:$BU$191,CRONO!AD$12,CÁLCULO!$AJ$15:$BB$191)/(ORÇAMENTO!$X$15-CÁLCULO.TotalAdmLocal)*CRONO!$F49,
                        0),
                 AD48*$S47),
          SUMIF(OFFSET($S49,1,0,$R47-2),($M47+1)&amp;"$",OFFSET(AD49,1,0,$R47-2)))</f>
        <v>52588.480000000003</v>
      </c>
      <c r="AE49" s="202" cm="1">
        <f t="array" aca="1" ref="AE49" ca="1">IF($R47=2,
         IF(AND(ACOMPANHAMENTO="PLE",ISNUMBER($F47)),
                SUMIF((OFFSET(CÁLCULO!$BC$15:$BU$15,$F47,0,OFFSET(ORÇAMENTO!$D$15,CRONO!$F47,0))),CRONO!AE$12,OFFSET(CÁLCULO!$AJ$15:$BB$15,$F47,0,OFFSET(ORÇAMENTO!$D$15,CRONO!$F47,0)))
                +IF(AND($F49&lt;&gt;"",$F49&lt;&gt;0),
                        SUMIF(CÁLCULO!$BC$15:$BU$191,CRONO!AE$12,CÁLCULO!$AJ$15:$BB$191)/(ORÇAMENTO!$X$15-CÁLCULO.TotalAdmLocal)*CRONO!$F49,
                        0),
                 AE48*$S47),
          SUMIF(OFFSET($S49,1,0,$R47-2),($M47+1)&amp;"$",OFFSET(AE49,1,0,$R47-2)))</f>
        <v>0</v>
      </c>
      <c r="AF49" s="202" cm="1">
        <f t="array" aca="1" ref="AF49" ca="1">IF($R47=2,
         IF(AND(ACOMPANHAMENTO="PLE",ISNUMBER($F47)),
                SUMIF((OFFSET(CÁLCULO!$BC$15:$BU$15,$F47,0,OFFSET(ORÇAMENTO!$D$15,CRONO!$F47,0))),CRONO!AF$12,OFFSET(CÁLCULO!$AJ$15:$BB$15,$F47,0,OFFSET(ORÇAMENTO!$D$15,CRONO!$F47,0)))
                +IF(AND($F49&lt;&gt;"",$F49&lt;&gt;0),
                        SUMIF(CÁLCULO!$BC$15:$BU$191,CRONO!AF$12,CÁLCULO!$AJ$15:$BB$191)/(ORÇAMENTO!$X$15-CÁLCULO.TotalAdmLocal)*CRONO!$F49,
                        0),
                 AF48*$S47),
          SUMIF(OFFSET($S49,1,0,$R47-2),($M47+1)&amp;"$",OFFSET(AF49,1,0,$R47-2)))</f>
        <v>0</v>
      </c>
      <c r="AG49" s="534"/>
    </row>
    <row r="50" spans="1:33" x14ac:dyDescent="0.2">
      <c r="A50" s="186" t="str">
        <f t="shared" ref="A50" ca="1" si="74">IF($M50&gt;1,_xlfn.CONCAT($I50," ",$J50),"")</f>
        <v>1.12. REMOÇÃO E RECOMPOSIÇÃO DE PAVIMENTAÇÃO - Adutora de Água Tratada</v>
      </c>
      <c r="B50" s="185">
        <f t="shared" ref="B50" ca="1" si="75">OFFSET(B50,-3,0)+1</f>
        <v>13</v>
      </c>
      <c r="C50" s="185">
        <f ca="1">IF($R50&lt;&gt;2,0,IF($S50=0,1,IF(F51&gt;0,OFFSET(QCI!$M$13,SUBSTITUTE(F51,".",""),0),OFFSET(ORÇAMENTO!$AA$15,CRONO!$F50,0))/$S50))</f>
        <v>0</v>
      </c>
      <c r="D50" s="185">
        <f ca="1">IF($R50&lt;&gt;2,0,IF($S50=0,1,IF(F51&gt;0,OFFSET(QCI!$N$13,SUBSTITUTE(F51,".",""),0),OFFSET(ORÇAMENTO!$AB$15,CRONO!$F50,0))/$S50))</f>
        <v>0</v>
      </c>
      <c r="E50" s="188" cm="1">
        <f t="array" aca="1" ref="E50" ca="1">IF(AND($R50=2,ACOMPANHAMENTO="BM"),ROUND(E51,4),E52/$S50)</f>
        <v>0</v>
      </c>
      <c r="F50" s="185" cm="1">
        <f t="array" aca="1" ref="F50" ca="1">IF(B50&lt;=ORÇAMENTO.MáximoListaCrono,MATCH(B50,ORÇAMENTO.ListaCrono,0),NA())</f>
        <v>76</v>
      </c>
      <c r="G50" s="185" t="str">
        <f t="shared" ref="G50" ca="1" si="76">IF(AND($F51&lt;&gt;-1,$S50&gt;0),"F","")</f>
        <v>F</v>
      </c>
      <c r="H50" s="189" t="str" cm="1">
        <f t="array" aca="1" ref="H50" ca="1">IF(OR(S50=0,S50=""),"Linha",IF(AND(OR(ACOMPANHAMENTO="PLE",$R50&lt;&gt;2),$F51=0),"Linha",ROUND(1-SUM(U50:AG50),4)))</f>
        <v>Linha</v>
      </c>
      <c r="I50" s="190" t="str">
        <f ca="1">IF($F51=0,OFFSET(ORÇAMENTO!O$15,$F50,0),IF($F51&lt;&gt;-1,OFFSET(QCI!$D$13,$F51,0),""))</f>
        <v>1.12.</v>
      </c>
      <c r="J50" s="191" t="str">
        <f ca="1">IF($F51=0,OFFSET(ORÇAMENTO!R$15,$F50,0),IF($F51&lt;&gt;-1,OFFSET(QCI!$G$13,$F51,0),""))</f>
        <v>REMOÇÃO E RECOMPOSIÇÃO DE PAVIMENTAÇÃO - Adutora de Água Tratada</v>
      </c>
      <c r="K50" s="191"/>
      <c r="L50" s="191"/>
      <c r="M50" s="192">
        <f ca="1">IF($F51=0,OFFSET(ORÇAMENTO!C$15,$F50,0),1)</f>
        <v>2</v>
      </c>
      <c r="N50" s="193">
        <f ca="1">IF($F51=-1,0,IF(N$13&lt;=$M50,IF(ISERROR(MATCH(N$13,OFFSET($M50,1,0,ROW($M$92)-ROW($M50)-1),0)),ROW($M$92)-ROW($M50)-1,MATCH(N$13,OFFSET($M50,1,0,ROW($M$92)-ROW($M50)-1),0)-1),0))</f>
        <v>38</v>
      </c>
      <c r="O50" s="193">
        <f ca="1">IF($F51=-1,0,IF(O$13&lt;=$M50,IF(ISERROR(MATCH(O$13,OFFSET($M50,1,0,ROW($M$92)-ROW($M50)-1),0)),ROW($M$92)-ROW($M50)-1,MATCH(O$13,OFFSET($M50,1,0,ROW($M$92)-ROW($M50)-1),0)-1),0))</f>
        <v>2</v>
      </c>
      <c r="P50" s="193">
        <f ca="1">IF($F51=-1,0,IF(P$13&lt;=$M50,IF(ISERROR(MATCH(P$13,OFFSET($M50,1,0,ROW($M$92)-ROW($M50)-1),0)),ROW($M$92)-ROW($M50)-1,MATCH(P$13,OFFSET($M50,1,0,ROW($M$92)-ROW($M50)-1),0)-1),0))</f>
        <v>0</v>
      </c>
      <c r="Q50" s="193">
        <f ca="1">IF($F51=-1,0,IF(Q$13&lt;=$M50,IF(ISERROR(MATCH(Q$13,OFFSET($M50,1,0,ROW($M$92)-ROW($M50)-1),0)),ROW($M$92)-ROW($M50)-1,MATCH(Q$13,OFFSET($M50,1,0,ROW($M$92)-ROW($M50)-1),0)-1),0))</f>
        <v>0</v>
      </c>
      <c r="R50" s="193">
        <f t="shared" ref="R50" ca="1" si="77">MIN(OFFSET(M50,0,1,,M50))</f>
        <v>2</v>
      </c>
      <c r="S50" s="194">
        <f ca="1">IF($F51=0,OFFSET(ORÇAMENTO!X$15,$F50,0),IF($F51&lt;&gt;-1,OFFSET(QCI!$O$13,$F51,0),""))</f>
        <v>281457.40999999997</v>
      </c>
      <c r="T50" s="195" t="s">
        <v>785</v>
      </c>
      <c r="U50" s="188" cm="1">
        <f t="array" aca="1" ref="U50" ca="1">IF(AND($R50=2,ACOMPANHAMENTO="BM"),ROUND(U51,4),U52/$S50)</f>
        <v>0</v>
      </c>
      <c r="V50" s="188" cm="1">
        <f t="array" aca="1" ref="V50" ca="1">IF(AND($R50=2,ACOMPANHAMENTO="BM"),ROUND(V51,4),V52/$S50)</f>
        <v>0</v>
      </c>
      <c r="W50" s="188" cm="1">
        <f t="array" aca="1" ref="W50" ca="1">IF(AND($R50=2,ACOMPANHAMENTO="BM"),ROUND(W51,4),W52/$S50)</f>
        <v>0</v>
      </c>
      <c r="X50" s="188" cm="1">
        <f t="array" aca="1" ref="X50" ca="1">IF(AND($R50=2,ACOMPANHAMENTO="BM"),ROUND(X51,4),X52/$S50)</f>
        <v>0</v>
      </c>
      <c r="Y50" s="188" cm="1">
        <f t="array" aca="1" ref="Y50" ca="1">IF(AND($R50=2,ACOMPANHAMENTO="BM"),ROUND(Y51,4),Y52/$S50)</f>
        <v>1</v>
      </c>
      <c r="Z50" s="188" cm="1">
        <f t="array" aca="1" ref="Z50" ca="1">IF(AND($R50=2,ACOMPANHAMENTO="BM"),ROUND(Z51,4),Z52/$S50)</f>
        <v>0</v>
      </c>
      <c r="AA50" s="188" cm="1">
        <f t="array" aca="1" ref="AA50" ca="1">IF(AND($R50=2,ACOMPANHAMENTO="BM"),ROUND(AA51,4),AA52/$S50)</f>
        <v>0</v>
      </c>
      <c r="AB50" s="188" cm="1">
        <f t="array" aca="1" ref="AB50" ca="1">IF(AND($R50=2,ACOMPANHAMENTO="BM"),ROUND(AB51,4),AB52/$S50)</f>
        <v>0</v>
      </c>
      <c r="AC50" s="188" cm="1">
        <f t="array" aca="1" ref="AC50" ca="1">IF(AND($R50=2,ACOMPANHAMENTO="BM"),ROUND(AC51,4),AC52/$S50)</f>
        <v>0</v>
      </c>
      <c r="AD50" s="188" cm="1">
        <f t="array" aca="1" ref="AD50" ca="1">IF(AND($R50=2,ACOMPANHAMENTO="BM"),ROUND(AD51,4),AD52/$S50)</f>
        <v>0</v>
      </c>
      <c r="AE50" s="188" cm="1">
        <f t="array" aca="1" ref="AE50" ca="1">IF(AND($R50=2,ACOMPANHAMENTO="BM"),ROUND(AE51,4),AE52/$S50)</f>
        <v>0</v>
      </c>
      <c r="AF50" s="188" cm="1">
        <f t="array" aca="1" ref="AF50" ca="1">IF(AND($R50=2,ACOMPANHAMENTO="BM"),ROUND(AF51,4),AF52/$S50)</f>
        <v>0</v>
      </c>
      <c r="AG50" s="534"/>
    </row>
    <row r="51" spans="1:33" ht="12.75" hidden="1" customHeight="1" x14ac:dyDescent="0.2">
      <c r="E51" s="587"/>
      <c r="F51" s="185">
        <f ca="1">IF(ISERROR(F50),IF(1+COUNTIF($M$13:OFFSET(M50,-1,0),1)&lt;=MAX(QCI!$D$13:$D$24),1+COUNTIF($M$13:OFFSET(M50,-1,0),1),-1),0)</f>
        <v>0</v>
      </c>
      <c r="G51" s="185" t="str" cm="1">
        <f t="array" aca="1" ref="G51" ca="1">IF(ACOMPANHAMENTO="BM",OFFSET(G51,-1,0),"")</f>
        <v/>
      </c>
      <c r="H51" s="196" t="str" cm="1">
        <f t="array" aca="1" ref="H51" ca="1">IF(OR(S50=0,S50=""),"vazia",IF(AND(OR(ACOMPANHAMENTO="PLE",$R50&lt;&gt;2),$F51=0),"calculada","--&gt;"))</f>
        <v>calculada</v>
      </c>
      <c r="I51" s="197"/>
      <c r="J51" s="198" t="str">
        <f t="shared" ref="J51" ca="1" si="78">IF(AND(H50&lt;&gt;0,ISNUMBER(H50)),"PREENCHA ESTA LINHA --&gt;","")</f>
        <v/>
      </c>
      <c r="K51" s="198"/>
      <c r="L51" s="198"/>
      <c r="M51" s="199"/>
      <c r="N51" s="199"/>
      <c r="O51" s="199"/>
      <c r="P51" s="199"/>
      <c r="Q51" s="199"/>
      <c r="R51" s="199"/>
      <c r="S51" s="200"/>
      <c r="T51" s="201"/>
      <c r="U51" s="587"/>
      <c r="V51" s="587"/>
      <c r="W51" s="587"/>
      <c r="X51" s="587"/>
      <c r="Y51" s="587"/>
      <c r="Z51" s="587"/>
      <c r="AA51" s="587"/>
      <c r="AB51" s="587"/>
      <c r="AC51" s="587"/>
      <c r="AD51" s="587"/>
      <c r="AE51" s="587"/>
      <c r="AF51" s="587"/>
      <c r="AG51" s="534"/>
    </row>
    <row r="52" spans="1:33" ht="12.75" hidden="1" customHeight="1" x14ac:dyDescent="0.2">
      <c r="D52" s="533"/>
      <c r="E52" s="202" cm="1">
        <f t="array" aca="1" ref="E52" ca="1">IF($R50=2,
         IF(AND(ACOMPANHAMENTO="PLE",ISNUMBER($F50)),
                SUMIF((OFFSET(CÁLCULO!$BC$15:$BU$15,$F50,0,OFFSET(ORÇAMENTO!$D$15,CRONO!$F50,0))),CRONO!E$12,OFFSET(CÁLCULO!$AJ$15:$BB$15,$F50,0,OFFSET(ORÇAMENTO!$D$15,CRONO!$F50,0)))
                +IF(AND($F52&lt;&gt;"",$F52&lt;&gt;0),
                        SUMIF(CÁLCULO!$BC$15:$BU$191,CRONO!E$12,CÁLCULO!$AJ$15:$BB$191)/(ORÇAMENTO!$X$15-CÁLCULO.TotalAdmLocal)*CRONO!$F52,
                        0),
                 E51*$S50),
          SUMIF(OFFSET($S52,1,0,$R50-2),($M50+1)&amp;"$",OFFSET(E52,1,0,$R50-2)))</f>
        <v>0</v>
      </c>
      <c r="F52" s="185">
        <f ca="1">IF(OR($R50&lt;&gt;2,AUTOEVENTO&lt;&gt;"manual",$F51&gt;0),"",
        IF(Import.TipoArredondamento="Tradicional",
              SUMIF(OFFSET(CÁLCULO!$M$15,CRONO!$F50,0,OFFSET(ORÇAMENTO!$D$15,CRONO!$F50,0)),1,OFFSET(ORÇAMENTO!$X$15,CRONO!$F50,0,OFFSET(ORÇAMENTO!$D$15,CRONO!$F50,0))),
              0))</f>
        <v>0</v>
      </c>
      <c r="H52" s="736"/>
      <c r="S52" s="204" t="str">
        <f t="shared" ref="S52" ca="1" si="79">M50&amp;"$"</f>
        <v>2$</v>
      </c>
      <c r="T52" s="205"/>
      <c r="U52" s="202" cm="1">
        <f t="array" aca="1" ref="U52" ca="1">IF($R50=2,
         IF(AND(ACOMPANHAMENTO="PLE",ISNUMBER($F50)),
                SUMIF((OFFSET(CÁLCULO!$BC$15:$BU$15,$F50,0,OFFSET(ORÇAMENTO!$D$15,CRONO!$F50,0))),CRONO!U$12,OFFSET(CÁLCULO!$AJ$15:$BB$15,$F50,0,OFFSET(ORÇAMENTO!$D$15,CRONO!$F50,0)))
                +IF(AND($F52&lt;&gt;"",$F52&lt;&gt;0),
                        SUMIF(CÁLCULO!$BC$15:$BU$191,CRONO!U$12,CÁLCULO!$AJ$15:$BB$191)/(ORÇAMENTO!$X$15-CÁLCULO.TotalAdmLocal)*CRONO!$F52,
                        0),
                 U51*$S50),
          SUMIF(OFFSET($S52,1,0,$R50-2),($M50+1)&amp;"$",OFFSET(U52,1,0,$R50-2)))</f>
        <v>0</v>
      </c>
      <c r="V52" s="202" cm="1">
        <f t="array" aca="1" ref="V52" ca="1">IF($R50=2,
         IF(AND(ACOMPANHAMENTO="PLE",ISNUMBER($F50)),
                SUMIF((OFFSET(CÁLCULO!$BC$15:$BU$15,$F50,0,OFFSET(ORÇAMENTO!$D$15,CRONO!$F50,0))),CRONO!V$12,OFFSET(CÁLCULO!$AJ$15:$BB$15,$F50,0,OFFSET(ORÇAMENTO!$D$15,CRONO!$F50,0)))
                +IF(AND($F52&lt;&gt;"",$F52&lt;&gt;0),
                        SUMIF(CÁLCULO!$BC$15:$BU$191,CRONO!V$12,CÁLCULO!$AJ$15:$BB$191)/(ORÇAMENTO!$X$15-CÁLCULO.TotalAdmLocal)*CRONO!$F52,
                        0),
                 V51*$S50),
          SUMIF(OFFSET($S52,1,0,$R50-2),($M50+1)&amp;"$",OFFSET(V52,1,0,$R50-2)))</f>
        <v>0</v>
      </c>
      <c r="W52" s="202" cm="1">
        <f t="array" aca="1" ref="W52" ca="1">IF($R50=2,
         IF(AND(ACOMPANHAMENTO="PLE",ISNUMBER($F50)),
                SUMIF((OFFSET(CÁLCULO!$BC$15:$BU$15,$F50,0,OFFSET(ORÇAMENTO!$D$15,CRONO!$F50,0))),CRONO!W$12,OFFSET(CÁLCULO!$AJ$15:$BB$15,$F50,0,OFFSET(ORÇAMENTO!$D$15,CRONO!$F50,0)))
                +IF(AND($F52&lt;&gt;"",$F52&lt;&gt;0),
                        SUMIF(CÁLCULO!$BC$15:$BU$191,CRONO!W$12,CÁLCULO!$AJ$15:$BB$191)/(ORÇAMENTO!$X$15-CÁLCULO.TotalAdmLocal)*CRONO!$F52,
                        0),
                 W51*$S50),
          SUMIF(OFFSET($S52,1,0,$R50-2),($M50+1)&amp;"$",OFFSET(W52,1,0,$R50-2)))</f>
        <v>0</v>
      </c>
      <c r="X52" s="202" cm="1">
        <f t="array" aca="1" ref="X52" ca="1">IF($R50=2,
         IF(AND(ACOMPANHAMENTO="PLE",ISNUMBER($F50)),
                SUMIF((OFFSET(CÁLCULO!$BC$15:$BU$15,$F50,0,OFFSET(ORÇAMENTO!$D$15,CRONO!$F50,0))),CRONO!X$12,OFFSET(CÁLCULO!$AJ$15:$BB$15,$F50,0,OFFSET(ORÇAMENTO!$D$15,CRONO!$F50,0)))
                +IF(AND($F52&lt;&gt;"",$F52&lt;&gt;0),
                        SUMIF(CÁLCULO!$BC$15:$BU$191,CRONO!X$12,CÁLCULO!$AJ$15:$BB$191)/(ORÇAMENTO!$X$15-CÁLCULO.TotalAdmLocal)*CRONO!$F52,
                        0),
                 X51*$S50),
          SUMIF(OFFSET($S52,1,0,$R50-2),($M50+1)&amp;"$",OFFSET(X52,1,0,$R50-2)))</f>
        <v>0</v>
      </c>
      <c r="Y52" s="202" cm="1">
        <f t="array" aca="1" ref="Y52" ca="1">IF($R50=2,
         IF(AND(ACOMPANHAMENTO="PLE",ISNUMBER($F50)),
                SUMIF((OFFSET(CÁLCULO!$BC$15:$BU$15,$F50,0,OFFSET(ORÇAMENTO!$D$15,CRONO!$F50,0))),CRONO!Y$12,OFFSET(CÁLCULO!$AJ$15:$BB$15,$F50,0,OFFSET(ORÇAMENTO!$D$15,CRONO!$F50,0)))
                +IF(AND($F52&lt;&gt;"",$F52&lt;&gt;0),
                        SUMIF(CÁLCULO!$BC$15:$BU$191,CRONO!Y$12,CÁLCULO!$AJ$15:$BB$191)/(ORÇAMENTO!$X$15-CÁLCULO.TotalAdmLocal)*CRONO!$F52,
                        0),
                 Y51*$S50),
          SUMIF(OFFSET($S52,1,0,$R50-2),($M50+1)&amp;"$",OFFSET(Y52,1,0,$R50-2)))</f>
        <v>281457.40999999997</v>
      </c>
      <c r="Z52" s="202" cm="1">
        <f t="array" aca="1" ref="Z52" ca="1">IF($R50=2,
         IF(AND(ACOMPANHAMENTO="PLE",ISNUMBER($F50)),
                SUMIF((OFFSET(CÁLCULO!$BC$15:$BU$15,$F50,0,OFFSET(ORÇAMENTO!$D$15,CRONO!$F50,0))),CRONO!Z$12,OFFSET(CÁLCULO!$AJ$15:$BB$15,$F50,0,OFFSET(ORÇAMENTO!$D$15,CRONO!$F50,0)))
                +IF(AND($F52&lt;&gt;"",$F52&lt;&gt;0),
                        SUMIF(CÁLCULO!$BC$15:$BU$191,CRONO!Z$12,CÁLCULO!$AJ$15:$BB$191)/(ORÇAMENTO!$X$15-CÁLCULO.TotalAdmLocal)*CRONO!$F52,
                        0),
                 Z51*$S50),
          SUMIF(OFFSET($S52,1,0,$R50-2),($M50+1)&amp;"$",OFFSET(Z52,1,0,$R50-2)))</f>
        <v>0</v>
      </c>
      <c r="AA52" s="202" cm="1">
        <f t="array" aca="1" ref="AA52" ca="1">IF($R50=2,
         IF(AND(ACOMPANHAMENTO="PLE",ISNUMBER($F50)),
                SUMIF((OFFSET(CÁLCULO!$BC$15:$BU$15,$F50,0,OFFSET(ORÇAMENTO!$D$15,CRONO!$F50,0))),CRONO!AA$12,OFFSET(CÁLCULO!$AJ$15:$BB$15,$F50,0,OFFSET(ORÇAMENTO!$D$15,CRONO!$F50,0)))
                +IF(AND($F52&lt;&gt;"",$F52&lt;&gt;0),
                        SUMIF(CÁLCULO!$BC$15:$BU$191,CRONO!AA$12,CÁLCULO!$AJ$15:$BB$191)/(ORÇAMENTO!$X$15-CÁLCULO.TotalAdmLocal)*CRONO!$F52,
                        0),
                 AA51*$S50),
          SUMIF(OFFSET($S52,1,0,$R50-2),($M50+1)&amp;"$",OFFSET(AA52,1,0,$R50-2)))</f>
        <v>0</v>
      </c>
      <c r="AB52" s="202" cm="1">
        <f t="array" aca="1" ref="AB52" ca="1">IF($R50=2,
         IF(AND(ACOMPANHAMENTO="PLE",ISNUMBER($F50)),
                SUMIF((OFFSET(CÁLCULO!$BC$15:$BU$15,$F50,0,OFFSET(ORÇAMENTO!$D$15,CRONO!$F50,0))),CRONO!AB$12,OFFSET(CÁLCULO!$AJ$15:$BB$15,$F50,0,OFFSET(ORÇAMENTO!$D$15,CRONO!$F50,0)))
                +IF(AND($F52&lt;&gt;"",$F52&lt;&gt;0),
                        SUMIF(CÁLCULO!$BC$15:$BU$191,CRONO!AB$12,CÁLCULO!$AJ$15:$BB$191)/(ORÇAMENTO!$X$15-CÁLCULO.TotalAdmLocal)*CRONO!$F52,
                        0),
                 AB51*$S50),
          SUMIF(OFFSET($S52,1,0,$R50-2),($M50+1)&amp;"$",OFFSET(AB52,1,0,$R50-2)))</f>
        <v>0</v>
      </c>
      <c r="AC52" s="202" cm="1">
        <f t="array" aca="1" ref="AC52" ca="1">IF($R50=2,
         IF(AND(ACOMPANHAMENTO="PLE",ISNUMBER($F50)),
                SUMIF((OFFSET(CÁLCULO!$BC$15:$BU$15,$F50,0,OFFSET(ORÇAMENTO!$D$15,CRONO!$F50,0))),CRONO!AC$12,OFFSET(CÁLCULO!$AJ$15:$BB$15,$F50,0,OFFSET(ORÇAMENTO!$D$15,CRONO!$F50,0)))
                +IF(AND($F52&lt;&gt;"",$F52&lt;&gt;0),
                        SUMIF(CÁLCULO!$BC$15:$BU$191,CRONO!AC$12,CÁLCULO!$AJ$15:$BB$191)/(ORÇAMENTO!$X$15-CÁLCULO.TotalAdmLocal)*CRONO!$F52,
                        0),
                 AC51*$S50),
          SUMIF(OFFSET($S52,1,0,$R50-2),($M50+1)&amp;"$",OFFSET(AC52,1,0,$R50-2)))</f>
        <v>0</v>
      </c>
      <c r="AD52" s="202" cm="1">
        <f t="array" aca="1" ref="AD52" ca="1">IF($R50=2,
         IF(AND(ACOMPANHAMENTO="PLE",ISNUMBER($F50)),
                SUMIF((OFFSET(CÁLCULO!$BC$15:$BU$15,$F50,0,OFFSET(ORÇAMENTO!$D$15,CRONO!$F50,0))),CRONO!AD$12,OFFSET(CÁLCULO!$AJ$15:$BB$15,$F50,0,OFFSET(ORÇAMENTO!$D$15,CRONO!$F50,0)))
                +IF(AND($F52&lt;&gt;"",$F52&lt;&gt;0),
                        SUMIF(CÁLCULO!$BC$15:$BU$191,CRONO!AD$12,CÁLCULO!$AJ$15:$BB$191)/(ORÇAMENTO!$X$15-CÁLCULO.TotalAdmLocal)*CRONO!$F52,
                        0),
                 AD51*$S50),
          SUMIF(OFFSET($S52,1,0,$R50-2),($M50+1)&amp;"$",OFFSET(AD52,1,0,$R50-2)))</f>
        <v>0</v>
      </c>
      <c r="AE52" s="202" cm="1">
        <f t="array" aca="1" ref="AE52" ca="1">IF($R50=2,
         IF(AND(ACOMPANHAMENTO="PLE",ISNUMBER($F50)),
                SUMIF((OFFSET(CÁLCULO!$BC$15:$BU$15,$F50,0,OFFSET(ORÇAMENTO!$D$15,CRONO!$F50,0))),CRONO!AE$12,OFFSET(CÁLCULO!$AJ$15:$BB$15,$F50,0,OFFSET(ORÇAMENTO!$D$15,CRONO!$F50,0)))
                +IF(AND($F52&lt;&gt;"",$F52&lt;&gt;0),
                        SUMIF(CÁLCULO!$BC$15:$BU$191,CRONO!AE$12,CÁLCULO!$AJ$15:$BB$191)/(ORÇAMENTO!$X$15-CÁLCULO.TotalAdmLocal)*CRONO!$F52,
                        0),
                 AE51*$S50),
          SUMIF(OFFSET($S52,1,0,$R50-2),($M50+1)&amp;"$",OFFSET(AE52,1,0,$R50-2)))</f>
        <v>0</v>
      </c>
      <c r="AF52" s="202" cm="1">
        <f t="array" aca="1" ref="AF52" ca="1">IF($R50=2,
         IF(AND(ACOMPANHAMENTO="PLE",ISNUMBER($F50)),
                SUMIF((OFFSET(CÁLCULO!$BC$15:$BU$15,$F50,0,OFFSET(ORÇAMENTO!$D$15,CRONO!$F50,0))),CRONO!AF$12,OFFSET(CÁLCULO!$AJ$15:$BB$15,$F50,0,OFFSET(ORÇAMENTO!$D$15,CRONO!$F50,0)))
                +IF(AND($F52&lt;&gt;"",$F52&lt;&gt;0),
                        SUMIF(CÁLCULO!$BC$15:$BU$191,CRONO!AF$12,CÁLCULO!$AJ$15:$BB$191)/(ORÇAMENTO!$X$15-CÁLCULO.TotalAdmLocal)*CRONO!$F52,
                        0),
                 AF51*$S50),
          SUMIF(OFFSET($S52,1,0,$R50-2),($M50+1)&amp;"$",OFFSET(AF52,1,0,$R50-2)))</f>
        <v>0</v>
      </c>
      <c r="AG52" s="534"/>
    </row>
    <row r="53" spans="1:33" x14ac:dyDescent="0.2">
      <c r="A53" s="186" t="str">
        <f t="shared" ref="A53" ca="1" si="80">IF($M53&gt;1,_xlfn.CONCAT($I53," ",$J53),"")</f>
        <v>1.13. MOVIMENTAÇÃO DE TERRA - Estação Elevatória de Água Tratada</v>
      </c>
      <c r="B53" s="185">
        <f t="shared" ref="B53" ca="1" si="81">OFFSET(B53,-3,0)+1</f>
        <v>14</v>
      </c>
      <c r="C53" s="185">
        <f ca="1">IF($R53&lt;&gt;2,0,IF($S53=0,1,IF(F54&gt;0,OFFSET(QCI!$M$13,SUBSTITUTE(F54,".",""),0),OFFSET(ORÇAMENTO!$AA$15,CRONO!$F53,0))/$S53))</f>
        <v>0</v>
      </c>
      <c r="D53" s="185">
        <f ca="1">IF($R53&lt;&gt;2,0,IF($S53=0,1,IF(F54&gt;0,OFFSET(QCI!$N$13,SUBSTITUTE(F54,".",""),0),OFFSET(ORÇAMENTO!$AB$15,CRONO!$F53,0))/$S53))</f>
        <v>0</v>
      </c>
      <c r="E53" s="188" cm="1">
        <f t="array" aca="1" ref="E53" ca="1">IF(AND($R53=2,ACOMPANHAMENTO="BM"),ROUND(E54,4),E55/$S53)</f>
        <v>0</v>
      </c>
      <c r="F53" s="185" cm="1">
        <f t="array" aca="1" ref="F53" ca="1">IF(B53&lt;=ORÇAMENTO.MáximoListaCrono,MATCH(B53,ORÇAMENTO.ListaCrono,0),NA())</f>
        <v>83</v>
      </c>
      <c r="G53" s="185" t="str">
        <f t="shared" ref="G53" ca="1" si="82">IF(AND($F54&lt;&gt;-1,$S53&gt;0),"F","")</f>
        <v>F</v>
      </c>
      <c r="H53" s="189" t="str" cm="1">
        <f t="array" aca="1" ref="H53" ca="1">IF(OR(S53=0,S53=""),"Linha",IF(AND(OR(ACOMPANHAMENTO="PLE",$R53&lt;&gt;2),$F54=0),"Linha",ROUND(1-SUM(U53:AG53),4)))</f>
        <v>Linha</v>
      </c>
      <c r="I53" s="190" t="str">
        <f ca="1">IF($F54=0,OFFSET(ORÇAMENTO!O$15,$F53,0),IF($F54&lt;&gt;-1,OFFSET(QCI!$D$13,$F54,0),""))</f>
        <v>1.13.</v>
      </c>
      <c r="J53" s="191" t="str">
        <f ca="1">IF($F54=0,OFFSET(ORÇAMENTO!R$15,$F53,0),IF($F54&lt;&gt;-1,OFFSET(QCI!$G$13,$F54,0),""))</f>
        <v>MOVIMENTAÇÃO DE TERRA - Estação Elevatória de Água Tratada</v>
      </c>
      <c r="K53" s="191"/>
      <c r="L53" s="191"/>
      <c r="M53" s="192">
        <f ca="1">IF($F54=0,OFFSET(ORÇAMENTO!C$15,$F53,0),1)</f>
        <v>2</v>
      </c>
      <c r="N53" s="193">
        <f ca="1">IF($F54=-1,0,IF(N$13&lt;=$M53,IF(ISERROR(MATCH(N$13,OFFSET($M53,1,0,ROW($M$92)-ROW($M53)-1),0)),ROW($M$92)-ROW($M53)-1,MATCH(N$13,OFFSET($M53,1,0,ROW($M$92)-ROW($M53)-1),0)-1),0))</f>
        <v>35</v>
      </c>
      <c r="O53" s="193">
        <f ca="1">IF($F54=-1,0,IF(O$13&lt;=$M53,IF(ISERROR(MATCH(O$13,OFFSET($M53,1,0,ROW($M$92)-ROW($M53)-1),0)),ROW($M$92)-ROW($M53)-1,MATCH(O$13,OFFSET($M53,1,0,ROW($M$92)-ROW($M53)-1),0)-1),0))</f>
        <v>2</v>
      </c>
      <c r="P53" s="193">
        <f ca="1">IF($F54=-1,0,IF(P$13&lt;=$M53,IF(ISERROR(MATCH(P$13,OFFSET($M53,1,0,ROW($M$92)-ROW($M53)-1),0)),ROW($M$92)-ROW($M53)-1,MATCH(P$13,OFFSET($M53,1,0,ROW($M$92)-ROW($M53)-1),0)-1),0))</f>
        <v>0</v>
      </c>
      <c r="Q53" s="193">
        <f ca="1">IF($F54=-1,0,IF(Q$13&lt;=$M53,IF(ISERROR(MATCH(Q$13,OFFSET($M53,1,0,ROW($M$92)-ROW($M53)-1),0)),ROW($M$92)-ROW($M53)-1,MATCH(Q$13,OFFSET($M53,1,0,ROW($M$92)-ROW($M53)-1),0)-1),0))</f>
        <v>0</v>
      </c>
      <c r="R53" s="193">
        <f t="shared" ref="R53" ca="1" si="83">MIN(OFFSET(M53,0,1,,M53))</f>
        <v>2</v>
      </c>
      <c r="S53" s="194">
        <f ca="1">IF($F54=0,OFFSET(ORÇAMENTO!X$15,$F53,0),IF($F54&lt;&gt;-1,OFFSET(QCI!$O$13,$F54,0),""))</f>
        <v>47354.25</v>
      </c>
      <c r="T53" s="195" t="s">
        <v>785</v>
      </c>
      <c r="U53" s="188" cm="1">
        <f t="array" aca="1" ref="U53" ca="1">IF(AND($R53=2,ACOMPANHAMENTO="BM"),ROUND(U54,4),U55/$S53)</f>
        <v>0</v>
      </c>
      <c r="V53" s="188" cm="1">
        <f t="array" aca="1" ref="V53" ca="1">IF(AND($R53=2,ACOMPANHAMENTO="BM"),ROUND(V54,4),V55/$S53)</f>
        <v>0</v>
      </c>
      <c r="W53" s="188" cm="1">
        <f t="array" aca="1" ref="W53" ca="1">IF(AND($R53=2,ACOMPANHAMENTO="BM"),ROUND(W54,4),W55/$S53)</f>
        <v>0</v>
      </c>
      <c r="X53" s="188" cm="1">
        <f t="array" aca="1" ref="X53" ca="1">IF(AND($R53=2,ACOMPANHAMENTO="BM"),ROUND(X54,4),X55/$S53)</f>
        <v>0</v>
      </c>
      <c r="Y53" s="188" cm="1">
        <f t="array" aca="1" ref="Y53" ca="1">IF(AND($R53=2,ACOMPANHAMENTO="BM"),ROUND(Y54,4),Y55/$S53)</f>
        <v>0</v>
      </c>
      <c r="Z53" s="188" cm="1">
        <f t="array" aca="1" ref="Z53" ca="1">IF(AND($R53=2,ACOMPANHAMENTO="BM"),ROUND(Z54,4),Z55/$S53)</f>
        <v>2.2399467840795707E-2</v>
      </c>
      <c r="AA53" s="188" cm="1">
        <f t="array" aca="1" ref="AA53" ca="1">IF(AND($R53=2,ACOMPANHAMENTO="BM"),ROUND(AA54,4),AA55/$S53)</f>
        <v>0.97760053215920428</v>
      </c>
      <c r="AB53" s="188" cm="1">
        <f t="array" aca="1" ref="AB53" ca="1">IF(AND($R53=2,ACOMPANHAMENTO="BM"),ROUND(AB54,4),AB55/$S53)</f>
        <v>0</v>
      </c>
      <c r="AC53" s="188" cm="1">
        <f t="array" aca="1" ref="AC53" ca="1">IF(AND($R53=2,ACOMPANHAMENTO="BM"),ROUND(AC54,4),AC55/$S53)</f>
        <v>0</v>
      </c>
      <c r="AD53" s="188" cm="1">
        <f t="array" aca="1" ref="AD53" ca="1">IF(AND($R53=2,ACOMPANHAMENTO="BM"),ROUND(AD54,4),AD55/$S53)</f>
        <v>0</v>
      </c>
      <c r="AE53" s="188" cm="1">
        <f t="array" aca="1" ref="AE53" ca="1">IF(AND($R53=2,ACOMPANHAMENTO="BM"),ROUND(AE54,4),AE55/$S53)</f>
        <v>0</v>
      </c>
      <c r="AF53" s="188" cm="1">
        <f t="array" aca="1" ref="AF53" ca="1">IF(AND($R53=2,ACOMPANHAMENTO="BM"),ROUND(AF54,4),AF55/$S53)</f>
        <v>0</v>
      </c>
      <c r="AG53" s="534"/>
    </row>
    <row r="54" spans="1:33" ht="12.75" hidden="1" customHeight="1" x14ac:dyDescent="0.2">
      <c r="E54" s="587"/>
      <c r="F54" s="185">
        <f ca="1">IF(ISERROR(F53),IF(1+COUNTIF($M$13:OFFSET(M53,-1,0),1)&lt;=MAX(QCI!$D$13:$D$24),1+COUNTIF($M$13:OFFSET(M53,-1,0),1),-1),0)</f>
        <v>0</v>
      </c>
      <c r="G54" s="185" t="str" cm="1">
        <f t="array" aca="1" ref="G54" ca="1">IF(ACOMPANHAMENTO="BM",OFFSET(G54,-1,0),"")</f>
        <v/>
      </c>
      <c r="H54" s="196" t="str" cm="1">
        <f t="array" aca="1" ref="H54" ca="1">IF(OR(S53=0,S53=""),"vazia",IF(AND(OR(ACOMPANHAMENTO="PLE",$R53&lt;&gt;2),$F54=0),"calculada","--&gt;"))</f>
        <v>calculada</v>
      </c>
      <c r="I54" s="197"/>
      <c r="J54" s="198" t="str">
        <f t="shared" ref="J54" ca="1" si="84">IF(AND(H53&lt;&gt;0,ISNUMBER(H53)),"PREENCHA ESTA LINHA --&gt;","")</f>
        <v/>
      </c>
      <c r="K54" s="198"/>
      <c r="L54" s="198"/>
      <c r="M54" s="199"/>
      <c r="N54" s="199"/>
      <c r="O54" s="199"/>
      <c r="P54" s="199"/>
      <c r="Q54" s="199"/>
      <c r="R54" s="199"/>
      <c r="S54" s="200"/>
      <c r="T54" s="201"/>
      <c r="U54" s="587"/>
      <c r="V54" s="587"/>
      <c r="W54" s="587"/>
      <c r="X54" s="587"/>
      <c r="Y54" s="587"/>
      <c r="Z54" s="587"/>
      <c r="AA54" s="587"/>
      <c r="AB54" s="587"/>
      <c r="AC54" s="587"/>
      <c r="AD54" s="587"/>
      <c r="AE54" s="587"/>
      <c r="AF54" s="587"/>
      <c r="AG54" s="534"/>
    </row>
    <row r="55" spans="1:33" ht="12.75" hidden="1" customHeight="1" x14ac:dyDescent="0.2">
      <c r="D55" s="533"/>
      <c r="E55" s="202" cm="1">
        <f t="array" aca="1" ref="E55" ca="1">IF($R53=2,
         IF(AND(ACOMPANHAMENTO="PLE",ISNUMBER($F53)),
                SUMIF((OFFSET(CÁLCULO!$BC$15:$BU$15,$F53,0,OFFSET(ORÇAMENTO!$D$15,CRONO!$F53,0))),CRONO!E$12,OFFSET(CÁLCULO!$AJ$15:$BB$15,$F53,0,OFFSET(ORÇAMENTO!$D$15,CRONO!$F53,0)))
                +IF(AND($F55&lt;&gt;"",$F55&lt;&gt;0),
                        SUMIF(CÁLCULO!$BC$15:$BU$191,CRONO!E$12,CÁLCULO!$AJ$15:$BB$191)/(ORÇAMENTO!$X$15-CÁLCULO.TotalAdmLocal)*CRONO!$F55,
                        0),
                 E54*$S53),
          SUMIF(OFFSET($S55,1,0,$R53-2),($M53+1)&amp;"$",OFFSET(E55,1,0,$R53-2)))</f>
        <v>0</v>
      </c>
      <c r="F55" s="185">
        <f ca="1">IF(OR($R53&lt;&gt;2,AUTOEVENTO&lt;&gt;"manual",$F54&gt;0),"",
        IF(Import.TipoArredondamento="Tradicional",
              SUMIF(OFFSET(CÁLCULO!$M$15,CRONO!$F53,0,OFFSET(ORÇAMENTO!$D$15,CRONO!$F53,0)),1,OFFSET(ORÇAMENTO!$X$15,CRONO!$F53,0,OFFSET(ORÇAMENTO!$D$15,CRONO!$F53,0))),
              0))</f>
        <v>0</v>
      </c>
      <c r="H55" s="736"/>
      <c r="S55" s="204" t="str">
        <f t="shared" ref="S55" ca="1" si="85">M53&amp;"$"</f>
        <v>2$</v>
      </c>
      <c r="T55" s="205"/>
      <c r="U55" s="202" cm="1">
        <f t="array" aca="1" ref="U55" ca="1">IF($R53=2,
         IF(AND(ACOMPANHAMENTO="PLE",ISNUMBER($F53)),
                SUMIF((OFFSET(CÁLCULO!$BC$15:$BU$15,$F53,0,OFFSET(ORÇAMENTO!$D$15,CRONO!$F53,0))),CRONO!U$12,OFFSET(CÁLCULO!$AJ$15:$BB$15,$F53,0,OFFSET(ORÇAMENTO!$D$15,CRONO!$F53,0)))
                +IF(AND($F55&lt;&gt;"",$F55&lt;&gt;0),
                        SUMIF(CÁLCULO!$BC$15:$BU$191,CRONO!U$12,CÁLCULO!$AJ$15:$BB$191)/(ORÇAMENTO!$X$15-CÁLCULO.TotalAdmLocal)*CRONO!$F55,
                        0),
                 U54*$S53),
          SUMIF(OFFSET($S55,1,0,$R53-2),($M53+1)&amp;"$",OFFSET(U55,1,0,$R53-2)))</f>
        <v>0</v>
      </c>
      <c r="V55" s="202" cm="1">
        <f t="array" aca="1" ref="V55" ca="1">IF($R53=2,
         IF(AND(ACOMPANHAMENTO="PLE",ISNUMBER($F53)),
                SUMIF((OFFSET(CÁLCULO!$BC$15:$BU$15,$F53,0,OFFSET(ORÇAMENTO!$D$15,CRONO!$F53,0))),CRONO!V$12,OFFSET(CÁLCULO!$AJ$15:$BB$15,$F53,0,OFFSET(ORÇAMENTO!$D$15,CRONO!$F53,0)))
                +IF(AND($F55&lt;&gt;"",$F55&lt;&gt;0),
                        SUMIF(CÁLCULO!$BC$15:$BU$191,CRONO!V$12,CÁLCULO!$AJ$15:$BB$191)/(ORÇAMENTO!$X$15-CÁLCULO.TotalAdmLocal)*CRONO!$F55,
                        0),
                 V54*$S53),
          SUMIF(OFFSET($S55,1,0,$R53-2),($M53+1)&amp;"$",OFFSET(V55,1,0,$R53-2)))</f>
        <v>0</v>
      </c>
      <c r="W55" s="202" cm="1">
        <f t="array" aca="1" ref="W55" ca="1">IF($R53=2,
         IF(AND(ACOMPANHAMENTO="PLE",ISNUMBER($F53)),
                SUMIF((OFFSET(CÁLCULO!$BC$15:$BU$15,$F53,0,OFFSET(ORÇAMENTO!$D$15,CRONO!$F53,0))),CRONO!W$12,OFFSET(CÁLCULO!$AJ$15:$BB$15,$F53,0,OFFSET(ORÇAMENTO!$D$15,CRONO!$F53,0)))
                +IF(AND($F55&lt;&gt;"",$F55&lt;&gt;0),
                        SUMIF(CÁLCULO!$BC$15:$BU$191,CRONO!W$12,CÁLCULO!$AJ$15:$BB$191)/(ORÇAMENTO!$X$15-CÁLCULO.TotalAdmLocal)*CRONO!$F55,
                        0),
                 W54*$S53),
          SUMIF(OFFSET($S55,1,0,$R53-2),($M53+1)&amp;"$",OFFSET(W55,1,0,$R53-2)))</f>
        <v>0</v>
      </c>
      <c r="X55" s="202" cm="1">
        <f t="array" aca="1" ref="X55" ca="1">IF($R53=2,
         IF(AND(ACOMPANHAMENTO="PLE",ISNUMBER($F53)),
                SUMIF((OFFSET(CÁLCULO!$BC$15:$BU$15,$F53,0,OFFSET(ORÇAMENTO!$D$15,CRONO!$F53,0))),CRONO!X$12,OFFSET(CÁLCULO!$AJ$15:$BB$15,$F53,0,OFFSET(ORÇAMENTO!$D$15,CRONO!$F53,0)))
                +IF(AND($F55&lt;&gt;"",$F55&lt;&gt;0),
                        SUMIF(CÁLCULO!$BC$15:$BU$191,CRONO!X$12,CÁLCULO!$AJ$15:$BB$191)/(ORÇAMENTO!$X$15-CÁLCULO.TotalAdmLocal)*CRONO!$F55,
                        0),
                 X54*$S53),
          SUMIF(OFFSET($S55,1,0,$R53-2),($M53+1)&amp;"$",OFFSET(X55,1,0,$R53-2)))</f>
        <v>0</v>
      </c>
      <c r="Y55" s="202" cm="1">
        <f t="array" aca="1" ref="Y55" ca="1">IF($R53=2,
         IF(AND(ACOMPANHAMENTO="PLE",ISNUMBER($F53)),
                SUMIF((OFFSET(CÁLCULO!$BC$15:$BU$15,$F53,0,OFFSET(ORÇAMENTO!$D$15,CRONO!$F53,0))),CRONO!Y$12,OFFSET(CÁLCULO!$AJ$15:$BB$15,$F53,0,OFFSET(ORÇAMENTO!$D$15,CRONO!$F53,0)))
                +IF(AND($F55&lt;&gt;"",$F55&lt;&gt;0),
                        SUMIF(CÁLCULO!$BC$15:$BU$191,CRONO!Y$12,CÁLCULO!$AJ$15:$BB$191)/(ORÇAMENTO!$X$15-CÁLCULO.TotalAdmLocal)*CRONO!$F55,
                        0),
                 Y54*$S53),
          SUMIF(OFFSET($S55,1,0,$R53-2),($M53+1)&amp;"$",OFFSET(Y55,1,0,$R53-2)))</f>
        <v>0</v>
      </c>
      <c r="Z55" s="202" cm="1">
        <f t="array" aca="1" ref="Z55" ca="1">IF($R53=2,
         IF(AND(ACOMPANHAMENTO="PLE",ISNUMBER($F53)),
                SUMIF((OFFSET(CÁLCULO!$BC$15:$BU$15,$F53,0,OFFSET(ORÇAMENTO!$D$15,CRONO!$F53,0))),CRONO!Z$12,OFFSET(CÁLCULO!$AJ$15:$BB$15,$F53,0,OFFSET(ORÇAMENTO!$D$15,CRONO!$F53,0)))
                +IF(AND($F55&lt;&gt;"",$F55&lt;&gt;0),
                        SUMIF(CÁLCULO!$BC$15:$BU$191,CRONO!Z$12,CÁLCULO!$AJ$15:$BB$191)/(ORÇAMENTO!$X$15-CÁLCULO.TotalAdmLocal)*CRONO!$F55,
                        0),
                 Z54*$S53),
          SUMIF(OFFSET($S55,1,0,$R53-2),($M53+1)&amp;"$",OFFSET(Z55,1,0,$R53-2)))</f>
        <v>1060.71</v>
      </c>
      <c r="AA55" s="202" cm="1">
        <f t="array" aca="1" ref="AA55" ca="1">IF($R53=2,
         IF(AND(ACOMPANHAMENTO="PLE",ISNUMBER($F53)),
                SUMIF((OFFSET(CÁLCULO!$BC$15:$BU$15,$F53,0,OFFSET(ORÇAMENTO!$D$15,CRONO!$F53,0))),CRONO!AA$12,OFFSET(CÁLCULO!$AJ$15:$BB$15,$F53,0,OFFSET(ORÇAMENTO!$D$15,CRONO!$F53,0)))
                +IF(AND($F55&lt;&gt;"",$F55&lt;&gt;0),
                        SUMIF(CÁLCULO!$BC$15:$BU$191,CRONO!AA$12,CÁLCULO!$AJ$15:$BB$191)/(ORÇAMENTO!$X$15-CÁLCULO.TotalAdmLocal)*CRONO!$F55,
                        0),
                 AA54*$S53),
          SUMIF(OFFSET($S55,1,0,$R53-2),($M53+1)&amp;"$",OFFSET(AA55,1,0,$R53-2)))</f>
        <v>46293.54</v>
      </c>
      <c r="AB55" s="202" cm="1">
        <f t="array" aca="1" ref="AB55" ca="1">IF($R53=2,
         IF(AND(ACOMPANHAMENTO="PLE",ISNUMBER($F53)),
                SUMIF((OFFSET(CÁLCULO!$BC$15:$BU$15,$F53,0,OFFSET(ORÇAMENTO!$D$15,CRONO!$F53,0))),CRONO!AB$12,OFFSET(CÁLCULO!$AJ$15:$BB$15,$F53,0,OFFSET(ORÇAMENTO!$D$15,CRONO!$F53,0)))
                +IF(AND($F55&lt;&gt;"",$F55&lt;&gt;0),
                        SUMIF(CÁLCULO!$BC$15:$BU$191,CRONO!AB$12,CÁLCULO!$AJ$15:$BB$191)/(ORÇAMENTO!$X$15-CÁLCULO.TotalAdmLocal)*CRONO!$F55,
                        0),
                 AB54*$S53),
          SUMIF(OFFSET($S55,1,0,$R53-2),($M53+1)&amp;"$",OFFSET(AB55,1,0,$R53-2)))</f>
        <v>0</v>
      </c>
      <c r="AC55" s="202" cm="1">
        <f t="array" aca="1" ref="AC55" ca="1">IF($R53=2,
         IF(AND(ACOMPANHAMENTO="PLE",ISNUMBER($F53)),
                SUMIF((OFFSET(CÁLCULO!$BC$15:$BU$15,$F53,0,OFFSET(ORÇAMENTO!$D$15,CRONO!$F53,0))),CRONO!AC$12,OFFSET(CÁLCULO!$AJ$15:$BB$15,$F53,0,OFFSET(ORÇAMENTO!$D$15,CRONO!$F53,0)))
                +IF(AND($F55&lt;&gt;"",$F55&lt;&gt;0),
                        SUMIF(CÁLCULO!$BC$15:$BU$191,CRONO!AC$12,CÁLCULO!$AJ$15:$BB$191)/(ORÇAMENTO!$X$15-CÁLCULO.TotalAdmLocal)*CRONO!$F55,
                        0),
                 AC54*$S53),
          SUMIF(OFFSET($S55,1,0,$R53-2),($M53+1)&amp;"$",OFFSET(AC55,1,0,$R53-2)))</f>
        <v>0</v>
      </c>
      <c r="AD55" s="202" cm="1">
        <f t="array" aca="1" ref="AD55" ca="1">IF($R53=2,
         IF(AND(ACOMPANHAMENTO="PLE",ISNUMBER($F53)),
                SUMIF((OFFSET(CÁLCULO!$BC$15:$BU$15,$F53,0,OFFSET(ORÇAMENTO!$D$15,CRONO!$F53,0))),CRONO!AD$12,OFFSET(CÁLCULO!$AJ$15:$BB$15,$F53,0,OFFSET(ORÇAMENTO!$D$15,CRONO!$F53,0)))
                +IF(AND($F55&lt;&gt;"",$F55&lt;&gt;0),
                        SUMIF(CÁLCULO!$BC$15:$BU$191,CRONO!AD$12,CÁLCULO!$AJ$15:$BB$191)/(ORÇAMENTO!$X$15-CÁLCULO.TotalAdmLocal)*CRONO!$F55,
                        0),
                 AD54*$S53),
          SUMIF(OFFSET($S55,1,0,$R53-2),($M53+1)&amp;"$",OFFSET(AD55,1,0,$R53-2)))</f>
        <v>0</v>
      </c>
      <c r="AE55" s="202" cm="1">
        <f t="array" aca="1" ref="AE55" ca="1">IF($R53=2,
         IF(AND(ACOMPANHAMENTO="PLE",ISNUMBER($F53)),
                SUMIF((OFFSET(CÁLCULO!$BC$15:$BU$15,$F53,0,OFFSET(ORÇAMENTO!$D$15,CRONO!$F53,0))),CRONO!AE$12,OFFSET(CÁLCULO!$AJ$15:$BB$15,$F53,0,OFFSET(ORÇAMENTO!$D$15,CRONO!$F53,0)))
                +IF(AND($F55&lt;&gt;"",$F55&lt;&gt;0),
                        SUMIF(CÁLCULO!$BC$15:$BU$191,CRONO!AE$12,CÁLCULO!$AJ$15:$BB$191)/(ORÇAMENTO!$X$15-CÁLCULO.TotalAdmLocal)*CRONO!$F55,
                        0),
                 AE54*$S53),
          SUMIF(OFFSET($S55,1,0,$R53-2),($M53+1)&amp;"$",OFFSET(AE55,1,0,$R53-2)))</f>
        <v>0</v>
      </c>
      <c r="AF55" s="202" cm="1">
        <f t="array" aca="1" ref="AF55" ca="1">IF($R53=2,
         IF(AND(ACOMPANHAMENTO="PLE",ISNUMBER($F53)),
                SUMIF((OFFSET(CÁLCULO!$BC$15:$BU$15,$F53,0,OFFSET(ORÇAMENTO!$D$15,CRONO!$F53,0))),CRONO!AF$12,OFFSET(CÁLCULO!$AJ$15:$BB$15,$F53,0,OFFSET(ORÇAMENTO!$D$15,CRONO!$F53,0)))
                +IF(AND($F55&lt;&gt;"",$F55&lt;&gt;0),
                        SUMIF(CÁLCULO!$BC$15:$BU$191,CRONO!AF$12,CÁLCULO!$AJ$15:$BB$191)/(ORÇAMENTO!$X$15-CÁLCULO.TotalAdmLocal)*CRONO!$F55,
                        0),
                 AF54*$S53),
          SUMIF(OFFSET($S55,1,0,$R53-2),($M53+1)&amp;"$",OFFSET(AF55,1,0,$R53-2)))</f>
        <v>0</v>
      </c>
      <c r="AG55" s="534"/>
    </row>
    <row r="56" spans="1:33" x14ac:dyDescent="0.2">
      <c r="A56" s="186" t="str">
        <f t="shared" ref="A56" ca="1" si="86">IF($M56&gt;1,_xlfn.CONCAT($I56," ",$J56),"")</f>
        <v>1.14. ESTRUTURA DE CONCRETO - Estação Elevatória de Água Tratada</v>
      </c>
      <c r="B56" s="185">
        <f t="shared" ref="B56" ca="1" si="87">OFFSET(B56,-3,0)+1</f>
        <v>15</v>
      </c>
      <c r="C56" s="185">
        <f ca="1">IF($R56&lt;&gt;2,0,IF($S56=0,1,IF(F57&gt;0,OFFSET(QCI!$M$13,SUBSTITUTE(F57,".",""),0),OFFSET(ORÇAMENTO!$AA$15,CRONO!$F56,0))/$S56))</f>
        <v>0</v>
      </c>
      <c r="D56" s="185">
        <f ca="1">IF($R56&lt;&gt;2,0,IF($S56=0,1,IF(F57&gt;0,OFFSET(QCI!$N$13,SUBSTITUTE(F57,".",""),0),OFFSET(ORÇAMENTO!$AB$15,CRONO!$F56,0))/$S56))</f>
        <v>0</v>
      </c>
      <c r="E56" s="188" cm="1">
        <f t="array" aca="1" ref="E56" ca="1">IF(AND($R56=2,ACOMPANHAMENTO="BM"),ROUND(E57,4),E58/$S56)</f>
        <v>0</v>
      </c>
      <c r="F56" s="185" cm="1">
        <f t="array" aca="1" ref="F56" ca="1">IF(B56&lt;=ORÇAMENTO.MáximoListaCrono,MATCH(B56,ORÇAMENTO.ListaCrono,0),NA())</f>
        <v>90</v>
      </c>
      <c r="G56" s="185" t="str">
        <f t="shared" ref="G56" ca="1" si="88">IF(AND($F57&lt;&gt;-1,$S56&gt;0),"F","")</f>
        <v>F</v>
      </c>
      <c r="H56" s="189" t="str" cm="1">
        <f t="array" aca="1" ref="H56" ca="1">IF(OR(S56=0,S56=""),"Linha",IF(AND(OR(ACOMPANHAMENTO="PLE",$R56&lt;&gt;2),$F57=0),"Linha",ROUND(1-SUM(U56:AG56),4)))</f>
        <v>Linha</v>
      </c>
      <c r="I56" s="190" t="str">
        <f ca="1">IF($F57=0,OFFSET(ORÇAMENTO!O$15,$F56,0),IF($F57&lt;&gt;-1,OFFSET(QCI!$D$13,$F57,0),""))</f>
        <v>1.14.</v>
      </c>
      <c r="J56" s="191" t="str">
        <f ca="1">IF($F57=0,OFFSET(ORÇAMENTO!R$15,$F56,0),IF($F57&lt;&gt;-1,OFFSET(QCI!$G$13,$F57,0),""))</f>
        <v>ESTRUTURA DE CONCRETO - Estação Elevatória de Água Tratada</v>
      </c>
      <c r="K56" s="191"/>
      <c r="L56" s="191"/>
      <c r="M56" s="192">
        <f ca="1">IF($F57=0,OFFSET(ORÇAMENTO!C$15,$F56,0),1)</f>
        <v>2</v>
      </c>
      <c r="N56" s="193">
        <f ca="1">IF($F57=-1,0,IF(N$13&lt;=$M56,IF(ISERROR(MATCH(N$13,OFFSET($M56,1,0,ROW($M$92)-ROW($M56)-1),0)),ROW($M$92)-ROW($M56)-1,MATCH(N$13,OFFSET($M56,1,0,ROW($M$92)-ROW($M56)-1),0)-1),0))</f>
        <v>32</v>
      </c>
      <c r="O56" s="193">
        <f ca="1">IF($F57=-1,0,IF(O$13&lt;=$M56,IF(ISERROR(MATCH(O$13,OFFSET($M56,1,0,ROW($M$92)-ROW($M56)-1),0)),ROW($M$92)-ROW($M56)-1,MATCH(O$13,OFFSET($M56,1,0,ROW($M$92)-ROW($M56)-1),0)-1),0))</f>
        <v>2</v>
      </c>
      <c r="P56" s="193">
        <f ca="1">IF($F57=-1,0,IF(P$13&lt;=$M56,IF(ISERROR(MATCH(P$13,OFFSET($M56,1,0,ROW($M$92)-ROW($M56)-1),0)),ROW($M$92)-ROW($M56)-1,MATCH(P$13,OFFSET($M56,1,0,ROW($M$92)-ROW($M56)-1),0)-1),0))</f>
        <v>0</v>
      </c>
      <c r="Q56" s="193">
        <f ca="1">IF($F57=-1,0,IF(Q$13&lt;=$M56,IF(ISERROR(MATCH(Q$13,OFFSET($M56,1,0,ROW($M$92)-ROW($M56)-1),0)),ROW($M$92)-ROW($M56)-1,MATCH(Q$13,OFFSET($M56,1,0,ROW($M$92)-ROW($M56)-1),0)-1),0))</f>
        <v>0</v>
      </c>
      <c r="R56" s="193">
        <f t="shared" ref="R56" ca="1" si="89">MIN(OFFSET(M56,0,1,,M56))</f>
        <v>2</v>
      </c>
      <c r="S56" s="194">
        <f ca="1">IF($F57=0,OFFSET(ORÇAMENTO!X$15,$F56,0),IF($F57&lt;&gt;-1,OFFSET(QCI!$O$13,$F57,0),""))</f>
        <v>21144.84</v>
      </c>
      <c r="T56" s="195" t="s">
        <v>785</v>
      </c>
      <c r="U56" s="188" cm="1">
        <f t="array" aca="1" ref="U56" ca="1">IF(AND($R56=2,ACOMPANHAMENTO="BM"),ROUND(U57,4),U58/$S56)</f>
        <v>0</v>
      </c>
      <c r="V56" s="188" cm="1">
        <f t="array" aca="1" ref="V56" ca="1">IF(AND($R56=2,ACOMPANHAMENTO="BM"),ROUND(V57,4),V58/$S56)</f>
        <v>0</v>
      </c>
      <c r="W56" s="188" cm="1">
        <f t="array" aca="1" ref="W56" ca="1">IF(AND($R56=2,ACOMPANHAMENTO="BM"),ROUND(W57,4),W58/$S56)</f>
        <v>0</v>
      </c>
      <c r="X56" s="188" cm="1">
        <f t="array" aca="1" ref="X56" ca="1">IF(AND($R56=2,ACOMPANHAMENTO="BM"),ROUND(X57,4),X58/$S56)</f>
        <v>0</v>
      </c>
      <c r="Y56" s="188" cm="1">
        <f t="array" aca="1" ref="Y56" ca="1">IF(AND($R56=2,ACOMPANHAMENTO="BM"),ROUND(Y57,4),Y58/$S56)</f>
        <v>0</v>
      </c>
      <c r="Z56" s="188" cm="1">
        <f t="array" aca="1" ref="Z56" ca="1">IF(AND($R56=2,ACOMPANHAMENTO="BM"),ROUND(Z57,4),Z58/$S56)</f>
        <v>0</v>
      </c>
      <c r="AA56" s="188" cm="1">
        <f t="array" aca="1" ref="AA56" ca="1">IF(AND($R56=2,ACOMPANHAMENTO="BM"),ROUND(AA57,4),AA58/$S56)</f>
        <v>0</v>
      </c>
      <c r="AB56" s="188" cm="1">
        <f t="array" aca="1" ref="AB56" ca="1">IF(AND($R56=2,ACOMPANHAMENTO="BM"),ROUND(AB57,4),AB58/$S56)</f>
        <v>1</v>
      </c>
      <c r="AC56" s="188" cm="1">
        <f t="array" aca="1" ref="AC56" ca="1">IF(AND($R56=2,ACOMPANHAMENTO="BM"),ROUND(AC57,4),AC58/$S56)</f>
        <v>0</v>
      </c>
      <c r="AD56" s="188" cm="1">
        <f t="array" aca="1" ref="AD56" ca="1">IF(AND($R56=2,ACOMPANHAMENTO="BM"),ROUND(AD57,4),AD58/$S56)</f>
        <v>0</v>
      </c>
      <c r="AE56" s="188" cm="1">
        <f t="array" aca="1" ref="AE56" ca="1">IF(AND($R56=2,ACOMPANHAMENTO="BM"),ROUND(AE57,4),AE58/$S56)</f>
        <v>0</v>
      </c>
      <c r="AF56" s="188" cm="1">
        <f t="array" aca="1" ref="AF56" ca="1">IF(AND($R56=2,ACOMPANHAMENTO="BM"),ROUND(AF57,4),AF58/$S56)</f>
        <v>0</v>
      </c>
      <c r="AG56" s="534"/>
    </row>
    <row r="57" spans="1:33" ht="12.75" hidden="1" customHeight="1" x14ac:dyDescent="0.2">
      <c r="E57" s="587"/>
      <c r="F57" s="185">
        <f ca="1">IF(ISERROR(F56),IF(1+COUNTIF($M$13:OFFSET(M56,-1,0),1)&lt;=MAX(QCI!$D$13:$D$24),1+COUNTIF($M$13:OFFSET(M56,-1,0),1),-1),0)</f>
        <v>0</v>
      </c>
      <c r="G57" s="185" t="str" cm="1">
        <f t="array" aca="1" ref="G57" ca="1">IF(ACOMPANHAMENTO="BM",OFFSET(G57,-1,0),"")</f>
        <v/>
      </c>
      <c r="H57" s="196" t="str" cm="1">
        <f t="array" aca="1" ref="H57" ca="1">IF(OR(S56=0,S56=""),"vazia",IF(AND(OR(ACOMPANHAMENTO="PLE",$R56&lt;&gt;2),$F57=0),"calculada","--&gt;"))</f>
        <v>calculada</v>
      </c>
      <c r="I57" s="197"/>
      <c r="J57" s="198" t="str">
        <f t="shared" ref="J57" ca="1" si="90">IF(AND(H56&lt;&gt;0,ISNUMBER(H56)),"PREENCHA ESTA LINHA --&gt;","")</f>
        <v/>
      </c>
      <c r="K57" s="198"/>
      <c r="L57" s="198"/>
      <c r="M57" s="199"/>
      <c r="N57" s="199"/>
      <c r="O57" s="199"/>
      <c r="P57" s="199"/>
      <c r="Q57" s="199"/>
      <c r="R57" s="199"/>
      <c r="S57" s="200"/>
      <c r="T57" s="201"/>
      <c r="U57" s="587"/>
      <c r="V57" s="587"/>
      <c r="W57" s="587"/>
      <c r="X57" s="587"/>
      <c r="Y57" s="587"/>
      <c r="Z57" s="587"/>
      <c r="AA57" s="587"/>
      <c r="AB57" s="587"/>
      <c r="AC57" s="587"/>
      <c r="AD57" s="587"/>
      <c r="AE57" s="587"/>
      <c r="AF57" s="587"/>
      <c r="AG57" s="534"/>
    </row>
    <row r="58" spans="1:33" ht="12.75" hidden="1" customHeight="1" x14ac:dyDescent="0.2">
      <c r="D58" s="533"/>
      <c r="E58" s="202" cm="1">
        <f t="array" aca="1" ref="E58" ca="1">IF($R56=2,
         IF(AND(ACOMPANHAMENTO="PLE",ISNUMBER($F56)),
                SUMIF((OFFSET(CÁLCULO!$BC$15:$BU$15,$F56,0,OFFSET(ORÇAMENTO!$D$15,CRONO!$F56,0))),CRONO!E$12,OFFSET(CÁLCULO!$AJ$15:$BB$15,$F56,0,OFFSET(ORÇAMENTO!$D$15,CRONO!$F56,0)))
                +IF(AND($F58&lt;&gt;"",$F58&lt;&gt;0),
                        SUMIF(CÁLCULO!$BC$15:$BU$191,CRONO!E$12,CÁLCULO!$AJ$15:$BB$191)/(ORÇAMENTO!$X$15-CÁLCULO.TotalAdmLocal)*CRONO!$F58,
                        0),
                 E57*$S56),
          SUMIF(OFFSET($S58,1,0,$R56-2),($M56+1)&amp;"$",OFFSET(E58,1,0,$R56-2)))</f>
        <v>0</v>
      </c>
      <c r="F58" s="185">
        <f ca="1">IF(OR($R56&lt;&gt;2,AUTOEVENTO&lt;&gt;"manual",$F57&gt;0),"",
        IF(Import.TipoArredondamento="Tradicional",
              SUMIF(OFFSET(CÁLCULO!$M$15,CRONO!$F56,0,OFFSET(ORÇAMENTO!$D$15,CRONO!$F56,0)),1,OFFSET(ORÇAMENTO!$X$15,CRONO!$F56,0,OFFSET(ORÇAMENTO!$D$15,CRONO!$F56,0))),
              0))</f>
        <v>0</v>
      </c>
      <c r="H58" s="736"/>
      <c r="S58" s="204" t="str">
        <f t="shared" ref="S58" ca="1" si="91">M56&amp;"$"</f>
        <v>2$</v>
      </c>
      <c r="T58" s="205"/>
      <c r="U58" s="202" cm="1">
        <f t="array" aca="1" ref="U58" ca="1">IF($R56=2,
         IF(AND(ACOMPANHAMENTO="PLE",ISNUMBER($F56)),
                SUMIF((OFFSET(CÁLCULO!$BC$15:$BU$15,$F56,0,OFFSET(ORÇAMENTO!$D$15,CRONO!$F56,0))),CRONO!U$12,OFFSET(CÁLCULO!$AJ$15:$BB$15,$F56,0,OFFSET(ORÇAMENTO!$D$15,CRONO!$F56,0)))
                +IF(AND($F58&lt;&gt;"",$F58&lt;&gt;0),
                        SUMIF(CÁLCULO!$BC$15:$BU$191,CRONO!U$12,CÁLCULO!$AJ$15:$BB$191)/(ORÇAMENTO!$X$15-CÁLCULO.TotalAdmLocal)*CRONO!$F58,
                        0),
                 U57*$S56),
          SUMIF(OFFSET($S58,1,0,$R56-2),($M56+1)&amp;"$",OFFSET(U58,1,0,$R56-2)))</f>
        <v>0</v>
      </c>
      <c r="V58" s="202" cm="1">
        <f t="array" aca="1" ref="V58" ca="1">IF($R56=2,
         IF(AND(ACOMPANHAMENTO="PLE",ISNUMBER($F56)),
                SUMIF((OFFSET(CÁLCULO!$BC$15:$BU$15,$F56,0,OFFSET(ORÇAMENTO!$D$15,CRONO!$F56,0))),CRONO!V$12,OFFSET(CÁLCULO!$AJ$15:$BB$15,$F56,0,OFFSET(ORÇAMENTO!$D$15,CRONO!$F56,0)))
                +IF(AND($F58&lt;&gt;"",$F58&lt;&gt;0),
                        SUMIF(CÁLCULO!$BC$15:$BU$191,CRONO!V$12,CÁLCULO!$AJ$15:$BB$191)/(ORÇAMENTO!$X$15-CÁLCULO.TotalAdmLocal)*CRONO!$F58,
                        0),
                 V57*$S56),
          SUMIF(OFFSET($S58,1,0,$R56-2),($M56+1)&amp;"$",OFFSET(V58,1,0,$R56-2)))</f>
        <v>0</v>
      </c>
      <c r="W58" s="202" cm="1">
        <f t="array" aca="1" ref="W58" ca="1">IF($R56=2,
         IF(AND(ACOMPANHAMENTO="PLE",ISNUMBER($F56)),
                SUMIF((OFFSET(CÁLCULO!$BC$15:$BU$15,$F56,0,OFFSET(ORÇAMENTO!$D$15,CRONO!$F56,0))),CRONO!W$12,OFFSET(CÁLCULO!$AJ$15:$BB$15,$F56,0,OFFSET(ORÇAMENTO!$D$15,CRONO!$F56,0)))
                +IF(AND($F58&lt;&gt;"",$F58&lt;&gt;0),
                        SUMIF(CÁLCULO!$BC$15:$BU$191,CRONO!W$12,CÁLCULO!$AJ$15:$BB$191)/(ORÇAMENTO!$X$15-CÁLCULO.TotalAdmLocal)*CRONO!$F58,
                        0),
                 W57*$S56),
          SUMIF(OFFSET($S58,1,0,$R56-2),($M56+1)&amp;"$",OFFSET(W58,1,0,$R56-2)))</f>
        <v>0</v>
      </c>
      <c r="X58" s="202" cm="1">
        <f t="array" aca="1" ref="X58" ca="1">IF($R56=2,
         IF(AND(ACOMPANHAMENTO="PLE",ISNUMBER($F56)),
                SUMIF((OFFSET(CÁLCULO!$BC$15:$BU$15,$F56,0,OFFSET(ORÇAMENTO!$D$15,CRONO!$F56,0))),CRONO!X$12,OFFSET(CÁLCULO!$AJ$15:$BB$15,$F56,0,OFFSET(ORÇAMENTO!$D$15,CRONO!$F56,0)))
                +IF(AND($F58&lt;&gt;"",$F58&lt;&gt;0),
                        SUMIF(CÁLCULO!$BC$15:$BU$191,CRONO!X$12,CÁLCULO!$AJ$15:$BB$191)/(ORÇAMENTO!$X$15-CÁLCULO.TotalAdmLocal)*CRONO!$F58,
                        0),
                 X57*$S56),
          SUMIF(OFFSET($S58,1,0,$R56-2),($M56+1)&amp;"$",OFFSET(X58,1,0,$R56-2)))</f>
        <v>0</v>
      </c>
      <c r="Y58" s="202" cm="1">
        <f t="array" aca="1" ref="Y58" ca="1">IF($R56=2,
         IF(AND(ACOMPANHAMENTO="PLE",ISNUMBER($F56)),
                SUMIF((OFFSET(CÁLCULO!$BC$15:$BU$15,$F56,0,OFFSET(ORÇAMENTO!$D$15,CRONO!$F56,0))),CRONO!Y$12,OFFSET(CÁLCULO!$AJ$15:$BB$15,$F56,0,OFFSET(ORÇAMENTO!$D$15,CRONO!$F56,0)))
                +IF(AND($F58&lt;&gt;"",$F58&lt;&gt;0),
                        SUMIF(CÁLCULO!$BC$15:$BU$191,CRONO!Y$12,CÁLCULO!$AJ$15:$BB$191)/(ORÇAMENTO!$X$15-CÁLCULO.TotalAdmLocal)*CRONO!$F58,
                        0),
                 Y57*$S56),
          SUMIF(OFFSET($S58,1,0,$R56-2),($M56+1)&amp;"$",OFFSET(Y58,1,0,$R56-2)))</f>
        <v>0</v>
      </c>
      <c r="Z58" s="202" cm="1">
        <f t="array" aca="1" ref="Z58" ca="1">IF($R56=2,
         IF(AND(ACOMPANHAMENTO="PLE",ISNUMBER($F56)),
                SUMIF((OFFSET(CÁLCULO!$BC$15:$BU$15,$F56,0,OFFSET(ORÇAMENTO!$D$15,CRONO!$F56,0))),CRONO!Z$12,OFFSET(CÁLCULO!$AJ$15:$BB$15,$F56,0,OFFSET(ORÇAMENTO!$D$15,CRONO!$F56,0)))
                +IF(AND($F58&lt;&gt;"",$F58&lt;&gt;0),
                        SUMIF(CÁLCULO!$BC$15:$BU$191,CRONO!Z$12,CÁLCULO!$AJ$15:$BB$191)/(ORÇAMENTO!$X$15-CÁLCULO.TotalAdmLocal)*CRONO!$F58,
                        0),
                 Z57*$S56),
          SUMIF(OFFSET($S58,1,0,$R56-2),($M56+1)&amp;"$",OFFSET(Z58,1,0,$R56-2)))</f>
        <v>0</v>
      </c>
      <c r="AA58" s="202" cm="1">
        <f t="array" aca="1" ref="AA58" ca="1">IF($R56=2,
         IF(AND(ACOMPANHAMENTO="PLE",ISNUMBER($F56)),
                SUMIF((OFFSET(CÁLCULO!$BC$15:$BU$15,$F56,0,OFFSET(ORÇAMENTO!$D$15,CRONO!$F56,0))),CRONO!AA$12,OFFSET(CÁLCULO!$AJ$15:$BB$15,$F56,0,OFFSET(ORÇAMENTO!$D$15,CRONO!$F56,0)))
                +IF(AND($F58&lt;&gt;"",$F58&lt;&gt;0),
                        SUMIF(CÁLCULO!$BC$15:$BU$191,CRONO!AA$12,CÁLCULO!$AJ$15:$BB$191)/(ORÇAMENTO!$X$15-CÁLCULO.TotalAdmLocal)*CRONO!$F58,
                        0),
                 AA57*$S56),
          SUMIF(OFFSET($S58,1,0,$R56-2),($M56+1)&amp;"$",OFFSET(AA58,1,0,$R56-2)))</f>
        <v>0</v>
      </c>
      <c r="AB58" s="202" cm="1">
        <f t="array" aca="1" ref="AB58" ca="1">IF($R56=2,
         IF(AND(ACOMPANHAMENTO="PLE",ISNUMBER($F56)),
                SUMIF((OFFSET(CÁLCULO!$BC$15:$BU$15,$F56,0,OFFSET(ORÇAMENTO!$D$15,CRONO!$F56,0))),CRONO!AB$12,OFFSET(CÁLCULO!$AJ$15:$BB$15,$F56,0,OFFSET(ORÇAMENTO!$D$15,CRONO!$F56,0)))
                +IF(AND($F58&lt;&gt;"",$F58&lt;&gt;0),
                        SUMIF(CÁLCULO!$BC$15:$BU$191,CRONO!AB$12,CÁLCULO!$AJ$15:$BB$191)/(ORÇAMENTO!$X$15-CÁLCULO.TotalAdmLocal)*CRONO!$F58,
                        0),
                 AB57*$S56),
          SUMIF(OFFSET($S58,1,0,$R56-2),($M56+1)&amp;"$",OFFSET(AB58,1,0,$R56-2)))</f>
        <v>21144.84</v>
      </c>
      <c r="AC58" s="202" cm="1">
        <f t="array" aca="1" ref="AC58" ca="1">IF($R56=2,
         IF(AND(ACOMPANHAMENTO="PLE",ISNUMBER($F56)),
                SUMIF((OFFSET(CÁLCULO!$BC$15:$BU$15,$F56,0,OFFSET(ORÇAMENTO!$D$15,CRONO!$F56,0))),CRONO!AC$12,OFFSET(CÁLCULO!$AJ$15:$BB$15,$F56,0,OFFSET(ORÇAMENTO!$D$15,CRONO!$F56,0)))
                +IF(AND($F58&lt;&gt;"",$F58&lt;&gt;0),
                        SUMIF(CÁLCULO!$BC$15:$BU$191,CRONO!AC$12,CÁLCULO!$AJ$15:$BB$191)/(ORÇAMENTO!$X$15-CÁLCULO.TotalAdmLocal)*CRONO!$F58,
                        0),
                 AC57*$S56),
          SUMIF(OFFSET($S58,1,0,$R56-2),($M56+1)&amp;"$",OFFSET(AC58,1,0,$R56-2)))</f>
        <v>0</v>
      </c>
      <c r="AD58" s="202" cm="1">
        <f t="array" aca="1" ref="AD58" ca="1">IF($R56=2,
         IF(AND(ACOMPANHAMENTO="PLE",ISNUMBER($F56)),
                SUMIF((OFFSET(CÁLCULO!$BC$15:$BU$15,$F56,0,OFFSET(ORÇAMENTO!$D$15,CRONO!$F56,0))),CRONO!AD$12,OFFSET(CÁLCULO!$AJ$15:$BB$15,$F56,0,OFFSET(ORÇAMENTO!$D$15,CRONO!$F56,0)))
                +IF(AND($F58&lt;&gt;"",$F58&lt;&gt;0),
                        SUMIF(CÁLCULO!$BC$15:$BU$191,CRONO!AD$12,CÁLCULO!$AJ$15:$BB$191)/(ORÇAMENTO!$X$15-CÁLCULO.TotalAdmLocal)*CRONO!$F58,
                        0),
                 AD57*$S56),
          SUMIF(OFFSET($S58,1,0,$R56-2),($M56+1)&amp;"$",OFFSET(AD58,1,0,$R56-2)))</f>
        <v>0</v>
      </c>
      <c r="AE58" s="202" cm="1">
        <f t="array" aca="1" ref="AE58" ca="1">IF($R56=2,
         IF(AND(ACOMPANHAMENTO="PLE",ISNUMBER($F56)),
                SUMIF((OFFSET(CÁLCULO!$BC$15:$BU$15,$F56,0,OFFSET(ORÇAMENTO!$D$15,CRONO!$F56,0))),CRONO!AE$12,OFFSET(CÁLCULO!$AJ$15:$BB$15,$F56,0,OFFSET(ORÇAMENTO!$D$15,CRONO!$F56,0)))
                +IF(AND($F58&lt;&gt;"",$F58&lt;&gt;0),
                        SUMIF(CÁLCULO!$BC$15:$BU$191,CRONO!AE$12,CÁLCULO!$AJ$15:$BB$191)/(ORÇAMENTO!$X$15-CÁLCULO.TotalAdmLocal)*CRONO!$F58,
                        0),
                 AE57*$S56),
          SUMIF(OFFSET($S58,1,0,$R56-2),($M56+1)&amp;"$",OFFSET(AE58,1,0,$R56-2)))</f>
        <v>0</v>
      </c>
      <c r="AF58" s="202" cm="1">
        <f t="array" aca="1" ref="AF58" ca="1">IF($R56=2,
         IF(AND(ACOMPANHAMENTO="PLE",ISNUMBER($F56)),
                SUMIF((OFFSET(CÁLCULO!$BC$15:$BU$15,$F56,0,OFFSET(ORÇAMENTO!$D$15,CRONO!$F56,0))),CRONO!AF$12,OFFSET(CÁLCULO!$AJ$15:$BB$15,$F56,0,OFFSET(ORÇAMENTO!$D$15,CRONO!$F56,0)))
                +IF(AND($F58&lt;&gt;"",$F58&lt;&gt;0),
                        SUMIF(CÁLCULO!$BC$15:$BU$191,CRONO!AF$12,CÁLCULO!$AJ$15:$BB$191)/(ORÇAMENTO!$X$15-CÁLCULO.TotalAdmLocal)*CRONO!$F58,
                        0),
                 AF57*$S56),
          SUMIF(OFFSET($S58,1,0,$R56-2),($M56+1)&amp;"$",OFFSET(AF58,1,0,$R56-2)))</f>
        <v>0</v>
      </c>
      <c r="AG58" s="534"/>
    </row>
    <row r="59" spans="1:33" x14ac:dyDescent="0.2">
      <c r="A59" s="186" t="str">
        <f t="shared" ref="A59" ca="1" si="92">IF($M59&gt;1,_xlfn.CONCAT($I59," ",$J59),"")</f>
        <v>1.15. ALVENARIAIS E DIVISÕES - Estação Elevatória de Água Tratada</v>
      </c>
      <c r="B59" s="185">
        <f t="shared" ref="B59" ca="1" si="93">OFFSET(B59,-3,0)+1</f>
        <v>16</v>
      </c>
      <c r="C59" s="185">
        <f ca="1">IF($R59&lt;&gt;2,0,IF($S59=0,1,IF(F60&gt;0,OFFSET(QCI!$M$13,SUBSTITUTE(F60,".",""),0),OFFSET(ORÇAMENTO!$AA$15,CRONO!$F59,0))/$S59))</f>
        <v>0</v>
      </c>
      <c r="D59" s="185">
        <f ca="1">IF($R59&lt;&gt;2,0,IF($S59=0,1,IF(F60&gt;0,OFFSET(QCI!$N$13,SUBSTITUTE(F60,".",""),0),OFFSET(ORÇAMENTO!$AB$15,CRONO!$F59,0))/$S59))</f>
        <v>0</v>
      </c>
      <c r="E59" s="188" cm="1">
        <f t="array" aca="1" ref="E59" ca="1">IF(AND($R59=2,ACOMPANHAMENTO="BM"),ROUND(E60,4),E61/$S59)</f>
        <v>0</v>
      </c>
      <c r="F59" s="185" cm="1">
        <f t="array" aca="1" ref="F59" ca="1">IF(B59&lt;=ORÇAMENTO.MáximoListaCrono,MATCH(B59,ORÇAMENTO.ListaCrono,0),NA())</f>
        <v>94</v>
      </c>
      <c r="G59" s="185" t="str">
        <f t="shared" ref="G59" ca="1" si="94">IF(AND($F60&lt;&gt;-1,$S59&gt;0),"F","")</f>
        <v>F</v>
      </c>
      <c r="H59" s="189" t="str" cm="1">
        <f t="array" aca="1" ref="H59" ca="1">IF(OR(S59=0,S59=""),"Linha",IF(AND(OR(ACOMPANHAMENTO="PLE",$R59&lt;&gt;2),$F60=0),"Linha",ROUND(1-SUM(U59:AG59),4)))</f>
        <v>Linha</v>
      </c>
      <c r="I59" s="190" t="str">
        <f ca="1">IF($F60=0,OFFSET(ORÇAMENTO!O$15,$F59,0),IF($F60&lt;&gt;-1,OFFSET(QCI!$D$13,$F60,0),""))</f>
        <v>1.15.</v>
      </c>
      <c r="J59" s="191" t="str">
        <f ca="1">IF($F60=0,OFFSET(ORÇAMENTO!R$15,$F59,0),IF($F60&lt;&gt;-1,OFFSET(QCI!$G$13,$F60,0),""))</f>
        <v>ALVENARIAIS E DIVISÕES - Estação Elevatória de Água Tratada</v>
      </c>
      <c r="K59" s="191"/>
      <c r="L59" s="191"/>
      <c r="M59" s="192">
        <f ca="1">IF($F60=0,OFFSET(ORÇAMENTO!C$15,$F59,0),1)</f>
        <v>2</v>
      </c>
      <c r="N59" s="193">
        <f ca="1">IF($F60=-1,0,IF(N$13&lt;=$M59,IF(ISERROR(MATCH(N$13,OFFSET($M59,1,0,ROW($M$92)-ROW($M59)-1),0)),ROW($M$92)-ROW($M59)-1,MATCH(N$13,OFFSET($M59,1,0,ROW($M$92)-ROW($M59)-1),0)-1),0))</f>
        <v>29</v>
      </c>
      <c r="O59" s="193">
        <f ca="1">IF($F60=-1,0,IF(O$13&lt;=$M59,IF(ISERROR(MATCH(O$13,OFFSET($M59,1,0,ROW($M$92)-ROW($M59)-1),0)),ROW($M$92)-ROW($M59)-1,MATCH(O$13,OFFSET($M59,1,0,ROW($M$92)-ROW($M59)-1),0)-1),0))</f>
        <v>2</v>
      </c>
      <c r="P59" s="193">
        <f ca="1">IF($F60=-1,0,IF(P$13&lt;=$M59,IF(ISERROR(MATCH(P$13,OFFSET($M59,1,0,ROW($M$92)-ROW($M59)-1),0)),ROW($M$92)-ROW($M59)-1,MATCH(P$13,OFFSET($M59,1,0,ROW($M$92)-ROW($M59)-1),0)-1),0))</f>
        <v>0</v>
      </c>
      <c r="Q59" s="193">
        <f ca="1">IF($F60=-1,0,IF(Q$13&lt;=$M59,IF(ISERROR(MATCH(Q$13,OFFSET($M59,1,0,ROW($M$92)-ROW($M59)-1),0)),ROW($M$92)-ROW($M59)-1,MATCH(Q$13,OFFSET($M59,1,0,ROW($M$92)-ROW($M59)-1),0)-1),0))</f>
        <v>0</v>
      </c>
      <c r="R59" s="193">
        <f t="shared" ref="R59" ca="1" si="95">MIN(OFFSET(M59,0,1,,M59))</f>
        <v>2</v>
      </c>
      <c r="S59" s="194">
        <f ca="1">IF($F60=0,OFFSET(ORÇAMENTO!X$15,$F59,0),IF($F60&lt;&gt;-1,OFFSET(QCI!$O$13,$F60,0),""))</f>
        <v>30663.74</v>
      </c>
      <c r="T59" s="195" t="s">
        <v>785</v>
      </c>
      <c r="U59" s="188" cm="1">
        <f t="array" aca="1" ref="U59" ca="1">IF(AND($R59=2,ACOMPANHAMENTO="BM"),ROUND(U60,4),U61/$S59)</f>
        <v>0</v>
      </c>
      <c r="V59" s="188" cm="1">
        <f t="array" aca="1" ref="V59" ca="1">IF(AND($R59=2,ACOMPANHAMENTO="BM"),ROUND(V60,4),V61/$S59)</f>
        <v>0</v>
      </c>
      <c r="W59" s="188" cm="1">
        <f t="array" aca="1" ref="W59" ca="1">IF(AND($R59=2,ACOMPANHAMENTO="BM"),ROUND(W60,4),W61/$S59)</f>
        <v>0</v>
      </c>
      <c r="X59" s="188" cm="1">
        <f t="array" aca="1" ref="X59" ca="1">IF(AND($R59=2,ACOMPANHAMENTO="BM"),ROUND(X60,4),X61/$S59)</f>
        <v>0</v>
      </c>
      <c r="Y59" s="188" cm="1">
        <f t="array" aca="1" ref="Y59" ca="1">IF(AND($R59=2,ACOMPANHAMENTO="BM"),ROUND(Y60,4),Y61/$S59)</f>
        <v>0</v>
      </c>
      <c r="Z59" s="188" cm="1">
        <f t="array" aca="1" ref="Z59" ca="1">IF(AND($R59=2,ACOMPANHAMENTO="BM"),ROUND(Z60,4),Z61/$S59)</f>
        <v>0</v>
      </c>
      <c r="AA59" s="188" cm="1">
        <f t="array" aca="1" ref="AA59" ca="1">IF(AND($R59=2,ACOMPANHAMENTO="BM"),ROUND(AA60,4),AA61/$S59)</f>
        <v>0</v>
      </c>
      <c r="AB59" s="188" cm="1">
        <f t="array" aca="1" ref="AB59" ca="1">IF(AND($R59=2,ACOMPANHAMENTO="BM"),ROUND(AB60,4),AB61/$S59)</f>
        <v>0</v>
      </c>
      <c r="AC59" s="188" cm="1">
        <f t="array" aca="1" ref="AC59" ca="1">IF(AND($R59=2,ACOMPANHAMENTO="BM"),ROUND(AC60,4),AC61/$S59)</f>
        <v>1</v>
      </c>
      <c r="AD59" s="188" cm="1">
        <f t="array" aca="1" ref="AD59" ca="1">IF(AND($R59=2,ACOMPANHAMENTO="BM"),ROUND(AD60,4),AD61/$S59)</f>
        <v>0</v>
      </c>
      <c r="AE59" s="188" cm="1">
        <f t="array" aca="1" ref="AE59" ca="1">IF(AND($R59=2,ACOMPANHAMENTO="BM"),ROUND(AE60,4),AE61/$S59)</f>
        <v>0</v>
      </c>
      <c r="AF59" s="188" cm="1">
        <f t="array" aca="1" ref="AF59" ca="1">IF(AND($R59=2,ACOMPANHAMENTO="BM"),ROUND(AF60,4),AF61/$S59)</f>
        <v>0</v>
      </c>
      <c r="AG59" s="534"/>
    </row>
    <row r="60" spans="1:33" ht="12.75" hidden="1" customHeight="1" x14ac:dyDescent="0.2">
      <c r="E60" s="587"/>
      <c r="F60" s="185">
        <f ca="1">IF(ISERROR(F59),IF(1+COUNTIF($M$13:OFFSET(M59,-1,0),1)&lt;=MAX(QCI!$D$13:$D$24),1+COUNTIF($M$13:OFFSET(M59,-1,0),1),-1),0)</f>
        <v>0</v>
      </c>
      <c r="G60" s="185" t="str" cm="1">
        <f t="array" aca="1" ref="G60" ca="1">IF(ACOMPANHAMENTO="BM",OFFSET(G60,-1,0),"")</f>
        <v/>
      </c>
      <c r="H60" s="196" t="str" cm="1">
        <f t="array" aca="1" ref="H60" ca="1">IF(OR(S59=0,S59=""),"vazia",IF(AND(OR(ACOMPANHAMENTO="PLE",$R59&lt;&gt;2),$F60=0),"calculada","--&gt;"))</f>
        <v>calculada</v>
      </c>
      <c r="I60" s="197"/>
      <c r="J60" s="198" t="str">
        <f t="shared" ref="J60" ca="1" si="96">IF(AND(H59&lt;&gt;0,ISNUMBER(H59)),"PREENCHA ESTA LINHA --&gt;","")</f>
        <v/>
      </c>
      <c r="K60" s="198"/>
      <c r="L60" s="198"/>
      <c r="M60" s="199"/>
      <c r="N60" s="199"/>
      <c r="O60" s="199"/>
      <c r="P60" s="199"/>
      <c r="Q60" s="199"/>
      <c r="R60" s="199"/>
      <c r="S60" s="200"/>
      <c r="T60" s="201"/>
      <c r="U60" s="587"/>
      <c r="V60" s="587"/>
      <c r="W60" s="587"/>
      <c r="X60" s="587"/>
      <c r="Y60" s="587"/>
      <c r="Z60" s="587"/>
      <c r="AA60" s="587"/>
      <c r="AB60" s="587"/>
      <c r="AC60" s="587"/>
      <c r="AD60" s="587"/>
      <c r="AE60" s="587"/>
      <c r="AF60" s="587"/>
      <c r="AG60" s="534"/>
    </row>
    <row r="61" spans="1:33" ht="12.75" hidden="1" customHeight="1" x14ac:dyDescent="0.2">
      <c r="D61" s="533"/>
      <c r="E61" s="202" cm="1">
        <f t="array" aca="1" ref="E61" ca="1">IF($R59=2,
         IF(AND(ACOMPANHAMENTO="PLE",ISNUMBER($F59)),
                SUMIF((OFFSET(CÁLCULO!$BC$15:$BU$15,$F59,0,OFFSET(ORÇAMENTO!$D$15,CRONO!$F59,0))),CRONO!E$12,OFFSET(CÁLCULO!$AJ$15:$BB$15,$F59,0,OFFSET(ORÇAMENTO!$D$15,CRONO!$F59,0)))
                +IF(AND($F61&lt;&gt;"",$F61&lt;&gt;0),
                        SUMIF(CÁLCULO!$BC$15:$BU$191,CRONO!E$12,CÁLCULO!$AJ$15:$BB$191)/(ORÇAMENTO!$X$15-CÁLCULO.TotalAdmLocal)*CRONO!$F61,
                        0),
                 E60*$S59),
          SUMIF(OFFSET($S61,1,0,$R59-2),($M59+1)&amp;"$",OFFSET(E61,1,0,$R59-2)))</f>
        <v>0</v>
      </c>
      <c r="F61" s="185">
        <f ca="1">IF(OR($R59&lt;&gt;2,AUTOEVENTO&lt;&gt;"manual",$F60&gt;0),"",
        IF(Import.TipoArredondamento="Tradicional",
              SUMIF(OFFSET(CÁLCULO!$M$15,CRONO!$F59,0,OFFSET(ORÇAMENTO!$D$15,CRONO!$F59,0)),1,OFFSET(ORÇAMENTO!$X$15,CRONO!$F59,0,OFFSET(ORÇAMENTO!$D$15,CRONO!$F59,0))),
              0))</f>
        <v>0</v>
      </c>
      <c r="H61" s="736"/>
      <c r="S61" s="204" t="str">
        <f t="shared" ref="S61" ca="1" si="97">M59&amp;"$"</f>
        <v>2$</v>
      </c>
      <c r="T61" s="205"/>
      <c r="U61" s="202" cm="1">
        <f t="array" aca="1" ref="U61" ca="1">IF($R59=2,
         IF(AND(ACOMPANHAMENTO="PLE",ISNUMBER($F59)),
                SUMIF((OFFSET(CÁLCULO!$BC$15:$BU$15,$F59,0,OFFSET(ORÇAMENTO!$D$15,CRONO!$F59,0))),CRONO!U$12,OFFSET(CÁLCULO!$AJ$15:$BB$15,$F59,0,OFFSET(ORÇAMENTO!$D$15,CRONO!$F59,0)))
                +IF(AND($F61&lt;&gt;"",$F61&lt;&gt;0),
                        SUMIF(CÁLCULO!$BC$15:$BU$191,CRONO!U$12,CÁLCULO!$AJ$15:$BB$191)/(ORÇAMENTO!$X$15-CÁLCULO.TotalAdmLocal)*CRONO!$F61,
                        0),
                 U60*$S59),
          SUMIF(OFFSET($S61,1,0,$R59-2),($M59+1)&amp;"$",OFFSET(U61,1,0,$R59-2)))</f>
        <v>0</v>
      </c>
      <c r="V61" s="202" cm="1">
        <f t="array" aca="1" ref="V61" ca="1">IF($R59=2,
         IF(AND(ACOMPANHAMENTO="PLE",ISNUMBER($F59)),
                SUMIF((OFFSET(CÁLCULO!$BC$15:$BU$15,$F59,0,OFFSET(ORÇAMENTO!$D$15,CRONO!$F59,0))),CRONO!V$12,OFFSET(CÁLCULO!$AJ$15:$BB$15,$F59,0,OFFSET(ORÇAMENTO!$D$15,CRONO!$F59,0)))
                +IF(AND($F61&lt;&gt;"",$F61&lt;&gt;0),
                        SUMIF(CÁLCULO!$BC$15:$BU$191,CRONO!V$12,CÁLCULO!$AJ$15:$BB$191)/(ORÇAMENTO!$X$15-CÁLCULO.TotalAdmLocal)*CRONO!$F61,
                        0),
                 V60*$S59),
          SUMIF(OFFSET($S61,1,0,$R59-2),($M59+1)&amp;"$",OFFSET(V61,1,0,$R59-2)))</f>
        <v>0</v>
      </c>
      <c r="W61" s="202" cm="1">
        <f t="array" aca="1" ref="W61" ca="1">IF($R59=2,
         IF(AND(ACOMPANHAMENTO="PLE",ISNUMBER($F59)),
                SUMIF((OFFSET(CÁLCULO!$BC$15:$BU$15,$F59,0,OFFSET(ORÇAMENTO!$D$15,CRONO!$F59,0))),CRONO!W$12,OFFSET(CÁLCULO!$AJ$15:$BB$15,$F59,0,OFFSET(ORÇAMENTO!$D$15,CRONO!$F59,0)))
                +IF(AND($F61&lt;&gt;"",$F61&lt;&gt;0),
                        SUMIF(CÁLCULO!$BC$15:$BU$191,CRONO!W$12,CÁLCULO!$AJ$15:$BB$191)/(ORÇAMENTO!$X$15-CÁLCULO.TotalAdmLocal)*CRONO!$F61,
                        0),
                 W60*$S59),
          SUMIF(OFFSET($S61,1,0,$R59-2),($M59+1)&amp;"$",OFFSET(W61,1,0,$R59-2)))</f>
        <v>0</v>
      </c>
      <c r="X61" s="202" cm="1">
        <f t="array" aca="1" ref="X61" ca="1">IF($R59=2,
         IF(AND(ACOMPANHAMENTO="PLE",ISNUMBER($F59)),
                SUMIF((OFFSET(CÁLCULO!$BC$15:$BU$15,$F59,0,OFFSET(ORÇAMENTO!$D$15,CRONO!$F59,0))),CRONO!X$12,OFFSET(CÁLCULO!$AJ$15:$BB$15,$F59,0,OFFSET(ORÇAMENTO!$D$15,CRONO!$F59,0)))
                +IF(AND($F61&lt;&gt;"",$F61&lt;&gt;0),
                        SUMIF(CÁLCULO!$BC$15:$BU$191,CRONO!X$12,CÁLCULO!$AJ$15:$BB$191)/(ORÇAMENTO!$X$15-CÁLCULO.TotalAdmLocal)*CRONO!$F61,
                        0),
                 X60*$S59),
          SUMIF(OFFSET($S61,1,0,$R59-2),($M59+1)&amp;"$",OFFSET(X61,1,0,$R59-2)))</f>
        <v>0</v>
      </c>
      <c r="Y61" s="202" cm="1">
        <f t="array" aca="1" ref="Y61" ca="1">IF($R59=2,
         IF(AND(ACOMPANHAMENTO="PLE",ISNUMBER($F59)),
                SUMIF((OFFSET(CÁLCULO!$BC$15:$BU$15,$F59,0,OFFSET(ORÇAMENTO!$D$15,CRONO!$F59,0))),CRONO!Y$12,OFFSET(CÁLCULO!$AJ$15:$BB$15,$F59,0,OFFSET(ORÇAMENTO!$D$15,CRONO!$F59,0)))
                +IF(AND($F61&lt;&gt;"",$F61&lt;&gt;0),
                        SUMIF(CÁLCULO!$BC$15:$BU$191,CRONO!Y$12,CÁLCULO!$AJ$15:$BB$191)/(ORÇAMENTO!$X$15-CÁLCULO.TotalAdmLocal)*CRONO!$F61,
                        0),
                 Y60*$S59),
          SUMIF(OFFSET($S61,1,0,$R59-2),($M59+1)&amp;"$",OFFSET(Y61,1,0,$R59-2)))</f>
        <v>0</v>
      </c>
      <c r="Z61" s="202" cm="1">
        <f t="array" aca="1" ref="Z61" ca="1">IF($R59=2,
         IF(AND(ACOMPANHAMENTO="PLE",ISNUMBER($F59)),
                SUMIF((OFFSET(CÁLCULO!$BC$15:$BU$15,$F59,0,OFFSET(ORÇAMENTO!$D$15,CRONO!$F59,0))),CRONO!Z$12,OFFSET(CÁLCULO!$AJ$15:$BB$15,$F59,0,OFFSET(ORÇAMENTO!$D$15,CRONO!$F59,0)))
                +IF(AND($F61&lt;&gt;"",$F61&lt;&gt;0),
                        SUMIF(CÁLCULO!$BC$15:$BU$191,CRONO!Z$12,CÁLCULO!$AJ$15:$BB$191)/(ORÇAMENTO!$X$15-CÁLCULO.TotalAdmLocal)*CRONO!$F61,
                        0),
                 Z60*$S59),
          SUMIF(OFFSET($S61,1,0,$R59-2),($M59+1)&amp;"$",OFFSET(Z61,1,0,$R59-2)))</f>
        <v>0</v>
      </c>
      <c r="AA61" s="202" cm="1">
        <f t="array" aca="1" ref="AA61" ca="1">IF($R59=2,
         IF(AND(ACOMPANHAMENTO="PLE",ISNUMBER($F59)),
                SUMIF((OFFSET(CÁLCULO!$BC$15:$BU$15,$F59,0,OFFSET(ORÇAMENTO!$D$15,CRONO!$F59,0))),CRONO!AA$12,OFFSET(CÁLCULO!$AJ$15:$BB$15,$F59,0,OFFSET(ORÇAMENTO!$D$15,CRONO!$F59,0)))
                +IF(AND($F61&lt;&gt;"",$F61&lt;&gt;0),
                        SUMIF(CÁLCULO!$BC$15:$BU$191,CRONO!AA$12,CÁLCULO!$AJ$15:$BB$191)/(ORÇAMENTO!$X$15-CÁLCULO.TotalAdmLocal)*CRONO!$F61,
                        0),
                 AA60*$S59),
          SUMIF(OFFSET($S61,1,0,$R59-2),($M59+1)&amp;"$",OFFSET(AA61,1,0,$R59-2)))</f>
        <v>0</v>
      </c>
      <c r="AB61" s="202" cm="1">
        <f t="array" aca="1" ref="AB61" ca="1">IF($R59=2,
         IF(AND(ACOMPANHAMENTO="PLE",ISNUMBER($F59)),
                SUMIF((OFFSET(CÁLCULO!$BC$15:$BU$15,$F59,0,OFFSET(ORÇAMENTO!$D$15,CRONO!$F59,0))),CRONO!AB$12,OFFSET(CÁLCULO!$AJ$15:$BB$15,$F59,0,OFFSET(ORÇAMENTO!$D$15,CRONO!$F59,0)))
                +IF(AND($F61&lt;&gt;"",$F61&lt;&gt;0),
                        SUMIF(CÁLCULO!$BC$15:$BU$191,CRONO!AB$12,CÁLCULO!$AJ$15:$BB$191)/(ORÇAMENTO!$X$15-CÁLCULO.TotalAdmLocal)*CRONO!$F61,
                        0),
                 AB60*$S59),
          SUMIF(OFFSET($S61,1,0,$R59-2),($M59+1)&amp;"$",OFFSET(AB61,1,0,$R59-2)))</f>
        <v>0</v>
      </c>
      <c r="AC61" s="202" cm="1">
        <f t="array" aca="1" ref="AC61" ca="1">IF($R59=2,
         IF(AND(ACOMPANHAMENTO="PLE",ISNUMBER($F59)),
                SUMIF((OFFSET(CÁLCULO!$BC$15:$BU$15,$F59,0,OFFSET(ORÇAMENTO!$D$15,CRONO!$F59,0))),CRONO!AC$12,OFFSET(CÁLCULO!$AJ$15:$BB$15,$F59,0,OFFSET(ORÇAMENTO!$D$15,CRONO!$F59,0)))
                +IF(AND($F61&lt;&gt;"",$F61&lt;&gt;0),
                        SUMIF(CÁLCULO!$BC$15:$BU$191,CRONO!AC$12,CÁLCULO!$AJ$15:$BB$191)/(ORÇAMENTO!$X$15-CÁLCULO.TotalAdmLocal)*CRONO!$F61,
                        0),
                 AC60*$S59),
          SUMIF(OFFSET($S61,1,0,$R59-2),($M59+1)&amp;"$",OFFSET(AC61,1,0,$R59-2)))</f>
        <v>30663.74</v>
      </c>
      <c r="AD61" s="202" cm="1">
        <f t="array" aca="1" ref="AD61" ca="1">IF($R59=2,
         IF(AND(ACOMPANHAMENTO="PLE",ISNUMBER($F59)),
                SUMIF((OFFSET(CÁLCULO!$BC$15:$BU$15,$F59,0,OFFSET(ORÇAMENTO!$D$15,CRONO!$F59,0))),CRONO!AD$12,OFFSET(CÁLCULO!$AJ$15:$BB$15,$F59,0,OFFSET(ORÇAMENTO!$D$15,CRONO!$F59,0)))
                +IF(AND($F61&lt;&gt;"",$F61&lt;&gt;0),
                        SUMIF(CÁLCULO!$BC$15:$BU$191,CRONO!AD$12,CÁLCULO!$AJ$15:$BB$191)/(ORÇAMENTO!$X$15-CÁLCULO.TotalAdmLocal)*CRONO!$F61,
                        0),
                 AD60*$S59),
          SUMIF(OFFSET($S61,1,0,$R59-2),($M59+1)&amp;"$",OFFSET(AD61,1,0,$R59-2)))</f>
        <v>0</v>
      </c>
      <c r="AE61" s="202" cm="1">
        <f t="array" aca="1" ref="AE61" ca="1">IF($R59=2,
         IF(AND(ACOMPANHAMENTO="PLE",ISNUMBER($F59)),
                SUMIF((OFFSET(CÁLCULO!$BC$15:$BU$15,$F59,0,OFFSET(ORÇAMENTO!$D$15,CRONO!$F59,0))),CRONO!AE$12,OFFSET(CÁLCULO!$AJ$15:$BB$15,$F59,0,OFFSET(ORÇAMENTO!$D$15,CRONO!$F59,0)))
                +IF(AND($F61&lt;&gt;"",$F61&lt;&gt;0),
                        SUMIF(CÁLCULO!$BC$15:$BU$191,CRONO!AE$12,CÁLCULO!$AJ$15:$BB$191)/(ORÇAMENTO!$X$15-CÁLCULO.TotalAdmLocal)*CRONO!$F61,
                        0),
                 AE60*$S59),
          SUMIF(OFFSET($S61,1,0,$R59-2),($M59+1)&amp;"$",OFFSET(AE61,1,0,$R59-2)))</f>
        <v>0</v>
      </c>
      <c r="AF61" s="202" cm="1">
        <f t="array" aca="1" ref="AF61" ca="1">IF($R59=2,
         IF(AND(ACOMPANHAMENTO="PLE",ISNUMBER($F59)),
                SUMIF((OFFSET(CÁLCULO!$BC$15:$BU$15,$F59,0,OFFSET(ORÇAMENTO!$D$15,CRONO!$F59,0))),CRONO!AF$12,OFFSET(CÁLCULO!$AJ$15:$BB$15,$F59,0,OFFSET(ORÇAMENTO!$D$15,CRONO!$F59,0)))
                +IF(AND($F61&lt;&gt;"",$F61&lt;&gt;0),
                        SUMIF(CÁLCULO!$BC$15:$BU$191,CRONO!AF$12,CÁLCULO!$AJ$15:$BB$191)/(ORÇAMENTO!$X$15-CÁLCULO.TotalAdmLocal)*CRONO!$F61,
                        0),
                 AF60*$S59),
          SUMIF(OFFSET($S61,1,0,$R59-2),($M59+1)&amp;"$",OFFSET(AF61,1,0,$R59-2)))</f>
        <v>0</v>
      </c>
      <c r="AG61" s="534"/>
    </row>
    <row r="62" spans="1:33" x14ac:dyDescent="0.2">
      <c r="A62" s="186" t="str">
        <f t="shared" ref="A62" ca="1" si="98">IF($M62&gt;1,_xlfn.CONCAT($I62," ",$J62),"")</f>
        <v>1.16. COBERTURA - Estação Elevatória de Água Tratada</v>
      </c>
      <c r="B62" s="185">
        <f t="shared" ref="B62" ca="1" si="99">OFFSET(B62,-3,0)+1</f>
        <v>17</v>
      </c>
      <c r="C62" s="185">
        <f ca="1">IF($R62&lt;&gt;2,0,IF($S62=0,1,IF(F63&gt;0,OFFSET(QCI!$M$13,SUBSTITUTE(F63,".",""),0),OFFSET(ORÇAMENTO!$AA$15,CRONO!$F62,0))/$S62))</f>
        <v>0</v>
      </c>
      <c r="D62" s="185">
        <f ca="1">IF($R62&lt;&gt;2,0,IF($S62=0,1,IF(F63&gt;0,OFFSET(QCI!$N$13,SUBSTITUTE(F63,".",""),0),OFFSET(ORÇAMENTO!$AB$15,CRONO!$F62,0))/$S62))</f>
        <v>0</v>
      </c>
      <c r="E62" s="188" cm="1">
        <f t="array" aca="1" ref="E62" ca="1">IF(AND($R62=2,ACOMPANHAMENTO="BM"),ROUND(E63,4),E64/$S62)</f>
        <v>0</v>
      </c>
      <c r="F62" s="185" cm="1">
        <f t="array" aca="1" ref="F62" ca="1">IF(B62&lt;=ORÇAMENTO.MáximoListaCrono,MATCH(B62,ORÇAMENTO.ListaCrono,0),NA())</f>
        <v>96</v>
      </c>
      <c r="G62" s="185" t="str">
        <f t="shared" ref="G62" ca="1" si="100">IF(AND($F63&lt;&gt;-1,$S62&gt;0),"F","")</f>
        <v>F</v>
      </c>
      <c r="H62" s="189" t="str" cm="1">
        <f t="array" aca="1" ref="H62" ca="1">IF(OR(S62=0,S62=""),"Linha",IF(AND(OR(ACOMPANHAMENTO="PLE",$R62&lt;&gt;2),$F63=0),"Linha",ROUND(1-SUM(U62:AG62),4)))</f>
        <v>Linha</v>
      </c>
      <c r="I62" s="190" t="str">
        <f ca="1">IF($F63=0,OFFSET(ORÇAMENTO!O$15,$F62,0),IF($F63&lt;&gt;-1,OFFSET(QCI!$D$13,$F63,0),""))</f>
        <v>1.16.</v>
      </c>
      <c r="J62" s="191" t="str">
        <f ca="1">IF($F63=0,OFFSET(ORÇAMENTO!R$15,$F62,0),IF($F63&lt;&gt;-1,OFFSET(QCI!$G$13,$F63,0),""))</f>
        <v>COBERTURA - Estação Elevatória de Água Tratada</v>
      </c>
      <c r="K62" s="191"/>
      <c r="L62" s="191"/>
      <c r="M62" s="192">
        <f ca="1">IF($F63=0,OFFSET(ORÇAMENTO!C$15,$F62,0),1)</f>
        <v>2</v>
      </c>
      <c r="N62" s="193">
        <f ca="1">IF($F63=-1,0,IF(N$13&lt;=$M62,IF(ISERROR(MATCH(N$13,OFFSET($M62,1,0,ROW($M$92)-ROW($M62)-1),0)),ROW($M$92)-ROW($M62)-1,MATCH(N$13,OFFSET($M62,1,0,ROW($M$92)-ROW($M62)-1),0)-1),0))</f>
        <v>26</v>
      </c>
      <c r="O62" s="193">
        <f ca="1">IF($F63=-1,0,IF(O$13&lt;=$M62,IF(ISERROR(MATCH(O$13,OFFSET($M62,1,0,ROW($M$92)-ROW($M62)-1),0)),ROW($M$92)-ROW($M62)-1,MATCH(O$13,OFFSET($M62,1,0,ROW($M$92)-ROW($M62)-1),0)-1),0))</f>
        <v>2</v>
      </c>
      <c r="P62" s="193">
        <f ca="1">IF($F63=-1,0,IF(P$13&lt;=$M62,IF(ISERROR(MATCH(P$13,OFFSET($M62,1,0,ROW($M$92)-ROW($M62)-1),0)),ROW($M$92)-ROW($M62)-1,MATCH(P$13,OFFSET($M62,1,0,ROW($M$92)-ROW($M62)-1),0)-1),0))</f>
        <v>0</v>
      </c>
      <c r="Q62" s="193">
        <f ca="1">IF($F63=-1,0,IF(Q$13&lt;=$M62,IF(ISERROR(MATCH(Q$13,OFFSET($M62,1,0,ROW($M$92)-ROW($M62)-1),0)),ROW($M$92)-ROW($M62)-1,MATCH(Q$13,OFFSET($M62,1,0,ROW($M$92)-ROW($M62)-1),0)-1),0))</f>
        <v>0</v>
      </c>
      <c r="R62" s="193">
        <f t="shared" ref="R62" ca="1" si="101">MIN(OFFSET(M62,0,1,,M62))</f>
        <v>2</v>
      </c>
      <c r="S62" s="194">
        <f ca="1">IF($F63=0,OFFSET(ORÇAMENTO!X$15,$F62,0),IF($F63&lt;&gt;-1,OFFSET(QCI!$O$13,$F63,0),""))</f>
        <v>22241.98</v>
      </c>
      <c r="T62" s="195" t="s">
        <v>785</v>
      </c>
      <c r="U62" s="188" cm="1">
        <f t="array" aca="1" ref="U62" ca="1">IF(AND($R62=2,ACOMPANHAMENTO="BM"),ROUND(U63,4),U64/$S62)</f>
        <v>0</v>
      </c>
      <c r="V62" s="188" cm="1">
        <f t="array" aca="1" ref="V62" ca="1">IF(AND($R62=2,ACOMPANHAMENTO="BM"),ROUND(V63,4),V64/$S62)</f>
        <v>0</v>
      </c>
      <c r="W62" s="188" cm="1">
        <f t="array" aca="1" ref="W62" ca="1">IF(AND($R62=2,ACOMPANHAMENTO="BM"),ROUND(W63,4),W64/$S62)</f>
        <v>0</v>
      </c>
      <c r="X62" s="188" cm="1">
        <f t="array" aca="1" ref="X62" ca="1">IF(AND($R62=2,ACOMPANHAMENTO="BM"),ROUND(X63,4),X64/$S62)</f>
        <v>0</v>
      </c>
      <c r="Y62" s="188" cm="1">
        <f t="array" aca="1" ref="Y62" ca="1">IF(AND($R62=2,ACOMPANHAMENTO="BM"),ROUND(Y63,4),Y64/$S62)</f>
        <v>0</v>
      </c>
      <c r="Z62" s="188" cm="1">
        <f t="array" aca="1" ref="Z62" ca="1">IF(AND($R62=2,ACOMPANHAMENTO="BM"),ROUND(Z63,4),Z64/$S62)</f>
        <v>0</v>
      </c>
      <c r="AA62" s="188" cm="1">
        <f t="array" aca="1" ref="AA62" ca="1">IF(AND($R62=2,ACOMPANHAMENTO="BM"),ROUND(AA63,4),AA64/$S62)</f>
        <v>0</v>
      </c>
      <c r="AB62" s="188" cm="1">
        <f t="array" aca="1" ref="AB62" ca="1">IF(AND($R62=2,ACOMPANHAMENTO="BM"),ROUND(AB63,4),AB64/$S62)</f>
        <v>0</v>
      </c>
      <c r="AC62" s="188" cm="1">
        <f t="array" aca="1" ref="AC62" ca="1">IF(AND($R62=2,ACOMPANHAMENTO="BM"),ROUND(AC63,4),AC64/$S62)</f>
        <v>1</v>
      </c>
      <c r="AD62" s="188" cm="1">
        <f t="array" aca="1" ref="AD62" ca="1">IF(AND($R62=2,ACOMPANHAMENTO="BM"),ROUND(AD63,4),AD64/$S62)</f>
        <v>0</v>
      </c>
      <c r="AE62" s="188" cm="1">
        <f t="array" aca="1" ref="AE62" ca="1">IF(AND($R62=2,ACOMPANHAMENTO="BM"),ROUND(AE63,4),AE64/$S62)</f>
        <v>0</v>
      </c>
      <c r="AF62" s="188" cm="1">
        <f t="array" aca="1" ref="AF62" ca="1">IF(AND($R62=2,ACOMPANHAMENTO="BM"),ROUND(AF63,4),AF64/$S62)</f>
        <v>0</v>
      </c>
      <c r="AG62" s="534"/>
    </row>
    <row r="63" spans="1:33" ht="12.75" hidden="1" customHeight="1" x14ac:dyDescent="0.2">
      <c r="E63" s="587"/>
      <c r="F63" s="185">
        <f ca="1">IF(ISERROR(F62),IF(1+COUNTIF($M$13:OFFSET(M62,-1,0),1)&lt;=MAX(QCI!$D$13:$D$24),1+COUNTIF($M$13:OFFSET(M62,-1,0),1),-1),0)</f>
        <v>0</v>
      </c>
      <c r="G63" s="185" t="str" cm="1">
        <f t="array" aca="1" ref="G63" ca="1">IF(ACOMPANHAMENTO="BM",OFFSET(G63,-1,0),"")</f>
        <v/>
      </c>
      <c r="H63" s="196" t="str" cm="1">
        <f t="array" aca="1" ref="H63" ca="1">IF(OR(S62=0,S62=""),"vazia",IF(AND(OR(ACOMPANHAMENTO="PLE",$R62&lt;&gt;2),$F63=0),"calculada","--&gt;"))</f>
        <v>calculada</v>
      </c>
      <c r="I63" s="197"/>
      <c r="J63" s="198" t="str">
        <f t="shared" ref="J63" ca="1" si="102">IF(AND(H62&lt;&gt;0,ISNUMBER(H62)),"PREENCHA ESTA LINHA --&gt;","")</f>
        <v/>
      </c>
      <c r="K63" s="198"/>
      <c r="L63" s="198"/>
      <c r="M63" s="199"/>
      <c r="N63" s="199"/>
      <c r="O63" s="199"/>
      <c r="P63" s="199"/>
      <c r="Q63" s="199"/>
      <c r="R63" s="199"/>
      <c r="S63" s="200"/>
      <c r="T63" s="201"/>
      <c r="U63" s="587"/>
      <c r="V63" s="587"/>
      <c r="W63" s="587"/>
      <c r="X63" s="587"/>
      <c r="Y63" s="587"/>
      <c r="Z63" s="587"/>
      <c r="AA63" s="587"/>
      <c r="AB63" s="587"/>
      <c r="AC63" s="587"/>
      <c r="AD63" s="587"/>
      <c r="AE63" s="587"/>
      <c r="AF63" s="587"/>
      <c r="AG63" s="534"/>
    </row>
    <row r="64" spans="1:33" ht="12.75" hidden="1" customHeight="1" x14ac:dyDescent="0.2">
      <c r="D64" s="533"/>
      <c r="E64" s="202" cm="1">
        <f t="array" aca="1" ref="E64" ca="1">IF($R62=2,
         IF(AND(ACOMPANHAMENTO="PLE",ISNUMBER($F62)),
                SUMIF((OFFSET(CÁLCULO!$BC$15:$BU$15,$F62,0,OFFSET(ORÇAMENTO!$D$15,CRONO!$F62,0))),CRONO!E$12,OFFSET(CÁLCULO!$AJ$15:$BB$15,$F62,0,OFFSET(ORÇAMENTO!$D$15,CRONO!$F62,0)))
                +IF(AND($F64&lt;&gt;"",$F64&lt;&gt;0),
                        SUMIF(CÁLCULO!$BC$15:$BU$191,CRONO!E$12,CÁLCULO!$AJ$15:$BB$191)/(ORÇAMENTO!$X$15-CÁLCULO.TotalAdmLocal)*CRONO!$F64,
                        0),
                 E63*$S62),
          SUMIF(OFFSET($S64,1,0,$R62-2),($M62+1)&amp;"$",OFFSET(E64,1,0,$R62-2)))</f>
        <v>0</v>
      </c>
      <c r="F64" s="185">
        <f ca="1">IF(OR($R62&lt;&gt;2,AUTOEVENTO&lt;&gt;"manual",$F63&gt;0),"",
        IF(Import.TipoArredondamento="Tradicional",
              SUMIF(OFFSET(CÁLCULO!$M$15,CRONO!$F62,0,OFFSET(ORÇAMENTO!$D$15,CRONO!$F62,0)),1,OFFSET(ORÇAMENTO!$X$15,CRONO!$F62,0,OFFSET(ORÇAMENTO!$D$15,CRONO!$F62,0))),
              0))</f>
        <v>0</v>
      </c>
      <c r="H64" s="736"/>
      <c r="S64" s="204" t="str">
        <f t="shared" ref="S64" ca="1" si="103">M62&amp;"$"</f>
        <v>2$</v>
      </c>
      <c r="T64" s="205"/>
      <c r="U64" s="202" cm="1">
        <f t="array" aca="1" ref="U64" ca="1">IF($R62=2,
         IF(AND(ACOMPANHAMENTO="PLE",ISNUMBER($F62)),
                SUMIF((OFFSET(CÁLCULO!$BC$15:$BU$15,$F62,0,OFFSET(ORÇAMENTO!$D$15,CRONO!$F62,0))),CRONO!U$12,OFFSET(CÁLCULO!$AJ$15:$BB$15,$F62,0,OFFSET(ORÇAMENTO!$D$15,CRONO!$F62,0)))
                +IF(AND($F64&lt;&gt;"",$F64&lt;&gt;0),
                        SUMIF(CÁLCULO!$BC$15:$BU$191,CRONO!U$12,CÁLCULO!$AJ$15:$BB$191)/(ORÇAMENTO!$X$15-CÁLCULO.TotalAdmLocal)*CRONO!$F64,
                        0),
                 U63*$S62),
          SUMIF(OFFSET($S64,1,0,$R62-2),($M62+1)&amp;"$",OFFSET(U64,1,0,$R62-2)))</f>
        <v>0</v>
      </c>
      <c r="V64" s="202" cm="1">
        <f t="array" aca="1" ref="V64" ca="1">IF($R62=2,
         IF(AND(ACOMPANHAMENTO="PLE",ISNUMBER($F62)),
                SUMIF((OFFSET(CÁLCULO!$BC$15:$BU$15,$F62,0,OFFSET(ORÇAMENTO!$D$15,CRONO!$F62,0))),CRONO!V$12,OFFSET(CÁLCULO!$AJ$15:$BB$15,$F62,0,OFFSET(ORÇAMENTO!$D$15,CRONO!$F62,0)))
                +IF(AND($F64&lt;&gt;"",$F64&lt;&gt;0),
                        SUMIF(CÁLCULO!$BC$15:$BU$191,CRONO!V$12,CÁLCULO!$AJ$15:$BB$191)/(ORÇAMENTO!$X$15-CÁLCULO.TotalAdmLocal)*CRONO!$F64,
                        0),
                 V63*$S62),
          SUMIF(OFFSET($S64,1,0,$R62-2),($M62+1)&amp;"$",OFFSET(V64,1,0,$R62-2)))</f>
        <v>0</v>
      </c>
      <c r="W64" s="202" cm="1">
        <f t="array" aca="1" ref="W64" ca="1">IF($R62=2,
         IF(AND(ACOMPANHAMENTO="PLE",ISNUMBER($F62)),
                SUMIF((OFFSET(CÁLCULO!$BC$15:$BU$15,$F62,0,OFFSET(ORÇAMENTO!$D$15,CRONO!$F62,0))),CRONO!W$12,OFFSET(CÁLCULO!$AJ$15:$BB$15,$F62,0,OFFSET(ORÇAMENTO!$D$15,CRONO!$F62,0)))
                +IF(AND($F64&lt;&gt;"",$F64&lt;&gt;0),
                        SUMIF(CÁLCULO!$BC$15:$BU$191,CRONO!W$12,CÁLCULO!$AJ$15:$BB$191)/(ORÇAMENTO!$X$15-CÁLCULO.TotalAdmLocal)*CRONO!$F64,
                        0),
                 W63*$S62),
          SUMIF(OFFSET($S64,1,0,$R62-2),($M62+1)&amp;"$",OFFSET(W64,1,0,$R62-2)))</f>
        <v>0</v>
      </c>
      <c r="X64" s="202" cm="1">
        <f t="array" aca="1" ref="X64" ca="1">IF($R62=2,
         IF(AND(ACOMPANHAMENTO="PLE",ISNUMBER($F62)),
                SUMIF((OFFSET(CÁLCULO!$BC$15:$BU$15,$F62,0,OFFSET(ORÇAMENTO!$D$15,CRONO!$F62,0))),CRONO!X$12,OFFSET(CÁLCULO!$AJ$15:$BB$15,$F62,0,OFFSET(ORÇAMENTO!$D$15,CRONO!$F62,0)))
                +IF(AND($F64&lt;&gt;"",$F64&lt;&gt;0),
                        SUMIF(CÁLCULO!$BC$15:$BU$191,CRONO!X$12,CÁLCULO!$AJ$15:$BB$191)/(ORÇAMENTO!$X$15-CÁLCULO.TotalAdmLocal)*CRONO!$F64,
                        0),
                 X63*$S62),
          SUMIF(OFFSET($S64,1,0,$R62-2),($M62+1)&amp;"$",OFFSET(X64,1,0,$R62-2)))</f>
        <v>0</v>
      </c>
      <c r="Y64" s="202" cm="1">
        <f t="array" aca="1" ref="Y64" ca="1">IF($R62=2,
         IF(AND(ACOMPANHAMENTO="PLE",ISNUMBER($F62)),
                SUMIF((OFFSET(CÁLCULO!$BC$15:$BU$15,$F62,0,OFFSET(ORÇAMENTO!$D$15,CRONO!$F62,0))),CRONO!Y$12,OFFSET(CÁLCULO!$AJ$15:$BB$15,$F62,0,OFFSET(ORÇAMENTO!$D$15,CRONO!$F62,0)))
                +IF(AND($F64&lt;&gt;"",$F64&lt;&gt;0),
                        SUMIF(CÁLCULO!$BC$15:$BU$191,CRONO!Y$12,CÁLCULO!$AJ$15:$BB$191)/(ORÇAMENTO!$X$15-CÁLCULO.TotalAdmLocal)*CRONO!$F64,
                        0),
                 Y63*$S62),
          SUMIF(OFFSET($S64,1,0,$R62-2),($M62+1)&amp;"$",OFFSET(Y64,1,0,$R62-2)))</f>
        <v>0</v>
      </c>
      <c r="Z64" s="202" cm="1">
        <f t="array" aca="1" ref="Z64" ca="1">IF($R62=2,
         IF(AND(ACOMPANHAMENTO="PLE",ISNUMBER($F62)),
                SUMIF((OFFSET(CÁLCULO!$BC$15:$BU$15,$F62,0,OFFSET(ORÇAMENTO!$D$15,CRONO!$F62,0))),CRONO!Z$12,OFFSET(CÁLCULO!$AJ$15:$BB$15,$F62,0,OFFSET(ORÇAMENTO!$D$15,CRONO!$F62,0)))
                +IF(AND($F64&lt;&gt;"",$F64&lt;&gt;0),
                        SUMIF(CÁLCULO!$BC$15:$BU$191,CRONO!Z$12,CÁLCULO!$AJ$15:$BB$191)/(ORÇAMENTO!$X$15-CÁLCULO.TotalAdmLocal)*CRONO!$F64,
                        0),
                 Z63*$S62),
          SUMIF(OFFSET($S64,1,0,$R62-2),($M62+1)&amp;"$",OFFSET(Z64,1,0,$R62-2)))</f>
        <v>0</v>
      </c>
      <c r="AA64" s="202" cm="1">
        <f t="array" aca="1" ref="AA64" ca="1">IF($R62=2,
         IF(AND(ACOMPANHAMENTO="PLE",ISNUMBER($F62)),
                SUMIF((OFFSET(CÁLCULO!$BC$15:$BU$15,$F62,0,OFFSET(ORÇAMENTO!$D$15,CRONO!$F62,0))),CRONO!AA$12,OFFSET(CÁLCULO!$AJ$15:$BB$15,$F62,0,OFFSET(ORÇAMENTO!$D$15,CRONO!$F62,0)))
                +IF(AND($F64&lt;&gt;"",$F64&lt;&gt;0),
                        SUMIF(CÁLCULO!$BC$15:$BU$191,CRONO!AA$12,CÁLCULO!$AJ$15:$BB$191)/(ORÇAMENTO!$X$15-CÁLCULO.TotalAdmLocal)*CRONO!$F64,
                        0),
                 AA63*$S62),
          SUMIF(OFFSET($S64,1,0,$R62-2),($M62+1)&amp;"$",OFFSET(AA64,1,0,$R62-2)))</f>
        <v>0</v>
      </c>
      <c r="AB64" s="202" cm="1">
        <f t="array" aca="1" ref="AB64" ca="1">IF($R62=2,
         IF(AND(ACOMPANHAMENTO="PLE",ISNUMBER($F62)),
                SUMIF((OFFSET(CÁLCULO!$BC$15:$BU$15,$F62,0,OFFSET(ORÇAMENTO!$D$15,CRONO!$F62,0))),CRONO!AB$12,OFFSET(CÁLCULO!$AJ$15:$BB$15,$F62,0,OFFSET(ORÇAMENTO!$D$15,CRONO!$F62,0)))
                +IF(AND($F64&lt;&gt;"",$F64&lt;&gt;0),
                        SUMIF(CÁLCULO!$BC$15:$BU$191,CRONO!AB$12,CÁLCULO!$AJ$15:$BB$191)/(ORÇAMENTO!$X$15-CÁLCULO.TotalAdmLocal)*CRONO!$F64,
                        0),
                 AB63*$S62),
          SUMIF(OFFSET($S64,1,0,$R62-2),($M62+1)&amp;"$",OFFSET(AB64,1,0,$R62-2)))</f>
        <v>0</v>
      </c>
      <c r="AC64" s="202" cm="1">
        <f t="array" aca="1" ref="AC64" ca="1">IF($R62=2,
         IF(AND(ACOMPANHAMENTO="PLE",ISNUMBER($F62)),
                SUMIF((OFFSET(CÁLCULO!$BC$15:$BU$15,$F62,0,OFFSET(ORÇAMENTO!$D$15,CRONO!$F62,0))),CRONO!AC$12,OFFSET(CÁLCULO!$AJ$15:$BB$15,$F62,0,OFFSET(ORÇAMENTO!$D$15,CRONO!$F62,0)))
                +IF(AND($F64&lt;&gt;"",$F64&lt;&gt;0),
                        SUMIF(CÁLCULO!$BC$15:$BU$191,CRONO!AC$12,CÁLCULO!$AJ$15:$BB$191)/(ORÇAMENTO!$X$15-CÁLCULO.TotalAdmLocal)*CRONO!$F64,
                        0),
                 AC63*$S62),
          SUMIF(OFFSET($S64,1,0,$R62-2),($M62+1)&amp;"$",OFFSET(AC64,1,0,$R62-2)))</f>
        <v>22241.98</v>
      </c>
      <c r="AD64" s="202" cm="1">
        <f t="array" aca="1" ref="AD64" ca="1">IF($R62=2,
         IF(AND(ACOMPANHAMENTO="PLE",ISNUMBER($F62)),
                SUMIF((OFFSET(CÁLCULO!$BC$15:$BU$15,$F62,0,OFFSET(ORÇAMENTO!$D$15,CRONO!$F62,0))),CRONO!AD$12,OFFSET(CÁLCULO!$AJ$15:$BB$15,$F62,0,OFFSET(ORÇAMENTO!$D$15,CRONO!$F62,0)))
                +IF(AND($F64&lt;&gt;"",$F64&lt;&gt;0),
                        SUMIF(CÁLCULO!$BC$15:$BU$191,CRONO!AD$12,CÁLCULO!$AJ$15:$BB$191)/(ORÇAMENTO!$X$15-CÁLCULO.TotalAdmLocal)*CRONO!$F64,
                        0),
                 AD63*$S62),
          SUMIF(OFFSET($S64,1,0,$R62-2),($M62+1)&amp;"$",OFFSET(AD64,1,0,$R62-2)))</f>
        <v>0</v>
      </c>
      <c r="AE64" s="202" cm="1">
        <f t="array" aca="1" ref="AE64" ca="1">IF($R62=2,
         IF(AND(ACOMPANHAMENTO="PLE",ISNUMBER($F62)),
                SUMIF((OFFSET(CÁLCULO!$BC$15:$BU$15,$F62,0,OFFSET(ORÇAMENTO!$D$15,CRONO!$F62,0))),CRONO!AE$12,OFFSET(CÁLCULO!$AJ$15:$BB$15,$F62,0,OFFSET(ORÇAMENTO!$D$15,CRONO!$F62,0)))
                +IF(AND($F64&lt;&gt;"",$F64&lt;&gt;0),
                        SUMIF(CÁLCULO!$BC$15:$BU$191,CRONO!AE$12,CÁLCULO!$AJ$15:$BB$191)/(ORÇAMENTO!$X$15-CÁLCULO.TotalAdmLocal)*CRONO!$F64,
                        0),
                 AE63*$S62),
          SUMIF(OFFSET($S64,1,0,$R62-2),($M62+1)&amp;"$",OFFSET(AE64,1,0,$R62-2)))</f>
        <v>0</v>
      </c>
      <c r="AF64" s="202" cm="1">
        <f t="array" aca="1" ref="AF64" ca="1">IF($R62=2,
         IF(AND(ACOMPANHAMENTO="PLE",ISNUMBER($F62)),
                SUMIF((OFFSET(CÁLCULO!$BC$15:$BU$15,$F62,0,OFFSET(ORÇAMENTO!$D$15,CRONO!$F62,0))),CRONO!AF$12,OFFSET(CÁLCULO!$AJ$15:$BB$15,$F62,0,OFFSET(ORÇAMENTO!$D$15,CRONO!$F62,0)))
                +IF(AND($F64&lt;&gt;"",$F64&lt;&gt;0),
                        SUMIF(CÁLCULO!$BC$15:$BU$191,CRONO!AF$12,CÁLCULO!$AJ$15:$BB$191)/(ORÇAMENTO!$X$15-CÁLCULO.TotalAdmLocal)*CRONO!$F64,
                        0),
                 AF63*$S62),
          SUMIF(OFFSET($S64,1,0,$R62-2),($M62+1)&amp;"$",OFFSET(AF64,1,0,$R62-2)))</f>
        <v>0</v>
      </c>
      <c r="AG64" s="534"/>
    </row>
    <row r="65" spans="1:33" x14ac:dyDescent="0.2">
      <c r="A65" s="186" t="str">
        <f t="shared" ref="A65" ca="1" si="104">IF($M65&gt;1,_xlfn.CONCAT($I65," ",$J65),"")</f>
        <v>1.17. INSTALAÇÕES ELETRICAS - Estação Elevatória de Água Tratada</v>
      </c>
      <c r="B65" s="185">
        <f t="shared" ref="B65" ca="1" si="105">OFFSET(B65,-3,0)+1</f>
        <v>18</v>
      </c>
      <c r="C65" s="185">
        <f ca="1">IF($R65&lt;&gt;2,0,IF($S65=0,1,IF(F66&gt;0,OFFSET(QCI!$M$13,SUBSTITUTE(F66,".",""),0),OFFSET(ORÇAMENTO!$AA$15,CRONO!$F65,0))/$S65))</f>
        <v>0</v>
      </c>
      <c r="D65" s="185">
        <f ca="1">IF($R65&lt;&gt;2,0,IF($S65=0,1,IF(F66&gt;0,OFFSET(QCI!$N$13,SUBSTITUTE(F66,".",""),0),OFFSET(ORÇAMENTO!$AB$15,CRONO!$F65,0))/$S65))</f>
        <v>0</v>
      </c>
      <c r="E65" s="188" cm="1">
        <f t="array" aca="1" ref="E65" ca="1">IF(AND($R65=2,ACOMPANHAMENTO="BM"),ROUND(E66,4),E67/$S65)</f>
        <v>0</v>
      </c>
      <c r="F65" s="185" cm="1">
        <f t="array" aca="1" ref="F65" ca="1">IF(B65&lt;=ORÇAMENTO.MáximoListaCrono,MATCH(B65,ORÇAMENTO.ListaCrono,0),NA())</f>
        <v>99</v>
      </c>
      <c r="G65" s="185" t="str">
        <f t="shared" ref="G65" ca="1" si="106">IF(AND($F66&lt;&gt;-1,$S65&gt;0),"F","")</f>
        <v>F</v>
      </c>
      <c r="H65" s="189" t="str" cm="1">
        <f t="array" aca="1" ref="H65" ca="1">IF(OR(S65=0,S65=""),"Linha",IF(AND(OR(ACOMPANHAMENTO="PLE",$R65&lt;&gt;2),$F66=0),"Linha",ROUND(1-SUM(U65:AG65),4)))</f>
        <v>Linha</v>
      </c>
      <c r="I65" s="190" t="str">
        <f ca="1">IF($F66=0,OFFSET(ORÇAMENTO!O$15,$F65,0),IF($F66&lt;&gt;-1,OFFSET(QCI!$D$13,$F66,0),""))</f>
        <v>1.17.</v>
      </c>
      <c r="J65" s="191" t="str">
        <f ca="1">IF($F66=0,OFFSET(ORÇAMENTO!R$15,$F65,0),IF($F66&lt;&gt;-1,OFFSET(QCI!$G$13,$F66,0),""))</f>
        <v>INSTALAÇÕES ELETRICAS - Estação Elevatória de Água Tratada</v>
      </c>
      <c r="K65" s="191"/>
      <c r="L65" s="191"/>
      <c r="M65" s="192">
        <f ca="1">IF($F66=0,OFFSET(ORÇAMENTO!C$15,$F65,0),1)</f>
        <v>2</v>
      </c>
      <c r="N65" s="193">
        <f ca="1">IF($F66=-1,0,IF(N$13&lt;=$M65,IF(ISERROR(MATCH(N$13,OFFSET($M65,1,0,ROW($M$92)-ROW($M65)-1),0)),ROW($M$92)-ROW($M65)-1,MATCH(N$13,OFFSET($M65,1,0,ROW($M$92)-ROW($M65)-1),0)-1),0))</f>
        <v>23</v>
      </c>
      <c r="O65" s="193">
        <f ca="1">IF($F66=-1,0,IF(O$13&lt;=$M65,IF(ISERROR(MATCH(O$13,OFFSET($M65,1,0,ROW($M$92)-ROW($M65)-1),0)),ROW($M$92)-ROW($M65)-1,MATCH(O$13,OFFSET($M65,1,0,ROW($M$92)-ROW($M65)-1),0)-1),0))</f>
        <v>2</v>
      </c>
      <c r="P65" s="193">
        <f ca="1">IF($F66=-1,0,IF(P$13&lt;=$M65,IF(ISERROR(MATCH(P$13,OFFSET($M65,1,0,ROW($M$92)-ROW($M65)-1),0)),ROW($M$92)-ROW($M65)-1,MATCH(P$13,OFFSET($M65,1,0,ROW($M$92)-ROW($M65)-1),0)-1),0))</f>
        <v>0</v>
      </c>
      <c r="Q65" s="193">
        <f ca="1">IF($F66=-1,0,IF(Q$13&lt;=$M65,IF(ISERROR(MATCH(Q$13,OFFSET($M65,1,0,ROW($M$92)-ROW($M65)-1),0)),ROW($M$92)-ROW($M65)-1,MATCH(Q$13,OFFSET($M65,1,0,ROW($M$92)-ROW($M65)-1),0)-1),0))</f>
        <v>0</v>
      </c>
      <c r="R65" s="193">
        <f t="shared" ref="R65" ca="1" si="107">MIN(OFFSET(M65,0,1,,M65))</f>
        <v>2</v>
      </c>
      <c r="S65" s="194">
        <f ca="1">IF($F66=0,OFFSET(ORÇAMENTO!X$15,$F65,0),IF($F66&lt;&gt;-1,OFFSET(QCI!$O$13,$F66,0),""))</f>
        <v>136074.57</v>
      </c>
      <c r="T65" s="195" t="s">
        <v>785</v>
      </c>
      <c r="U65" s="188" cm="1">
        <f t="array" aca="1" ref="U65" ca="1">IF(AND($R65=2,ACOMPANHAMENTO="BM"),ROUND(U66,4),U67/$S65)</f>
        <v>0</v>
      </c>
      <c r="V65" s="188" cm="1">
        <f t="array" aca="1" ref="V65" ca="1">IF(AND($R65=2,ACOMPANHAMENTO="BM"),ROUND(V66,4),V67/$S65)</f>
        <v>0</v>
      </c>
      <c r="W65" s="188" cm="1">
        <f t="array" aca="1" ref="W65" ca="1">IF(AND($R65=2,ACOMPANHAMENTO="BM"),ROUND(W66,4),W67/$S65)</f>
        <v>0</v>
      </c>
      <c r="X65" s="188" cm="1">
        <f t="array" aca="1" ref="X65" ca="1">IF(AND($R65=2,ACOMPANHAMENTO="BM"),ROUND(X66,4),X67/$S65)</f>
        <v>0</v>
      </c>
      <c r="Y65" s="188" cm="1">
        <f t="array" aca="1" ref="Y65" ca="1">IF(AND($R65=2,ACOMPANHAMENTO="BM"),ROUND(Y66,4),Y67/$S65)</f>
        <v>0</v>
      </c>
      <c r="Z65" s="188" cm="1">
        <f t="array" aca="1" ref="Z65" ca="1">IF(AND($R65=2,ACOMPANHAMENTO="BM"),ROUND(Z66,4),Z67/$S65)</f>
        <v>0</v>
      </c>
      <c r="AA65" s="188" cm="1">
        <f t="array" aca="1" ref="AA65" ca="1">IF(AND($R65=2,ACOMPANHAMENTO="BM"),ROUND(AA66,4),AA67/$S65)</f>
        <v>0</v>
      </c>
      <c r="AB65" s="188" cm="1">
        <f t="array" aca="1" ref="AB65" ca="1">IF(AND($R65=2,ACOMPANHAMENTO="BM"),ROUND(AB66,4),AB67/$S65)</f>
        <v>0</v>
      </c>
      <c r="AC65" s="188" cm="1">
        <f t="array" aca="1" ref="AC65" ca="1">IF(AND($R65=2,ACOMPANHAMENTO="BM"),ROUND(AC66,4),AC67/$S65)</f>
        <v>1</v>
      </c>
      <c r="AD65" s="188" cm="1">
        <f t="array" aca="1" ref="AD65" ca="1">IF(AND($R65=2,ACOMPANHAMENTO="BM"),ROUND(AD66,4),AD67/$S65)</f>
        <v>0</v>
      </c>
      <c r="AE65" s="188" cm="1">
        <f t="array" aca="1" ref="AE65" ca="1">IF(AND($R65=2,ACOMPANHAMENTO="BM"),ROUND(AE66,4),AE67/$S65)</f>
        <v>0</v>
      </c>
      <c r="AF65" s="188" cm="1">
        <f t="array" aca="1" ref="AF65" ca="1">IF(AND($R65=2,ACOMPANHAMENTO="BM"),ROUND(AF66,4),AF67/$S65)</f>
        <v>0</v>
      </c>
      <c r="AG65" s="534"/>
    </row>
    <row r="66" spans="1:33" ht="12.75" hidden="1" customHeight="1" x14ac:dyDescent="0.2">
      <c r="E66" s="587"/>
      <c r="F66" s="185">
        <f ca="1">IF(ISERROR(F65),IF(1+COUNTIF($M$13:OFFSET(M65,-1,0),1)&lt;=MAX(QCI!$D$13:$D$24),1+COUNTIF($M$13:OFFSET(M65,-1,0),1),-1),0)</f>
        <v>0</v>
      </c>
      <c r="G66" s="185" t="str" cm="1">
        <f t="array" aca="1" ref="G66" ca="1">IF(ACOMPANHAMENTO="BM",OFFSET(G66,-1,0),"")</f>
        <v/>
      </c>
      <c r="H66" s="196" t="str" cm="1">
        <f t="array" aca="1" ref="H66" ca="1">IF(OR(S65=0,S65=""),"vazia",IF(AND(OR(ACOMPANHAMENTO="PLE",$R65&lt;&gt;2),$F66=0),"calculada","--&gt;"))</f>
        <v>calculada</v>
      </c>
      <c r="I66" s="197"/>
      <c r="J66" s="198" t="str">
        <f t="shared" ref="J66" ca="1" si="108">IF(AND(H65&lt;&gt;0,ISNUMBER(H65)),"PREENCHA ESTA LINHA --&gt;","")</f>
        <v/>
      </c>
      <c r="K66" s="198"/>
      <c r="L66" s="198"/>
      <c r="M66" s="199"/>
      <c r="N66" s="199"/>
      <c r="O66" s="199"/>
      <c r="P66" s="199"/>
      <c r="Q66" s="199"/>
      <c r="R66" s="199"/>
      <c r="S66" s="200"/>
      <c r="T66" s="201"/>
      <c r="U66" s="587"/>
      <c r="V66" s="587"/>
      <c r="W66" s="587"/>
      <c r="X66" s="587"/>
      <c r="Y66" s="587"/>
      <c r="Z66" s="587"/>
      <c r="AA66" s="587"/>
      <c r="AB66" s="587"/>
      <c r="AC66" s="587"/>
      <c r="AD66" s="587"/>
      <c r="AE66" s="587"/>
      <c r="AF66" s="587"/>
      <c r="AG66" s="534"/>
    </row>
    <row r="67" spans="1:33" ht="12.75" hidden="1" customHeight="1" x14ac:dyDescent="0.2">
      <c r="D67" s="533"/>
      <c r="E67" s="202" cm="1">
        <f t="array" aca="1" ref="E67" ca="1">IF($R65=2,
         IF(AND(ACOMPANHAMENTO="PLE",ISNUMBER($F65)),
                SUMIF((OFFSET(CÁLCULO!$BC$15:$BU$15,$F65,0,OFFSET(ORÇAMENTO!$D$15,CRONO!$F65,0))),CRONO!E$12,OFFSET(CÁLCULO!$AJ$15:$BB$15,$F65,0,OFFSET(ORÇAMENTO!$D$15,CRONO!$F65,0)))
                +IF(AND($F67&lt;&gt;"",$F67&lt;&gt;0),
                        SUMIF(CÁLCULO!$BC$15:$BU$191,CRONO!E$12,CÁLCULO!$AJ$15:$BB$191)/(ORÇAMENTO!$X$15-CÁLCULO.TotalAdmLocal)*CRONO!$F67,
                        0),
                 E66*$S65),
          SUMIF(OFFSET($S67,1,0,$R65-2),($M65+1)&amp;"$",OFFSET(E67,1,0,$R65-2)))</f>
        <v>0</v>
      </c>
      <c r="F67" s="185">
        <f ca="1">IF(OR($R65&lt;&gt;2,AUTOEVENTO&lt;&gt;"manual",$F66&gt;0),"",
        IF(Import.TipoArredondamento="Tradicional",
              SUMIF(OFFSET(CÁLCULO!$M$15,CRONO!$F65,0,OFFSET(ORÇAMENTO!$D$15,CRONO!$F65,0)),1,OFFSET(ORÇAMENTO!$X$15,CRONO!$F65,0,OFFSET(ORÇAMENTO!$D$15,CRONO!$F65,0))),
              0))</f>
        <v>0</v>
      </c>
      <c r="H67" s="736"/>
      <c r="S67" s="204" t="str">
        <f t="shared" ref="S67" ca="1" si="109">M65&amp;"$"</f>
        <v>2$</v>
      </c>
      <c r="T67" s="205"/>
      <c r="U67" s="202" cm="1">
        <f t="array" aca="1" ref="U67" ca="1">IF($R65=2,
         IF(AND(ACOMPANHAMENTO="PLE",ISNUMBER($F65)),
                SUMIF((OFFSET(CÁLCULO!$BC$15:$BU$15,$F65,0,OFFSET(ORÇAMENTO!$D$15,CRONO!$F65,0))),CRONO!U$12,OFFSET(CÁLCULO!$AJ$15:$BB$15,$F65,0,OFFSET(ORÇAMENTO!$D$15,CRONO!$F65,0)))
                +IF(AND($F67&lt;&gt;"",$F67&lt;&gt;0),
                        SUMIF(CÁLCULO!$BC$15:$BU$191,CRONO!U$12,CÁLCULO!$AJ$15:$BB$191)/(ORÇAMENTO!$X$15-CÁLCULO.TotalAdmLocal)*CRONO!$F67,
                        0),
                 U66*$S65),
          SUMIF(OFFSET($S67,1,0,$R65-2),($M65+1)&amp;"$",OFFSET(U67,1,0,$R65-2)))</f>
        <v>0</v>
      </c>
      <c r="V67" s="202" cm="1">
        <f t="array" aca="1" ref="V67" ca="1">IF($R65=2,
         IF(AND(ACOMPANHAMENTO="PLE",ISNUMBER($F65)),
                SUMIF((OFFSET(CÁLCULO!$BC$15:$BU$15,$F65,0,OFFSET(ORÇAMENTO!$D$15,CRONO!$F65,0))),CRONO!V$12,OFFSET(CÁLCULO!$AJ$15:$BB$15,$F65,0,OFFSET(ORÇAMENTO!$D$15,CRONO!$F65,0)))
                +IF(AND($F67&lt;&gt;"",$F67&lt;&gt;0),
                        SUMIF(CÁLCULO!$BC$15:$BU$191,CRONO!V$12,CÁLCULO!$AJ$15:$BB$191)/(ORÇAMENTO!$X$15-CÁLCULO.TotalAdmLocal)*CRONO!$F67,
                        0),
                 V66*$S65),
          SUMIF(OFFSET($S67,1,0,$R65-2),($M65+1)&amp;"$",OFFSET(V67,1,0,$R65-2)))</f>
        <v>0</v>
      </c>
      <c r="W67" s="202" cm="1">
        <f t="array" aca="1" ref="W67" ca="1">IF($R65=2,
         IF(AND(ACOMPANHAMENTO="PLE",ISNUMBER($F65)),
                SUMIF((OFFSET(CÁLCULO!$BC$15:$BU$15,$F65,0,OFFSET(ORÇAMENTO!$D$15,CRONO!$F65,0))),CRONO!W$12,OFFSET(CÁLCULO!$AJ$15:$BB$15,$F65,0,OFFSET(ORÇAMENTO!$D$15,CRONO!$F65,0)))
                +IF(AND($F67&lt;&gt;"",$F67&lt;&gt;0),
                        SUMIF(CÁLCULO!$BC$15:$BU$191,CRONO!W$12,CÁLCULO!$AJ$15:$BB$191)/(ORÇAMENTO!$X$15-CÁLCULO.TotalAdmLocal)*CRONO!$F67,
                        0),
                 W66*$S65),
          SUMIF(OFFSET($S67,1,0,$R65-2),($M65+1)&amp;"$",OFFSET(W67,1,0,$R65-2)))</f>
        <v>0</v>
      </c>
      <c r="X67" s="202" cm="1">
        <f t="array" aca="1" ref="X67" ca="1">IF($R65=2,
         IF(AND(ACOMPANHAMENTO="PLE",ISNUMBER($F65)),
                SUMIF((OFFSET(CÁLCULO!$BC$15:$BU$15,$F65,0,OFFSET(ORÇAMENTO!$D$15,CRONO!$F65,0))),CRONO!X$12,OFFSET(CÁLCULO!$AJ$15:$BB$15,$F65,0,OFFSET(ORÇAMENTO!$D$15,CRONO!$F65,0)))
                +IF(AND($F67&lt;&gt;"",$F67&lt;&gt;0),
                        SUMIF(CÁLCULO!$BC$15:$BU$191,CRONO!X$12,CÁLCULO!$AJ$15:$BB$191)/(ORÇAMENTO!$X$15-CÁLCULO.TotalAdmLocal)*CRONO!$F67,
                        0),
                 X66*$S65),
          SUMIF(OFFSET($S67,1,0,$R65-2),($M65+1)&amp;"$",OFFSET(X67,1,0,$R65-2)))</f>
        <v>0</v>
      </c>
      <c r="Y67" s="202" cm="1">
        <f t="array" aca="1" ref="Y67" ca="1">IF($R65=2,
         IF(AND(ACOMPANHAMENTO="PLE",ISNUMBER($F65)),
                SUMIF((OFFSET(CÁLCULO!$BC$15:$BU$15,$F65,0,OFFSET(ORÇAMENTO!$D$15,CRONO!$F65,0))),CRONO!Y$12,OFFSET(CÁLCULO!$AJ$15:$BB$15,$F65,0,OFFSET(ORÇAMENTO!$D$15,CRONO!$F65,0)))
                +IF(AND($F67&lt;&gt;"",$F67&lt;&gt;0),
                        SUMIF(CÁLCULO!$BC$15:$BU$191,CRONO!Y$12,CÁLCULO!$AJ$15:$BB$191)/(ORÇAMENTO!$X$15-CÁLCULO.TotalAdmLocal)*CRONO!$F67,
                        0),
                 Y66*$S65),
          SUMIF(OFFSET($S67,1,0,$R65-2),($M65+1)&amp;"$",OFFSET(Y67,1,0,$R65-2)))</f>
        <v>0</v>
      </c>
      <c r="Z67" s="202" cm="1">
        <f t="array" aca="1" ref="Z67" ca="1">IF($R65=2,
         IF(AND(ACOMPANHAMENTO="PLE",ISNUMBER($F65)),
                SUMIF((OFFSET(CÁLCULO!$BC$15:$BU$15,$F65,0,OFFSET(ORÇAMENTO!$D$15,CRONO!$F65,0))),CRONO!Z$12,OFFSET(CÁLCULO!$AJ$15:$BB$15,$F65,0,OFFSET(ORÇAMENTO!$D$15,CRONO!$F65,0)))
                +IF(AND($F67&lt;&gt;"",$F67&lt;&gt;0),
                        SUMIF(CÁLCULO!$BC$15:$BU$191,CRONO!Z$12,CÁLCULO!$AJ$15:$BB$191)/(ORÇAMENTO!$X$15-CÁLCULO.TotalAdmLocal)*CRONO!$F67,
                        0),
                 Z66*$S65),
          SUMIF(OFFSET($S67,1,0,$R65-2),($M65+1)&amp;"$",OFFSET(Z67,1,0,$R65-2)))</f>
        <v>0</v>
      </c>
      <c r="AA67" s="202" cm="1">
        <f t="array" aca="1" ref="AA67" ca="1">IF($R65=2,
         IF(AND(ACOMPANHAMENTO="PLE",ISNUMBER($F65)),
                SUMIF((OFFSET(CÁLCULO!$BC$15:$BU$15,$F65,0,OFFSET(ORÇAMENTO!$D$15,CRONO!$F65,0))),CRONO!AA$12,OFFSET(CÁLCULO!$AJ$15:$BB$15,$F65,0,OFFSET(ORÇAMENTO!$D$15,CRONO!$F65,0)))
                +IF(AND($F67&lt;&gt;"",$F67&lt;&gt;0),
                        SUMIF(CÁLCULO!$BC$15:$BU$191,CRONO!AA$12,CÁLCULO!$AJ$15:$BB$191)/(ORÇAMENTO!$X$15-CÁLCULO.TotalAdmLocal)*CRONO!$F67,
                        0),
                 AA66*$S65),
          SUMIF(OFFSET($S67,1,0,$R65-2),($M65+1)&amp;"$",OFFSET(AA67,1,0,$R65-2)))</f>
        <v>0</v>
      </c>
      <c r="AB67" s="202" cm="1">
        <f t="array" aca="1" ref="AB67" ca="1">IF($R65=2,
         IF(AND(ACOMPANHAMENTO="PLE",ISNUMBER($F65)),
                SUMIF((OFFSET(CÁLCULO!$BC$15:$BU$15,$F65,0,OFFSET(ORÇAMENTO!$D$15,CRONO!$F65,0))),CRONO!AB$12,OFFSET(CÁLCULO!$AJ$15:$BB$15,$F65,0,OFFSET(ORÇAMENTO!$D$15,CRONO!$F65,0)))
                +IF(AND($F67&lt;&gt;"",$F67&lt;&gt;0),
                        SUMIF(CÁLCULO!$BC$15:$BU$191,CRONO!AB$12,CÁLCULO!$AJ$15:$BB$191)/(ORÇAMENTO!$X$15-CÁLCULO.TotalAdmLocal)*CRONO!$F67,
                        0),
                 AB66*$S65),
          SUMIF(OFFSET($S67,1,0,$R65-2),($M65+1)&amp;"$",OFFSET(AB67,1,0,$R65-2)))</f>
        <v>0</v>
      </c>
      <c r="AC67" s="202" cm="1">
        <f t="array" aca="1" ref="AC67" ca="1">IF($R65=2,
         IF(AND(ACOMPANHAMENTO="PLE",ISNUMBER($F65)),
                SUMIF((OFFSET(CÁLCULO!$BC$15:$BU$15,$F65,0,OFFSET(ORÇAMENTO!$D$15,CRONO!$F65,0))),CRONO!AC$12,OFFSET(CÁLCULO!$AJ$15:$BB$15,$F65,0,OFFSET(ORÇAMENTO!$D$15,CRONO!$F65,0)))
                +IF(AND($F67&lt;&gt;"",$F67&lt;&gt;0),
                        SUMIF(CÁLCULO!$BC$15:$BU$191,CRONO!AC$12,CÁLCULO!$AJ$15:$BB$191)/(ORÇAMENTO!$X$15-CÁLCULO.TotalAdmLocal)*CRONO!$F67,
                        0),
                 AC66*$S65),
          SUMIF(OFFSET($S67,1,0,$R65-2),($M65+1)&amp;"$",OFFSET(AC67,1,0,$R65-2)))</f>
        <v>136074.57</v>
      </c>
      <c r="AD67" s="202" cm="1">
        <f t="array" aca="1" ref="AD67" ca="1">IF($R65=2,
         IF(AND(ACOMPANHAMENTO="PLE",ISNUMBER($F65)),
                SUMIF((OFFSET(CÁLCULO!$BC$15:$BU$15,$F65,0,OFFSET(ORÇAMENTO!$D$15,CRONO!$F65,0))),CRONO!AD$12,OFFSET(CÁLCULO!$AJ$15:$BB$15,$F65,0,OFFSET(ORÇAMENTO!$D$15,CRONO!$F65,0)))
                +IF(AND($F67&lt;&gt;"",$F67&lt;&gt;0),
                        SUMIF(CÁLCULO!$BC$15:$BU$191,CRONO!AD$12,CÁLCULO!$AJ$15:$BB$191)/(ORÇAMENTO!$X$15-CÁLCULO.TotalAdmLocal)*CRONO!$F67,
                        0),
                 AD66*$S65),
          SUMIF(OFFSET($S67,1,0,$R65-2),($M65+1)&amp;"$",OFFSET(AD67,1,0,$R65-2)))</f>
        <v>0</v>
      </c>
      <c r="AE67" s="202" cm="1">
        <f t="array" aca="1" ref="AE67" ca="1">IF($R65=2,
         IF(AND(ACOMPANHAMENTO="PLE",ISNUMBER($F65)),
                SUMIF((OFFSET(CÁLCULO!$BC$15:$BU$15,$F65,0,OFFSET(ORÇAMENTO!$D$15,CRONO!$F65,0))),CRONO!AE$12,OFFSET(CÁLCULO!$AJ$15:$BB$15,$F65,0,OFFSET(ORÇAMENTO!$D$15,CRONO!$F65,0)))
                +IF(AND($F67&lt;&gt;"",$F67&lt;&gt;0),
                        SUMIF(CÁLCULO!$BC$15:$BU$191,CRONO!AE$12,CÁLCULO!$AJ$15:$BB$191)/(ORÇAMENTO!$X$15-CÁLCULO.TotalAdmLocal)*CRONO!$F67,
                        0),
                 AE66*$S65),
          SUMIF(OFFSET($S67,1,0,$R65-2),($M65+1)&amp;"$",OFFSET(AE67,1,0,$R65-2)))</f>
        <v>0</v>
      </c>
      <c r="AF67" s="202" cm="1">
        <f t="array" aca="1" ref="AF67" ca="1">IF($R65=2,
         IF(AND(ACOMPANHAMENTO="PLE",ISNUMBER($F65)),
                SUMIF((OFFSET(CÁLCULO!$BC$15:$BU$15,$F65,0,OFFSET(ORÇAMENTO!$D$15,CRONO!$F65,0))),CRONO!AF$12,OFFSET(CÁLCULO!$AJ$15:$BB$15,$F65,0,OFFSET(ORÇAMENTO!$D$15,CRONO!$F65,0)))
                +IF(AND($F67&lt;&gt;"",$F67&lt;&gt;0),
                        SUMIF(CÁLCULO!$BC$15:$BU$191,CRONO!AF$12,CÁLCULO!$AJ$15:$BB$191)/(ORÇAMENTO!$X$15-CÁLCULO.TotalAdmLocal)*CRONO!$F67,
                        0),
                 AF66*$S65),
          SUMIF(OFFSET($S67,1,0,$R65-2),($M65+1)&amp;"$",OFFSET(AF67,1,0,$R65-2)))</f>
        <v>0</v>
      </c>
      <c r="AG67" s="534"/>
    </row>
    <row r="68" spans="1:33" x14ac:dyDescent="0.2">
      <c r="A68" s="186" t="str">
        <f t="shared" ref="A68" ca="1" si="110">IF($M68&gt;1,_xlfn.CONCAT($I68," ",$J68),"")</f>
        <v>1.18. ESQUADRIAS - Estação Elevatória de Água Tratada</v>
      </c>
      <c r="B68" s="185">
        <f t="shared" ref="B68" ca="1" si="111">OFFSET(B68,-3,0)+1</f>
        <v>19</v>
      </c>
      <c r="C68" s="185">
        <f ca="1">IF($R68&lt;&gt;2,0,IF($S68=0,1,IF(F69&gt;0,OFFSET(QCI!$M$13,SUBSTITUTE(F69,".",""),0),OFFSET(ORÇAMENTO!$AA$15,CRONO!$F68,0))/$S68))</f>
        <v>0</v>
      </c>
      <c r="D68" s="185">
        <f ca="1">IF($R68&lt;&gt;2,0,IF($S68=0,1,IF(F69&gt;0,OFFSET(QCI!$N$13,SUBSTITUTE(F69,".",""),0),OFFSET(ORÇAMENTO!$AB$15,CRONO!$F68,0))/$S68))</f>
        <v>0</v>
      </c>
      <c r="E68" s="188" cm="1">
        <f t="array" aca="1" ref="E68" ca="1">IF(AND($R68=2,ACOMPANHAMENTO="BM"),ROUND(E69,4),E70/$S68)</f>
        <v>0</v>
      </c>
      <c r="F68" s="185" cm="1">
        <f t="array" aca="1" ref="F68" ca="1">IF(B68&lt;=ORÇAMENTO.MáximoListaCrono,MATCH(B68,ORÇAMENTO.ListaCrono,0),NA())</f>
        <v>126</v>
      </c>
      <c r="G68" s="185" t="str">
        <f t="shared" ref="G68" ca="1" si="112">IF(AND($F69&lt;&gt;-1,$S68&gt;0),"F","")</f>
        <v>F</v>
      </c>
      <c r="H68" s="189" t="str" cm="1">
        <f t="array" aca="1" ref="H68" ca="1">IF(OR(S68=0,S68=""),"Linha",IF(AND(OR(ACOMPANHAMENTO="PLE",$R68&lt;&gt;2),$F69=0),"Linha",ROUND(1-SUM(U68:AG68),4)))</f>
        <v>Linha</v>
      </c>
      <c r="I68" s="190" t="str">
        <f ca="1">IF($F69=0,OFFSET(ORÇAMENTO!O$15,$F68,0),IF($F69&lt;&gt;-1,OFFSET(QCI!$D$13,$F69,0),""))</f>
        <v>1.18.</v>
      </c>
      <c r="J68" s="191" t="str">
        <f ca="1">IF($F69=0,OFFSET(ORÇAMENTO!R$15,$F68,0),IF($F69&lt;&gt;-1,OFFSET(QCI!$G$13,$F69,0),""))</f>
        <v>ESQUADRIAS - Estação Elevatória de Água Tratada</v>
      </c>
      <c r="K68" s="191"/>
      <c r="L68" s="191"/>
      <c r="M68" s="192">
        <f ca="1">IF($F69=0,OFFSET(ORÇAMENTO!C$15,$F68,0),1)</f>
        <v>2</v>
      </c>
      <c r="N68" s="193">
        <f ca="1">IF($F69=-1,0,IF(N$13&lt;=$M68,IF(ISERROR(MATCH(N$13,OFFSET($M68,1,0,ROW($M$92)-ROW($M68)-1),0)),ROW($M$92)-ROW($M68)-1,MATCH(N$13,OFFSET($M68,1,0,ROW($M$92)-ROW($M68)-1),0)-1),0))</f>
        <v>20</v>
      </c>
      <c r="O68" s="193">
        <f ca="1">IF($F69=-1,0,IF(O$13&lt;=$M68,IF(ISERROR(MATCH(O$13,OFFSET($M68,1,0,ROW($M$92)-ROW($M68)-1),0)),ROW($M$92)-ROW($M68)-1,MATCH(O$13,OFFSET($M68,1,0,ROW($M$92)-ROW($M68)-1),0)-1),0))</f>
        <v>2</v>
      </c>
      <c r="P68" s="193">
        <f ca="1">IF($F69=-1,0,IF(P$13&lt;=$M68,IF(ISERROR(MATCH(P$13,OFFSET($M68,1,0,ROW($M$92)-ROW($M68)-1),0)),ROW($M$92)-ROW($M68)-1,MATCH(P$13,OFFSET($M68,1,0,ROW($M$92)-ROW($M68)-1),0)-1),0))</f>
        <v>0</v>
      </c>
      <c r="Q68" s="193">
        <f ca="1">IF($F69=-1,0,IF(Q$13&lt;=$M68,IF(ISERROR(MATCH(Q$13,OFFSET($M68,1,0,ROW($M$92)-ROW($M68)-1),0)),ROW($M$92)-ROW($M68)-1,MATCH(Q$13,OFFSET($M68,1,0,ROW($M$92)-ROW($M68)-1),0)-1),0))</f>
        <v>0</v>
      </c>
      <c r="R68" s="193">
        <f t="shared" ref="R68" ca="1" si="113">MIN(OFFSET(M68,0,1,,M68))</f>
        <v>2</v>
      </c>
      <c r="S68" s="194">
        <f ca="1">IF($F69=0,OFFSET(ORÇAMENTO!X$15,$F68,0),IF($F69&lt;&gt;-1,OFFSET(QCI!$O$13,$F69,0),""))</f>
        <v>2542.14</v>
      </c>
      <c r="T68" s="195" t="s">
        <v>785</v>
      </c>
      <c r="U68" s="188" cm="1">
        <f t="array" aca="1" ref="U68" ca="1">IF(AND($R68=2,ACOMPANHAMENTO="BM"),ROUND(U69,4),U70/$S68)</f>
        <v>0</v>
      </c>
      <c r="V68" s="188" cm="1">
        <f t="array" aca="1" ref="V68" ca="1">IF(AND($R68=2,ACOMPANHAMENTO="BM"),ROUND(V69,4),V70/$S68)</f>
        <v>0</v>
      </c>
      <c r="W68" s="188" cm="1">
        <f t="array" aca="1" ref="W68" ca="1">IF(AND($R68=2,ACOMPANHAMENTO="BM"),ROUND(W69,4),W70/$S68)</f>
        <v>0</v>
      </c>
      <c r="X68" s="188" cm="1">
        <f t="array" aca="1" ref="X68" ca="1">IF(AND($R68=2,ACOMPANHAMENTO="BM"),ROUND(X69,4),X70/$S68)</f>
        <v>0</v>
      </c>
      <c r="Y68" s="188" cm="1">
        <f t="array" aca="1" ref="Y68" ca="1">IF(AND($R68=2,ACOMPANHAMENTO="BM"),ROUND(Y69,4),Y70/$S68)</f>
        <v>0</v>
      </c>
      <c r="Z68" s="188" cm="1">
        <f t="array" aca="1" ref="Z68" ca="1">IF(AND($R68=2,ACOMPANHAMENTO="BM"),ROUND(Z69,4),Z70/$S68)</f>
        <v>0</v>
      </c>
      <c r="AA68" s="188" cm="1">
        <f t="array" aca="1" ref="AA68" ca="1">IF(AND($R68=2,ACOMPANHAMENTO="BM"),ROUND(AA69,4),AA70/$S68)</f>
        <v>0</v>
      </c>
      <c r="AB68" s="188" cm="1">
        <f t="array" aca="1" ref="AB68" ca="1">IF(AND($R68=2,ACOMPANHAMENTO="BM"),ROUND(AB69,4),AB70/$S68)</f>
        <v>0</v>
      </c>
      <c r="AC68" s="188" cm="1">
        <f t="array" aca="1" ref="AC68" ca="1">IF(AND($R68=2,ACOMPANHAMENTO="BM"),ROUND(AC69,4),AC70/$S68)</f>
        <v>0</v>
      </c>
      <c r="AD68" s="188" cm="1">
        <f t="array" aca="1" ref="AD68" ca="1">IF(AND($R68=2,ACOMPANHAMENTO="BM"),ROUND(AD69,4),AD70/$S68)</f>
        <v>1</v>
      </c>
      <c r="AE68" s="188" cm="1">
        <f t="array" aca="1" ref="AE68" ca="1">IF(AND($R68=2,ACOMPANHAMENTO="BM"),ROUND(AE69,4),AE70/$S68)</f>
        <v>0</v>
      </c>
      <c r="AF68" s="188" cm="1">
        <f t="array" aca="1" ref="AF68" ca="1">IF(AND($R68=2,ACOMPANHAMENTO="BM"),ROUND(AF69,4),AF70/$S68)</f>
        <v>0</v>
      </c>
      <c r="AG68" s="534"/>
    </row>
    <row r="69" spans="1:33" ht="12.75" hidden="1" customHeight="1" x14ac:dyDescent="0.2">
      <c r="E69" s="587"/>
      <c r="F69" s="185">
        <f ca="1">IF(ISERROR(F68),IF(1+COUNTIF($M$13:OFFSET(M68,-1,0),1)&lt;=MAX(QCI!$D$13:$D$24),1+COUNTIF($M$13:OFFSET(M68,-1,0),1),-1),0)</f>
        <v>0</v>
      </c>
      <c r="G69" s="185" t="str" cm="1">
        <f t="array" aca="1" ref="G69" ca="1">IF(ACOMPANHAMENTO="BM",OFFSET(G69,-1,0),"")</f>
        <v/>
      </c>
      <c r="H69" s="196" t="str" cm="1">
        <f t="array" aca="1" ref="H69" ca="1">IF(OR(S68=0,S68=""),"vazia",IF(AND(OR(ACOMPANHAMENTO="PLE",$R68&lt;&gt;2),$F69=0),"calculada","--&gt;"))</f>
        <v>calculada</v>
      </c>
      <c r="I69" s="197"/>
      <c r="J69" s="198" t="str">
        <f t="shared" ref="J69" ca="1" si="114">IF(AND(H68&lt;&gt;0,ISNUMBER(H68)),"PREENCHA ESTA LINHA --&gt;","")</f>
        <v/>
      </c>
      <c r="K69" s="198"/>
      <c r="L69" s="198"/>
      <c r="M69" s="199"/>
      <c r="N69" s="199"/>
      <c r="O69" s="199"/>
      <c r="P69" s="199"/>
      <c r="Q69" s="199"/>
      <c r="R69" s="199"/>
      <c r="S69" s="200"/>
      <c r="T69" s="201"/>
      <c r="U69" s="587"/>
      <c r="V69" s="587"/>
      <c r="W69" s="587"/>
      <c r="X69" s="587"/>
      <c r="Y69" s="587"/>
      <c r="Z69" s="587"/>
      <c r="AA69" s="587"/>
      <c r="AB69" s="587"/>
      <c r="AC69" s="587"/>
      <c r="AD69" s="587"/>
      <c r="AE69" s="587"/>
      <c r="AF69" s="587"/>
      <c r="AG69" s="534"/>
    </row>
    <row r="70" spans="1:33" ht="12.75" hidden="1" customHeight="1" x14ac:dyDescent="0.2">
      <c r="D70" s="533"/>
      <c r="E70" s="202" cm="1">
        <f t="array" aca="1" ref="E70" ca="1">IF($R68=2,
         IF(AND(ACOMPANHAMENTO="PLE",ISNUMBER($F68)),
                SUMIF((OFFSET(CÁLCULO!$BC$15:$BU$15,$F68,0,OFFSET(ORÇAMENTO!$D$15,CRONO!$F68,0))),CRONO!E$12,OFFSET(CÁLCULO!$AJ$15:$BB$15,$F68,0,OFFSET(ORÇAMENTO!$D$15,CRONO!$F68,0)))
                +IF(AND($F70&lt;&gt;"",$F70&lt;&gt;0),
                        SUMIF(CÁLCULO!$BC$15:$BU$191,CRONO!E$12,CÁLCULO!$AJ$15:$BB$191)/(ORÇAMENTO!$X$15-CÁLCULO.TotalAdmLocal)*CRONO!$F70,
                        0),
                 E69*$S68),
          SUMIF(OFFSET($S70,1,0,$R68-2),($M68+1)&amp;"$",OFFSET(E70,1,0,$R68-2)))</f>
        <v>0</v>
      </c>
      <c r="F70" s="185">
        <f ca="1">IF(OR($R68&lt;&gt;2,AUTOEVENTO&lt;&gt;"manual",$F69&gt;0),"",
        IF(Import.TipoArredondamento="Tradicional",
              SUMIF(OFFSET(CÁLCULO!$M$15,CRONO!$F68,0,OFFSET(ORÇAMENTO!$D$15,CRONO!$F68,0)),1,OFFSET(ORÇAMENTO!$X$15,CRONO!$F68,0,OFFSET(ORÇAMENTO!$D$15,CRONO!$F68,0))),
              0))</f>
        <v>0</v>
      </c>
      <c r="H70" s="736"/>
      <c r="S70" s="204" t="str">
        <f t="shared" ref="S70" ca="1" si="115">M68&amp;"$"</f>
        <v>2$</v>
      </c>
      <c r="T70" s="205"/>
      <c r="U70" s="202" cm="1">
        <f t="array" aca="1" ref="U70" ca="1">IF($R68=2,
         IF(AND(ACOMPANHAMENTO="PLE",ISNUMBER($F68)),
                SUMIF((OFFSET(CÁLCULO!$BC$15:$BU$15,$F68,0,OFFSET(ORÇAMENTO!$D$15,CRONO!$F68,0))),CRONO!U$12,OFFSET(CÁLCULO!$AJ$15:$BB$15,$F68,0,OFFSET(ORÇAMENTO!$D$15,CRONO!$F68,0)))
                +IF(AND($F70&lt;&gt;"",$F70&lt;&gt;0),
                        SUMIF(CÁLCULO!$BC$15:$BU$191,CRONO!U$12,CÁLCULO!$AJ$15:$BB$191)/(ORÇAMENTO!$X$15-CÁLCULO.TotalAdmLocal)*CRONO!$F70,
                        0),
                 U69*$S68),
          SUMIF(OFFSET($S70,1,0,$R68-2),($M68+1)&amp;"$",OFFSET(U70,1,0,$R68-2)))</f>
        <v>0</v>
      </c>
      <c r="V70" s="202" cm="1">
        <f t="array" aca="1" ref="V70" ca="1">IF($R68=2,
         IF(AND(ACOMPANHAMENTO="PLE",ISNUMBER($F68)),
                SUMIF((OFFSET(CÁLCULO!$BC$15:$BU$15,$F68,0,OFFSET(ORÇAMENTO!$D$15,CRONO!$F68,0))),CRONO!V$12,OFFSET(CÁLCULO!$AJ$15:$BB$15,$F68,0,OFFSET(ORÇAMENTO!$D$15,CRONO!$F68,0)))
                +IF(AND($F70&lt;&gt;"",$F70&lt;&gt;0),
                        SUMIF(CÁLCULO!$BC$15:$BU$191,CRONO!V$12,CÁLCULO!$AJ$15:$BB$191)/(ORÇAMENTO!$X$15-CÁLCULO.TotalAdmLocal)*CRONO!$F70,
                        0),
                 V69*$S68),
          SUMIF(OFFSET($S70,1,0,$R68-2),($M68+1)&amp;"$",OFFSET(V70,1,0,$R68-2)))</f>
        <v>0</v>
      </c>
      <c r="W70" s="202" cm="1">
        <f t="array" aca="1" ref="W70" ca="1">IF($R68=2,
         IF(AND(ACOMPANHAMENTO="PLE",ISNUMBER($F68)),
                SUMIF((OFFSET(CÁLCULO!$BC$15:$BU$15,$F68,0,OFFSET(ORÇAMENTO!$D$15,CRONO!$F68,0))),CRONO!W$12,OFFSET(CÁLCULO!$AJ$15:$BB$15,$F68,0,OFFSET(ORÇAMENTO!$D$15,CRONO!$F68,0)))
                +IF(AND($F70&lt;&gt;"",$F70&lt;&gt;0),
                        SUMIF(CÁLCULO!$BC$15:$BU$191,CRONO!W$12,CÁLCULO!$AJ$15:$BB$191)/(ORÇAMENTO!$X$15-CÁLCULO.TotalAdmLocal)*CRONO!$F70,
                        0),
                 W69*$S68),
          SUMIF(OFFSET($S70,1,0,$R68-2),($M68+1)&amp;"$",OFFSET(W70,1,0,$R68-2)))</f>
        <v>0</v>
      </c>
      <c r="X70" s="202" cm="1">
        <f t="array" aca="1" ref="X70" ca="1">IF($R68=2,
         IF(AND(ACOMPANHAMENTO="PLE",ISNUMBER($F68)),
                SUMIF((OFFSET(CÁLCULO!$BC$15:$BU$15,$F68,0,OFFSET(ORÇAMENTO!$D$15,CRONO!$F68,0))),CRONO!X$12,OFFSET(CÁLCULO!$AJ$15:$BB$15,$F68,0,OFFSET(ORÇAMENTO!$D$15,CRONO!$F68,0)))
                +IF(AND($F70&lt;&gt;"",$F70&lt;&gt;0),
                        SUMIF(CÁLCULO!$BC$15:$BU$191,CRONO!X$12,CÁLCULO!$AJ$15:$BB$191)/(ORÇAMENTO!$X$15-CÁLCULO.TotalAdmLocal)*CRONO!$F70,
                        0),
                 X69*$S68),
          SUMIF(OFFSET($S70,1,0,$R68-2),($M68+1)&amp;"$",OFFSET(X70,1,0,$R68-2)))</f>
        <v>0</v>
      </c>
      <c r="Y70" s="202" cm="1">
        <f t="array" aca="1" ref="Y70" ca="1">IF($R68=2,
         IF(AND(ACOMPANHAMENTO="PLE",ISNUMBER($F68)),
                SUMIF((OFFSET(CÁLCULO!$BC$15:$BU$15,$F68,0,OFFSET(ORÇAMENTO!$D$15,CRONO!$F68,0))),CRONO!Y$12,OFFSET(CÁLCULO!$AJ$15:$BB$15,$F68,0,OFFSET(ORÇAMENTO!$D$15,CRONO!$F68,0)))
                +IF(AND($F70&lt;&gt;"",$F70&lt;&gt;0),
                        SUMIF(CÁLCULO!$BC$15:$BU$191,CRONO!Y$12,CÁLCULO!$AJ$15:$BB$191)/(ORÇAMENTO!$X$15-CÁLCULO.TotalAdmLocal)*CRONO!$F70,
                        0),
                 Y69*$S68),
          SUMIF(OFFSET($S70,1,0,$R68-2),($M68+1)&amp;"$",OFFSET(Y70,1,0,$R68-2)))</f>
        <v>0</v>
      </c>
      <c r="Z70" s="202" cm="1">
        <f t="array" aca="1" ref="Z70" ca="1">IF($R68=2,
         IF(AND(ACOMPANHAMENTO="PLE",ISNUMBER($F68)),
                SUMIF((OFFSET(CÁLCULO!$BC$15:$BU$15,$F68,0,OFFSET(ORÇAMENTO!$D$15,CRONO!$F68,0))),CRONO!Z$12,OFFSET(CÁLCULO!$AJ$15:$BB$15,$F68,0,OFFSET(ORÇAMENTO!$D$15,CRONO!$F68,0)))
                +IF(AND($F70&lt;&gt;"",$F70&lt;&gt;0),
                        SUMIF(CÁLCULO!$BC$15:$BU$191,CRONO!Z$12,CÁLCULO!$AJ$15:$BB$191)/(ORÇAMENTO!$X$15-CÁLCULO.TotalAdmLocal)*CRONO!$F70,
                        0),
                 Z69*$S68),
          SUMIF(OFFSET($S70,1,0,$R68-2),($M68+1)&amp;"$",OFFSET(Z70,1,0,$R68-2)))</f>
        <v>0</v>
      </c>
      <c r="AA70" s="202" cm="1">
        <f t="array" aca="1" ref="AA70" ca="1">IF($R68=2,
         IF(AND(ACOMPANHAMENTO="PLE",ISNUMBER($F68)),
                SUMIF((OFFSET(CÁLCULO!$BC$15:$BU$15,$F68,0,OFFSET(ORÇAMENTO!$D$15,CRONO!$F68,0))),CRONO!AA$12,OFFSET(CÁLCULO!$AJ$15:$BB$15,$F68,0,OFFSET(ORÇAMENTO!$D$15,CRONO!$F68,0)))
                +IF(AND($F70&lt;&gt;"",$F70&lt;&gt;0),
                        SUMIF(CÁLCULO!$BC$15:$BU$191,CRONO!AA$12,CÁLCULO!$AJ$15:$BB$191)/(ORÇAMENTO!$X$15-CÁLCULO.TotalAdmLocal)*CRONO!$F70,
                        0),
                 AA69*$S68),
          SUMIF(OFFSET($S70,1,0,$R68-2),($M68+1)&amp;"$",OFFSET(AA70,1,0,$R68-2)))</f>
        <v>0</v>
      </c>
      <c r="AB70" s="202" cm="1">
        <f t="array" aca="1" ref="AB70" ca="1">IF($R68=2,
         IF(AND(ACOMPANHAMENTO="PLE",ISNUMBER($F68)),
                SUMIF((OFFSET(CÁLCULO!$BC$15:$BU$15,$F68,0,OFFSET(ORÇAMENTO!$D$15,CRONO!$F68,0))),CRONO!AB$12,OFFSET(CÁLCULO!$AJ$15:$BB$15,$F68,0,OFFSET(ORÇAMENTO!$D$15,CRONO!$F68,0)))
                +IF(AND($F70&lt;&gt;"",$F70&lt;&gt;0),
                        SUMIF(CÁLCULO!$BC$15:$BU$191,CRONO!AB$12,CÁLCULO!$AJ$15:$BB$191)/(ORÇAMENTO!$X$15-CÁLCULO.TotalAdmLocal)*CRONO!$F70,
                        0),
                 AB69*$S68),
          SUMIF(OFFSET($S70,1,0,$R68-2),($M68+1)&amp;"$",OFFSET(AB70,1,0,$R68-2)))</f>
        <v>0</v>
      </c>
      <c r="AC70" s="202" cm="1">
        <f t="array" aca="1" ref="AC70" ca="1">IF($R68=2,
         IF(AND(ACOMPANHAMENTO="PLE",ISNUMBER($F68)),
                SUMIF((OFFSET(CÁLCULO!$BC$15:$BU$15,$F68,0,OFFSET(ORÇAMENTO!$D$15,CRONO!$F68,0))),CRONO!AC$12,OFFSET(CÁLCULO!$AJ$15:$BB$15,$F68,0,OFFSET(ORÇAMENTO!$D$15,CRONO!$F68,0)))
                +IF(AND($F70&lt;&gt;"",$F70&lt;&gt;0),
                        SUMIF(CÁLCULO!$BC$15:$BU$191,CRONO!AC$12,CÁLCULO!$AJ$15:$BB$191)/(ORÇAMENTO!$X$15-CÁLCULO.TotalAdmLocal)*CRONO!$F70,
                        0),
                 AC69*$S68),
          SUMIF(OFFSET($S70,1,0,$R68-2),($M68+1)&amp;"$",OFFSET(AC70,1,0,$R68-2)))</f>
        <v>0</v>
      </c>
      <c r="AD70" s="202" cm="1">
        <f t="array" aca="1" ref="AD70" ca="1">IF($R68=2,
         IF(AND(ACOMPANHAMENTO="PLE",ISNUMBER($F68)),
                SUMIF((OFFSET(CÁLCULO!$BC$15:$BU$15,$F68,0,OFFSET(ORÇAMENTO!$D$15,CRONO!$F68,0))),CRONO!AD$12,OFFSET(CÁLCULO!$AJ$15:$BB$15,$F68,0,OFFSET(ORÇAMENTO!$D$15,CRONO!$F68,0)))
                +IF(AND($F70&lt;&gt;"",$F70&lt;&gt;0),
                        SUMIF(CÁLCULO!$BC$15:$BU$191,CRONO!AD$12,CÁLCULO!$AJ$15:$BB$191)/(ORÇAMENTO!$X$15-CÁLCULO.TotalAdmLocal)*CRONO!$F70,
                        0),
                 AD69*$S68),
          SUMIF(OFFSET($S70,1,0,$R68-2),($M68+1)&amp;"$",OFFSET(AD70,1,0,$R68-2)))</f>
        <v>2542.14</v>
      </c>
      <c r="AE70" s="202" cm="1">
        <f t="array" aca="1" ref="AE70" ca="1">IF($R68=2,
         IF(AND(ACOMPANHAMENTO="PLE",ISNUMBER($F68)),
                SUMIF((OFFSET(CÁLCULO!$BC$15:$BU$15,$F68,0,OFFSET(ORÇAMENTO!$D$15,CRONO!$F68,0))),CRONO!AE$12,OFFSET(CÁLCULO!$AJ$15:$BB$15,$F68,0,OFFSET(ORÇAMENTO!$D$15,CRONO!$F68,0)))
                +IF(AND($F70&lt;&gt;"",$F70&lt;&gt;0),
                        SUMIF(CÁLCULO!$BC$15:$BU$191,CRONO!AE$12,CÁLCULO!$AJ$15:$BB$191)/(ORÇAMENTO!$X$15-CÁLCULO.TotalAdmLocal)*CRONO!$F70,
                        0),
                 AE69*$S68),
          SUMIF(OFFSET($S70,1,0,$R68-2),($M68+1)&amp;"$",OFFSET(AE70,1,0,$R68-2)))</f>
        <v>0</v>
      </c>
      <c r="AF70" s="202" cm="1">
        <f t="array" aca="1" ref="AF70" ca="1">IF($R68=2,
         IF(AND(ACOMPANHAMENTO="PLE",ISNUMBER($F68)),
                SUMIF((OFFSET(CÁLCULO!$BC$15:$BU$15,$F68,0,OFFSET(ORÇAMENTO!$D$15,CRONO!$F68,0))),CRONO!AF$12,OFFSET(CÁLCULO!$AJ$15:$BB$15,$F68,0,OFFSET(ORÇAMENTO!$D$15,CRONO!$F68,0)))
                +IF(AND($F70&lt;&gt;"",$F70&lt;&gt;0),
                        SUMIF(CÁLCULO!$BC$15:$BU$191,CRONO!AF$12,CÁLCULO!$AJ$15:$BB$191)/(ORÇAMENTO!$X$15-CÁLCULO.TotalAdmLocal)*CRONO!$F70,
                        0),
                 AF69*$S68),
          SUMIF(OFFSET($S70,1,0,$R68-2),($M68+1)&amp;"$",OFFSET(AF70,1,0,$R68-2)))</f>
        <v>0</v>
      </c>
      <c r="AG70" s="534"/>
    </row>
    <row r="71" spans="1:33" x14ac:dyDescent="0.2">
      <c r="A71" s="186" t="str">
        <f t="shared" ref="A71" ca="1" si="116">IF($M71&gt;1,_xlfn.CONCAT($I71," ",$J71),"")</f>
        <v>1.19. REVESTIMENTO INTERNO E EXTERNO - Estação Elevatória de Água Tratada</v>
      </c>
      <c r="B71" s="185">
        <f t="shared" ref="B71" ca="1" si="117">OFFSET(B71,-3,0)+1</f>
        <v>20</v>
      </c>
      <c r="C71" s="185">
        <f ca="1">IF($R71&lt;&gt;2,0,IF($S71=0,1,IF(F72&gt;0,OFFSET(QCI!$M$13,SUBSTITUTE(F72,".",""),0),OFFSET(ORÇAMENTO!$AA$15,CRONO!$F71,0))/$S71))</f>
        <v>0</v>
      </c>
      <c r="D71" s="185">
        <f ca="1">IF($R71&lt;&gt;2,0,IF($S71=0,1,IF(F72&gt;0,OFFSET(QCI!$N$13,SUBSTITUTE(F72,".",""),0),OFFSET(ORÇAMENTO!$AB$15,CRONO!$F71,0))/$S71))</f>
        <v>0</v>
      </c>
      <c r="E71" s="188" cm="1">
        <f t="array" aca="1" ref="E71" ca="1">IF(AND($R71=2,ACOMPANHAMENTO="BM"),ROUND(E72,4),E73/$S71)</f>
        <v>0</v>
      </c>
      <c r="F71" s="185" cm="1">
        <f t="array" aca="1" ref="F71" ca="1">IF(B71&lt;=ORÇAMENTO.MáximoListaCrono,MATCH(B71,ORÇAMENTO.ListaCrono,0),NA())</f>
        <v>130</v>
      </c>
      <c r="G71" s="185" t="str">
        <f t="shared" ref="G71" ca="1" si="118">IF(AND($F72&lt;&gt;-1,$S71&gt;0),"F","")</f>
        <v>F</v>
      </c>
      <c r="H71" s="189" t="str" cm="1">
        <f t="array" aca="1" ref="H71" ca="1">IF(OR(S71=0,S71=""),"Linha",IF(AND(OR(ACOMPANHAMENTO="PLE",$R71&lt;&gt;2),$F72=0),"Linha",ROUND(1-SUM(U71:AG71),4)))</f>
        <v>Linha</v>
      </c>
      <c r="I71" s="190" t="str">
        <f ca="1">IF($F72=0,OFFSET(ORÇAMENTO!O$15,$F71,0),IF($F72&lt;&gt;-1,OFFSET(QCI!$D$13,$F72,0),""))</f>
        <v>1.19.</v>
      </c>
      <c r="J71" s="191" t="str">
        <f ca="1">IF($F72=0,OFFSET(ORÇAMENTO!R$15,$F71,0),IF($F72&lt;&gt;-1,OFFSET(QCI!$G$13,$F72,0),""))</f>
        <v>REVESTIMENTO INTERNO E EXTERNO - Estação Elevatória de Água Tratada</v>
      </c>
      <c r="K71" s="191"/>
      <c r="L71" s="191"/>
      <c r="M71" s="192">
        <f ca="1">IF($F72=0,OFFSET(ORÇAMENTO!C$15,$F71,0),1)</f>
        <v>2</v>
      </c>
      <c r="N71" s="193">
        <f ca="1">IF($F72=-1,0,IF(N$13&lt;=$M71,IF(ISERROR(MATCH(N$13,OFFSET($M71,1,0,ROW($M$92)-ROW($M71)-1),0)),ROW($M$92)-ROW($M71)-1,MATCH(N$13,OFFSET($M71,1,0,ROW($M$92)-ROW($M71)-1),0)-1),0))</f>
        <v>17</v>
      </c>
      <c r="O71" s="193">
        <f ca="1">IF($F72=-1,0,IF(O$13&lt;=$M71,IF(ISERROR(MATCH(O$13,OFFSET($M71,1,0,ROW($M$92)-ROW($M71)-1),0)),ROW($M$92)-ROW($M71)-1,MATCH(O$13,OFFSET($M71,1,0,ROW($M$92)-ROW($M71)-1),0)-1),0))</f>
        <v>2</v>
      </c>
      <c r="P71" s="193">
        <f ca="1">IF($F72=-1,0,IF(P$13&lt;=$M71,IF(ISERROR(MATCH(P$13,OFFSET($M71,1,0,ROW($M$92)-ROW($M71)-1),0)),ROW($M$92)-ROW($M71)-1,MATCH(P$13,OFFSET($M71,1,0,ROW($M$92)-ROW($M71)-1),0)-1),0))</f>
        <v>0</v>
      </c>
      <c r="Q71" s="193">
        <f ca="1">IF($F72=-1,0,IF(Q$13&lt;=$M71,IF(ISERROR(MATCH(Q$13,OFFSET($M71,1,0,ROW($M$92)-ROW($M71)-1),0)),ROW($M$92)-ROW($M71)-1,MATCH(Q$13,OFFSET($M71,1,0,ROW($M$92)-ROW($M71)-1),0)-1),0))</f>
        <v>0</v>
      </c>
      <c r="R71" s="193">
        <f t="shared" ref="R71" ca="1" si="119">MIN(OFFSET(M71,0,1,,M71))</f>
        <v>2</v>
      </c>
      <c r="S71" s="194">
        <f ca="1">IF($F72=0,OFFSET(ORÇAMENTO!X$15,$F71,0),IF($F72&lt;&gt;-1,OFFSET(QCI!$O$13,$F72,0),""))</f>
        <v>12552.34</v>
      </c>
      <c r="T71" s="195" t="s">
        <v>785</v>
      </c>
      <c r="U71" s="188" cm="1">
        <f t="array" aca="1" ref="U71" ca="1">IF(AND($R71=2,ACOMPANHAMENTO="BM"),ROUND(U72,4),U73/$S71)</f>
        <v>0</v>
      </c>
      <c r="V71" s="188" cm="1">
        <f t="array" aca="1" ref="V71" ca="1">IF(AND($R71=2,ACOMPANHAMENTO="BM"),ROUND(V72,4),V73/$S71)</f>
        <v>0</v>
      </c>
      <c r="W71" s="188" cm="1">
        <f t="array" aca="1" ref="W71" ca="1">IF(AND($R71=2,ACOMPANHAMENTO="BM"),ROUND(W72,4),W73/$S71)</f>
        <v>0</v>
      </c>
      <c r="X71" s="188" cm="1">
        <f t="array" aca="1" ref="X71" ca="1">IF(AND($R71=2,ACOMPANHAMENTO="BM"),ROUND(X72,4),X73/$S71)</f>
        <v>0</v>
      </c>
      <c r="Y71" s="188" cm="1">
        <f t="array" aca="1" ref="Y71" ca="1">IF(AND($R71=2,ACOMPANHAMENTO="BM"),ROUND(Y72,4),Y73/$S71)</f>
        <v>0</v>
      </c>
      <c r="Z71" s="188" cm="1">
        <f t="array" aca="1" ref="Z71" ca="1">IF(AND($R71=2,ACOMPANHAMENTO="BM"),ROUND(Z72,4),Z73/$S71)</f>
        <v>0</v>
      </c>
      <c r="AA71" s="188" cm="1">
        <f t="array" aca="1" ref="AA71" ca="1">IF(AND($R71=2,ACOMPANHAMENTO="BM"),ROUND(AA72,4),AA73/$S71)</f>
        <v>0</v>
      </c>
      <c r="AB71" s="188" cm="1">
        <f t="array" aca="1" ref="AB71" ca="1">IF(AND($R71=2,ACOMPANHAMENTO="BM"),ROUND(AB72,4),AB73/$S71)</f>
        <v>0</v>
      </c>
      <c r="AC71" s="188" cm="1">
        <f t="array" aca="1" ref="AC71" ca="1">IF(AND($R71=2,ACOMPANHAMENTO="BM"),ROUND(AC72,4),AC73/$S71)</f>
        <v>0</v>
      </c>
      <c r="AD71" s="188" cm="1">
        <f t="array" aca="1" ref="AD71" ca="1">IF(AND($R71=2,ACOMPANHAMENTO="BM"),ROUND(AD72,4),AD73/$S71)</f>
        <v>0.96447275966074864</v>
      </c>
      <c r="AE71" s="188" cm="1">
        <f t="array" aca="1" ref="AE71" ca="1">IF(AND($R71=2,ACOMPANHAMENTO="BM"),ROUND(AE72,4),AE73/$S71)</f>
        <v>3.5527240339251483E-2</v>
      </c>
      <c r="AF71" s="188" cm="1">
        <f t="array" aca="1" ref="AF71" ca="1">IF(AND($R71=2,ACOMPANHAMENTO="BM"),ROUND(AF72,4),AF73/$S71)</f>
        <v>0</v>
      </c>
      <c r="AG71" s="534"/>
    </row>
    <row r="72" spans="1:33" ht="12.75" hidden="1" customHeight="1" x14ac:dyDescent="0.2">
      <c r="E72" s="587"/>
      <c r="F72" s="185">
        <f ca="1">IF(ISERROR(F71),IF(1+COUNTIF($M$13:OFFSET(M71,-1,0),1)&lt;=MAX(QCI!$D$13:$D$24),1+COUNTIF($M$13:OFFSET(M71,-1,0),1),-1),0)</f>
        <v>0</v>
      </c>
      <c r="G72" s="185" t="str" cm="1">
        <f t="array" aca="1" ref="G72" ca="1">IF(ACOMPANHAMENTO="BM",OFFSET(G72,-1,0),"")</f>
        <v/>
      </c>
      <c r="H72" s="196" t="str" cm="1">
        <f t="array" aca="1" ref="H72" ca="1">IF(OR(S71=0,S71=""),"vazia",IF(AND(OR(ACOMPANHAMENTO="PLE",$R71&lt;&gt;2),$F72=0),"calculada","--&gt;"))</f>
        <v>calculada</v>
      </c>
      <c r="I72" s="197"/>
      <c r="J72" s="198" t="str">
        <f t="shared" ref="J72" ca="1" si="120">IF(AND(H71&lt;&gt;0,ISNUMBER(H71)),"PREENCHA ESTA LINHA --&gt;","")</f>
        <v/>
      </c>
      <c r="K72" s="198"/>
      <c r="L72" s="198"/>
      <c r="M72" s="199"/>
      <c r="N72" s="199"/>
      <c r="O72" s="199"/>
      <c r="P72" s="199"/>
      <c r="Q72" s="199"/>
      <c r="R72" s="199"/>
      <c r="S72" s="200"/>
      <c r="T72" s="201"/>
      <c r="U72" s="587"/>
      <c r="V72" s="587"/>
      <c r="W72" s="587"/>
      <c r="X72" s="587"/>
      <c r="Y72" s="587"/>
      <c r="Z72" s="587"/>
      <c r="AA72" s="587"/>
      <c r="AB72" s="587"/>
      <c r="AC72" s="587"/>
      <c r="AD72" s="587"/>
      <c r="AE72" s="587"/>
      <c r="AF72" s="587"/>
      <c r="AG72" s="534"/>
    </row>
    <row r="73" spans="1:33" ht="12.75" hidden="1" customHeight="1" x14ac:dyDescent="0.2">
      <c r="D73" s="533"/>
      <c r="E73" s="202" cm="1">
        <f t="array" aca="1" ref="E73" ca="1">IF($R71=2,
         IF(AND(ACOMPANHAMENTO="PLE",ISNUMBER($F71)),
                SUMIF((OFFSET(CÁLCULO!$BC$15:$BU$15,$F71,0,OFFSET(ORÇAMENTO!$D$15,CRONO!$F71,0))),CRONO!E$12,OFFSET(CÁLCULO!$AJ$15:$BB$15,$F71,0,OFFSET(ORÇAMENTO!$D$15,CRONO!$F71,0)))
                +IF(AND($F73&lt;&gt;"",$F73&lt;&gt;0),
                        SUMIF(CÁLCULO!$BC$15:$BU$191,CRONO!E$12,CÁLCULO!$AJ$15:$BB$191)/(ORÇAMENTO!$X$15-CÁLCULO.TotalAdmLocal)*CRONO!$F73,
                        0),
                 E72*$S71),
          SUMIF(OFFSET($S73,1,0,$R71-2),($M71+1)&amp;"$",OFFSET(E73,1,0,$R71-2)))</f>
        <v>0</v>
      </c>
      <c r="F73" s="185">
        <f ca="1">IF(OR($R71&lt;&gt;2,AUTOEVENTO&lt;&gt;"manual",$F72&gt;0),"",
        IF(Import.TipoArredondamento="Tradicional",
              SUMIF(OFFSET(CÁLCULO!$M$15,CRONO!$F71,0,OFFSET(ORÇAMENTO!$D$15,CRONO!$F71,0)),1,OFFSET(ORÇAMENTO!$X$15,CRONO!$F71,0,OFFSET(ORÇAMENTO!$D$15,CRONO!$F71,0))),
              0))</f>
        <v>0</v>
      </c>
      <c r="H73" s="736"/>
      <c r="S73" s="204" t="str">
        <f t="shared" ref="S73" ca="1" si="121">M71&amp;"$"</f>
        <v>2$</v>
      </c>
      <c r="T73" s="205"/>
      <c r="U73" s="202" cm="1">
        <f t="array" aca="1" ref="U73" ca="1">IF($R71=2,
         IF(AND(ACOMPANHAMENTO="PLE",ISNUMBER($F71)),
                SUMIF((OFFSET(CÁLCULO!$BC$15:$BU$15,$F71,0,OFFSET(ORÇAMENTO!$D$15,CRONO!$F71,0))),CRONO!U$12,OFFSET(CÁLCULO!$AJ$15:$BB$15,$F71,0,OFFSET(ORÇAMENTO!$D$15,CRONO!$F71,0)))
                +IF(AND($F73&lt;&gt;"",$F73&lt;&gt;0),
                        SUMIF(CÁLCULO!$BC$15:$BU$191,CRONO!U$12,CÁLCULO!$AJ$15:$BB$191)/(ORÇAMENTO!$X$15-CÁLCULO.TotalAdmLocal)*CRONO!$F73,
                        0),
                 U72*$S71),
          SUMIF(OFFSET($S73,1,0,$R71-2),($M71+1)&amp;"$",OFFSET(U73,1,0,$R71-2)))</f>
        <v>0</v>
      </c>
      <c r="V73" s="202" cm="1">
        <f t="array" aca="1" ref="V73" ca="1">IF($R71=2,
         IF(AND(ACOMPANHAMENTO="PLE",ISNUMBER($F71)),
                SUMIF((OFFSET(CÁLCULO!$BC$15:$BU$15,$F71,0,OFFSET(ORÇAMENTO!$D$15,CRONO!$F71,0))),CRONO!V$12,OFFSET(CÁLCULO!$AJ$15:$BB$15,$F71,0,OFFSET(ORÇAMENTO!$D$15,CRONO!$F71,0)))
                +IF(AND($F73&lt;&gt;"",$F73&lt;&gt;0),
                        SUMIF(CÁLCULO!$BC$15:$BU$191,CRONO!V$12,CÁLCULO!$AJ$15:$BB$191)/(ORÇAMENTO!$X$15-CÁLCULO.TotalAdmLocal)*CRONO!$F73,
                        0),
                 V72*$S71),
          SUMIF(OFFSET($S73,1,0,$R71-2),($M71+1)&amp;"$",OFFSET(V73,1,0,$R71-2)))</f>
        <v>0</v>
      </c>
      <c r="W73" s="202" cm="1">
        <f t="array" aca="1" ref="W73" ca="1">IF($R71=2,
         IF(AND(ACOMPANHAMENTO="PLE",ISNUMBER($F71)),
                SUMIF((OFFSET(CÁLCULO!$BC$15:$BU$15,$F71,0,OFFSET(ORÇAMENTO!$D$15,CRONO!$F71,0))),CRONO!W$12,OFFSET(CÁLCULO!$AJ$15:$BB$15,$F71,0,OFFSET(ORÇAMENTO!$D$15,CRONO!$F71,0)))
                +IF(AND($F73&lt;&gt;"",$F73&lt;&gt;0),
                        SUMIF(CÁLCULO!$BC$15:$BU$191,CRONO!W$12,CÁLCULO!$AJ$15:$BB$191)/(ORÇAMENTO!$X$15-CÁLCULO.TotalAdmLocal)*CRONO!$F73,
                        0),
                 W72*$S71),
          SUMIF(OFFSET($S73,1,0,$R71-2),($M71+1)&amp;"$",OFFSET(W73,1,0,$R71-2)))</f>
        <v>0</v>
      </c>
      <c r="X73" s="202" cm="1">
        <f t="array" aca="1" ref="X73" ca="1">IF($R71=2,
         IF(AND(ACOMPANHAMENTO="PLE",ISNUMBER($F71)),
                SUMIF((OFFSET(CÁLCULO!$BC$15:$BU$15,$F71,0,OFFSET(ORÇAMENTO!$D$15,CRONO!$F71,0))),CRONO!X$12,OFFSET(CÁLCULO!$AJ$15:$BB$15,$F71,0,OFFSET(ORÇAMENTO!$D$15,CRONO!$F71,0)))
                +IF(AND($F73&lt;&gt;"",$F73&lt;&gt;0),
                        SUMIF(CÁLCULO!$BC$15:$BU$191,CRONO!X$12,CÁLCULO!$AJ$15:$BB$191)/(ORÇAMENTO!$X$15-CÁLCULO.TotalAdmLocal)*CRONO!$F73,
                        0),
                 X72*$S71),
          SUMIF(OFFSET($S73,1,0,$R71-2),($M71+1)&amp;"$",OFFSET(X73,1,0,$R71-2)))</f>
        <v>0</v>
      </c>
      <c r="Y73" s="202" cm="1">
        <f t="array" aca="1" ref="Y73" ca="1">IF($R71=2,
         IF(AND(ACOMPANHAMENTO="PLE",ISNUMBER($F71)),
                SUMIF((OFFSET(CÁLCULO!$BC$15:$BU$15,$F71,0,OFFSET(ORÇAMENTO!$D$15,CRONO!$F71,0))),CRONO!Y$12,OFFSET(CÁLCULO!$AJ$15:$BB$15,$F71,0,OFFSET(ORÇAMENTO!$D$15,CRONO!$F71,0)))
                +IF(AND($F73&lt;&gt;"",$F73&lt;&gt;0),
                        SUMIF(CÁLCULO!$BC$15:$BU$191,CRONO!Y$12,CÁLCULO!$AJ$15:$BB$191)/(ORÇAMENTO!$X$15-CÁLCULO.TotalAdmLocal)*CRONO!$F73,
                        0),
                 Y72*$S71),
          SUMIF(OFFSET($S73,1,0,$R71-2),($M71+1)&amp;"$",OFFSET(Y73,1,0,$R71-2)))</f>
        <v>0</v>
      </c>
      <c r="Z73" s="202" cm="1">
        <f t="array" aca="1" ref="Z73" ca="1">IF($R71=2,
         IF(AND(ACOMPANHAMENTO="PLE",ISNUMBER($F71)),
                SUMIF((OFFSET(CÁLCULO!$BC$15:$BU$15,$F71,0,OFFSET(ORÇAMENTO!$D$15,CRONO!$F71,0))),CRONO!Z$12,OFFSET(CÁLCULO!$AJ$15:$BB$15,$F71,0,OFFSET(ORÇAMENTO!$D$15,CRONO!$F71,0)))
                +IF(AND($F73&lt;&gt;"",$F73&lt;&gt;0),
                        SUMIF(CÁLCULO!$BC$15:$BU$191,CRONO!Z$12,CÁLCULO!$AJ$15:$BB$191)/(ORÇAMENTO!$X$15-CÁLCULO.TotalAdmLocal)*CRONO!$F73,
                        0),
                 Z72*$S71),
          SUMIF(OFFSET($S73,1,0,$R71-2),($M71+1)&amp;"$",OFFSET(Z73,1,0,$R71-2)))</f>
        <v>0</v>
      </c>
      <c r="AA73" s="202" cm="1">
        <f t="array" aca="1" ref="AA73" ca="1">IF($R71=2,
         IF(AND(ACOMPANHAMENTO="PLE",ISNUMBER($F71)),
                SUMIF((OFFSET(CÁLCULO!$BC$15:$BU$15,$F71,0,OFFSET(ORÇAMENTO!$D$15,CRONO!$F71,0))),CRONO!AA$12,OFFSET(CÁLCULO!$AJ$15:$BB$15,$F71,0,OFFSET(ORÇAMENTO!$D$15,CRONO!$F71,0)))
                +IF(AND($F73&lt;&gt;"",$F73&lt;&gt;0),
                        SUMIF(CÁLCULO!$BC$15:$BU$191,CRONO!AA$12,CÁLCULO!$AJ$15:$BB$191)/(ORÇAMENTO!$X$15-CÁLCULO.TotalAdmLocal)*CRONO!$F73,
                        0),
                 AA72*$S71),
          SUMIF(OFFSET($S73,1,0,$R71-2),($M71+1)&amp;"$",OFFSET(AA73,1,0,$R71-2)))</f>
        <v>0</v>
      </c>
      <c r="AB73" s="202" cm="1">
        <f t="array" aca="1" ref="AB73" ca="1">IF($R71=2,
         IF(AND(ACOMPANHAMENTO="PLE",ISNUMBER($F71)),
                SUMIF((OFFSET(CÁLCULO!$BC$15:$BU$15,$F71,0,OFFSET(ORÇAMENTO!$D$15,CRONO!$F71,0))),CRONO!AB$12,OFFSET(CÁLCULO!$AJ$15:$BB$15,$F71,0,OFFSET(ORÇAMENTO!$D$15,CRONO!$F71,0)))
                +IF(AND($F73&lt;&gt;"",$F73&lt;&gt;0),
                        SUMIF(CÁLCULO!$BC$15:$BU$191,CRONO!AB$12,CÁLCULO!$AJ$15:$BB$191)/(ORÇAMENTO!$X$15-CÁLCULO.TotalAdmLocal)*CRONO!$F73,
                        0),
                 AB72*$S71),
          SUMIF(OFFSET($S73,1,0,$R71-2),($M71+1)&amp;"$",OFFSET(AB73,1,0,$R71-2)))</f>
        <v>0</v>
      </c>
      <c r="AC73" s="202" cm="1">
        <f t="array" aca="1" ref="AC73" ca="1">IF($R71=2,
         IF(AND(ACOMPANHAMENTO="PLE",ISNUMBER($F71)),
                SUMIF((OFFSET(CÁLCULO!$BC$15:$BU$15,$F71,0,OFFSET(ORÇAMENTO!$D$15,CRONO!$F71,0))),CRONO!AC$12,OFFSET(CÁLCULO!$AJ$15:$BB$15,$F71,0,OFFSET(ORÇAMENTO!$D$15,CRONO!$F71,0)))
                +IF(AND($F73&lt;&gt;"",$F73&lt;&gt;0),
                        SUMIF(CÁLCULO!$BC$15:$BU$191,CRONO!AC$12,CÁLCULO!$AJ$15:$BB$191)/(ORÇAMENTO!$X$15-CÁLCULO.TotalAdmLocal)*CRONO!$F73,
                        0),
                 AC72*$S71),
          SUMIF(OFFSET($S73,1,0,$R71-2),($M71+1)&amp;"$",OFFSET(AC73,1,0,$R71-2)))</f>
        <v>0</v>
      </c>
      <c r="AD73" s="202" cm="1">
        <f t="array" aca="1" ref="AD73" ca="1">IF($R71=2,
         IF(AND(ACOMPANHAMENTO="PLE",ISNUMBER($F71)),
                SUMIF((OFFSET(CÁLCULO!$BC$15:$BU$15,$F71,0,OFFSET(ORÇAMENTO!$D$15,CRONO!$F71,0))),CRONO!AD$12,OFFSET(CÁLCULO!$AJ$15:$BB$15,$F71,0,OFFSET(ORÇAMENTO!$D$15,CRONO!$F71,0)))
                +IF(AND($F73&lt;&gt;"",$F73&lt;&gt;0),
                        SUMIF(CÁLCULO!$BC$15:$BU$191,CRONO!AD$12,CÁLCULO!$AJ$15:$BB$191)/(ORÇAMENTO!$X$15-CÁLCULO.TotalAdmLocal)*CRONO!$F73,
                        0),
                 AD72*$S71),
          SUMIF(OFFSET($S73,1,0,$R71-2),($M71+1)&amp;"$",OFFSET(AD73,1,0,$R71-2)))</f>
        <v>12106.390000000001</v>
      </c>
      <c r="AE73" s="202" cm="1">
        <f t="array" aca="1" ref="AE73" ca="1">IF($R71=2,
         IF(AND(ACOMPANHAMENTO="PLE",ISNUMBER($F71)),
                SUMIF((OFFSET(CÁLCULO!$BC$15:$BU$15,$F71,0,OFFSET(ORÇAMENTO!$D$15,CRONO!$F71,0))),CRONO!AE$12,OFFSET(CÁLCULO!$AJ$15:$BB$15,$F71,0,OFFSET(ORÇAMENTO!$D$15,CRONO!$F71,0)))
                +IF(AND($F73&lt;&gt;"",$F73&lt;&gt;0),
                        SUMIF(CÁLCULO!$BC$15:$BU$191,CRONO!AE$12,CÁLCULO!$AJ$15:$BB$191)/(ORÇAMENTO!$X$15-CÁLCULO.TotalAdmLocal)*CRONO!$F73,
                        0),
                 AE72*$S71),
          SUMIF(OFFSET($S73,1,0,$R71-2),($M71+1)&amp;"$",OFFSET(AE73,1,0,$R71-2)))</f>
        <v>445.95</v>
      </c>
      <c r="AF73" s="202" cm="1">
        <f t="array" aca="1" ref="AF73" ca="1">IF($R71=2,
         IF(AND(ACOMPANHAMENTO="PLE",ISNUMBER($F71)),
                SUMIF((OFFSET(CÁLCULO!$BC$15:$BU$15,$F71,0,OFFSET(ORÇAMENTO!$D$15,CRONO!$F71,0))),CRONO!AF$12,OFFSET(CÁLCULO!$AJ$15:$BB$15,$F71,0,OFFSET(ORÇAMENTO!$D$15,CRONO!$F71,0)))
                +IF(AND($F73&lt;&gt;"",$F73&lt;&gt;0),
                        SUMIF(CÁLCULO!$BC$15:$BU$191,CRONO!AF$12,CÁLCULO!$AJ$15:$BB$191)/(ORÇAMENTO!$X$15-CÁLCULO.TotalAdmLocal)*CRONO!$F73,
                        0),
                 AF72*$S71),
          SUMIF(OFFSET($S73,1,0,$R71-2),($M71+1)&amp;"$",OFFSET(AF73,1,0,$R71-2)))</f>
        <v>0</v>
      </c>
      <c r="AG73" s="534"/>
    </row>
    <row r="74" spans="1:33" x14ac:dyDescent="0.2">
      <c r="A74" s="186" t="str">
        <f t="shared" ref="A74" ca="1" si="122">IF($M74&gt;1,_xlfn.CONCAT($I74," ",$J74),"")</f>
        <v>1.20. OBRAS COMPLEMENTARES - Estação Elevatória de Água Tratada</v>
      </c>
      <c r="B74" s="185">
        <f t="shared" ref="B74" ca="1" si="123">OFFSET(B74,-3,0)+1</f>
        <v>21</v>
      </c>
      <c r="C74" s="185">
        <f ca="1">IF($R74&lt;&gt;2,0,IF($S74=0,1,IF(F75&gt;0,OFFSET(QCI!$M$13,SUBSTITUTE(F75,".",""),0),OFFSET(ORÇAMENTO!$AA$15,CRONO!$F74,0))/$S74))</f>
        <v>0</v>
      </c>
      <c r="D74" s="185">
        <f ca="1">IF($R74&lt;&gt;2,0,IF($S74=0,1,IF(F75&gt;0,OFFSET(QCI!$N$13,SUBSTITUTE(F75,".",""),0),OFFSET(ORÇAMENTO!$AB$15,CRONO!$F74,0))/$S74))</f>
        <v>0</v>
      </c>
      <c r="E74" s="188" cm="1">
        <f t="array" aca="1" ref="E74" ca="1">IF(AND($R74=2,ACOMPANHAMENTO="BM"),ROUND(E75,4),E76/$S74)</f>
        <v>0</v>
      </c>
      <c r="F74" s="185" cm="1">
        <f t="array" aca="1" ref="F74" ca="1">IF(B74&lt;=ORÇAMENTO.MáximoListaCrono,MATCH(B74,ORÇAMENTO.ListaCrono,0),NA())</f>
        <v>139</v>
      </c>
      <c r="G74" s="185" t="str">
        <f t="shared" ref="G74" ca="1" si="124">IF(AND($F75&lt;&gt;-1,$S74&gt;0),"F","")</f>
        <v>F</v>
      </c>
      <c r="H74" s="189" t="str" cm="1">
        <f t="array" aca="1" ref="H74" ca="1">IF(OR(S74=0,S74=""),"Linha",IF(AND(OR(ACOMPANHAMENTO="PLE",$R74&lt;&gt;2),$F75=0),"Linha",ROUND(1-SUM(U74:AG74),4)))</f>
        <v>Linha</v>
      </c>
      <c r="I74" s="190" t="str">
        <f ca="1">IF($F75=0,OFFSET(ORÇAMENTO!O$15,$F74,0),IF($F75&lt;&gt;-1,OFFSET(QCI!$D$13,$F75,0),""))</f>
        <v>1.20.</v>
      </c>
      <c r="J74" s="191" t="str">
        <f ca="1">IF($F75=0,OFFSET(ORÇAMENTO!R$15,$F74,0),IF($F75&lt;&gt;-1,OFFSET(QCI!$G$13,$F75,0),""))</f>
        <v>OBRAS COMPLEMENTARES - Estação Elevatória de Água Tratada</v>
      </c>
      <c r="K74" s="191"/>
      <c r="L74" s="191"/>
      <c r="M74" s="192">
        <f ca="1">IF($F75=0,OFFSET(ORÇAMENTO!C$15,$F74,0),1)</f>
        <v>2</v>
      </c>
      <c r="N74" s="193">
        <f ca="1">IF($F75=-1,0,IF(N$13&lt;=$M74,IF(ISERROR(MATCH(N$13,OFFSET($M74,1,0,ROW($M$92)-ROW($M74)-1),0)),ROW($M$92)-ROW($M74)-1,MATCH(N$13,OFFSET($M74,1,0,ROW($M$92)-ROW($M74)-1),0)-1),0))</f>
        <v>14</v>
      </c>
      <c r="O74" s="193">
        <f ca="1">IF($F75=-1,0,IF(O$13&lt;=$M74,IF(ISERROR(MATCH(O$13,OFFSET($M74,1,0,ROW($M$92)-ROW($M74)-1),0)),ROW($M$92)-ROW($M74)-1,MATCH(O$13,OFFSET($M74,1,0,ROW($M$92)-ROW($M74)-1),0)-1),0))</f>
        <v>2</v>
      </c>
      <c r="P74" s="193">
        <f ca="1">IF($F75=-1,0,IF(P$13&lt;=$M74,IF(ISERROR(MATCH(P$13,OFFSET($M74,1,0,ROW($M$92)-ROW($M74)-1),0)),ROW($M$92)-ROW($M74)-1,MATCH(P$13,OFFSET($M74,1,0,ROW($M$92)-ROW($M74)-1),0)-1),0))</f>
        <v>0</v>
      </c>
      <c r="Q74" s="193">
        <f ca="1">IF($F75=-1,0,IF(Q$13&lt;=$M74,IF(ISERROR(MATCH(Q$13,OFFSET($M74,1,0,ROW($M$92)-ROW($M74)-1),0)),ROW($M$92)-ROW($M74)-1,MATCH(Q$13,OFFSET($M74,1,0,ROW($M$92)-ROW($M74)-1),0)-1),0))</f>
        <v>0</v>
      </c>
      <c r="R74" s="193">
        <f t="shared" ref="R74" ca="1" si="125">MIN(OFFSET(M74,0,1,,M74))</f>
        <v>2</v>
      </c>
      <c r="S74" s="194">
        <f ca="1">IF($F75=0,OFFSET(ORÇAMENTO!X$15,$F74,0),IF($F75&lt;&gt;-1,OFFSET(QCI!$O$13,$F75,0),""))</f>
        <v>5078.09</v>
      </c>
      <c r="T74" s="195" t="s">
        <v>785</v>
      </c>
      <c r="U74" s="188" cm="1">
        <f t="array" aca="1" ref="U74" ca="1">IF(AND($R74=2,ACOMPANHAMENTO="BM"),ROUND(U75,4),U76/$S74)</f>
        <v>0</v>
      </c>
      <c r="V74" s="188" cm="1">
        <f t="array" aca="1" ref="V74" ca="1">IF(AND($R74=2,ACOMPANHAMENTO="BM"),ROUND(V75,4),V76/$S74)</f>
        <v>0</v>
      </c>
      <c r="W74" s="188" cm="1">
        <f t="array" aca="1" ref="W74" ca="1">IF(AND($R74=2,ACOMPANHAMENTO="BM"),ROUND(W75,4),W76/$S74)</f>
        <v>0</v>
      </c>
      <c r="X74" s="188" cm="1">
        <f t="array" aca="1" ref="X74" ca="1">IF(AND($R74=2,ACOMPANHAMENTO="BM"),ROUND(X75,4),X76/$S74)</f>
        <v>0</v>
      </c>
      <c r="Y74" s="188" cm="1">
        <f t="array" aca="1" ref="Y74" ca="1">IF(AND($R74=2,ACOMPANHAMENTO="BM"),ROUND(Y75,4),Y76/$S74)</f>
        <v>0</v>
      </c>
      <c r="Z74" s="188" cm="1">
        <f t="array" aca="1" ref="Z74" ca="1">IF(AND($R74=2,ACOMPANHAMENTO="BM"),ROUND(Z75,4),Z76/$S74)</f>
        <v>0</v>
      </c>
      <c r="AA74" s="188" cm="1">
        <f t="array" aca="1" ref="AA74" ca="1">IF(AND($R74=2,ACOMPANHAMENTO="BM"),ROUND(AA75,4),AA76/$S74)</f>
        <v>0</v>
      </c>
      <c r="AB74" s="188" cm="1">
        <f t="array" aca="1" ref="AB74" ca="1">IF(AND($R74=2,ACOMPANHAMENTO="BM"),ROUND(AB75,4),AB76/$S74)</f>
        <v>0</v>
      </c>
      <c r="AC74" s="188" cm="1">
        <f t="array" aca="1" ref="AC74" ca="1">IF(AND($R74=2,ACOMPANHAMENTO="BM"),ROUND(AC75,4),AC76/$S74)</f>
        <v>0</v>
      </c>
      <c r="AD74" s="188" cm="1">
        <f t="array" aca="1" ref="AD74" ca="1">IF(AND($R74=2,ACOMPANHAMENTO="BM"),ROUND(AD75,4),AD76/$S74)</f>
        <v>0</v>
      </c>
      <c r="AE74" s="188" cm="1">
        <f t="array" aca="1" ref="AE74" ca="1">IF(AND($R74=2,ACOMPANHAMENTO="BM"),ROUND(AE75,4),AE76/$S74)</f>
        <v>1</v>
      </c>
      <c r="AF74" s="188" cm="1">
        <f t="array" aca="1" ref="AF74" ca="1">IF(AND($R74=2,ACOMPANHAMENTO="BM"),ROUND(AF75,4),AF76/$S74)</f>
        <v>0</v>
      </c>
      <c r="AG74" s="534"/>
    </row>
    <row r="75" spans="1:33" ht="12.75" hidden="1" customHeight="1" x14ac:dyDescent="0.2">
      <c r="E75" s="587"/>
      <c r="F75" s="185">
        <f ca="1">IF(ISERROR(F74),IF(1+COUNTIF($M$13:OFFSET(M74,-1,0),1)&lt;=MAX(QCI!$D$13:$D$24),1+COUNTIF($M$13:OFFSET(M74,-1,0),1),-1),0)</f>
        <v>0</v>
      </c>
      <c r="G75" s="185" t="str" cm="1">
        <f t="array" aca="1" ref="G75" ca="1">IF(ACOMPANHAMENTO="BM",OFFSET(G75,-1,0),"")</f>
        <v/>
      </c>
      <c r="H75" s="196" t="str" cm="1">
        <f t="array" aca="1" ref="H75" ca="1">IF(OR(S74=0,S74=""),"vazia",IF(AND(OR(ACOMPANHAMENTO="PLE",$R74&lt;&gt;2),$F75=0),"calculada","--&gt;"))</f>
        <v>calculada</v>
      </c>
      <c r="I75" s="197"/>
      <c r="J75" s="198" t="str">
        <f t="shared" ref="J75" ca="1" si="126">IF(AND(H74&lt;&gt;0,ISNUMBER(H74)),"PREENCHA ESTA LINHA --&gt;","")</f>
        <v/>
      </c>
      <c r="K75" s="198"/>
      <c r="L75" s="198"/>
      <c r="M75" s="199"/>
      <c r="N75" s="199"/>
      <c r="O75" s="199"/>
      <c r="P75" s="199"/>
      <c r="Q75" s="199"/>
      <c r="R75" s="199"/>
      <c r="S75" s="200"/>
      <c r="T75" s="201"/>
      <c r="U75" s="587"/>
      <c r="V75" s="587"/>
      <c r="W75" s="587"/>
      <c r="X75" s="587"/>
      <c r="Y75" s="587"/>
      <c r="Z75" s="587"/>
      <c r="AA75" s="587"/>
      <c r="AB75" s="587"/>
      <c r="AC75" s="587"/>
      <c r="AD75" s="587"/>
      <c r="AE75" s="587"/>
      <c r="AF75" s="587"/>
      <c r="AG75" s="534"/>
    </row>
    <row r="76" spans="1:33" ht="12.75" hidden="1" customHeight="1" x14ac:dyDescent="0.2">
      <c r="D76" s="533"/>
      <c r="E76" s="202" cm="1">
        <f t="array" aca="1" ref="E76" ca="1">IF($R74=2,
         IF(AND(ACOMPANHAMENTO="PLE",ISNUMBER($F74)),
                SUMIF((OFFSET(CÁLCULO!$BC$15:$BU$15,$F74,0,OFFSET(ORÇAMENTO!$D$15,CRONO!$F74,0))),CRONO!E$12,OFFSET(CÁLCULO!$AJ$15:$BB$15,$F74,0,OFFSET(ORÇAMENTO!$D$15,CRONO!$F74,0)))
                +IF(AND($F76&lt;&gt;"",$F76&lt;&gt;0),
                        SUMIF(CÁLCULO!$BC$15:$BU$191,CRONO!E$12,CÁLCULO!$AJ$15:$BB$191)/(ORÇAMENTO!$X$15-CÁLCULO.TotalAdmLocal)*CRONO!$F76,
                        0),
                 E75*$S74),
          SUMIF(OFFSET($S76,1,0,$R74-2),($M74+1)&amp;"$",OFFSET(E76,1,0,$R74-2)))</f>
        <v>0</v>
      </c>
      <c r="F76" s="185">
        <f ca="1">IF(OR($R74&lt;&gt;2,AUTOEVENTO&lt;&gt;"manual",$F75&gt;0),"",
        IF(Import.TipoArredondamento="Tradicional",
              SUMIF(OFFSET(CÁLCULO!$M$15,CRONO!$F74,0,OFFSET(ORÇAMENTO!$D$15,CRONO!$F74,0)),1,OFFSET(ORÇAMENTO!$X$15,CRONO!$F74,0,OFFSET(ORÇAMENTO!$D$15,CRONO!$F74,0))),
              0))</f>
        <v>0</v>
      </c>
      <c r="H76" s="736"/>
      <c r="S76" s="204" t="str">
        <f t="shared" ref="S76" ca="1" si="127">M74&amp;"$"</f>
        <v>2$</v>
      </c>
      <c r="T76" s="205"/>
      <c r="U76" s="202" cm="1">
        <f t="array" aca="1" ref="U76" ca="1">IF($R74=2,
         IF(AND(ACOMPANHAMENTO="PLE",ISNUMBER($F74)),
                SUMIF((OFFSET(CÁLCULO!$BC$15:$BU$15,$F74,0,OFFSET(ORÇAMENTO!$D$15,CRONO!$F74,0))),CRONO!U$12,OFFSET(CÁLCULO!$AJ$15:$BB$15,$F74,0,OFFSET(ORÇAMENTO!$D$15,CRONO!$F74,0)))
                +IF(AND($F76&lt;&gt;"",$F76&lt;&gt;0),
                        SUMIF(CÁLCULO!$BC$15:$BU$191,CRONO!U$12,CÁLCULO!$AJ$15:$BB$191)/(ORÇAMENTO!$X$15-CÁLCULO.TotalAdmLocal)*CRONO!$F76,
                        0),
                 U75*$S74),
          SUMIF(OFFSET($S76,1,0,$R74-2),($M74+1)&amp;"$",OFFSET(U76,1,0,$R74-2)))</f>
        <v>0</v>
      </c>
      <c r="V76" s="202" cm="1">
        <f t="array" aca="1" ref="V76" ca="1">IF($R74=2,
         IF(AND(ACOMPANHAMENTO="PLE",ISNUMBER($F74)),
                SUMIF((OFFSET(CÁLCULO!$BC$15:$BU$15,$F74,0,OFFSET(ORÇAMENTO!$D$15,CRONO!$F74,0))),CRONO!V$12,OFFSET(CÁLCULO!$AJ$15:$BB$15,$F74,0,OFFSET(ORÇAMENTO!$D$15,CRONO!$F74,0)))
                +IF(AND($F76&lt;&gt;"",$F76&lt;&gt;0),
                        SUMIF(CÁLCULO!$BC$15:$BU$191,CRONO!V$12,CÁLCULO!$AJ$15:$BB$191)/(ORÇAMENTO!$X$15-CÁLCULO.TotalAdmLocal)*CRONO!$F76,
                        0),
                 V75*$S74),
          SUMIF(OFFSET($S76,1,0,$R74-2),($M74+1)&amp;"$",OFFSET(V76,1,0,$R74-2)))</f>
        <v>0</v>
      </c>
      <c r="W76" s="202" cm="1">
        <f t="array" aca="1" ref="W76" ca="1">IF($R74=2,
         IF(AND(ACOMPANHAMENTO="PLE",ISNUMBER($F74)),
                SUMIF((OFFSET(CÁLCULO!$BC$15:$BU$15,$F74,0,OFFSET(ORÇAMENTO!$D$15,CRONO!$F74,0))),CRONO!W$12,OFFSET(CÁLCULO!$AJ$15:$BB$15,$F74,0,OFFSET(ORÇAMENTO!$D$15,CRONO!$F74,0)))
                +IF(AND($F76&lt;&gt;"",$F76&lt;&gt;0),
                        SUMIF(CÁLCULO!$BC$15:$BU$191,CRONO!W$12,CÁLCULO!$AJ$15:$BB$191)/(ORÇAMENTO!$X$15-CÁLCULO.TotalAdmLocal)*CRONO!$F76,
                        0),
                 W75*$S74),
          SUMIF(OFFSET($S76,1,0,$R74-2),($M74+1)&amp;"$",OFFSET(W76,1,0,$R74-2)))</f>
        <v>0</v>
      </c>
      <c r="X76" s="202" cm="1">
        <f t="array" aca="1" ref="X76" ca="1">IF($R74=2,
         IF(AND(ACOMPANHAMENTO="PLE",ISNUMBER($F74)),
                SUMIF((OFFSET(CÁLCULO!$BC$15:$BU$15,$F74,0,OFFSET(ORÇAMENTO!$D$15,CRONO!$F74,0))),CRONO!X$12,OFFSET(CÁLCULO!$AJ$15:$BB$15,$F74,0,OFFSET(ORÇAMENTO!$D$15,CRONO!$F74,0)))
                +IF(AND($F76&lt;&gt;"",$F76&lt;&gt;0),
                        SUMIF(CÁLCULO!$BC$15:$BU$191,CRONO!X$12,CÁLCULO!$AJ$15:$BB$191)/(ORÇAMENTO!$X$15-CÁLCULO.TotalAdmLocal)*CRONO!$F76,
                        0),
                 X75*$S74),
          SUMIF(OFFSET($S76,1,0,$R74-2),($M74+1)&amp;"$",OFFSET(X76,1,0,$R74-2)))</f>
        <v>0</v>
      </c>
      <c r="Y76" s="202" cm="1">
        <f t="array" aca="1" ref="Y76" ca="1">IF($R74=2,
         IF(AND(ACOMPANHAMENTO="PLE",ISNUMBER($F74)),
                SUMIF((OFFSET(CÁLCULO!$BC$15:$BU$15,$F74,0,OFFSET(ORÇAMENTO!$D$15,CRONO!$F74,0))),CRONO!Y$12,OFFSET(CÁLCULO!$AJ$15:$BB$15,$F74,0,OFFSET(ORÇAMENTO!$D$15,CRONO!$F74,0)))
                +IF(AND($F76&lt;&gt;"",$F76&lt;&gt;0),
                        SUMIF(CÁLCULO!$BC$15:$BU$191,CRONO!Y$12,CÁLCULO!$AJ$15:$BB$191)/(ORÇAMENTO!$X$15-CÁLCULO.TotalAdmLocal)*CRONO!$F76,
                        0),
                 Y75*$S74),
          SUMIF(OFFSET($S76,1,0,$R74-2),($M74+1)&amp;"$",OFFSET(Y76,1,0,$R74-2)))</f>
        <v>0</v>
      </c>
      <c r="Z76" s="202" cm="1">
        <f t="array" aca="1" ref="Z76" ca="1">IF($R74=2,
         IF(AND(ACOMPANHAMENTO="PLE",ISNUMBER($F74)),
                SUMIF((OFFSET(CÁLCULO!$BC$15:$BU$15,$F74,0,OFFSET(ORÇAMENTO!$D$15,CRONO!$F74,0))),CRONO!Z$12,OFFSET(CÁLCULO!$AJ$15:$BB$15,$F74,0,OFFSET(ORÇAMENTO!$D$15,CRONO!$F74,0)))
                +IF(AND($F76&lt;&gt;"",$F76&lt;&gt;0),
                        SUMIF(CÁLCULO!$BC$15:$BU$191,CRONO!Z$12,CÁLCULO!$AJ$15:$BB$191)/(ORÇAMENTO!$X$15-CÁLCULO.TotalAdmLocal)*CRONO!$F76,
                        0),
                 Z75*$S74),
          SUMIF(OFFSET($S76,1,0,$R74-2),($M74+1)&amp;"$",OFFSET(Z76,1,0,$R74-2)))</f>
        <v>0</v>
      </c>
      <c r="AA76" s="202" cm="1">
        <f t="array" aca="1" ref="AA76" ca="1">IF($R74=2,
         IF(AND(ACOMPANHAMENTO="PLE",ISNUMBER($F74)),
                SUMIF((OFFSET(CÁLCULO!$BC$15:$BU$15,$F74,0,OFFSET(ORÇAMENTO!$D$15,CRONO!$F74,0))),CRONO!AA$12,OFFSET(CÁLCULO!$AJ$15:$BB$15,$F74,0,OFFSET(ORÇAMENTO!$D$15,CRONO!$F74,0)))
                +IF(AND($F76&lt;&gt;"",$F76&lt;&gt;0),
                        SUMIF(CÁLCULO!$BC$15:$BU$191,CRONO!AA$12,CÁLCULO!$AJ$15:$BB$191)/(ORÇAMENTO!$X$15-CÁLCULO.TotalAdmLocal)*CRONO!$F76,
                        0),
                 AA75*$S74),
          SUMIF(OFFSET($S76,1,0,$R74-2),($M74+1)&amp;"$",OFFSET(AA76,1,0,$R74-2)))</f>
        <v>0</v>
      </c>
      <c r="AB76" s="202" cm="1">
        <f t="array" aca="1" ref="AB76" ca="1">IF($R74=2,
         IF(AND(ACOMPANHAMENTO="PLE",ISNUMBER($F74)),
                SUMIF((OFFSET(CÁLCULO!$BC$15:$BU$15,$F74,0,OFFSET(ORÇAMENTO!$D$15,CRONO!$F74,0))),CRONO!AB$12,OFFSET(CÁLCULO!$AJ$15:$BB$15,$F74,0,OFFSET(ORÇAMENTO!$D$15,CRONO!$F74,0)))
                +IF(AND($F76&lt;&gt;"",$F76&lt;&gt;0),
                        SUMIF(CÁLCULO!$BC$15:$BU$191,CRONO!AB$12,CÁLCULO!$AJ$15:$BB$191)/(ORÇAMENTO!$X$15-CÁLCULO.TotalAdmLocal)*CRONO!$F76,
                        0),
                 AB75*$S74),
          SUMIF(OFFSET($S76,1,0,$R74-2),($M74+1)&amp;"$",OFFSET(AB76,1,0,$R74-2)))</f>
        <v>0</v>
      </c>
      <c r="AC76" s="202" cm="1">
        <f t="array" aca="1" ref="AC76" ca="1">IF($R74=2,
         IF(AND(ACOMPANHAMENTO="PLE",ISNUMBER($F74)),
                SUMIF((OFFSET(CÁLCULO!$BC$15:$BU$15,$F74,0,OFFSET(ORÇAMENTO!$D$15,CRONO!$F74,0))),CRONO!AC$12,OFFSET(CÁLCULO!$AJ$15:$BB$15,$F74,0,OFFSET(ORÇAMENTO!$D$15,CRONO!$F74,0)))
                +IF(AND($F76&lt;&gt;"",$F76&lt;&gt;0),
                        SUMIF(CÁLCULO!$BC$15:$BU$191,CRONO!AC$12,CÁLCULO!$AJ$15:$BB$191)/(ORÇAMENTO!$X$15-CÁLCULO.TotalAdmLocal)*CRONO!$F76,
                        0),
                 AC75*$S74),
          SUMIF(OFFSET($S76,1,0,$R74-2),($M74+1)&amp;"$",OFFSET(AC76,1,0,$R74-2)))</f>
        <v>0</v>
      </c>
      <c r="AD76" s="202" cm="1">
        <f t="array" aca="1" ref="AD76" ca="1">IF($R74=2,
         IF(AND(ACOMPANHAMENTO="PLE",ISNUMBER($F74)),
                SUMIF((OFFSET(CÁLCULO!$BC$15:$BU$15,$F74,0,OFFSET(ORÇAMENTO!$D$15,CRONO!$F74,0))),CRONO!AD$12,OFFSET(CÁLCULO!$AJ$15:$BB$15,$F74,0,OFFSET(ORÇAMENTO!$D$15,CRONO!$F74,0)))
                +IF(AND($F76&lt;&gt;"",$F76&lt;&gt;0),
                        SUMIF(CÁLCULO!$BC$15:$BU$191,CRONO!AD$12,CÁLCULO!$AJ$15:$BB$191)/(ORÇAMENTO!$X$15-CÁLCULO.TotalAdmLocal)*CRONO!$F76,
                        0),
                 AD75*$S74),
          SUMIF(OFFSET($S76,1,0,$R74-2),($M74+1)&amp;"$",OFFSET(AD76,1,0,$R74-2)))</f>
        <v>0</v>
      </c>
      <c r="AE76" s="202" cm="1">
        <f t="array" aca="1" ref="AE76" ca="1">IF($R74=2,
         IF(AND(ACOMPANHAMENTO="PLE",ISNUMBER($F74)),
                SUMIF((OFFSET(CÁLCULO!$BC$15:$BU$15,$F74,0,OFFSET(ORÇAMENTO!$D$15,CRONO!$F74,0))),CRONO!AE$12,OFFSET(CÁLCULO!$AJ$15:$BB$15,$F74,0,OFFSET(ORÇAMENTO!$D$15,CRONO!$F74,0)))
                +IF(AND($F76&lt;&gt;"",$F76&lt;&gt;0),
                        SUMIF(CÁLCULO!$BC$15:$BU$191,CRONO!AE$12,CÁLCULO!$AJ$15:$BB$191)/(ORÇAMENTO!$X$15-CÁLCULO.TotalAdmLocal)*CRONO!$F76,
                        0),
                 AE75*$S74),
          SUMIF(OFFSET($S76,1,0,$R74-2),($M74+1)&amp;"$",OFFSET(AE76,1,0,$R74-2)))</f>
        <v>5078.09</v>
      </c>
      <c r="AF76" s="202" cm="1">
        <f t="array" aca="1" ref="AF76" ca="1">IF($R74=2,
         IF(AND(ACOMPANHAMENTO="PLE",ISNUMBER($F74)),
                SUMIF((OFFSET(CÁLCULO!$BC$15:$BU$15,$F74,0,OFFSET(ORÇAMENTO!$D$15,CRONO!$F74,0))),CRONO!AF$12,OFFSET(CÁLCULO!$AJ$15:$BB$15,$F74,0,OFFSET(ORÇAMENTO!$D$15,CRONO!$F74,0)))
                +IF(AND($F76&lt;&gt;"",$F76&lt;&gt;0),
                        SUMIF(CÁLCULO!$BC$15:$BU$191,CRONO!AF$12,CÁLCULO!$AJ$15:$BB$191)/(ORÇAMENTO!$X$15-CÁLCULO.TotalAdmLocal)*CRONO!$F76,
                        0),
                 AF75*$S74),
          SUMIF(OFFSET($S76,1,0,$R74-2),($M74+1)&amp;"$",OFFSET(AF76,1,0,$R74-2)))</f>
        <v>0</v>
      </c>
      <c r="AG76" s="534"/>
    </row>
    <row r="77" spans="1:33" x14ac:dyDescent="0.2">
      <c r="A77" s="186" t="str">
        <f t="shared" ref="A77" ca="1" si="128">IF($M77&gt;1,_xlfn.CONCAT($I77," ",$J77),"")</f>
        <v>1.21. MATERIAIS E EQUIPAMENTOS HIDRAULICOS PARA BARRILETE - Estação Elevatória de Água Tratada</v>
      </c>
      <c r="B77" s="185">
        <f t="shared" ref="B77" ca="1" si="129">OFFSET(B77,-3,0)+1</f>
        <v>22</v>
      </c>
      <c r="C77" s="185">
        <f ca="1">IF($R77&lt;&gt;2,0,IF($S77=0,1,IF(F78&gt;0,OFFSET(QCI!$M$13,SUBSTITUTE(F78,".",""),0),OFFSET(ORÇAMENTO!$AA$15,CRONO!$F77,0))/$S77))</f>
        <v>0</v>
      </c>
      <c r="D77" s="185">
        <f ca="1">IF($R77&lt;&gt;2,0,IF($S77=0,1,IF(F78&gt;0,OFFSET(QCI!$N$13,SUBSTITUTE(F78,".",""),0),OFFSET(ORÇAMENTO!$AB$15,CRONO!$F77,0))/$S77))</f>
        <v>0</v>
      </c>
      <c r="E77" s="188" cm="1">
        <f t="array" aca="1" ref="E77" ca="1">IF(AND($R77=2,ACOMPANHAMENTO="BM"),ROUND(E78,4),E79/$S77)</f>
        <v>0</v>
      </c>
      <c r="F77" s="185" cm="1">
        <f t="array" aca="1" ref="F77" ca="1">IF(B77&lt;=ORÇAMENTO.MáximoListaCrono,MATCH(B77,ORÇAMENTO.ListaCrono,0),NA())</f>
        <v>141</v>
      </c>
      <c r="G77" s="185" t="str">
        <f t="shared" ref="G77" ca="1" si="130">IF(AND($F78&lt;&gt;-1,$S77&gt;0),"F","")</f>
        <v>F</v>
      </c>
      <c r="H77" s="189" t="str" cm="1">
        <f t="array" aca="1" ref="H77" ca="1">IF(OR(S77=0,S77=""),"Linha",IF(AND(OR(ACOMPANHAMENTO="PLE",$R77&lt;&gt;2),$F78=0),"Linha",ROUND(1-SUM(U77:AG77),4)))</f>
        <v>Linha</v>
      </c>
      <c r="I77" s="190" t="str">
        <f ca="1">IF($F78=0,OFFSET(ORÇAMENTO!O$15,$F77,0),IF($F78&lt;&gt;-1,OFFSET(QCI!$D$13,$F78,0),""))</f>
        <v>1.21.</v>
      </c>
      <c r="J77" s="191" t="str">
        <f ca="1">IF($F78=0,OFFSET(ORÇAMENTO!R$15,$F77,0),IF($F78&lt;&gt;-1,OFFSET(QCI!$G$13,$F78,0),""))</f>
        <v>MATERIAIS E EQUIPAMENTOS HIDRAULICOS PARA BARRILETE - Estação Elevatória de Água Tratada</v>
      </c>
      <c r="K77" s="191"/>
      <c r="L77" s="191"/>
      <c r="M77" s="192">
        <f ca="1">IF($F78=0,OFFSET(ORÇAMENTO!C$15,$F77,0),1)</f>
        <v>2</v>
      </c>
      <c r="N77" s="193">
        <f ca="1">IF($F78=-1,0,IF(N$13&lt;=$M77,IF(ISERROR(MATCH(N$13,OFFSET($M77,1,0,ROW($M$92)-ROW($M77)-1),0)),ROW($M$92)-ROW($M77)-1,MATCH(N$13,OFFSET($M77,1,0,ROW($M$92)-ROW($M77)-1),0)-1),0))</f>
        <v>11</v>
      </c>
      <c r="O77" s="193">
        <f ca="1">IF($F78=-1,0,IF(O$13&lt;=$M77,IF(ISERROR(MATCH(O$13,OFFSET($M77,1,0,ROW($M$92)-ROW($M77)-1),0)),ROW($M$92)-ROW($M77)-1,MATCH(O$13,OFFSET($M77,1,0,ROW($M$92)-ROW($M77)-1),0)-1),0))</f>
        <v>2</v>
      </c>
      <c r="P77" s="193">
        <f ca="1">IF($F78=-1,0,IF(P$13&lt;=$M77,IF(ISERROR(MATCH(P$13,OFFSET($M77,1,0,ROW($M$92)-ROW($M77)-1),0)),ROW($M$92)-ROW($M77)-1,MATCH(P$13,OFFSET($M77,1,0,ROW($M$92)-ROW($M77)-1),0)-1),0))</f>
        <v>0</v>
      </c>
      <c r="Q77" s="193">
        <f ca="1">IF($F78=-1,0,IF(Q$13&lt;=$M77,IF(ISERROR(MATCH(Q$13,OFFSET($M77,1,0,ROW($M$92)-ROW($M77)-1),0)),ROW($M$92)-ROW($M77)-1,MATCH(Q$13,OFFSET($M77,1,0,ROW($M$92)-ROW($M77)-1),0)-1),0))</f>
        <v>0</v>
      </c>
      <c r="R77" s="193">
        <f t="shared" ref="R77" ca="1" si="131">MIN(OFFSET(M77,0,1,,M77))</f>
        <v>2</v>
      </c>
      <c r="S77" s="194">
        <f ca="1">IF($F78=0,OFFSET(ORÇAMENTO!X$15,$F77,0),IF($F78&lt;&gt;-1,OFFSET(QCI!$O$13,$F78,0),""))</f>
        <v>40811.35</v>
      </c>
      <c r="T77" s="195" t="s">
        <v>785</v>
      </c>
      <c r="U77" s="188" cm="1">
        <f t="array" aca="1" ref="U77" ca="1">IF(AND($R77=2,ACOMPANHAMENTO="BM"),ROUND(U78,4),U79/$S77)</f>
        <v>0</v>
      </c>
      <c r="V77" s="188" cm="1">
        <f t="array" aca="1" ref="V77" ca="1">IF(AND($R77=2,ACOMPANHAMENTO="BM"),ROUND(V78,4),V79/$S77)</f>
        <v>0</v>
      </c>
      <c r="W77" s="188" cm="1">
        <f t="array" aca="1" ref="W77" ca="1">IF(AND($R77=2,ACOMPANHAMENTO="BM"),ROUND(W78,4),W79/$S77)</f>
        <v>0</v>
      </c>
      <c r="X77" s="188" cm="1">
        <f t="array" aca="1" ref="X77" ca="1">IF(AND($R77=2,ACOMPANHAMENTO="BM"),ROUND(X78,4),X79/$S77)</f>
        <v>0</v>
      </c>
      <c r="Y77" s="188" cm="1">
        <f t="array" aca="1" ref="Y77" ca="1">IF(AND($R77=2,ACOMPANHAMENTO="BM"),ROUND(Y78,4),Y79/$S77)</f>
        <v>0</v>
      </c>
      <c r="Z77" s="188" cm="1">
        <f t="array" aca="1" ref="Z77" ca="1">IF(AND($R77=2,ACOMPANHAMENTO="BM"),ROUND(Z78,4),Z79/$S77)</f>
        <v>0</v>
      </c>
      <c r="AA77" s="188" cm="1">
        <f t="array" aca="1" ref="AA77" ca="1">IF(AND($R77=2,ACOMPANHAMENTO="BM"),ROUND(AA78,4),AA79/$S77)</f>
        <v>0</v>
      </c>
      <c r="AB77" s="188" cm="1">
        <f t="array" aca="1" ref="AB77" ca="1">IF(AND($R77=2,ACOMPANHAMENTO="BM"),ROUND(AB78,4),AB79/$S77)</f>
        <v>0</v>
      </c>
      <c r="AC77" s="188" cm="1">
        <f t="array" aca="1" ref="AC77" ca="1">IF(AND($R77=2,ACOMPANHAMENTO="BM"),ROUND(AC78,4),AC79/$S77)</f>
        <v>1.0000000000000002</v>
      </c>
      <c r="AD77" s="188" cm="1">
        <f t="array" aca="1" ref="AD77" ca="1">IF(AND($R77=2,ACOMPANHAMENTO="BM"),ROUND(AD78,4),AD79/$S77)</f>
        <v>0</v>
      </c>
      <c r="AE77" s="188" cm="1">
        <f t="array" aca="1" ref="AE77" ca="1">IF(AND($R77=2,ACOMPANHAMENTO="BM"),ROUND(AE78,4),AE79/$S77)</f>
        <v>0</v>
      </c>
      <c r="AF77" s="188" cm="1">
        <f t="array" aca="1" ref="AF77" ca="1">IF(AND($R77=2,ACOMPANHAMENTO="BM"),ROUND(AF78,4),AF79/$S77)</f>
        <v>0</v>
      </c>
      <c r="AG77" s="534"/>
    </row>
    <row r="78" spans="1:33" ht="12.75" hidden="1" customHeight="1" x14ac:dyDescent="0.2">
      <c r="E78" s="587"/>
      <c r="F78" s="185">
        <f ca="1">IF(ISERROR(F77),IF(1+COUNTIF($M$13:OFFSET(M77,-1,0),1)&lt;=MAX(QCI!$D$13:$D$24),1+COUNTIF($M$13:OFFSET(M77,-1,0),1),-1),0)</f>
        <v>0</v>
      </c>
      <c r="G78" s="185" t="str" cm="1">
        <f t="array" aca="1" ref="G78" ca="1">IF(ACOMPANHAMENTO="BM",OFFSET(G78,-1,0),"")</f>
        <v/>
      </c>
      <c r="H78" s="196" t="str" cm="1">
        <f t="array" aca="1" ref="H78" ca="1">IF(OR(S77=0,S77=""),"vazia",IF(AND(OR(ACOMPANHAMENTO="PLE",$R77&lt;&gt;2),$F78=0),"calculada","--&gt;"))</f>
        <v>calculada</v>
      </c>
      <c r="I78" s="197"/>
      <c r="J78" s="198" t="str">
        <f t="shared" ref="J78" ca="1" si="132">IF(AND(H77&lt;&gt;0,ISNUMBER(H77)),"PREENCHA ESTA LINHA --&gt;","")</f>
        <v/>
      </c>
      <c r="K78" s="198"/>
      <c r="L78" s="198"/>
      <c r="M78" s="199"/>
      <c r="N78" s="199"/>
      <c r="O78" s="199"/>
      <c r="P78" s="199"/>
      <c r="Q78" s="199"/>
      <c r="R78" s="199"/>
      <c r="S78" s="200"/>
      <c r="T78" s="201"/>
      <c r="U78" s="587"/>
      <c r="V78" s="587"/>
      <c r="W78" s="587"/>
      <c r="X78" s="587"/>
      <c r="Y78" s="587"/>
      <c r="Z78" s="587"/>
      <c r="AA78" s="587"/>
      <c r="AB78" s="587"/>
      <c r="AC78" s="587"/>
      <c r="AD78" s="587"/>
      <c r="AE78" s="587"/>
      <c r="AF78" s="587"/>
      <c r="AG78" s="534"/>
    </row>
    <row r="79" spans="1:33" ht="12.75" hidden="1" customHeight="1" x14ac:dyDescent="0.2">
      <c r="D79" s="533"/>
      <c r="E79" s="202" cm="1">
        <f t="array" aca="1" ref="E79" ca="1">IF($R77=2,
         IF(AND(ACOMPANHAMENTO="PLE",ISNUMBER($F77)),
                SUMIF((OFFSET(CÁLCULO!$BC$15:$BU$15,$F77,0,OFFSET(ORÇAMENTO!$D$15,CRONO!$F77,0))),CRONO!E$12,OFFSET(CÁLCULO!$AJ$15:$BB$15,$F77,0,OFFSET(ORÇAMENTO!$D$15,CRONO!$F77,0)))
                +IF(AND($F79&lt;&gt;"",$F79&lt;&gt;0),
                        SUMIF(CÁLCULO!$BC$15:$BU$191,CRONO!E$12,CÁLCULO!$AJ$15:$BB$191)/(ORÇAMENTO!$X$15-CÁLCULO.TotalAdmLocal)*CRONO!$F79,
                        0),
                 E78*$S77),
          SUMIF(OFFSET($S79,1,0,$R77-2),($M77+1)&amp;"$",OFFSET(E79,1,0,$R77-2)))</f>
        <v>0</v>
      </c>
      <c r="F79" s="185">
        <f ca="1">IF(OR($R77&lt;&gt;2,AUTOEVENTO&lt;&gt;"manual",$F78&gt;0),"",
        IF(Import.TipoArredondamento="Tradicional",
              SUMIF(OFFSET(CÁLCULO!$M$15,CRONO!$F77,0,OFFSET(ORÇAMENTO!$D$15,CRONO!$F77,0)),1,OFFSET(ORÇAMENTO!$X$15,CRONO!$F77,0,OFFSET(ORÇAMENTO!$D$15,CRONO!$F77,0))),
              0))</f>
        <v>0</v>
      </c>
      <c r="H79" s="736"/>
      <c r="S79" s="204" t="str">
        <f t="shared" ref="S79" ca="1" si="133">M77&amp;"$"</f>
        <v>2$</v>
      </c>
      <c r="T79" s="205"/>
      <c r="U79" s="202" cm="1">
        <f t="array" aca="1" ref="U79" ca="1">IF($R77=2,
         IF(AND(ACOMPANHAMENTO="PLE",ISNUMBER($F77)),
                SUMIF((OFFSET(CÁLCULO!$BC$15:$BU$15,$F77,0,OFFSET(ORÇAMENTO!$D$15,CRONO!$F77,0))),CRONO!U$12,OFFSET(CÁLCULO!$AJ$15:$BB$15,$F77,0,OFFSET(ORÇAMENTO!$D$15,CRONO!$F77,0)))
                +IF(AND($F79&lt;&gt;"",$F79&lt;&gt;0),
                        SUMIF(CÁLCULO!$BC$15:$BU$191,CRONO!U$12,CÁLCULO!$AJ$15:$BB$191)/(ORÇAMENTO!$X$15-CÁLCULO.TotalAdmLocal)*CRONO!$F79,
                        0),
                 U78*$S77),
          SUMIF(OFFSET($S79,1,0,$R77-2),($M77+1)&amp;"$",OFFSET(U79,1,0,$R77-2)))</f>
        <v>0</v>
      </c>
      <c r="V79" s="202" cm="1">
        <f t="array" aca="1" ref="V79" ca="1">IF($R77=2,
         IF(AND(ACOMPANHAMENTO="PLE",ISNUMBER($F77)),
                SUMIF((OFFSET(CÁLCULO!$BC$15:$BU$15,$F77,0,OFFSET(ORÇAMENTO!$D$15,CRONO!$F77,0))),CRONO!V$12,OFFSET(CÁLCULO!$AJ$15:$BB$15,$F77,0,OFFSET(ORÇAMENTO!$D$15,CRONO!$F77,0)))
                +IF(AND($F79&lt;&gt;"",$F79&lt;&gt;0),
                        SUMIF(CÁLCULO!$BC$15:$BU$191,CRONO!V$12,CÁLCULO!$AJ$15:$BB$191)/(ORÇAMENTO!$X$15-CÁLCULO.TotalAdmLocal)*CRONO!$F79,
                        0),
                 V78*$S77),
          SUMIF(OFFSET($S79,1,0,$R77-2),($M77+1)&amp;"$",OFFSET(V79,1,0,$R77-2)))</f>
        <v>0</v>
      </c>
      <c r="W79" s="202" cm="1">
        <f t="array" aca="1" ref="W79" ca="1">IF($R77=2,
         IF(AND(ACOMPANHAMENTO="PLE",ISNUMBER($F77)),
                SUMIF((OFFSET(CÁLCULO!$BC$15:$BU$15,$F77,0,OFFSET(ORÇAMENTO!$D$15,CRONO!$F77,0))),CRONO!W$12,OFFSET(CÁLCULO!$AJ$15:$BB$15,$F77,0,OFFSET(ORÇAMENTO!$D$15,CRONO!$F77,0)))
                +IF(AND($F79&lt;&gt;"",$F79&lt;&gt;0),
                        SUMIF(CÁLCULO!$BC$15:$BU$191,CRONO!W$12,CÁLCULO!$AJ$15:$BB$191)/(ORÇAMENTO!$X$15-CÁLCULO.TotalAdmLocal)*CRONO!$F79,
                        0),
                 W78*$S77),
          SUMIF(OFFSET($S79,1,0,$R77-2),($M77+1)&amp;"$",OFFSET(W79,1,0,$R77-2)))</f>
        <v>0</v>
      </c>
      <c r="X79" s="202" cm="1">
        <f t="array" aca="1" ref="X79" ca="1">IF($R77=2,
         IF(AND(ACOMPANHAMENTO="PLE",ISNUMBER($F77)),
                SUMIF((OFFSET(CÁLCULO!$BC$15:$BU$15,$F77,0,OFFSET(ORÇAMENTO!$D$15,CRONO!$F77,0))),CRONO!X$12,OFFSET(CÁLCULO!$AJ$15:$BB$15,$F77,0,OFFSET(ORÇAMENTO!$D$15,CRONO!$F77,0)))
                +IF(AND($F79&lt;&gt;"",$F79&lt;&gt;0),
                        SUMIF(CÁLCULO!$BC$15:$BU$191,CRONO!X$12,CÁLCULO!$AJ$15:$BB$191)/(ORÇAMENTO!$X$15-CÁLCULO.TotalAdmLocal)*CRONO!$F79,
                        0),
                 X78*$S77),
          SUMIF(OFFSET($S79,1,0,$R77-2),($M77+1)&amp;"$",OFFSET(X79,1,0,$R77-2)))</f>
        <v>0</v>
      </c>
      <c r="Y79" s="202" cm="1">
        <f t="array" aca="1" ref="Y79" ca="1">IF($R77=2,
         IF(AND(ACOMPANHAMENTO="PLE",ISNUMBER($F77)),
                SUMIF((OFFSET(CÁLCULO!$BC$15:$BU$15,$F77,0,OFFSET(ORÇAMENTO!$D$15,CRONO!$F77,0))),CRONO!Y$12,OFFSET(CÁLCULO!$AJ$15:$BB$15,$F77,0,OFFSET(ORÇAMENTO!$D$15,CRONO!$F77,0)))
                +IF(AND($F79&lt;&gt;"",$F79&lt;&gt;0),
                        SUMIF(CÁLCULO!$BC$15:$BU$191,CRONO!Y$12,CÁLCULO!$AJ$15:$BB$191)/(ORÇAMENTO!$X$15-CÁLCULO.TotalAdmLocal)*CRONO!$F79,
                        0),
                 Y78*$S77),
          SUMIF(OFFSET($S79,1,0,$R77-2),($M77+1)&amp;"$",OFFSET(Y79,1,0,$R77-2)))</f>
        <v>0</v>
      </c>
      <c r="Z79" s="202" cm="1">
        <f t="array" aca="1" ref="Z79" ca="1">IF($R77=2,
         IF(AND(ACOMPANHAMENTO="PLE",ISNUMBER($F77)),
                SUMIF((OFFSET(CÁLCULO!$BC$15:$BU$15,$F77,0,OFFSET(ORÇAMENTO!$D$15,CRONO!$F77,0))),CRONO!Z$12,OFFSET(CÁLCULO!$AJ$15:$BB$15,$F77,0,OFFSET(ORÇAMENTO!$D$15,CRONO!$F77,0)))
                +IF(AND($F79&lt;&gt;"",$F79&lt;&gt;0),
                        SUMIF(CÁLCULO!$BC$15:$BU$191,CRONO!Z$12,CÁLCULO!$AJ$15:$BB$191)/(ORÇAMENTO!$X$15-CÁLCULO.TotalAdmLocal)*CRONO!$F79,
                        0),
                 Z78*$S77),
          SUMIF(OFFSET($S79,1,0,$R77-2),($M77+1)&amp;"$",OFFSET(Z79,1,0,$R77-2)))</f>
        <v>0</v>
      </c>
      <c r="AA79" s="202" cm="1">
        <f t="array" aca="1" ref="AA79" ca="1">IF($R77=2,
         IF(AND(ACOMPANHAMENTO="PLE",ISNUMBER($F77)),
                SUMIF((OFFSET(CÁLCULO!$BC$15:$BU$15,$F77,0,OFFSET(ORÇAMENTO!$D$15,CRONO!$F77,0))),CRONO!AA$12,OFFSET(CÁLCULO!$AJ$15:$BB$15,$F77,0,OFFSET(ORÇAMENTO!$D$15,CRONO!$F77,0)))
                +IF(AND($F79&lt;&gt;"",$F79&lt;&gt;0),
                        SUMIF(CÁLCULO!$BC$15:$BU$191,CRONO!AA$12,CÁLCULO!$AJ$15:$BB$191)/(ORÇAMENTO!$X$15-CÁLCULO.TotalAdmLocal)*CRONO!$F79,
                        0),
                 AA78*$S77),
          SUMIF(OFFSET($S79,1,0,$R77-2),($M77+1)&amp;"$",OFFSET(AA79,1,0,$R77-2)))</f>
        <v>0</v>
      </c>
      <c r="AB79" s="202" cm="1">
        <f t="array" aca="1" ref="AB79" ca="1">IF($R77=2,
         IF(AND(ACOMPANHAMENTO="PLE",ISNUMBER($F77)),
                SUMIF((OFFSET(CÁLCULO!$BC$15:$BU$15,$F77,0,OFFSET(ORÇAMENTO!$D$15,CRONO!$F77,0))),CRONO!AB$12,OFFSET(CÁLCULO!$AJ$15:$BB$15,$F77,0,OFFSET(ORÇAMENTO!$D$15,CRONO!$F77,0)))
                +IF(AND($F79&lt;&gt;"",$F79&lt;&gt;0),
                        SUMIF(CÁLCULO!$BC$15:$BU$191,CRONO!AB$12,CÁLCULO!$AJ$15:$BB$191)/(ORÇAMENTO!$X$15-CÁLCULO.TotalAdmLocal)*CRONO!$F79,
                        0),
                 AB78*$S77),
          SUMIF(OFFSET($S79,1,0,$R77-2),($M77+1)&amp;"$",OFFSET(AB79,1,0,$R77-2)))</f>
        <v>0</v>
      </c>
      <c r="AC79" s="202" cm="1">
        <f t="array" aca="1" ref="AC79" ca="1">IF($R77=2,
         IF(AND(ACOMPANHAMENTO="PLE",ISNUMBER($F77)),
                SUMIF((OFFSET(CÁLCULO!$BC$15:$BU$15,$F77,0,OFFSET(ORÇAMENTO!$D$15,CRONO!$F77,0))),CRONO!AC$12,OFFSET(CÁLCULO!$AJ$15:$BB$15,$F77,0,OFFSET(ORÇAMENTO!$D$15,CRONO!$F77,0)))
                +IF(AND($F79&lt;&gt;"",$F79&lt;&gt;0),
                        SUMIF(CÁLCULO!$BC$15:$BU$191,CRONO!AC$12,CÁLCULO!$AJ$15:$BB$191)/(ORÇAMENTO!$X$15-CÁLCULO.TotalAdmLocal)*CRONO!$F79,
                        0),
                 AC78*$S77),
          SUMIF(OFFSET($S79,1,0,$R77-2),($M77+1)&amp;"$",OFFSET(AC79,1,0,$R77-2)))</f>
        <v>40811.350000000006</v>
      </c>
      <c r="AD79" s="202" cm="1">
        <f t="array" aca="1" ref="AD79" ca="1">IF($R77=2,
         IF(AND(ACOMPANHAMENTO="PLE",ISNUMBER($F77)),
                SUMIF((OFFSET(CÁLCULO!$BC$15:$BU$15,$F77,0,OFFSET(ORÇAMENTO!$D$15,CRONO!$F77,0))),CRONO!AD$12,OFFSET(CÁLCULO!$AJ$15:$BB$15,$F77,0,OFFSET(ORÇAMENTO!$D$15,CRONO!$F77,0)))
                +IF(AND($F79&lt;&gt;"",$F79&lt;&gt;0),
                        SUMIF(CÁLCULO!$BC$15:$BU$191,CRONO!AD$12,CÁLCULO!$AJ$15:$BB$191)/(ORÇAMENTO!$X$15-CÁLCULO.TotalAdmLocal)*CRONO!$F79,
                        0),
                 AD78*$S77),
          SUMIF(OFFSET($S79,1,0,$R77-2),($M77+1)&amp;"$",OFFSET(AD79,1,0,$R77-2)))</f>
        <v>0</v>
      </c>
      <c r="AE79" s="202" cm="1">
        <f t="array" aca="1" ref="AE79" ca="1">IF($R77=2,
         IF(AND(ACOMPANHAMENTO="PLE",ISNUMBER($F77)),
                SUMIF((OFFSET(CÁLCULO!$BC$15:$BU$15,$F77,0,OFFSET(ORÇAMENTO!$D$15,CRONO!$F77,0))),CRONO!AE$12,OFFSET(CÁLCULO!$AJ$15:$BB$15,$F77,0,OFFSET(ORÇAMENTO!$D$15,CRONO!$F77,0)))
                +IF(AND($F79&lt;&gt;"",$F79&lt;&gt;0),
                        SUMIF(CÁLCULO!$BC$15:$BU$191,CRONO!AE$12,CÁLCULO!$AJ$15:$BB$191)/(ORÇAMENTO!$X$15-CÁLCULO.TotalAdmLocal)*CRONO!$F79,
                        0),
                 AE78*$S77),
          SUMIF(OFFSET($S79,1,0,$R77-2),($M77+1)&amp;"$",OFFSET(AE79,1,0,$R77-2)))</f>
        <v>0</v>
      </c>
      <c r="AF79" s="202" cm="1">
        <f t="array" aca="1" ref="AF79" ca="1">IF($R77=2,
         IF(AND(ACOMPANHAMENTO="PLE",ISNUMBER($F77)),
                SUMIF((OFFSET(CÁLCULO!$BC$15:$BU$15,$F77,0,OFFSET(ORÇAMENTO!$D$15,CRONO!$F77,0))),CRONO!AF$12,OFFSET(CÁLCULO!$AJ$15:$BB$15,$F77,0,OFFSET(ORÇAMENTO!$D$15,CRONO!$F77,0)))
                +IF(AND($F79&lt;&gt;"",$F79&lt;&gt;0),
                        SUMIF(CÁLCULO!$BC$15:$BU$191,CRONO!AF$12,CÁLCULO!$AJ$15:$BB$191)/(ORÇAMENTO!$X$15-CÁLCULO.TotalAdmLocal)*CRONO!$F79,
                        0),
                 AF78*$S77),
          SUMIF(OFFSET($S79,1,0,$R77-2),($M77+1)&amp;"$",OFFSET(AF79,1,0,$R77-2)))</f>
        <v>0</v>
      </c>
      <c r="AG79" s="534"/>
    </row>
    <row r="80" spans="1:33" x14ac:dyDescent="0.2">
      <c r="A80" s="186" t="str">
        <f t="shared" ref="A80" ca="1" si="134">IF($M80&gt;1,_xlfn.CONCAT($I80," ",$J80),"")</f>
        <v>1.22. QUADRO DE COMANDO E BOMBAS - Estação Elevatória de Água Tratada</v>
      </c>
      <c r="B80" s="185">
        <f t="shared" ref="B80" ca="1" si="135">OFFSET(B80,-3,0)+1</f>
        <v>23</v>
      </c>
      <c r="C80" s="185">
        <f ca="1">IF($R80&lt;&gt;2,0,IF($S80=0,1,IF(F81&gt;0,OFFSET(QCI!$M$13,SUBSTITUTE(F81,".",""),0),OFFSET(ORÇAMENTO!$AA$15,CRONO!$F80,0))/$S80))</f>
        <v>0</v>
      </c>
      <c r="D80" s="185">
        <f ca="1">IF($R80&lt;&gt;2,0,IF($S80=0,1,IF(F81&gt;0,OFFSET(QCI!$N$13,SUBSTITUTE(F81,".",""),0),OFFSET(ORÇAMENTO!$AB$15,CRONO!$F80,0))/$S80))</f>
        <v>0</v>
      </c>
      <c r="E80" s="188" cm="1">
        <f t="array" aca="1" ref="E80" ca="1">IF(AND($R80=2,ACOMPANHAMENTO="BM"),ROUND(E81,4),E82/$S80)</f>
        <v>0</v>
      </c>
      <c r="F80" s="185" cm="1">
        <f t="array" aca="1" ref="F80" ca="1">IF(B80&lt;=ORÇAMENTO.MáximoListaCrono,MATCH(B80,ORÇAMENTO.ListaCrono,0),NA())</f>
        <v>151</v>
      </c>
      <c r="G80" s="185" t="str">
        <f t="shared" ref="G80" ca="1" si="136">IF(AND($F81&lt;&gt;-1,$S80&gt;0),"F","")</f>
        <v>F</v>
      </c>
      <c r="H80" s="189" t="str" cm="1">
        <f t="array" aca="1" ref="H80" ca="1">IF(OR(S80=0,S80=""),"Linha",IF(AND(OR(ACOMPANHAMENTO="PLE",$R80&lt;&gt;2),$F81=0),"Linha",ROUND(1-SUM(U80:AG80),4)))</f>
        <v>Linha</v>
      </c>
      <c r="I80" s="190" t="str">
        <f ca="1">IF($F81=0,OFFSET(ORÇAMENTO!O$15,$F80,0),IF($F81&lt;&gt;-1,OFFSET(QCI!$D$13,$F81,0),""))</f>
        <v>1.22.</v>
      </c>
      <c r="J80" s="191" t="str">
        <f ca="1">IF($F81=0,OFFSET(ORÇAMENTO!R$15,$F80,0),IF($F81&lt;&gt;-1,OFFSET(QCI!$G$13,$F81,0),""))</f>
        <v>QUADRO DE COMANDO E BOMBAS - Estação Elevatória de Água Tratada</v>
      </c>
      <c r="K80" s="191"/>
      <c r="L80" s="191"/>
      <c r="M80" s="192">
        <f ca="1">IF($F81=0,OFFSET(ORÇAMENTO!C$15,$F80,0),1)</f>
        <v>2</v>
      </c>
      <c r="N80" s="193">
        <f t="shared" ref="N80" ca="1" si="137">IF($F81=-1,0,IF(N$13&lt;=$M80,IF(ISERROR(MATCH(N$13,OFFSET($M80,1,0,ROW($M$92)-ROW($M80)-1),0)),ROW($M$92)-ROW($M80)-1,MATCH(N$13,OFFSET($M80,1,0,ROW($M$92)-ROW($M80)-1),0)-1),0))</f>
        <v>8</v>
      </c>
      <c r="O80" s="193">
        <f t="shared" ref="O80" ca="1" si="138">IF($F81=-1,0,IF(O$13&lt;=$M80,IF(ISERROR(MATCH(O$13,OFFSET($M80,1,0,ROW($M$92)-ROW($M80)-1),0)),ROW($M$92)-ROW($M80)-1,MATCH(O$13,OFFSET($M80,1,0,ROW($M$92)-ROW($M80)-1),0)-1),0))</f>
        <v>2</v>
      </c>
      <c r="P80" s="193">
        <f t="shared" ref="P80" ca="1" si="139">IF($F81=-1,0,IF(P$13&lt;=$M80,IF(ISERROR(MATCH(P$13,OFFSET($M80,1,0,ROW($M$92)-ROW($M80)-1),0)),ROW($M$92)-ROW($M80)-1,MATCH(P$13,OFFSET($M80,1,0,ROW($M$92)-ROW($M80)-1),0)-1),0))</f>
        <v>0</v>
      </c>
      <c r="Q80" s="193">
        <f t="shared" ref="Q80" ca="1" si="140">IF($F81=-1,0,IF(Q$13&lt;=$M80,IF(ISERROR(MATCH(Q$13,OFFSET($M80,1,0,ROW($M$92)-ROW($M80)-1),0)),ROW($M$92)-ROW($M80)-1,MATCH(Q$13,OFFSET($M80,1,0,ROW($M$92)-ROW($M80)-1),0)-1),0))</f>
        <v>0</v>
      </c>
      <c r="R80" s="193">
        <f t="shared" ref="R80" ca="1" si="141">MIN(OFFSET(M80,0,1,,M80))</f>
        <v>2</v>
      </c>
      <c r="S80" s="194">
        <f ca="1">IF($F81=0,OFFSET(ORÇAMENTO!X$15,$F80,0),IF($F81&lt;&gt;-1,OFFSET(QCI!$O$13,$F81,0),""))</f>
        <v>191714.02</v>
      </c>
      <c r="T80" s="195" t="s">
        <v>785</v>
      </c>
      <c r="U80" s="188" cm="1">
        <f t="array" aca="1" ref="U80" ca="1">IF(AND($R80=2,ACOMPANHAMENTO="BM"),ROUND(U81,4),U82/$S80)</f>
        <v>0</v>
      </c>
      <c r="V80" s="188" cm="1">
        <f t="array" aca="1" ref="V80" ca="1">IF(AND($R80=2,ACOMPANHAMENTO="BM"),ROUND(V81,4),V82/$S80)</f>
        <v>0</v>
      </c>
      <c r="W80" s="188" cm="1">
        <f t="array" aca="1" ref="W80" ca="1">IF(AND($R80=2,ACOMPANHAMENTO="BM"),ROUND(W81,4),W82/$S80)</f>
        <v>0</v>
      </c>
      <c r="X80" s="188" cm="1">
        <f t="array" aca="1" ref="X80" ca="1">IF(AND($R80=2,ACOMPANHAMENTO="BM"),ROUND(X81,4),X82/$S80)</f>
        <v>0</v>
      </c>
      <c r="Y80" s="188" cm="1">
        <f t="array" aca="1" ref="Y80" ca="1">IF(AND($R80=2,ACOMPANHAMENTO="BM"),ROUND(Y81,4),Y82/$S80)</f>
        <v>0</v>
      </c>
      <c r="Z80" s="188" cm="1">
        <f t="array" aca="1" ref="Z80" ca="1">IF(AND($R80=2,ACOMPANHAMENTO="BM"),ROUND(Z81,4),Z82/$S80)</f>
        <v>0</v>
      </c>
      <c r="AA80" s="188" cm="1">
        <f t="array" aca="1" ref="AA80" ca="1">IF(AND($R80=2,ACOMPANHAMENTO="BM"),ROUND(AA81,4),AA82/$S80)</f>
        <v>0</v>
      </c>
      <c r="AB80" s="188" cm="1">
        <f t="array" aca="1" ref="AB80" ca="1">IF(AND($R80=2,ACOMPANHAMENTO="BM"),ROUND(AB81,4),AB82/$S80)</f>
        <v>0</v>
      </c>
      <c r="AC80" s="188" cm="1">
        <f t="array" aca="1" ref="AC80" ca="1">IF(AND($R80=2,ACOMPANHAMENTO="BM"),ROUND(AC81,4),AC82/$S80)</f>
        <v>0</v>
      </c>
      <c r="AD80" s="188" cm="1">
        <f t="array" aca="1" ref="AD80" ca="1">IF(AND($R80=2,ACOMPANHAMENTO="BM"),ROUND(AD81,4),AD82/$S80)</f>
        <v>0</v>
      </c>
      <c r="AE80" s="188" cm="1">
        <f t="array" aca="1" ref="AE80" ca="1">IF(AND($R80=2,ACOMPANHAMENTO="BM"),ROUND(AE81,4),AE82/$S80)</f>
        <v>0</v>
      </c>
      <c r="AF80" s="188" cm="1">
        <f t="array" aca="1" ref="AF80" ca="1">IF(AND($R80=2,ACOMPANHAMENTO="BM"),ROUND(AF81,4),AF82/$S80)</f>
        <v>1</v>
      </c>
      <c r="AG80" s="534"/>
    </row>
    <row r="81" spans="1:33" ht="12.75" hidden="1" customHeight="1" x14ac:dyDescent="0.2">
      <c r="E81" s="587"/>
      <c r="F81" s="185">
        <f ca="1">IF(ISERROR(F80),IF(1+COUNTIF($M$13:OFFSET(M80,-1,0),1)&lt;=MAX(QCI!$D$13:$D$24),1+COUNTIF($M$13:OFFSET(M80,-1,0),1),-1),0)</f>
        <v>0</v>
      </c>
      <c r="G81" s="185" t="str" cm="1">
        <f t="array" aca="1" ref="G81" ca="1">IF(ACOMPANHAMENTO="BM",OFFSET(G81,-1,0),"")</f>
        <v/>
      </c>
      <c r="H81" s="196" t="str" cm="1">
        <f t="array" aca="1" ref="H81" ca="1">IF(OR(S80=0,S80=""),"vazia",IF(AND(OR(ACOMPANHAMENTO="PLE",$R80&lt;&gt;2),$F81=0),"calculada","--&gt;"))</f>
        <v>calculada</v>
      </c>
      <c r="I81" s="197"/>
      <c r="J81" s="198" t="str">
        <f t="shared" ref="J81" ca="1" si="142">IF(AND(H80&lt;&gt;0,ISNUMBER(H80)),"PREENCHA ESTA LINHA --&gt;","")</f>
        <v/>
      </c>
      <c r="K81" s="198"/>
      <c r="L81" s="198"/>
      <c r="M81" s="199"/>
      <c r="N81" s="199"/>
      <c r="O81" s="199"/>
      <c r="P81" s="199"/>
      <c r="Q81" s="199"/>
      <c r="R81" s="199"/>
      <c r="S81" s="200"/>
      <c r="T81" s="201"/>
      <c r="U81" s="587"/>
      <c r="V81" s="587"/>
      <c r="W81" s="587"/>
      <c r="X81" s="587"/>
      <c r="Y81" s="587"/>
      <c r="Z81" s="587"/>
      <c r="AA81" s="587"/>
      <c r="AB81" s="587"/>
      <c r="AC81" s="587"/>
      <c r="AD81" s="587"/>
      <c r="AE81" s="587"/>
      <c r="AF81" s="587"/>
      <c r="AG81" s="534"/>
    </row>
    <row r="82" spans="1:33" ht="12.75" hidden="1" customHeight="1" x14ac:dyDescent="0.2">
      <c r="D82" s="533"/>
      <c r="E82" s="202" cm="1">
        <f t="array" aca="1" ref="E82" ca="1">IF($R80=2,
         IF(AND(ACOMPANHAMENTO="PLE",ISNUMBER($F80)),
                SUMIF((OFFSET(CÁLCULO!$BC$15:$BU$15,$F80,0,OFFSET(ORÇAMENTO!$D$15,CRONO!$F80,0))),CRONO!E$12,OFFSET(CÁLCULO!$AJ$15:$BB$15,$F80,0,OFFSET(ORÇAMENTO!$D$15,CRONO!$F80,0)))
                +IF(AND($F82&lt;&gt;"",$F82&lt;&gt;0),
                        SUMIF(CÁLCULO!$BC$15:$BU$191,CRONO!E$12,CÁLCULO!$AJ$15:$BB$191)/(ORÇAMENTO!$X$15-CÁLCULO.TotalAdmLocal)*CRONO!$F82,
                        0),
                 E81*$S80),
          SUMIF(OFFSET($S82,1,0,$R80-2),($M80+1)&amp;"$",OFFSET(E82,1,0,$R80-2)))</f>
        <v>0</v>
      </c>
      <c r="F82" s="185">
        <f ca="1">IF(OR($R80&lt;&gt;2,AUTOEVENTO&lt;&gt;"manual",$F81&gt;0),"",
        IF(Import.TipoArredondamento="Tradicional",
              SUMIF(OFFSET(CÁLCULO!$M$15,CRONO!$F80,0,OFFSET(ORÇAMENTO!$D$15,CRONO!$F80,0)),1,OFFSET(ORÇAMENTO!$X$15,CRONO!$F80,0,OFFSET(ORÇAMENTO!$D$15,CRONO!$F80,0))),
              0))</f>
        <v>0</v>
      </c>
      <c r="H82" s="736"/>
      <c r="S82" s="204" t="str">
        <f t="shared" ref="S82" ca="1" si="143">M80&amp;"$"</f>
        <v>2$</v>
      </c>
      <c r="T82" s="205"/>
      <c r="U82" s="202" cm="1">
        <f t="array" aca="1" ref="U82" ca="1">IF($R80=2,
         IF(AND(ACOMPANHAMENTO="PLE",ISNUMBER($F80)),
                SUMIF((OFFSET(CÁLCULO!$BC$15:$BU$15,$F80,0,OFFSET(ORÇAMENTO!$D$15,CRONO!$F80,0))),CRONO!U$12,OFFSET(CÁLCULO!$AJ$15:$BB$15,$F80,0,OFFSET(ORÇAMENTO!$D$15,CRONO!$F80,0)))
                +IF(AND($F82&lt;&gt;"",$F82&lt;&gt;0),
                        SUMIF(CÁLCULO!$BC$15:$BU$191,CRONO!U$12,CÁLCULO!$AJ$15:$BB$191)/(ORÇAMENTO!$X$15-CÁLCULO.TotalAdmLocal)*CRONO!$F82,
                        0),
                 U81*$S80),
          SUMIF(OFFSET($S82,1,0,$R80-2),($M80+1)&amp;"$",OFFSET(U82,1,0,$R80-2)))</f>
        <v>0</v>
      </c>
      <c r="V82" s="202" cm="1">
        <f t="array" aca="1" ref="V82" ca="1">IF($R80=2,
         IF(AND(ACOMPANHAMENTO="PLE",ISNUMBER($F80)),
                SUMIF((OFFSET(CÁLCULO!$BC$15:$BU$15,$F80,0,OFFSET(ORÇAMENTO!$D$15,CRONO!$F80,0))),CRONO!V$12,OFFSET(CÁLCULO!$AJ$15:$BB$15,$F80,0,OFFSET(ORÇAMENTO!$D$15,CRONO!$F80,0)))
                +IF(AND($F82&lt;&gt;"",$F82&lt;&gt;0),
                        SUMIF(CÁLCULO!$BC$15:$BU$191,CRONO!V$12,CÁLCULO!$AJ$15:$BB$191)/(ORÇAMENTO!$X$15-CÁLCULO.TotalAdmLocal)*CRONO!$F82,
                        0),
                 V81*$S80),
          SUMIF(OFFSET($S82,1,0,$R80-2),($M80+1)&amp;"$",OFFSET(V82,1,0,$R80-2)))</f>
        <v>0</v>
      </c>
      <c r="W82" s="202" cm="1">
        <f t="array" aca="1" ref="W82" ca="1">IF($R80=2,
         IF(AND(ACOMPANHAMENTO="PLE",ISNUMBER($F80)),
                SUMIF((OFFSET(CÁLCULO!$BC$15:$BU$15,$F80,0,OFFSET(ORÇAMENTO!$D$15,CRONO!$F80,0))),CRONO!W$12,OFFSET(CÁLCULO!$AJ$15:$BB$15,$F80,0,OFFSET(ORÇAMENTO!$D$15,CRONO!$F80,0)))
                +IF(AND($F82&lt;&gt;"",$F82&lt;&gt;0),
                        SUMIF(CÁLCULO!$BC$15:$BU$191,CRONO!W$12,CÁLCULO!$AJ$15:$BB$191)/(ORÇAMENTO!$X$15-CÁLCULO.TotalAdmLocal)*CRONO!$F82,
                        0),
                 W81*$S80),
          SUMIF(OFFSET($S82,1,0,$R80-2),($M80+1)&amp;"$",OFFSET(W82,1,0,$R80-2)))</f>
        <v>0</v>
      </c>
      <c r="X82" s="202" cm="1">
        <f t="array" aca="1" ref="X82" ca="1">IF($R80=2,
         IF(AND(ACOMPANHAMENTO="PLE",ISNUMBER($F80)),
                SUMIF((OFFSET(CÁLCULO!$BC$15:$BU$15,$F80,0,OFFSET(ORÇAMENTO!$D$15,CRONO!$F80,0))),CRONO!X$12,OFFSET(CÁLCULO!$AJ$15:$BB$15,$F80,0,OFFSET(ORÇAMENTO!$D$15,CRONO!$F80,0)))
                +IF(AND($F82&lt;&gt;"",$F82&lt;&gt;0),
                        SUMIF(CÁLCULO!$BC$15:$BU$191,CRONO!X$12,CÁLCULO!$AJ$15:$BB$191)/(ORÇAMENTO!$X$15-CÁLCULO.TotalAdmLocal)*CRONO!$F82,
                        0),
                 X81*$S80),
          SUMIF(OFFSET($S82,1,0,$R80-2),($M80+1)&amp;"$",OFFSET(X82,1,0,$R80-2)))</f>
        <v>0</v>
      </c>
      <c r="Y82" s="202" cm="1">
        <f t="array" aca="1" ref="Y82" ca="1">IF($R80=2,
         IF(AND(ACOMPANHAMENTO="PLE",ISNUMBER($F80)),
                SUMIF((OFFSET(CÁLCULO!$BC$15:$BU$15,$F80,0,OFFSET(ORÇAMENTO!$D$15,CRONO!$F80,0))),CRONO!Y$12,OFFSET(CÁLCULO!$AJ$15:$BB$15,$F80,0,OFFSET(ORÇAMENTO!$D$15,CRONO!$F80,0)))
                +IF(AND($F82&lt;&gt;"",$F82&lt;&gt;0),
                        SUMIF(CÁLCULO!$BC$15:$BU$191,CRONO!Y$12,CÁLCULO!$AJ$15:$BB$191)/(ORÇAMENTO!$X$15-CÁLCULO.TotalAdmLocal)*CRONO!$F82,
                        0),
                 Y81*$S80),
          SUMIF(OFFSET($S82,1,0,$R80-2),($M80+1)&amp;"$",OFFSET(Y82,1,0,$R80-2)))</f>
        <v>0</v>
      </c>
      <c r="Z82" s="202" cm="1">
        <f t="array" aca="1" ref="Z82" ca="1">IF($R80=2,
         IF(AND(ACOMPANHAMENTO="PLE",ISNUMBER($F80)),
                SUMIF((OFFSET(CÁLCULO!$BC$15:$BU$15,$F80,0,OFFSET(ORÇAMENTO!$D$15,CRONO!$F80,0))),CRONO!Z$12,OFFSET(CÁLCULO!$AJ$15:$BB$15,$F80,0,OFFSET(ORÇAMENTO!$D$15,CRONO!$F80,0)))
                +IF(AND($F82&lt;&gt;"",$F82&lt;&gt;0),
                        SUMIF(CÁLCULO!$BC$15:$BU$191,CRONO!Z$12,CÁLCULO!$AJ$15:$BB$191)/(ORÇAMENTO!$X$15-CÁLCULO.TotalAdmLocal)*CRONO!$F82,
                        0),
                 Z81*$S80),
          SUMIF(OFFSET($S82,1,0,$R80-2),($M80+1)&amp;"$",OFFSET(Z82,1,0,$R80-2)))</f>
        <v>0</v>
      </c>
      <c r="AA82" s="202" cm="1">
        <f t="array" aca="1" ref="AA82" ca="1">IF($R80=2,
         IF(AND(ACOMPANHAMENTO="PLE",ISNUMBER($F80)),
                SUMIF((OFFSET(CÁLCULO!$BC$15:$BU$15,$F80,0,OFFSET(ORÇAMENTO!$D$15,CRONO!$F80,0))),CRONO!AA$12,OFFSET(CÁLCULO!$AJ$15:$BB$15,$F80,0,OFFSET(ORÇAMENTO!$D$15,CRONO!$F80,0)))
                +IF(AND($F82&lt;&gt;"",$F82&lt;&gt;0),
                        SUMIF(CÁLCULO!$BC$15:$BU$191,CRONO!AA$12,CÁLCULO!$AJ$15:$BB$191)/(ORÇAMENTO!$X$15-CÁLCULO.TotalAdmLocal)*CRONO!$F82,
                        0),
                 AA81*$S80),
          SUMIF(OFFSET($S82,1,0,$R80-2),($M80+1)&amp;"$",OFFSET(AA82,1,0,$R80-2)))</f>
        <v>0</v>
      </c>
      <c r="AB82" s="202" cm="1">
        <f t="array" aca="1" ref="AB82" ca="1">IF($R80=2,
         IF(AND(ACOMPANHAMENTO="PLE",ISNUMBER($F80)),
                SUMIF((OFFSET(CÁLCULO!$BC$15:$BU$15,$F80,0,OFFSET(ORÇAMENTO!$D$15,CRONO!$F80,0))),CRONO!AB$12,OFFSET(CÁLCULO!$AJ$15:$BB$15,$F80,0,OFFSET(ORÇAMENTO!$D$15,CRONO!$F80,0)))
                +IF(AND($F82&lt;&gt;"",$F82&lt;&gt;0),
                        SUMIF(CÁLCULO!$BC$15:$BU$191,CRONO!AB$12,CÁLCULO!$AJ$15:$BB$191)/(ORÇAMENTO!$X$15-CÁLCULO.TotalAdmLocal)*CRONO!$F82,
                        0),
                 AB81*$S80),
          SUMIF(OFFSET($S82,1,0,$R80-2),($M80+1)&amp;"$",OFFSET(AB82,1,0,$R80-2)))</f>
        <v>0</v>
      </c>
      <c r="AC82" s="202" cm="1">
        <f t="array" aca="1" ref="AC82" ca="1">IF($R80=2,
         IF(AND(ACOMPANHAMENTO="PLE",ISNUMBER($F80)),
                SUMIF((OFFSET(CÁLCULO!$BC$15:$BU$15,$F80,0,OFFSET(ORÇAMENTO!$D$15,CRONO!$F80,0))),CRONO!AC$12,OFFSET(CÁLCULO!$AJ$15:$BB$15,$F80,0,OFFSET(ORÇAMENTO!$D$15,CRONO!$F80,0)))
                +IF(AND($F82&lt;&gt;"",$F82&lt;&gt;0),
                        SUMIF(CÁLCULO!$BC$15:$BU$191,CRONO!AC$12,CÁLCULO!$AJ$15:$BB$191)/(ORÇAMENTO!$X$15-CÁLCULO.TotalAdmLocal)*CRONO!$F82,
                        0),
                 AC81*$S80),
          SUMIF(OFFSET($S82,1,0,$R80-2),($M80+1)&amp;"$",OFFSET(AC82,1,0,$R80-2)))</f>
        <v>0</v>
      </c>
      <c r="AD82" s="202" cm="1">
        <f t="array" aca="1" ref="AD82" ca="1">IF($R80=2,
         IF(AND(ACOMPANHAMENTO="PLE",ISNUMBER($F80)),
                SUMIF((OFFSET(CÁLCULO!$BC$15:$BU$15,$F80,0,OFFSET(ORÇAMENTO!$D$15,CRONO!$F80,0))),CRONO!AD$12,OFFSET(CÁLCULO!$AJ$15:$BB$15,$F80,0,OFFSET(ORÇAMENTO!$D$15,CRONO!$F80,0)))
                +IF(AND($F82&lt;&gt;"",$F82&lt;&gt;0),
                        SUMIF(CÁLCULO!$BC$15:$BU$191,CRONO!AD$12,CÁLCULO!$AJ$15:$BB$191)/(ORÇAMENTO!$X$15-CÁLCULO.TotalAdmLocal)*CRONO!$F82,
                        0),
                 AD81*$S80),
          SUMIF(OFFSET($S82,1,0,$R80-2),($M80+1)&amp;"$",OFFSET(AD82,1,0,$R80-2)))</f>
        <v>0</v>
      </c>
      <c r="AE82" s="202" cm="1">
        <f t="array" aca="1" ref="AE82" ca="1">IF($R80=2,
         IF(AND(ACOMPANHAMENTO="PLE",ISNUMBER($F80)),
                SUMIF((OFFSET(CÁLCULO!$BC$15:$BU$15,$F80,0,OFFSET(ORÇAMENTO!$D$15,CRONO!$F80,0))),CRONO!AE$12,OFFSET(CÁLCULO!$AJ$15:$BB$15,$F80,0,OFFSET(ORÇAMENTO!$D$15,CRONO!$F80,0)))
                +IF(AND($F82&lt;&gt;"",$F82&lt;&gt;0),
                        SUMIF(CÁLCULO!$BC$15:$BU$191,CRONO!AE$12,CÁLCULO!$AJ$15:$BB$191)/(ORÇAMENTO!$X$15-CÁLCULO.TotalAdmLocal)*CRONO!$F82,
                        0),
                 AE81*$S80),
          SUMIF(OFFSET($S82,1,0,$R80-2),($M80+1)&amp;"$",OFFSET(AE82,1,0,$R80-2)))</f>
        <v>0</v>
      </c>
      <c r="AF82" s="202" cm="1">
        <f t="array" aca="1" ref="AF82" ca="1">IF($R80=2,
         IF(AND(ACOMPANHAMENTO="PLE",ISNUMBER($F80)),
                SUMIF((OFFSET(CÁLCULO!$BC$15:$BU$15,$F80,0,OFFSET(ORÇAMENTO!$D$15,CRONO!$F80,0))),CRONO!AF$12,OFFSET(CÁLCULO!$AJ$15:$BB$15,$F80,0,OFFSET(ORÇAMENTO!$D$15,CRONO!$F80,0)))
                +IF(AND($F82&lt;&gt;"",$F82&lt;&gt;0),
                        SUMIF(CÁLCULO!$BC$15:$BU$191,CRONO!AF$12,CÁLCULO!$AJ$15:$BB$191)/(ORÇAMENTO!$X$15-CÁLCULO.TotalAdmLocal)*CRONO!$F82,
                        0),
                 AF81*$S80),
          SUMIF(OFFSET($S82,1,0,$R80-2),($M80+1)&amp;"$",OFFSET(AF82,1,0,$R80-2)))</f>
        <v>191714.02</v>
      </c>
      <c r="AG82" s="534"/>
    </row>
    <row r="83" spans="1:33" x14ac:dyDescent="0.2">
      <c r="A83" s="186" t="str">
        <f t="shared" ref="A83" ca="1" si="144">IF($M83&gt;1,_xlfn.CONCAT($I83," ",$J83),"")</f>
        <v>1.23. EXECUÇÃO/ FORNECIMENTO DE MATERIAIS E EQUIPAMENTOS HIDRAULICOS - Distribuição de água tratada</v>
      </c>
      <c r="B83" s="185">
        <f t="shared" ref="B83" ca="1" si="145">OFFSET(B83,-3,0)+1</f>
        <v>24</v>
      </c>
      <c r="C83" s="185">
        <f ca="1">IF($R83&lt;&gt;2,0,IF($S83=0,1,IF(F84&gt;0,OFFSET(QCI!$M$13,SUBSTITUTE(F84,".",""),0),OFFSET(ORÇAMENTO!$AA$15,CRONO!$F83,0))/$S83))</f>
        <v>0</v>
      </c>
      <c r="D83" s="185">
        <f ca="1">IF($R83&lt;&gt;2,0,IF($S83=0,1,IF(F84&gt;0,OFFSET(QCI!$N$13,SUBSTITUTE(F84,".",""),0),OFFSET(ORÇAMENTO!$AB$15,CRONO!$F83,0))/$S83))</f>
        <v>0</v>
      </c>
      <c r="E83" s="188" cm="1">
        <f t="array" aca="1" ref="E83" ca="1">IF(AND($R83=2,ACOMPANHAMENTO="BM"),ROUND(E84,4),E85/$S83)</f>
        <v>0</v>
      </c>
      <c r="F83" s="185" cm="1">
        <f t="array" aca="1" ref="F83" ca="1">IF(B83&lt;=ORÇAMENTO.MáximoListaCrono,MATCH(B83,ORÇAMENTO.ListaCrono,0),NA())</f>
        <v>155</v>
      </c>
      <c r="G83" s="185" t="str">
        <f t="shared" ref="G83" ca="1" si="146">IF(AND($F84&lt;&gt;-1,$S83&gt;0),"F","")</f>
        <v>F</v>
      </c>
      <c r="H83" s="189" t="str" cm="1">
        <f t="array" aca="1" ref="H83" ca="1">IF(OR(S83=0,S83=""),"Linha",IF(AND(OR(ACOMPANHAMENTO="PLE",$R83&lt;&gt;2),$F84=0),"Linha",ROUND(1-SUM(U83:AG83),4)))</f>
        <v>Linha</v>
      </c>
      <c r="I83" s="190" t="str">
        <f ca="1">IF($F84=0,OFFSET(ORÇAMENTO!O$15,$F83,0),IF($F84&lt;&gt;-1,OFFSET(QCI!$D$13,$F84,0),""))</f>
        <v>1.23.</v>
      </c>
      <c r="J83" s="191" t="str">
        <f ca="1">IF($F84=0,OFFSET(ORÇAMENTO!R$15,$F83,0),IF($F84&lt;&gt;-1,OFFSET(QCI!$G$13,$F84,0),""))</f>
        <v>EXECUÇÃO/ FORNECIMENTO DE MATERIAIS E EQUIPAMENTOS HIDRAULICOS - Distribuição de água tratada</v>
      </c>
      <c r="K83" s="191"/>
      <c r="L83" s="191"/>
      <c r="M83" s="192">
        <f ca="1">IF($F84=0,OFFSET(ORÇAMENTO!C$15,$F83,0),1)</f>
        <v>2</v>
      </c>
      <c r="N83" s="193">
        <f t="shared" ref="N83" ca="1" si="147">IF($F84=-1,0,IF(N$13&lt;=$M83,IF(ISERROR(MATCH(N$13,OFFSET($M83,1,0,ROW($M$92)-ROW($M83)-1),0)),ROW($M$92)-ROW($M83)-1,MATCH(N$13,OFFSET($M83,1,0,ROW($M$92)-ROW($M83)-1),0)-1),0))</f>
        <v>5</v>
      </c>
      <c r="O83" s="193">
        <f t="shared" ref="O83" ca="1" si="148">IF($F84=-1,0,IF(O$13&lt;=$M83,IF(ISERROR(MATCH(O$13,OFFSET($M83,1,0,ROW($M$92)-ROW($M83)-1),0)),ROW($M$92)-ROW($M83)-1,MATCH(O$13,OFFSET($M83,1,0,ROW($M$92)-ROW($M83)-1),0)-1),0))</f>
        <v>2</v>
      </c>
      <c r="P83" s="193">
        <f t="shared" ref="P83" ca="1" si="149">IF($F84=-1,0,IF(P$13&lt;=$M83,IF(ISERROR(MATCH(P$13,OFFSET($M83,1,0,ROW($M$92)-ROW($M83)-1),0)),ROW($M$92)-ROW($M83)-1,MATCH(P$13,OFFSET($M83,1,0,ROW($M$92)-ROW($M83)-1),0)-1),0))</f>
        <v>0</v>
      </c>
      <c r="Q83" s="193">
        <f t="shared" ref="Q83" ca="1" si="150">IF($F84=-1,0,IF(Q$13&lt;=$M83,IF(ISERROR(MATCH(Q$13,OFFSET($M83,1,0,ROW($M$92)-ROW($M83)-1),0)),ROW($M$92)-ROW($M83)-1,MATCH(Q$13,OFFSET($M83,1,0,ROW($M$92)-ROW($M83)-1),0)-1),0))</f>
        <v>0</v>
      </c>
      <c r="R83" s="193">
        <f t="shared" ref="R83" ca="1" si="151">MIN(OFFSET(M83,0,1,,M83))</f>
        <v>2</v>
      </c>
      <c r="S83" s="194">
        <f ca="1">IF($F84=0,OFFSET(ORÇAMENTO!X$15,$F83,0),IF($F84&lt;&gt;-1,OFFSET(QCI!$O$13,$F84,0),""))</f>
        <v>731511.22</v>
      </c>
      <c r="T83" s="195" t="s">
        <v>785</v>
      </c>
      <c r="U83" s="188" cm="1">
        <f t="array" aca="1" ref="U83" ca="1">IF(AND($R83=2,ACOMPANHAMENTO="BM"),ROUND(U84,4),U85/$S83)</f>
        <v>0</v>
      </c>
      <c r="V83" s="188" cm="1">
        <f t="array" aca="1" ref="V83" ca="1">IF(AND($R83=2,ACOMPANHAMENTO="BM"),ROUND(V84,4),V85/$S83)</f>
        <v>0</v>
      </c>
      <c r="W83" s="188" cm="1">
        <f t="array" aca="1" ref="W83" ca="1">IF(AND($R83=2,ACOMPANHAMENTO="BM"),ROUND(W84,4),W85/$S83)</f>
        <v>0</v>
      </c>
      <c r="X83" s="188" cm="1">
        <f t="array" aca="1" ref="X83" ca="1">IF(AND($R83=2,ACOMPANHAMENTO="BM"),ROUND(X84,4),X85/$S83)</f>
        <v>0</v>
      </c>
      <c r="Y83" s="188" cm="1">
        <f t="array" aca="1" ref="Y83" ca="1">IF(AND($R83=2,ACOMPANHAMENTO="BM"),ROUND(Y84,4),Y85/$S83)</f>
        <v>0</v>
      </c>
      <c r="Z83" s="188" cm="1">
        <f t="array" aca="1" ref="Z83" ca="1">IF(AND($R83=2,ACOMPANHAMENTO="BM"),ROUND(Z84,4),Z85/$S83)</f>
        <v>0</v>
      </c>
      <c r="AA83" s="188" cm="1">
        <f t="array" aca="1" ref="AA83" ca="1">IF(AND($R83=2,ACOMPANHAMENTO="BM"),ROUND(AA84,4),AA85/$S83)</f>
        <v>0</v>
      </c>
      <c r="AB83" s="188" cm="1">
        <f t="array" aca="1" ref="AB83" ca="1">IF(AND($R83=2,ACOMPANHAMENTO="BM"),ROUND(AB84,4),AB85/$S83)</f>
        <v>0</v>
      </c>
      <c r="AC83" s="188" cm="1">
        <f t="array" aca="1" ref="AC83" ca="1">IF(AND($R83=2,ACOMPANHAMENTO="BM"),ROUND(AC84,4),AC85/$S83)</f>
        <v>0.20956616359213193</v>
      </c>
      <c r="AD83" s="188" cm="1">
        <f t="array" aca="1" ref="AD83" ca="1">IF(AND($R83=2,ACOMPANHAMENTO="BM"),ROUND(AD84,4),AD85/$S83)</f>
        <v>3.2561004327452424E-2</v>
      </c>
      <c r="AE83" s="188" cm="1">
        <f t="array" aca="1" ref="AE83" ca="1">IF(AND($R83=2,ACOMPANHAMENTO="BM"),ROUND(AE84,4),AE85/$S83)</f>
        <v>0.33303997715851852</v>
      </c>
      <c r="AF83" s="188" cm="1">
        <f t="array" aca="1" ref="AF83" ca="1">IF(AND($R83=2,ACOMPANHAMENTO="BM"),ROUND(AF84,4),AF85/$S83)</f>
        <v>0.42483285492189721</v>
      </c>
      <c r="AG83" s="534"/>
    </row>
    <row r="84" spans="1:33" ht="12.75" hidden="1" customHeight="1" x14ac:dyDescent="0.2">
      <c r="E84" s="587"/>
      <c r="F84" s="185">
        <f ca="1">IF(ISERROR(F83),IF(1+COUNTIF($M$13:OFFSET(M83,-1,0),1)&lt;=MAX(QCI!$D$13:$D$24),1+COUNTIF($M$13:OFFSET(M83,-1,0),1),-1),0)</f>
        <v>0</v>
      </c>
      <c r="G84" s="185" t="str" cm="1">
        <f t="array" aca="1" ref="G84" ca="1">IF(ACOMPANHAMENTO="BM",OFFSET(G84,-1,0),"")</f>
        <v/>
      </c>
      <c r="H84" s="196" t="str" cm="1">
        <f t="array" aca="1" ref="H84" ca="1">IF(OR(S83=0,S83=""),"vazia",IF(AND(OR(ACOMPANHAMENTO="PLE",$R83&lt;&gt;2),$F84=0),"calculada","--&gt;"))</f>
        <v>calculada</v>
      </c>
      <c r="I84" s="197"/>
      <c r="J84" s="198" t="str">
        <f t="shared" ref="J84" ca="1" si="152">IF(AND(H83&lt;&gt;0,ISNUMBER(H83)),"PREENCHA ESTA LINHA --&gt;","")</f>
        <v/>
      </c>
      <c r="K84" s="198"/>
      <c r="L84" s="198"/>
      <c r="M84" s="199"/>
      <c r="N84" s="199"/>
      <c r="O84" s="199"/>
      <c r="P84" s="199"/>
      <c r="Q84" s="199"/>
      <c r="R84" s="199"/>
      <c r="S84" s="200"/>
      <c r="T84" s="201"/>
      <c r="U84" s="587"/>
      <c r="V84" s="587"/>
      <c r="W84" s="587"/>
      <c r="X84" s="587"/>
      <c r="Y84" s="587"/>
      <c r="Z84" s="587"/>
      <c r="AA84" s="587"/>
      <c r="AB84" s="587"/>
      <c r="AC84" s="587"/>
      <c r="AD84" s="587"/>
      <c r="AE84" s="587"/>
      <c r="AF84" s="587"/>
      <c r="AG84" s="534"/>
    </row>
    <row r="85" spans="1:33" ht="12.75" hidden="1" customHeight="1" x14ac:dyDescent="0.2">
      <c r="D85" s="533"/>
      <c r="E85" s="202" cm="1">
        <f t="array" aca="1" ref="E85" ca="1">IF($R83=2,
         IF(AND(ACOMPANHAMENTO="PLE",ISNUMBER($F83)),
                SUMIF((OFFSET(CÁLCULO!$BC$15:$BU$15,$F83,0,OFFSET(ORÇAMENTO!$D$15,CRONO!$F83,0))),CRONO!E$12,OFFSET(CÁLCULO!$AJ$15:$BB$15,$F83,0,OFFSET(ORÇAMENTO!$D$15,CRONO!$F83,0)))
                +IF(AND($F85&lt;&gt;"",$F85&lt;&gt;0),
                        SUMIF(CÁLCULO!$BC$15:$BU$191,CRONO!E$12,CÁLCULO!$AJ$15:$BB$191)/(ORÇAMENTO!$X$15-CÁLCULO.TotalAdmLocal)*CRONO!$F85,
                        0),
                 E84*$S83),
          SUMIF(OFFSET($S85,1,0,$R83-2),($M83+1)&amp;"$",OFFSET(E85,1,0,$R83-2)))</f>
        <v>0</v>
      </c>
      <c r="F85" s="185">
        <f ca="1">IF(OR($R83&lt;&gt;2,AUTOEVENTO&lt;&gt;"manual",$F84&gt;0),"",
        IF(Import.TipoArredondamento="Tradicional",
              SUMIF(OFFSET(CÁLCULO!$M$15,CRONO!$F83,0,OFFSET(ORÇAMENTO!$D$15,CRONO!$F83,0)),1,OFFSET(ORÇAMENTO!$X$15,CRONO!$F83,0,OFFSET(ORÇAMENTO!$D$15,CRONO!$F83,0))),
              0))</f>
        <v>0</v>
      </c>
      <c r="H85" s="736"/>
      <c r="S85" s="204" t="str">
        <f t="shared" ref="S85" ca="1" si="153">M83&amp;"$"</f>
        <v>2$</v>
      </c>
      <c r="T85" s="205"/>
      <c r="U85" s="202" cm="1">
        <f t="array" aca="1" ref="U85" ca="1">IF($R83=2,
         IF(AND(ACOMPANHAMENTO="PLE",ISNUMBER($F83)),
                SUMIF((OFFSET(CÁLCULO!$BC$15:$BU$15,$F83,0,OFFSET(ORÇAMENTO!$D$15,CRONO!$F83,0))),CRONO!U$12,OFFSET(CÁLCULO!$AJ$15:$BB$15,$F83,0,OFFSET(ORÇAMENTO!$D$15,CRONO!$F83,0)))
                +IF(AND($F85&lt;&gt;"",$F85&lt;&gt;0),
                        SUMIF(CÁLCULO!$BC$15:$BU$191,CRONO!U$12,CÁLCULO!$AJ$15:$BB$191)/(ORÇAMENTO!$X$15-CÁLCULO.TotalAdmLocal)*CRONO!$F85,
                        0),
                 U84*$S83),
          SUMIF(OFFSET($S85,1,0,$R83-2),($M83+1)&amp;"$",OFFSET(U85,1,0,$R83-2)))</f>
        <v>0</v>
      </c>
      <c r="V85" s="202" cm="1">
        <f t="array" aca="1" ref="V85" ca="1">IF($R83=2,
         IF(AND(ACOMPANHAMENTO="PLE",ISNUMBER($F83)),
                SUMIF((OFFSET(CÁLCULO!$BC$15:$BU$15,$F83,0,OFFSET(ORÇAMENTO!$D$15,CRONO!$F83,0))),CRONO!V$12,OFFSET(CÁLCULO!$AJ$15:$BB$15,$F83,0,OFFSET(ORÇAMENTO!$D$15,CRONO!$F83,0)))
                +IF(AND($F85&lt;&gt;"",$F85&lt;&gt;0),
                        SUMIF(CÁLCULO!$BC$15:$BU$191,CRONO!V$12,CÁLCULO!$AJ$15:$BB$191)/(ORÇAMENTO!$X$15-CÁLCULO.TotalAdmLocal)*CRONO!$F85,
                        0),
                 V84*$S83),
          SUMIF(OFFSET($S85,1,0,$R83-2),($M83+1)&amp;"$",OFFSET(V85,1,0,$R83-2)))</f>
        <v>0</v>
      </c>
      <c r="W85" s="202" cm="1">
        <f t="array" aca="1" ref="W85" ca="1">IF($R83=2,
         IF(AND(ACOMPANHAMENTO="PLE",ISNUMBER($F83)),
                SUMIF((OFFSET(CÁLCULO!$BC$15:$BU$15,$F83,0,OFFSET(ORÇAMENTO!$D$15,CRONO!$F83,0))),CRONO!W$12,OFFSET(CÁLCULO!$AJ$15:$BB$15,$F83,0,OFFSET(ORÇAMENTO!$D$15,CRONO!$F83,0)))
                +IF(AND($F85&lt;&gt;"",$F85&lt;&gt;0),
                        SUMIF(CÁLCULO!$BC$15:$BU$191,CRONO!W$12,CÁLCULO!$AJ$15:$BB$191)/(ORÇAMENTO!$X$15-CÁLCULO.TotalAdmLocal)*CRONO!$F85,
                        0),
                 W84*$S83),
          SUMIF(OFFSET($S85,1,0,$R83-2),($M83+1)&amp;"$",OFFSET(W85,1,0,$R83-2)))</f>
        <v>0</v>
      </c>
      <c r="X85" s="202" cm="1">
        <f t="array" aca="1" ref="X85" ca="1">IF($R83=2,
         IF(AND(ACOMPANHAMENTO="PLE",ISNUMBER($F83)),
                SUMIF((OFFSET(CÁLCULO!$BC$15:$BU$15,$F83,0,OFFSET(ORÇAMENTO!$D$15,CRONO!$F83,0))),CRONO!X$12,OFFSET(CÁLCULO!$AJ$15:$BB$15,$F83,0,OFFSET(ORÇAMENTO!$D$15,CRONO!$F83,0)))
                +IF(AND($F85&lt;&gt;"",$F85&lt;&gt;0),
                        SUMIF(CÁLCULO!$BC$15:$BU$191,CRONO!X$12,CÁLCULO!$AJ$15:$BB$191)/(ORÇAMENTO!$X$15-CÁLCULO.TotalAdmLocal)*CRONO!$F85,
                        0),
                 X84*$S83),
          SUMIF(OFFSET($S85,1,0,$R83-2),($M83+1)&amp;"$",OFFSET(X85,1,0,$R83-2)))</f>
        <v>0</v>
      </c>
      <c r="Y85" s="202" cm="1">
        <f t="array" aca="1" ref="Y85" ca="1">IF($R83=2,
         IF(AND(ACOMPANHAMENTO="PLE",ISNUMBER($F83)),
                SUMIF((OFFSET(CÁLCULO!$BC$15:$BU$15,$F83,0,OFFSET(ORÇAMENTO!$D$15,CRONO!$F83,0))),CRONO!Y$12,OFFSET(CÁLCULO!$AJ$15:$BB$15,$F83,0,OFFSET(ORÇAMENTO!$D$15,CRONO!$F83,0)))
                +IF(AND($F85&lt;&gt;"",$F85&lt;&gt;0),
                        SUMIF(CÁLCULO!$BC$15:$BU$191,CRONO!Y$12,CÁLCULO!$AJ$15:$BB$191)/(ORÇAMENTO!$X$15-CÁLCULO.TotalAdmLocal)*CRONO!$F85,
                        0),
                 Y84*$S83),
          SUMIF(OFFSET($S85,1,0,$R83-2),($M83+1)&amp;"$",OFFSET(Y85,1,0,$R83-2)))</f>
        <v>0</v>
      </c>
      <c r="Z85" s="202" cm="1">
        <f t="array" aca="1" ref="Z85" ca="1">IF($R83=2,
         IF(AND(ACOMPANHAMENTO="PLE",ISNUMBER($F83)),
                SUMIF((OFFSET(CÁLCULO!$BC$15:$BU$15,$F83,0,OFFSET(ORÇAMENTO!$D$15,CRONO!$F83,0))),CRONO!Z$12,OFFSET(CÁLCULO!$AJ$15:$BB$15,$F83,0,OFFSET(ORÇAMENTO!$D$15,CRONO!$F83,0)))
                +IF(AND($F85&lt;&gt;"",$F85&lt;&gt;0),
                        SUMIF(CÁLCULO!$BC$15:$BU$191,CRONO!Z$12,CÁLCULO!$AJ$15:$BB$191)/(ORÇAMENTO!$X$15-CÁLCULO.TotalAdmLocal)*CRONO!$F85,
                        0),
                 Z84*$S83),
          SUMIF(OFFSET($S85,1,0,$R83-2),($M83+1)&amp;"$",OFFSET(Z85,1,0,$R83-2)))</f>
        <v>0</v>
      </c>
      <c r="AA85" s="202" cm="1">
        <f t="array" aca="1" ref="AA85" ca="1">IF($R83=2,
         IF(AND(ACOMPANHAMENTO="PLE",ISNUMBER($F83)),
                SUMIF((OFFSET(CÁLCULO!$BC$15:$BU$15,$F83,0,OFFSET(ORÇAMENTO!$D$15,CRONO!$F83,0))),CRONO!AA$12,OFFSET(CÁLCULO!$AJ$15:$BB$15,$F83,0,OFFSET(ORÇAMENTO!$D$15,CRONO!$F83,0)))
                +IF(AND($F85&lt;&gt;"",$F85&lt;&gt;0),
                        SUMIF(CÁLCULO!$BC$15:$BU$191,CRONO!AA$12,CÁLCULO!$AJ$15:$BB$191)/(ORÇAMENTO!$X$15-CÁLCULO.TotalAdmLocal)*CRONO!$F85,
                        0),
                 AA84*$S83),
          SUMIF(OFFSET($S85,1,0,$R83-2),($M83+1)&amp;"$",OFFSET(AA85,1,0,$R83-2)))</f>
        <v>0</v>
      </c>
      <c r="AB85" s="202" cm="1">
        <f t="array" aca="1" ref="AB85" ca="1">IF($R83=2,
         IF(AND(ACOMPANHAMENTO="PLE",ISNUMBER($F83)),
                SUMIF((OFFSET(CÁLCULO!$BC$15:$BU$15,$F83,0,OFFSET(ORÇAMENTO!$D$15,CRONO!$F83,0))),CRONO!AB$12,OFFSET(CÁLCULO!$AJ$15:$BB$15,$F83,0,OFFSET(ORÇAMENTO!$D$15,CRONO!$F83,0)))
                +IF(AND($F85&lt;&gt;"",$F85&lt;&gt;0),
                        SUMIF(CÁLCULO!$BC$15:$BU$191,CRONO!AB$12,CÁLCULO!$AJ$15:$BB$191)/(ORÇAMENTO!$X$15-CÁLCULO.TotalAdmLocal)*CRONO!$F85,
                        0),
                 AB84*$S83),
          SUMIF(OFFSET($S85,1,0,$R83-2),($M83+1)&amp;"$",OFFSET(AB85,1,0,$R83-2)))</f>
        <v>0</v>
      </c>
      <c r="AC85" s="202" cm="1">
        <f t="array" aca="1" ref="AC85" ca="1">IF($R83=2,
         IF(AND(ACOMPANHAMENTO="PLE",ISNUMBER($F83)),
                SUMIF((OFFSET(CÁLCULO!$BC$15:$BU$15,$F83,0,OFFSET(ORÇAMENTO!$D$15,CRONO!$F83,0))),CRONO!AC$12,OFFSET(CÁLCULO!$AJ$15:$BB$15,$F83,0,OFFSET(ORÇAMENTO!$D$15,CRONO!$F83,0)))
                +IF(AND($F85&lt;&gt;"",$F85&lt;&gt;0),
                        SUMIF(CÁLCULO!$BC$15:$BU$191,CRONO!AC$12,CÁLCULO!$AJ$15:$BB$191)/(ORÇAMENTO!$X$15-CÁLCULO.TotalAdmLocal)*CRONO!$F85,
                        0),
                 AC84*$S83),
          SUMIF(OFFSET($S85,1,0,$R83-2),($M83+1)&amp;"$",OFFSET(AC85,1,0,$R83-2)))</f>
        <v>153300</v>
      </c>
      <c r="AD85" s="202" cm="1">
        <f t="array" aca="1" ref="AD85" ca="1">IF($R83=2,
         IF(AND(ACOMPANHAMENTO="PLE",ISNUMBER($F83)),
                SUMIF((OFFSET(CÁLCULO!$BC$15:$BU$15,$F83,0,OFFSET(ORÇAMENTO!$D$15,CRONO!$F83,0))),CRONO!AD$12,OFFSET(CÁLCULO!$AJ$15:$BB$15,$F83,0,OFFSET(ORÇAMENTO!$D$15,CRONO!$F83,0)))
                +IF(AND($F85&lt;&gt;"",$F85&lt;&gt;0),
                        SUMIF(CÁLCULO!$BC$15:$BU$191,CRONO!AD$12,CÁLCULO!$AJ$15:$BB$191)/(ORÇAMENTO!$X$15-CÁLCULO.TotalAdmLocal)*CRONO!$F85,
                        0),
                 AD84*$S83),
          SUMIF(OFFSET($S85,1,0,$R83-2),($M83+1)&amp;"$",OFFSET(AD85,1,0,$R83-2)))</f>
        <v>23818.74</v>
      </c>
      <c r="AE85" s="202" cm="1">
        <f t="array" aca="1" ref="AE85" ca="1">IF($R83=2,
         IF(AND(ACOMPANHAMENTO="PLE",ISNUMBER($F83)),
                SUMIF((OFFSET(CÁLCULO!$BC$15:$BU$15,$F83,0,OFFSET(ORÇAMENTO!$D$15,CRONO!$F83,0))),CRONO!AE$12,OFFSET(CÁLCULO!$AJ$15:$BB$15,$F83,0,OFFSET(ORÇAMENTO!$D$15,CRONO!$F83,0)))
                +IF(AND($F85&lt;&gt;"",$F85&lt;&gt;0),
                        SUMIF(CÁLCULO!$BC$15:$BU$191,CRONO!AE$12,CÁLCULO!$AJ$15:$BB$191)/(ORÇAMENTO!$X$15-CÁLCULO.TotalAdmLocal)*CRONO!$F85,
                        0),
                 AE84*$S83),
          SUMIF(OFFSET($S85,1,0,$R83-2),($M83+1)&amp;"$",OFFSET(AE85,1,0,$R83-2)))</f>
        <v>243622.48</v>
      </c>
      <c r="AF85" s="202" cm="1">
        <f t="array" aca="1" ref="AF85" ca="1">IF($R83=2,
         IF(AND(ACOMPANHAMENTO="PLE",ISNUMBER($F83)),
                SUMIF((OFFSET(CÁLCULO!$BC$15:$BU$15,$F83,0,OFFSET(ORÇAMENTO!$D$15,CRONO!$F83,0))),CRONO!AF$12,OFFSET(CÁLCULO!$AJ$15:$BB$15,$F83,0,OFFSET(ORÇAMENTO!$D$15,CRONO!$F83,0)))
                +IF(AND($F85&lt;&gt;"",$F85&lt;&gt;0),
                        SUMIF(CÁLCULO!$BC$15:$BU$191,CRONO!AF$12,CÁLCULO!$AJ$15:$BB$191)/(ORÇAMENTO!$X$15-CÁLCULO.TotalAdmLocal)*CRONO!$F85,
                        0),
                 AF84*$S83),
          SUMIF(OFFSET($S85,1,0,$R83-2),($M83+1)&amp;"$",OFFSET(AF85,1,0,$R83-2)))</f>
        <v>310770</v>
      </c>
      <c r="AG85" s="534"/>
    </row>
    <row r="86" spans="1:33" x14ac:dyDescent="0.2">
      <c r="A86" s="186" t="str">
        <f t="shared" ref="A86" ca="1" si="154">IF($M86&gt;1,_xlfn.CONCAT($I86," ",$J86),"")</f>
        <v>1.24. PROJETO EXECUTIVO</v>
      </c>
      <c r="B86" s="185">
        <f t="shared" ref="B86" ca="1" si="155">OFFSET(B86,-3,0)+1</f>
        <v>25</v>
      </c>
      <c r="C86" s="185">
        <f ca="1">IF($R86&lt;&gt;2,0,IF($S86=0,1,IF(F87&gt;0,OFFSET(QCI!$M$13,SUBSTITUTE(F87,".",""),0),OFFSET(ORÇAMENTO!$AA$15,CRONO!$F86,0))/$S86))</f>
        <v>0</v>
      </c>
      <c r="D86" s="185">
        <f ca="1">IF($R86&lt;&gt;2,0,IF($S86=0,1,IF(F87&gt;0,OFFSET(QCI!$N$13,SUBSTITUTE(F87,".",""),0),OFFSET(ORÇAMENTO!$AB$15,CRONO!$F86,0))/$S86))</f>
        <v>0</v>
      </c>
      <c r="E86" s="188" cm="1">
        <f t="array" aca="1" ref="E86" ca="1">IF(AND($R86=2,ACOMPANHAMENTO="BM"),ROUND(E87,4),E88/$S86)</f>
        <v>0.49164918128154877</v>
      </c>
      <c r="F86" s="185" cm="1">
        <f t="array" aca="1" ref="F86" ca="1">IF(B86&lt;=ORÇAMENTO.MáximoListaCrono,MATCH(B86,ORÇAMENTO.ListaCrono,0),NA())</f>
        <v>171</v>
      </c>
      <c r="G86" s="185" t="str">
        <f t="shared" ref="G86" ca="1" si="156">IF(AND($F87&lt;&gt;-1,$S86&gt;0),"F","")</f>
        <v>F</v>
      </c>
      <c r="H86" s="189" t="str" cm="1">
        <f t="array" aca="1" ref="H86" ca="1">IF(OR(S86=0,S86=""),"Linha",IF(AND(OR(ACOMPANHAMENTO="PLE",$R86&lt;&gt;2),$F87=0),"Linha",ROUND(1-SUM(U86:AG86),4)))</f>
        <v>Linha</v>
      </c>
      <c r="I86" s="190" t="str">
        <f ca="1">IF($F87=0,OFFSET(ORÇAMENTO!O$15,$F86,0),IF($F87&lt;&gt;-1,OFFSET(QCI!$D$13,$F87,0),""))</f>
        <v>1.24.</v>
      </c>
      <c r="J86" s="191" t="str">
        <f ca="1">IF($F87=0,OFFSET(ORÇAMENTO!R$15,$F86,0),IF($F87&lt;&gt;-1,OFFSET(QCI!$G$13,$F87,0),""))</f>
        <v>PROJETO EXECUTIVO</v>
      </c>
      <c r="K86" s="191"/>
      <c r="L86" s="191"/>
      <c r="M86" s="192">
        <f ca="1">IF($F87=0,OFFSET(ORÇAMENTO!C$15,$F86,0),1)</f>
        <v>2</v>
      </c>
      <c r="N86" s="193">
        <f t="shared" ref="N86" ca="1" si="157">IF($F87=-1,0,IF(N$13&lt;=$M86,IF(ISERROR(MATCH(N$13,OFFSET($M86,1,0,ROW($M$92)-ROW($M86)-1),0)),ROW($M$92)-ROW($M86)-1,MATCH(N$13,OFFSET($M86,1,0,ROW($M$92)-ROW($M86)-1),0)-1),0))</f>
        <v>2</v>
      </c>
      <c r="O86" s="193">
        <f t="shared" ref="O86" ca="1" si="158">IF($F87=-1,0,IF(O$13&lt;=$M86,IF(ISERROR(MATCH(O$13,OFFSET($M86,1,0,ROW($M$92)-ROW($M86)-1),0)),ROW($M$92)-ROW($M86)-1,MATCH(O$13,OFFSET($M86,1,0,ROW($M$92)-ROW($M86)-1),0)-1),0))</f>
        <v>5</v>
      </c>
      <c r="P86" s="193">
        <f t="shared" ref="P86" ca="1" si="159">IF($F87=-1,0,IF(P$13&lt;=$M86,IF(ISERROR(MATCH(P$13,OFFSET($M86,1,0,ROW($M$92)-ROW($M86)-1),0)),ROW($M$92)-ROW($M86)-1,MATCH(P$13,OFFSET($M86,1,0,ROW($M$92)-ROW($M86)-1),0)-1),0))</f>
        <v>0</v>
      </c>
      <c r="Q86" s="193">
        <f t="shared" ref="Q86" ca="1" si="160">IF($F87=-1,0,IF(Q$13&lt;=$M86,IF(ISERROR(MATCH(Q$13,OFFSET($M86,1,0,ROW($M$92)-ROW($M86)-1),0)),ROW($M$92)-ROW($M86)-1,MATCH(Q$13,OFFSET($M86,1,0,ROW($M$92)-ROW($M86)-1),0)-1),0))</f>
        <v>0</v>
      </c>
      <c r="R86" s="193">
        <f t="shared" ref="R86" ca="1" si="161">MIN(OFFSET(M86,0,1,,M86))</f>
        <v>2</v>
      </c>
      <c r="S86" s="194">
        <f ca="1">IF($F87=0,OFFSET(ORÇAMENTO!X$15,$F86,0),IF($F87&lt;&gt;-1,OFFSET(QCI!$O$13,$F87,0),""))</f>
        <v>135179.56</v>
      </c>
      <c r="T86" s="195" t="s">
        <v>785</v>
      </c>
      <c r="U86" s="188" cm="1">
        <f t="array" aca="1" ref="U86" ca="1">IF(AND($R86=2,ACOMPANHAMENTO="BM"),ROUND(U87,4),U88/$S86)</f>
        <v>0.49164918128154877</v>
      </c>
      <c r="V86" s="188" cm="1">
        <f t="array" aca="1" ref="V86" ca="1">IF(AND($R86=2,ACOMPANHAMENTO="BM"),ROUND(V87,4),V88/$S86)</f>
        <v>0.50835081871845123</v>
      </c>
      <c r="W86" s="188" cm="1">
        <f t="array" aca="1" ref="W86" ca="1">IF(AND($R86=2,ACOMPANHAMENTO="BM"),ROUND(W87,4),W88/$S86)</f>
        <v>0</v>
      </c>
      <c r="X86" s="188" cm="1">
        <f t="array" aca="1" ref="X86" ca="1">IF(AND($R86=2,ACOMPANHAMENTO="BM"),ROUND(X87,4),X88/$S86)</f>
        <v>0</v>
      </c>
      <c r="Y86" s="188" cm="1">
        <f t="array" aca="1" ref="Y86" ca="1">IF(AND($R86=2,ACOMPANHAMENTO="BM"),ROUND(Y87,4),Y88/$S86)</f>
        <v>0</v>
      </c>
      <c r="Z86" s="188" cm="1">
        <f t="array" aca="1" ref="Z86" ca="1">IF(AND($R86=2,ACOMPANHAMENTO="BM"),ROUND(Z87,4),Z88/$S86)</f>
        <v>0</v>
      </c>
      <c r="AA86" s="188" cm="1">
        <f t="array" aca="1" ref="AA86" ca="1">IF(AND($R86=2,ACOMPANHAMENTO="BM"),ROUND(AA87,4),AA88/$S86)</f>
        <v>0</v>
      </c>
      <c r="AB86" s="188" cm="1">
        <f t="array" aca="1" ref="AB86" ca="1">IF(AND($R86=2,ACOMPANHAMENTO="BM"),ROUND(AB87,4),AB88/$S86)</f>
        <v>0</v>
      </c>
      <c r="AC86" s="188" cm="1">
        <f t="array" aca="1" ref="AC86" ca="1">IF(AND($R86=2,ACOMPANHAMENTO="BM"),ROUND(AC87,4),AC88/$S86)</f>
        <v>0</v>
      </c>
      <c r="AD86" s="188" cm="1">
        <f t="array" aca="1" ref="AD86" ca="1">IF(AND($R86=2,ACOMPANHAMENTO="BM"),ROUND(AD87,4),AD88/$S86)</f>
        <v>0</v>
      </c>
      <c r="AE86" s="188" cm="1">
        <f t="array" aca="1" ref="AE86" ca="1">IF(AND($R86=2,ACOMPANHAMENTO="BM"),ROUND(AE87,4),AE88/$S86)</f>
        <v>0</v>
      </c>
      <c r="AF86" s="188" cm="1">
        <f t="array" aca="1" ref="AF86" ca="1">IF(AND($R86=2,ACOMPANHAMENTO="BM"),ROUND(AF87,4),AF88/$S86)</f>
        <v>0</v>
      </c>
      <c r="AG86" s="534"/>
    </row>
    <row r="87" spans="1:33" ht="12.75" hidden="1" customHeight="1" x14ac:dyDescent="0.2">
      <c r="E87" s="587"/>
      <c r="F87" s="185">
        <f ca="1">IF(ISERROR(F86),IF(1+COUNTIF($M$13:OFFSET(M86,-1,0),1)&lt;=MAX(QCI!$D$13:$D$24),1+COUNTIF($M$13:OFFSET(M86,-1,0),1),-1),0)</f>
        <v>0</v>
      </c>
      <c r="G87" s="185" t="str" cm="1">
        <f t="array" aca="1" ref="G87" ca="1">IF(ACOMPANHAMENTO="BM",OFFSET(G87,-1,0),"")</f>
        <v/>
      </c>
      <c r="H87" s="196" t="str" cm="1">
        <f t="array" aca="1" ref="H87" ca="1">IF(OR(S86=0,S86=""),"vazia",IF(AND(OR(ACOMPANHAMENTO="PLE",$R86&lt;&gt;2),$F87=0),"calculada","--&gt;"))</f>
        <v>calculada</v>
      </c>
      <c r="I87" s="197"/>
      <c r="J87" s="198" t="str">
        <f t="shared" ref="J87" ca="1" si="162">IF(AND(H86&lt;&gt;0,ISNUMBER(H86)),"PREENCHA ESTA LINHA --&gt;","")</f>
        <v/>
      </c>
      <c r="K87" s="198"/>
      <c r="L87" s="198"/>
      <c r="M87" s="199"/>
      <c r="N87" s="199"/>
      <c r="O87" s="199"/>
      <c r="P87" s="199"/>
      <c r="Q87" s="199"/>
      <c r="R87" s="199"/>
      <c r="S87" s="200"/>
      <c r="T87" s="201"/>
      <c r="U87" s="587"/>
      <c r="V87" s="587"/>
      <c r="W87" s="587"/>
      <c r="X87" s="587"/>
      <c r="Y87" s="587"/>
      <c r="Z87" s="587"/>
      <c r="AA87" s="587"/>
      <c r="AB87" s="587"/>
      <c r="AC87" s="587"/>
      <c r="AD87" s="587"/>
      <c r="AE87" s="587"/>
      <c r="AF87" s="587"/>
      <c r="AG87" s="534"/>
    </row>
    <row r="88" spans="1:33" ht="12.75" hidden="1" customHeight="1" x14ac:dyDescent="0.2">
      <c r="D88" s="533"/>
      <c r="E88" s="202" cm="1">
        <f t="array" aca="1" ref="E88" ca="1">IF($R86=2,
         IF(AND(ACOMPANHAMENTO="PLE",ISNUMBER($F86)),
                SUMIF((OFFSET(CÁLCULO!$BC$15:$BU$15,$F86,0,OFFSET(ORÇAMENTO!$D$15,CRONO!$F86,0))),CRONO!E$12,OFFSET(CÁLCULO!$AJ$15:$BB$15,$F86,0,OFFSET(ORÇAMENTO!$D$15,CRONO!$F86,0)))
                +IF(AND($F88&lt;&gt;"",$F88&lt;&gt;0),
                        SUMIF(CÁLCULO!$BC$15:$BU$191,CRONO!E$12,CÁLCULO!$AJ$15:$BB$191)/(ORÇAMENTO!$X$15-CÁLCULO.TotalAdmLocal)*CRONO!$F88,
                        0),
                 E87*$S86),
          SUMIF(OFFSET($S88,1,0,$R86-2),($M86+1)&amp;"$",OFFSET(E88,1,0,$R86-2)))</f>
        <v>66460.92</v>
      </c>
      <c r="F88" s="185">
        <f ca="1">IF(OR($R86&lt;&gt;2,AUTOEVENTO&lt;&gt;"manual",$F87&gt;0),"",
        IF(Import.TipoArredondamento="Tradicional",
              SUMIF(OFFSET(CÁLCULO!$M$15,CRONO!$F86,0,OFFSET(ORÇAMENTO!$D$15,CRONO!$F86,0)),1,OFFSET(ORÇAMENTO!$X$15,CRONO!$F86,0,OFFSET(ORÇAMENTO!$D$15,CRONO!$F86,0))),
              0))</f>
        <v>0</v>
      </c>
      <c r="H88" s="736"/>
      <c r="S88" s="204" t="str">
        <f t="shared" ref="S88" ca="1" si="163">M86&amp;"$"</f>
        <v>2$</v>
      </c>
      <c r="T88" s="205"/>
      <c r="U88" s="202" cm="1">
        <f t="array" aca="1" ref="U88" ca="1">IF($R86=2,
         IF(AND(ACOMPANHAMENTO="PLE",ISNUMBER($F86)),
                SUMIF((OFFSET(CÁLCULO!$BC$15:$BU$15,$F86,0,OFFSET(ORÇAMENTO!$D$15,CRONO!$F86,0))),CRONO!U$12,OFFSET(CÁLCULO!$AJ$15:$BB$15,$F86,0,OFFSET(ORÇAMENTO!$D$15,CRONO!$F86,0)))
                +IF(AND($F88&lt;&gt;"",$F88&lt;&gt;0),
                        SUMIF(CÁLCULO!$BC$15:$BU$191,CRONO!U$12,CÁLCULO!$AJ$15:$BB$191)/(ORÇAMENTO!$X$15-CÁLCULO.TotalAdmLocal)*CRONO!$F88,
                        0),
                 U87*$S86),
          SUMIF(OFFSET($S88,1,0,$R86-2),($M86+1)&amp;"$",OFFSET(U88,1,0,$R86-2)))</f>
        <v>66460.92</v>
      </c>
      <c r="V88" s="202" cm="1">
        <f t="array" aca="1" ref="V88" ca="1">IF($R86=2,
         IF(AND(ACOMPANHAMENTO="PLE",ISNUMBER($F86)),
                SUMIF((OFFSET(CÁLCULO!$BC$15:$BU$15,$F86,0,OFFSET(ORÇAMENTO!$D$15,CRONO!$F86,0))),CRONO!V$12,OFFSET(CÁLCULO!$AJ$15:$BB$15,$F86,0,OFFSET(ORÇAMENTO!$D$15,CRONO!$F86,0)))
                +IF(AND($F88&lt;&gt;"",$F88&lt;&gt;0),
                        SUMIF(CÁLCULO!$BC$15:$BU$191,CRONO!V$12,CÁLCULO!$AJ$15:$BB$191)/(ORÇAMENTO!$X$15-CÁLCULO.TotalAdmLocal)*CRONO!$F88,
                        0),
                 V87*$S86),
          SUMIF(OFFSET($S88,1,0,$R86-2),($M86+1)&amp;"$",OFFSET(V88,1,0,$R86-2)))</f>
        <v>68718.64</v>
      </c>
      <c r="W88" s="202" cm="1">
        <f t="array" aca="1" ref="W88" ca="1">IF($R86=2,
         IF(AND(ACOMPANHAMENTO="PLE",ISNUMBER($F86)),
                SUMIF((OFFSET(CÁLCULO!$BC$15:$BU$15,$F86,0,OFFSET(ORÇAMENTO!$D$15,CRONO!$F86,0))),CRONO!W$12,OFFSET(CÁLCULO!$AJ$15:$BB$15,$F86,0,OFFSET(ORÇAMENTO!$D$15,CRONO!$F86,0)))
                +IF(AND($F88&lt;&gt;"",$F88&lt;&gt;0),
                        SUMIF(CÁLCULO!$BC$15:$BU$191,CRONO!W$12,CÁLCULO!$AJ$15:$BB$191)/(ORÇAMENTO!$X$15-CÁLCULO.TotalAdmLocal)*CRONO!$F88,
                        0),
                 W87*$S86),
          SUMIF(OFFSET($S88,1,0,$R86-2),($M86+1)&amp;"$",OFFSET(W88,1,0,$R86-2)))</f>
        <v>0</v>
      </c>
      <c r="X88" s="202" cm="1">
        <f t="array" aca="1" ref="X88" ca="1">IF($R86=2,
         IF(AND(ACOMPANHAMENTO="PLE",ISNUMBER($F86)),
                SUMIF((OFFSET(CÁLCULO!$BC$15:$BU$15,$F86,0,OFFSET(ORÇAMENTO!$D$15,CRONO!$F86,0))),CRONO!X$12,OFFSET(CÁLCULO!$AJ$15:$BB$15,$F86,0,OFFSET(ORÇAMENTO!$D$15,CRONO!$F86,0)))
                +IF(AND($F88&lt;&gt;"",$F88&lt;&gt;0),
                        SUMIF(CÁLCULO!$BC$15:$BU$191,CRONO!X$12,CÁLCULO!$AJ$15:$BB$191)/(ORÇAMENTO!$X$15-CÁLCULO.TotalAdmLocal)*CRONO!$F88,
                        0),
                 X87*$S86),
          SUMIF(OFFSET($S88,1,0,$R86-2),($M86+1)&amp;"$",OFFSET(X88,1,0,$R86-2)))</f>
        <v>0</v>
      </c>
      <c r="Y88" s="202" cm="1">
        <f t="array" aca="1" ref="Y88" ca="1">IF($R86=2,
         IF(AND(ACOMPANHAMENTO="PLE",ISNUMBER($F86)),
                SUMIF((OFFSET(CÁLCULO!$BC$15:$BU$15,$F86,0,OFFSET(ORÇAMENTO!$D$15,CRONO!$F86,0))),CRONO!Y$12,OFFSET(CÁLCULO!$AJ$15:$BB$15,$F86,0,OFFSET(ORÇAMENTO!$D$15,CRONO!$F86,0)))
                +IF(AND($F88&lt;&gt;"",$F88&lt;&gt;0),
                        SUMIF(CÁLCULO!$BC$15:$BU$191,CRONO!Y$12,CÁLCULO!$AJ$15:$BB$191)/(ORÇAMENTO!$X$15-CÁLCULO.TotalAdmLocal)*CRONO!$F88,
                        0),
                 Y87*$S86),
          SUMIF(OFFSET($S88,1,0,$R86-2),($M86+1)&amp;"$",OFFSET(Y88,1,0,$R86-2)))</f>
        <v>0</v>
      </c>
      <c r="Z88" s="202" cm="1">
        <f t="array" aca="1" ref="Z88" ca="1">IF($R86=2,
         IF(AND(ACOMPANHAMENTO="PLE",ISNUMBER($F86)),
                SUMIF((OFFSET(CÁLCULO!$BC$15:$BU$15,$F86,0,OFFSET(ORÇAMENTO!$D$15,CRONO!$F86,0))),CRONO!Z$12,OFFSET(CÁLCULO!$AJ$15:$BB$15,$F86,0,OFFSET(ORÇAMENTO!$D$15,CRONO!$F86,0)))
                +IF(AND($F88&lt;&gt;"",$F88&lt;&gt;0),
                        SUMIF(CÁLCULO!$BC$15:$BU$191,CRONO!Z$12,CÁLCULO!$AJ$15:$BB$191)/(ORÇAMENTO!$X$15-CÁLCULO.TotalAdmLocal)*CRONO!$F88,
                        0),
                 Z87*$S86),
          SUMIF(OFFSET($S88,1,0,$R86-2),($M86+1)&amp;"$",OFFSET(Z88,1,0,$R86-2)))</f>
        <v>0</v>
      </c>
      <c r="AA88" s="202" cm="1">
        <f t="array" aca="1" ref="AA88" ca="1">IF($R86=2,
         IF(AND(ACOMPANHAMENTO="PLE",ISNUMBER($F86)),
                SUMIF((OFFSET(CÁLCULO!$BC$15:$BU$15,$F86,0,OFFSET(ORÇAMENTO!$D$15,CRONO!$F86,0))),CRONO!AA$12,OFFSET(CÁLCULO!$AJ$15:$BB$15,$F86,0,OFFSET(ORÇAMENTO!$D$15,CRONO!$F86,0)))
                +IF(AND($F88&lt;&gt;"",$F88&lt;&gt;0),
                        SUMIF(CÁLCULO!$BC$15:$BU$191,CRONO!AA$12,CÁLCULO!$AJ$15:$BB$191)/(ORÇAMENTO!$X$15-CÁLCULO.TotalAdmLocal)*CRONO!$F88,
                        0),
                 AA87*$S86),
          SUMIF(OFFSET($S88,1,0,$R86-2),($M86+1)&amp;"$",OFFSET(AA88,1,0,$R86-2)))</f>
        <v>0</v>
      </c>
      <c r="AB88" s="202" cm="1">
        <f t="array" aca="1" ref="AB88" ca="1">IF($R86=2,
         IF(AND(ACOMPANHAMENTO="PLE",ISNUMBER($F86)),
                SUMIF((OFFSET(CÁLCULO!$BC$15:$BU$15,$F86,0,OFFSET(ORÇAMENTO!$D$15,CRONO!$F86,0))),CRONO!AB$12,OFFSET(CÁLCULO!$AJ$15:$BB$15,$F86,0,OFFSET(ORÇAMENTO!$D$15,CRONO!$F86,0)))
                +IF(AND($F88&lt;&gt;"",$F88&lt;&gt;0),
                        SUMIF(CÁLCULO!$BC$15:$BU$191,CRONO!AB$12,CÁLCULO!$AJ$15:$BB$191)/(ORÇAMENTO!$X$15-CÁLCULO.TotalAdmLocal)*CRONO!$F88,
                        0),
                 AB87*$S86),
          SUMIF(OFFSET($S88,1,0,$R86-2),($M86+1)&amp;"$",OFFSET(AB88,1,0,$R86-2)))</f>
        <v>0</v>
      </c>
      <c r="AC88" s="202" cm="1">
        <f t="array" aca="1" ref="AC88" ca="1">IF($R86=2,
         IF(AND(ACOMPANHAMENTO="PLE",ISNUMBER($F86)),
                SUMIF((OFFSET(CÁLCULO!$BC$15:$BU$15,$F86,0,OFFSET(ORÇAMENTO!$D$15,CRONO!$F86,0))),CRONO!AC$12,OFFSET(CÁLCULO!$AJ$15:$BB$15,$F86,0,OFFSET(ORÇAMENTO!$D$15,CRONO!$F86,0)))
                +IF(AND($F88&lt;&gt;"",$F88&lt;&gt;0),
                        SUMIF(CÁLCULO!$BC$15:$BU$191,CRONO!AC$12,CÁLCULO!$AJ$15:$BB$191)/(ORÇAMENTO!$X$15-CÁLCULO.TotalAdmLocal)*CRONO!$F88,
                        0),
                 AC87*$S86),
          SUMIF(OFFSET($S88,1,0,$R86-2),($M86+1)&amp;"$",OFFSET(AC88,1,0,$R86-2)))</f>
        <v>0</v>
      </c>
      <c r="AD88" s="202" cm="1">
        <f t="array" aca="1" ref="AD88" ca="1">IF($R86=2,
         IF(AND(ACOMPANHAMENTO="PLE",ISNUMBER($F86)),
                SUMIF((OFFSET(CÁLCULO!$BC$15:$BU$15,$F86,0,OFFSET(ORÇAMENTO!$D$15,CRONO!$F86,0))),CRONO!AD$12,OFFSET(CÁLCULO!$AJ$15:$BB$15,$F86,0,OFFSET(ORÇAMENTO!$D$15,CRONO!$F86,0)))
                +IF(AND($F88&lt;&gt;"",$F88&lt;&gt;0),
                        SUMIF(CÁLCULO!$BC$15:$BU$191,CRONO!AD$12,CÁLCULO!$AJ$15:$BB$191)/(ORÇAMENTO!$X$15-CÁLCULO.TotalAdmLocal)*CRONO!$F88,
                        0),
                 AD87*$S86),
          SUMIF(OFFSET($S88,1,0,$R86-2),($M86+1)&amp;"$",OFFSET(AD88,1,0,$R86-2)))</f>
        <v>0</v>
      </c>
      <c r="AE88" s="202" cm="1">
        <f t="array" aca="1" ref="AE88" ca="1">IF($R86=2,
         IF(AND(ACOMPANHAMENTO="PLE",ISNUMBER($F86)),
                SUMIF((OFFSET(CÁLCULO!$BC$15:$BU$15,$F86,0,OFFSET(ORÇAMENTO!$D$15,CRONO!$F86,0))),CRONO!AE$12,OFFSET(CÁLCULO!$AJ$15:$BB$15,$F86,0,OFFSET(ORÇAMENTO!$D$15,CRONO!$F86,0)))
                +IF(AND($F88&lt;&gt;"",$F88&lt;&gt;0),
                        SUMIF(CÁLCULO!$BC$15:$BU$191,CRONO!AE$12,CÁLCULO!$AJ$15:$BB$191)/(ORÇAMENTO!$X$15-CÁLCULO.TotalAdmLocal)*CRONO!$F88,
                        0),
                 AE87*$S86),
          SUMIF(OFFSET($S88,1,0,$R86-2),($M86+1)&amp;"$",OFFSET(AE88,1,0,$R86-2)))</f>
        <v>0</v>
      </c>
      <c r="AF88" s="202" cm="1">
        <f t="array" aca="1" ref="AF88" ca="1">IF($R86=2,
         IF(AND(ACOMPANHAMENTO="PLE",ISNUMBER($F86)),
                SUMIF((OFFSET(CÁLCULO!$BC$15:$BU$15,$F86,0,OFFSET(ORÇAMENTO!$D$15,CRONO!$F86,0))),CRONO!AF$12,OFFSET(CÁLCULO!$AJ$15:$BB$15,$F86,0,OFFSET(ORÇAMENTO!$D$15,CRONO!$F86,0)))
                +IF(AND($F88&lt;&gt;"",$F88&lt;&gt;0),
                        SUMIF(CÁLCULO!$BC$15:$BU$191,CRONO!AF$12,CÁLCULO!$AJ$15:$BB$191)/(ORÇAMENTO!$X$15-CÁLCULO.TotalAdmLocal)*CRONO!$F88,
                        0),
                 AF87*$S86),
          SUMIF(OFFSET($S88,1,0,$R86-2),($M86+1)&amp;"$",OFFSET(AF88,1,0,$R86-2)))</f>
        <v>0</v>
      </c>
      <c r="AG88" s="534"/>
    </row>
    <row r="89" spans="1:33" x14ac:dyDescent="0.2">
      <c r="A89" s="186" t="str">
        <f ca="1">IF($M89&gt;1,_xlfn.CONCAT($I89," ",$J89),"")</f>
        <v/>
      </c>
      <c r="B89" s="185">
        <f ca="1">OFFSET(B89,-3,0)+1</f>
        <v>26</v>
      </c>
      <c r="C89" s="185">
        <f ca="1">IF($R89&lt;&gt;2,0,IF($S89=0,1,IF(F90&gt;0,OFFSET(QCI!$M$13,SUBSTITUTE(F90,".",""),0),OFFSET(ORÇAMENTO!$AA$15,CRONO!$F89,0))/$S89))</f>
        <v>1</v>
      </c>
      <c r="D89" s="185">
        <f ca="1">IF($R89&lt;&gt;2,0,IF($S89=0,1,IF(F90&gt;0,OFFSET(QCI!$N$13,SUBSTITUTE(F90,".",""),0),OFFSET(ORÇAMENTO!$AB$15,CRONO!$F89,0))/$S89))</f>
        <v>1</v>
      </c>
      <c r="E89" s="188" t="e" cm="1">
        <f t="array" aca="1" ref="E89" ca="1">IF(AND($R89=2,ACOMPANHAMENTO="BM"),ROUND(E90,4),E91/$S89)</f>
        <v>#DIV/0!</v>
      </c>
      <c r="F89" s="185" t="e" cm="1">
        <f t="array" aca="1" ref="F89" ca="1">IF(B89&lt;=ORÇAMENTO.MáximoListaCrono,MATCH(B89,ORÇAMENTO.ListaCrono,0),NA())</f>
        <v>#N/A</v>
      </c>
      <c r="G89" s="185" t="str">
        <f ca="1">IF(AND($F90&lt;&gt;-1,$S89&gt;0),"F","")</f>
        <v/>
      </c>
      <c r="H89" s="189" t="str" cm="1">
        <f t="array" aca="1" ref="H89" ca="1">IF(OR(S89=0,S89=""),"Linha",IF(AND(OR(ACOMPANHAMENTO="PLE",$R89&lt;&gt;2),$F90=0),"Linha",ROUND(1-SUM(U89:AG89),4)))</f>
        <v>Linha</v>
      </c>
      <c r="I89" s="190">
        <f ca="1">IF($F90=0,OFFSET(ORÇAMENTO!O$15,$F89,0),IF($F90&lt;&gt;-1,OFFSET(QCI!$D$13,$F90,0),""))</f>
        <v>2</v>
      </c>
      <c r="J89" s="191" t="str">
        <f ca="1">IF($F90=0,OFFSET(ORÇAMENTO!R$15,$F89,0),IF($F90&lt;&gt;-1,OFFSET(QCI!$G$13,$F90,0),""))</f>
        <v/>
      </c>
      <c r="K89" s="191"/>
      <c r="L89" s="191"/>
      <c r="M89" s="192">
        <f ca="1">IF($F90=0,OFFSET(ORÇAMENTO!C$15,$F89,0),1)</f>
        <v>1</v>
      </c>
      <c r="N89" s="193">
        <f ca="1">IF($F90=-1,0,IF(N$13&lt;=$M89,IF(ISERROR(MATCH(N$13,OFFSET($M89,1,0,ROW($M$92)-ROW($M89)-1),0)),ROW($M$92)-ROW($M89)-1,MATCH(N$13,OFFSET($M89,1,0,ROW($M$92)-ROW($M89)-1),0)-1),0))</f>
        <v>2</v>
      </c>
      <c r="O89" s="193">
        <f ca="1">IF($F90=-1,0,IF(O$13&lt;=$M89,IF(ISERROR(MATCH(O$13,OFFSET($M89,1,0,ROW($M$92)-ROW($M89)-1),0)),ROW($M$92)-ROW($M89)-1,MATCH(O$13,OFFSET($M89,1,0,ROW($M$92)-ROW($M89)-1),0)-1),0))</f>
        <v>0</v>
      </c>
      <c r="P89" s="193">
        <f ca="1">IF($F90=-1,0,IF(P$13&lt;=$M89,IF(ISERROR(MATCH(P$13,OFFSET($M89,1,0,ROW($M$92)-ROW($M89)-1),0)),ROW($M$92)-ROW($M89)-1,MATCH(P$13,OFFSET($M89,1,0,ROW($M$92)-ROW($M89)-1),0)-1),0))</f>
        <v>0</v>
      </c>
      <c r="Q89" s="193">
        <f ca="1">IF($F90=-1,0,IF(Q$13&lt;=$M89,IF(ISERROR(MATCH(Q$13,OFFSET($M89,1,0,ROW($M$92)-ROW($M89)-1),0)),ROW($M$92)-ROW($M89)-1,MATCH(Q$13,OFFSET($M89,1,0,ROW($M$92)-ROW($M89)-1),0)-1),0))</f>
        <v>0</v>
      </c>
      <c r="R89" s="193">
        <f ca="1">MIN(OFFSET(M89,0,1,,M89))</f>
        <v>2</v>
      </c>
      <c r="S89" s="194">
        <f ca="1">IF($F90=0,OFFSET(ORÇAMENTO!X$15,$F89,0),IF($F90&lt;&gt;-1,OFFSET(QCI!$O$13,$F90,0),""))</f>
        <v>0</v>
      </c>
      <c r="T89" s="195" t="s">
        <v>785</v>
      </c>
      <c r="U89" s="188" t="e" cm="1">
        <f t="array" aca="1" ref="U89" ca="1">IF(AND($R89=2,ACOMPANHAMENTO="BM"),ROUND(U90,4),U91/$S89)</f>
        <v>#DIV/0!</v>
      </c>
      <c r="V89" s="188" t="e" cm="1">
        <f t="array" aca="1" ref="V89" ca="1">IF(AND($R89=2,ACOMPANHAMENTO="BM"),ROUND(V90,4),V91/$S89)</f>
        <v>#DIV/0!</v>
      </c>
      <c r="W89" s="188" t="e" cm="1">
        <f t="array" aca="1" ref="W89" ca="1">IF(AND($R89=2,ACOMPANHAMENTO="BM"),ROUND(W90,4),W91/$S89)</f>
        <v>#DIV/0!</v>
      </c>
      <c r="X89" s="188" t="e" cm="1">
        <f t="array" aca="1" ref="X89" ca="1">IF(AND($R89=2,ACOMPANHAMENTO="BM"),ROUND(X90,4),X91/$S89)</f>
        <v>#DIV/0!</v>
      </c>
      <c r="Y89" s="188" t="e" cm="1">
        <f t="array" aca="1" ref="Y89" ca="1">IF(AND($R89=2,ACOMPANHAMENTO="BM"),ROUND(Y90,4),Y91/$S89)</f>
        <v>#DIV/0!</v>
      </c>
      <c r="Z89" s="188" t="e" cm="1">
        <f t="array" aca="1" ref="Z89" ca="1">IF(AND($R89=2,ACOMPANHAMENTO="BM"),ROUND(Z90,4),Z91/$S89)</f>
        <v>#DIV/0!</v>
      </c>
      <c r="AA89" s="188" t="e" cm="1">
        <f t="array" aca="1" ref="AA89" ca="1">IF(AND($R89=2,ACOMPANHAMENTO="BM"),ROUND(AA90,4),AA91/$S89)</f>
        <v>#DIV/0!</v>
      </c>
      <c r="AB89" s="188" t="e" cm="1">
        <f t="array" aca="1" ref="AB89" ca="1">IF(AND($R89=2,ACOMPANHAMENTO="BM"),ROUND(AB90,4),AB91/$S89)</f>
        <v>#DIV/0!</v>
      </c>
      <c r="AC89" s="188" t="e" cm="1">
        <f t="array" aca="1" ref="AC89" ca="1">IF(AND($R89=2,ACOMPANHAMENTO="BM"),ROUND(AC90,4),AC91/$S89)</f>
        <v>#DIV/0!</v>
      </c>
      <c r="AD89" s="188" t="e" cm="1">
        <f t="array" aca="1" ref="AD89" ca="1">IF(AND($R89=2,ACOMPANHAMENTO="BM"),ROUND(AD90,4),AD91/$S89)</f>
        <v>#DIV/0!</v>
      </c>
      <c r="AE89" s="188" t="e" cm="1">
        <f t="array" aca="1" ref="AE89" ca="1">IF(AND($R89=2,ACOMPANHAMENTO="BM"),ROUND(AE90,4),AE91/$S89)</f>
        <v>#DIV/0!</v>
      </c>
      <c r="AF89" s="188" t="e" cm="1">
        <f t="array" aca="1" ref="AF89" ca="1">IF(AND($R89=2,ACOMPANHAMENTO="BM"),ROUND(AF90,4),AF91/$S89)</f>
        <v>#DIV/0!</v>
      </c>
      <c r="AG89" s="534"/>
    </row>
    <row r="90" spans="1:33" ht="12.75" hidden="1" customHeight="1" x14ac:dyDescent="0.2">
      <c r="E90" s="587"/>
      <c r="F90" s="185">
        <f ca="1">IF(ISERROR(F89),IF(1+COUNTIF($M$13:OFFSET(M89,-1,0),1)&lt;=MAX(QCI!$D$13:$D$24),1+COUNTIF($M$13:OFFSET(M89,-1,0),1),-1),0)</f>
        <v>2</v>
      </c>
      <c r="G90" s="185" t="str" cm="1">
        <f t="array" aca="1" ref="G90" ca="1">IF(ACOMPANHAMENTO="BM",OFFSET(G90,-1,0),"")</f>
        <v/>
      </c>
      <c r="H90" s="196" t="str" cm="1">
        <f t="array" aca="1" ref="H90" ca="1">IF(OR(S89=0,S89=""),"vazia",IF(AND(OR(ACOMPANHAMENTO="PLE",$R89&lt;&gt;2),$F90=0),"calculada","--&gt;"))</f>
        <v>vazia</v>
      </c>
      <c r="I90" s="197"/>
      <c r="J90" s="198" t="str">
        <f ca="1">IF(AND(H89&lt;&gt;0,ISNUMBER(H89)),"PREENCHA ESTA LINHA --&gt;","")</f>
        <v/>
      </c>
      <c r="K90" s="198"/>
      <c r="L90" s="198"/>
      <c r="M90" s="199"/>
      <c r="N90" s="199"/>
      <c r="O90" s="199"/>
      <c r="P90" s="199"/>
      <c r="Q90" s="199"/>
      <c r="R90" s="199"/>
      <c r="S90" s="200"/>
      <c r="T90" s="201"/>
      <c r="U90" s="587"/>
      <c r="V90" s="587"/>
      <c r="W90" s="587"/>
      <c r="X90" s="587"/>
      <c r="Y90" s="587"/>
      <c r="Z90" s="587"/>
      <c r="AA90" s="587"/>
      <c r="AB90" s="587"/>
      <c r="AC90" s="587"/>
      <c r="AD90" s="587"/>
      <c r="AE90" s="587"/>
      <c r="AF90" s="587"/>
      <c r="AG90" s="534"/>
    </row>
    <row r="91" spans="1:33" ht="12.75" hidden="1" customHeight="1" x14ac:dyDescent="0.2">
      <c r="D91" s="533"/>
      <c r="E91" s="202" cm="1">
        <f t="array" aca="1" ref="E91" ca="1">IF($R89=2,
         IF(AND(ACOMPANHAMENTO="PLE",ISNUMBER($F89)),
                SUMIF((OFFSET(CÁLCULO!$BC$15:$BU$15,$F89,0,OFFSET(ORÇAMENTO!$D$15,CRONO!$F89,0))),CRONO!E$12,OFFSET(CÁLCULO!$AJ$15:$BB$15,$F89,0,OFFSET(ORÇAMENTO!$D$15,CRONO!$F89,0)))
                +IF(AND($F91&lt;&gt;"",$F91&lt;&gt;0),
                        SUMIF(CÁLCULO!$BC$15:$BU$191,CRONO!E$12,CÁLCULO!$AJ$15:$BB$191)/(ORÇAMENTO!$X$15-CÁLCULO.TotalAdmLocal)*CRONO!$F91,
                        0),
                 E90*$S89),
          SUMIF(OFFSET($S91,1,0,$R89-2),($M89+1)&amp;"$",OFFSET(E91,1,0,$R89-2)))</f>
        <v>0</v>
      </c>
      <c r="F91" s="185" t="str">
        <f ca="1">IF(OR($R89&lt;&gt;2,AUTOEVENTO&lt;&gt;"manual",$F90&gt;0),"",
        IF(Import.TipoArredondamento="Tradicional",
              SUMIF(OFFSET(CÁLCULO!$M$15,CRONO!$F89,0,OFFSET(ORÇAMENTO!$D$15,CRONO!$F89,0)),1,OFFSET(ORÇAMENTO!$X$15,CRONO!$F89,0,OFFSET(ORÇAMENTO!$D$15,CRONO!$F89,0))),
              0))</f>
        <v/>
      </c>
      <c r="H91" s="740"/>
      <c r="S91" s="204" t="str">
        <f ca="1">M89&amp;"$"</f>
        <v>1$</v>
      </c>
      <c r="T91" s="205"/>
      <c r="U91" s="202" cm="1">
        <f t="array" aca="1" ref="U91" ca="1">IF($R89=2,
         IF(AND(ACOMPANHAMENTO="PLE",ISNUMBER($F89)),
                SUMIF((OFFSET(CÁLCULO!$BC$15:$BU$15,$F89,0,OFFSET(ORÇAMENTO!$D$15,CRONO!$F89,0))),CRONO!U$12,OFFSET(CÁLCULO!$AJ$15:$BB$15,$F89,0,OFFSET(ORÇAMENTO!$D$15,CRONO!$F89,0)))
                +IF(AND($F91&lt;&gt;"",$F91&lt;&gt;0),
                        SUMIF(CÁLCULO!$BC$15:$BU$191,CRONO!U$12,CÁLCULO!$AJ$15:$BB$191)/(ORÇAMENTO!$X$15-CÁLCULO.TotalAdmLocal)*CRONO!$F91,
                        0),
                 U90*$S89),
          SUMIF(OFFSET($S91,1,0,$R89-2),($M89+1)&amp;"$",OFFSET(U91,1,0,$R89-2)))</f>
        <v>0</v>
      </c>
      <c r="V91" s="202" cm="1">
        <f t="array" aca="1" ref="V91" ca="1">IF($R89=2,
         IF(AND(ACOMPANHAMENTO="PLE",ISNUMBER($F89)),
                SUMIF((OFFSET(CÁLCULO!$BC$15:$BU$15,$F89,0,OFFSET(ORÇAMENTO!$D$15,CRONO!$F89,0))),CRONO!V$12,OFFSET(CÁLCULO!$AJ$15:$BB$15,$F89,0,OFFSET(ORÇAMENTO!$D$15,CRONO!$F89,0)))
                +IF(AND($F91&lt;&gt;"",$F91&lt;&gt;0),
                        SUMIF(CÁLCULO!$BC$15:$BU$191,CRONO!V$12,CÁLCULO!$AJ$15:$BB$191)/(ORÇAMENTO!$X$15-CÁLCULO.TotalAdmLocal)*CRONO!$F91,
                        0),
                 V90*$S89),
          SUMIF(OFFSET($S91,1,0,$R89-2),($M89+1)&amp;"$",OFFSET(V91,1,0,$R89-2)))</f>
        <v>0</v>
      </c>
      <c r="W91" s="202" cm="1">
        <f t="array" aca="1" ref="W91" ca="1">IF($R89=2,
         IF(AND(ACOMPANHAMENTO="PLE",ISNUMBER($F89)),
                SUMIF((OFFSET(CÁLCULO!$BC$15:$BU$15,$F89,0,OFFSET(ORÇAMENTO!$D$15,CRONO!$F89,0))),CRONO!W$12,OFFSET(CÁLCULO!$AJ$15:$BB$15,$F89,0,OFFSET(ORÇAMENTO!$D$15,CRONO!$F89,0)))
                +IF(AND($F91&lt;&gt;"",$F91&lt;&gt;0),
                        SUMIF(CÁLCULO!$BC$15:$BU$191,CRONO!W$12,CÁLCULO!$AJ$15:$BB$191)/(ORÇAMENTO!$X$15-CÁLCULO.TotalAdmLocal)*CRONO!$F91,
                        0),
                 W90*$S89),
          SUMIF(OFFSET($S91,1,0,$R89-2),($M89+1)&amp;"$",OFFSET(W91,1,0,$R89-2)))</f>
        <v>0</v>
      </c>
      <c r="X91" s="202" cm="1">
        <f t="array" aca="1" ref="X91" ca="1">IF($R89=2,
         IF(AND(ACOMPANHAMENTO="PLE",ISNUMBER($F89)),
                SUMIF((OFFSET(CÁLCULO!$BC$15:$BU$15,$F89,0,OFFSET(ORÇAMENTO!$D$15,CRONO!$F89,0))),CRONO!X$12,OFFSET(CÁLCULO!$AJ$15:$BB$15,$F89,0,OFFSET(ORÇAMENTO!$D$15,CRONO!$F89,0)))
                +IF(AND($F91&lt;&gt;"",$F91&lt;&gt;0),
                        SUMIF(CÁLCULO!$BC$15:$BU$191,CRONO!X$12,CÁLCULO!$AJ$15:$BB$191)/(ORÇAMENTO!$X$15-CÁLCULO.TotalAdmLocal)*CRONO!$F91,
                        0),
                 X90*$S89),
          SUMIF(OFFSET($S91,1,0,$R89-2),($M89+1)&amp;"$",OFFSET(X91,1,0,$R89-2)))</f>
        <v>0</v>
      </c>
      <c r="Y91" s="202" cm="1">
        <f t="array" aca="1" ref="Y91" ca="1">IF($R89=2,
         IF(AND(ACOMPANHAMENTO="PLE",ISNUMBER($F89)),
                SUMIF((OFFSET(CÁLCULO!$BC$15:$BU$15,$F89,0,OFFSET(ORÇAMENTO!$D$15,CRONO!$F89,0))),CRONO!Y$12,OFFSET(CÁLCULO!$AJ$15:$BB$15,$F89,0,OFFSET(ORÇAMENTO!$D$15,CRONO!$F89,0)))
                +IF(AND($F91&lt;&gt;"",$F91&lt;&gt;0),
                        SUMIF(CÁLCULO!$BC$15:$BU$191,CRONO!Y$12,CÁLCULO!$AJ$15:$BB$191)/(ORÇAMENTO!$X$15-CÁLCULO.TotalAdmLocal)*CRONO!$F91,
                        0),
                 Y90*$S89),
          SUMIF(OFFSET($S91,1,0,$R89-2),($M89+1)&amp;"$",OFFSET(Y91,1,0,$R89-2)))</f>
        <v>0</v>
      </c>
      <c r="Z91" s="202" cm="1">
        <f t="array" aca="1" ref="Z91" ca="1">IF($R89=2,
         IF(AND(ACOMPANHAMENTO="PLE",ISNUMBER($F89)),
                SUMIF((OFFSET(CÁLCULO!$BC$15:$BU$15,$F89,0,OFFSET(ORÇAMENTO!$D$15,CRONO!$F89,0))),CRONO!Z$12,OFFSET(CÁLCULO!$AJ$15:$BB$15,$F89,0,OFFSET(ORÇAMENTO!$D$15,CRONO!$F89,0)))
                +IF(AND($F91&lt;&gt;"",$F91&lt;&gt;0),
                        SUMIF(CÁLCULO!$BC$15:$BU$191,CRONO!Z$12,CÁLCULO!$AJ$15:$BB$191)/(ORÇAMENTO!$X$15-CÁLCULO.TotalAdmLocal)*CRONO!$F91,
                        0),
                 Z90*$S89),
          SUMIF(OFFSET($S91,1,0,$R89-2),($M89+1)&amp;"$",OFFSET(Z91,1,0,$R89-2)))</f>
        <v>0</v>
      </c>
      <c r="AA91" s="202" cm="1">
        <f t="array" aca="1" ref="AA91" ca="1">IF($R89=2,
         IF(AND(ACOMPANHAMENTO="PLE",ISNUMBER($F89)),
                SUMIF((OFFSET(CÁLCULO!$BC$15:$BU$15,$F89,0,OFFSET(ORÇAMENTO!$D$15,CRONO!$F89,0))),CRONO!AA$12,OFFSET(CÁLCULO!$AJ$15:$BB$15,$F89,0,OFFSET(ORÇAMENTO!$D$15,CRONO!$F89,0)))
                +IF(AND($F91&lt;&gt;"",$F91&lt;&gt;0),
                        SUMIF(CÁLCULO!$BC$15:$BU$191,CRONO!AA$12,CÁLCULO!$AJ$15:$BB$191)/(ORÇAMENTO!$X$15-CÁLCULO.TotalAdmLocal)*CRONO!$F91,
                        0),
                 AA90*$S89),
          SUMIF(OFFSET($S91,1,0,$R89-2),($M89+1)&amp;"$",OFFSET(AA91,1,0,$R89-2)))</f>
        <v>0</v>
      </c>
      <c r="AB91" s="202" cm="1">
        <f t="array" aca="1" ref="AB91" ca="1">IF($R89=2,
         IF(AND(ACOMPANHAMENTO="PLE",ISNUMBER($F89)),
                SUMIF((OFFSET(CÁLCULO!$BC$15:$BU$15,$F89,0,OFFSET(ORÇAMENTO!$D$15,CRONO!$F89,0))),CRONO!AB$12,OFFSET(CÁLCULO!$AJ$15:$BB$15,$F89,0,OFFSET(ORÇAMENTO!$D$15,CRONO!$F89,0)))
                +IF(AND($F91&lt;&gt;"",$F91&lt;&gt;0),
                        SUMIF(CÁLCULO!$BC$15:$BU$191,CRONO!AB$12,CÁLCULO!$AJ$15:$BB$191)/(ORÇAMENTO!$X$15-CÁLCULO.TotalAdmLocal)*CRONO!$F91,
                        0),
                 AB90*$S89),
          SUMIF(OFFSET($S91,1,0,$R89-2),($M89+1)&amp;"$",OFFSET(AB91,1,0,$R89-2)))</f>
        <v>0</v>
      </c>
      <c r="AC91" s="202" cm="1">
        <f t="array" aca="1" ref="AC91" ca="1">IF($R89=2,
         IF(AND(ACOMPANHAMENTO="PLE",ISNUMBER($F89)),
                SUMIF((OFFSET(CÁLCULO!$BC$15:$BU$15,$F89,0,OFFSET(ORÇAMENTO!$D$15,CRONO!$F89,0))),CRONO!AC$12,OFFSET(CÁLCULO!$AJ$15:$BB$15,$F89,0,OFFSET(ORÇAMENTO!$D$15,CRONO!$F89,0)))
                +IF(AND($F91&lt;&gt;"",$F91&lt;&gt;0),
                        SUMIF(CÁLCULO!$BC$15:$BU$191,CRONO!AC$12,CÁLCULO!$AJ$15:$BB$191)/(ORÇAMENTO!$X$15-CÁLCULO.TotalAdmLocal)*CRONO!$F91,
                        0),
                 AC90*$S89),
          SUMIF(OFFSET($S91,1,0,$R89-2),($M89+1)&amp;"$",OFFSET(AC91,1,0,$R89-2)))</f>
        <v>0</v>
      </c>
      <c r="AD91" s="202" cm="1">
        <f t="array" aca="1" ref="AD91" ca="1">IF($R89=2,
         IF(AND(ACOMPANHAMENTO="PLE",ISNUMBER($F89)),
                SUMIF((OFFSET(CÁLCULO!$BC$15:$BU$15,$F89,0,OFFSET(ORÇAMENTO!$D$15,CRONO!$F89,0))),CRONO!AD$12,OFFSET(CÁLCULO!$AJ$15:$BB$15,$F89,0,OFFSET(ORÇAMENTO!$D$15,CRONO!$F89,0)))
                +IF(AND($F91&lt;&gt;"",$F91&lt;&gt;0),
                        SUMIF(CÁLCULO!$BC$15:$BU$191,CRONO!AD$12,CÁLCULO!$AJ$15:$BB$191)/(ORÇAMENTO!$X$15-CÁLCULO.TotalAdmLocal)*CRONO!$F91,
                        0),
                 AD90*$S89),
          SUMIF(OFFSET($S91,1,0,$R89-2),($M89+1)&amp;"$",OFFSET(AD91,1,0,$R89-2)))</f>
        <v>0</v>
      </c>
      <c r="AE91" s="202" cm="1">
        <f t="array" aca="1" ref="AE91" ca="1">IF($R89=2,
         IF(AND(ACOMPANHAMENTO="PLE",ISNUMBER($F89)),
                SUMIF((OFFSET(CÁLCULO!$BC$15:$BU$15,$F89,0,OFFSET(ORÇAMENTO!$D$15,CRONO!$F89,0))),CRONO!AE$12,OFFSET(CÁLCULO!$AJ$15:$BB$15,$F89,0,OFFSET(ORÇAMENTO!$D$15,CRONO!$F89,0)))
                +IF(AND($F91&lt;&gt;"",$F91&lt;&gt;0),
                        SUMIF(CÁLCULO!$BC$15:$BU$191,CRONO!AE$12,CÁLCULO!$AJ$15:$BB$191)/(ORÇAMENTO!$X$15-CÁLCULO.TotalAdmLocal)*CRONO!$F91,
                        0),
                 AE90*$S89),
          SUMIF(OFFSET($S91,1,0,$R89-2),($M89+1)&amp;"$",OFFSET(AE91,1,0,$R89-2)))</f>
        <v>0</v>
      </c>
      <c r="AF91" s="202" cm="1">
        <f t="array" aca="1" ref="AF91" ca="1">IF($R89=2,
         IF(AND(ACOMPANHAMENTO="PLE",ISNUMBER($F89)),
                SUMIF((OFFSET(CÁLCULO!$BC$15:$BU$15,$F89,0,OFFSET(ORÇAMENTO!$D$15,CRONO!$F89,0))),CRONO!AF$12,OFFSET(CÁLCULO!$AJ$15:$BB$15,$F89,0,OFFSET(ORÇAMENTO!$D$15,CRONO!$F89,0)))
                +IF(AND($F91&lt;&gt;"",$F91&lt;&gt;0),
                        SUMIF(CÁLCULO!$BC$15:$BU$191,CRONO!AF$12,CÁLCULO!$AJ$15:$BB$191)/(ORÇAMENTO!$X$15-CÁLCULO.TotalAdmLocal)*CRONO!$F91,
                        0),
                 AF90*$S89),
          SUMIF(OFFSET($S91,1,0,$R89-2),($M89+1)&amp;"$",OFFSET(AF91,1,0,$R89-2)))</f>
        <v>0</v>
      </c>
      <c r="AG91" s="534"/>
    </row>
    <row r="92" spans="1:33" ht="5.0999999999999996" customHeight="1" x14ac:dyDescent="0.2">
      <c r="E92" s="640"/>
      <c r="G92" s="185" t="s">
        <v>536</v>
      </c>
      <c r="H92" s="432"/>
      <c r="I92" s="641"/>
      <c r="J92" s="642"/>
      <c r="K92" s="642"/>
      <c r="L92" s="642"/>
      <c r="M92" s="643" t="s">
        <v>797</v>
      </c>
      <c r="N92" s="643"/>
      <c r="O92" s="643"/>
      <c r="P92" s="643"/>
      <c r="Q92" s="643"/>
      <c r="R92" s="643"/>
      <c r="S92" s="644"/>
      <c r="T92" s="644"/>
      <c r="U92" s="642"/>
      <c r="V92" s="642"/>
      <c r="W92" s="642"/>
      <c r="X92" s="642"/>
      <c r="Y92" s="642"/>
      <c r="Z92" s="642"/>
      <c r="AA92" s="642"/>
      <c r="AB92" s="642"/>
      <c r="AC92" s="642"/>
      <c r="AD92" s="642"/>
      <c r="AE92" s="642"/>
      <c r="AF92" s="642"/>
      <c r="AG92" s="534"/>
    </row>
    <row r="93" spans="1:33" ht="12.75" customHeight="1" x14ac:dyDescent="0.2">
      <c r="E93" s="528">
        <f ca="1">E97/$R$93</f>
        <v>1.3331953671087278E-2</v>
      </c>
      <c r="G93" s="185" t="s">
        <v>536</v>
      </c>
      <c r="I93" s="844" t="str">
        <f ca="1">"Total:    R$ "&amp;TEXT(R93,"#.##0,00")</f>
        <v>Total:    R$ 4.985.084,83</v>
      </c>
      <c r="J93" s="844"/>
      <c r="K93" s="844"/>
      <c r="L93" s="227"/>
      <c r="R93" s="228">
        <f ca="1">SUMIF(M12:M92,1,S12:S92)</f>
        <v>4985084.83</v>
      </c>
      <c r="S93" s="229"/>
      <c r="T93" s="230" t="s">
        <v>798</v>
      </c>
      <c r="U93" s="528">
        <f t="shared" ref="U93:AF93" ca="1" si="164">ROUND(U97,2)/$R$93</f>
        <v>1.3331953671087278E-2</v>
      </c>
      <c r="V93" s="528">
        <f t="shared" ca="1" si="164"/>
        <v>1.3784848672274249E-2</v>
      </c>
      <c r="W93" s="528">
        <f t="shared" ca="1" si="164"/>
        <v>2.7074722818708784E-2</v>
      </c>
      <c r="X93" s="528">
        <f t="shared" ca="1" si="164"/>
        <v>9.3305232681466718E-3</v>
      </c>
      <c r="Y93" s="528">
        <f t="shared" ca="1" si="164"/>
        <v>0.10210658340993567</v>
      </c>
      <c r="Z93" s="528">
        <f t="shared" ca="1" si="164"/>
        <v>7.0011598980152162E-2</v>
      </c>
      <c r="AA93" s="528">
        <f t="shared" ca="1" si="164"/>
        <v>0.31715074545682309</v>
      </c>
      <c r="AB93" s="528">
        <f t="shared" ca="1" si="164"/>
        <v>6.9401667533910347E-3</v>
      </c>
      <c r="AC93" s="528">
        <f t="shared" ca="1" si="164"/>
        <v>0.22148916972391822</v>
      </c>
      <c r="AD93" s="528">
        <f t="shared" ca="1" si="164"/>
        <v>4.3758876215552786E-2</v>
      </c>
      <c r="AE93" s="528">
        <f t="shared" ca="1" si="164"/>
        <v>5.8813759444089543E-2</v>
      </c>
      <c r="AF93" s="539">
        <f t="shared" ca="1" si="164"/>
        <v>0.11620705158592055</v>
      </c>
      <c r="AG93" s="534"/>
    </row>
    <row r="94" spans="1:33" ht="15" customHeight="1" x14ac:dyDescent="0.2">
      <c r="E94" s="231">
        <f ca="1">IF(E$12=1,ROUND(E99,2),ROUND(E99,2)-ROUND(D99,2))</f>
        <v>66460.92</v>
      </c>
      <c r="G94" s="185" t="s">
        <v>536</v>
      </c>
      <c r="I94" s="844"/>
      <c r="J94" s="844"/>
      <c r="K94" s="844"/>
      <c r="L94" s="232"/>
      <c r="R94" s="228"/>
      <c r="S94" s="233"/>
      <c r="T94" s="234" t="str">
        <f>IF(import.recurso="FGTS","Financiamento:","Repasse:")</f>
        <v>Repasse:</v>
      </c>
      <c r="U94" s="231">
        <f t="shared" ref="U94:AF94" ca="1" si="165">IF(U$12=1,ROUND(U99,2),ROUND(U99,2)-ROUND(T99,2))</f>
        <v>66460.92</v>
      </c>
      <c r="V94" s="231">
        <f t="shared" ca="1" si="165"/>
        <v>68718.64</v>
      </c>
      <c r="W94" s="231">
        <f t="shared" ca="1" si="165"/>
        <v>134969.78999999998</v>
      </c>
      <c r="X94" s="231">
        <f t="shared" ca="1" si="165"/>
        <v>46513.450000000012</v>
      </c>
      <c r="Y94" s="231">
        <f t="shared" ca="1" si="165"/>
        <v>509009.98000000004</v>
      </c>
      <c r="Z94" s="231">
        <f t="shared" ca="1" si="165"/>
        <v>349013.76000000001</v>
      </c>
      <c r="AA94" s="231">
        <f t="shared" ca="1" si="165"/>
        <v>1581023.37</v>
      </c>
      <c r="AB94" s="231">
        <f t="shared" ca="1" si="165"/>
        <v>34597.319999999832</v>
      </c>
      <c r="AC94" s="231">
        <f t="shared" ca="1" si="165"/>
        <v>1104142.2999999998</v>
      </c>
      <c r="AD94" s="231">
        <f t="shared" ca="1" si="165"/>
        <v>218141.71000000043</v>
      </c>
      <c r="AE94" s="231">
        <f t="shared" ca="1" si="165"/>
        <v>293191.58000000007</v>
      </c>
      <c r="AF94" s="231">
        <f t="shared" ca="1" si="165"/>
        <v>579302.00999999978</v>
      </c>
      <c r="AG94" s="534"/>
    </row>
    <row r="95" spans="1:33" ht="12.75" customHeight="1" x14ac:dyDescent="0.2">
      <c r="E95" s="529">
        <f ca="1">IF(E$12=1,ROUND(E100,2),ROUND(E100,2)-ROUND(D100,2))</f>
        <v>0</v>
      </c>
      <c r="G95" s="185" t="s">
        <v>536</v>
      </c>
      <c r="I95" s="235"/>
      <c r="L95" s="236" t="s">
        <v>799</v>
      </c>
      <c r="R95" s="228"/>
      <c r="S95" s="237"/>
      <c r="T95" s="238" t="s">
        <v>800</v>
      </c>
      <c r="U95" s="529">
        <f t="shared" ref="U95:AF95" ca="1" si="166">IF(U$12=1,ROUND(U100,2),ROUND(U100,2)-ROUND(T100,2))</f>
        <v>0</v>
      </c>
      <c r="V95" s="529">
        <f t="shared" ca="1" si="166"/>
        <v>0</v>
      </c>
      <c r="W95" s="529">
        <f t="shared" ca="1" si="166"/>
        <v>0</v>
      </c>
      <c r="X95" s="529">
        <f t="shared" ca="1" si="166"/>
        <v>0</v>
      </c>
      <c r="Y95" s="529">
        <f t="shared" ca="1" si="166"/>
        <v>0</v>
      </c>
      <c r="Z95" s="529">
        <f t="shared" ca="1" si="166"/>
        <v>0</v>
      </c>
      <c r="AA95" s="529">
        <f t="shared" ca="1" si="166"/>
        <v>0</v>
      </c>
      <c r="AB95" s="529">
        <f t="shared" ca="1" si="166"/>
        <v>0</v>
      </c>
      <c r="AC95" s="529">
        <f t="shared" ca="1" si="166"/>
        <v>0</v>
      </c>
      <c r="AD95" s="529">
        <f t="shared" ca="1" si="166"/>
        <v>0</v>
      </c>
      <c r="AE95" s="529">
        <f t="shared" ca="1" si="166"/>
        <v>0</v>
      </c>
      <c r="AF95" s="529">
        <f t="shared" ca="1" si="166"/>
        <v>0</v>
      </c>
      <c r="AG95" s="534"/>
    </row>
    <row r="96" spans="1:33" x14ac:dyDescent="0.2">
      <c r="E96" s="239">
        <f ca="1">IF(E$12=1,ROUND(E101,2),ROUND(E101,2)-ROUND(D101,2))</f>
        <v>0</v>
      </c>
      <c r="G96" s="185" t="s">
        <v>536</v>
      </c>
      <c r="I96" s="235"/>
      <c r="L96" s="236"/>
      <c r="R96" s="228"/>
      <c r="S96" s="240"/>
      <c r="T96" s="241" t="s">
        <v>801</v>
      </c>
      <c r="U96" s="239">
        <f t="shared" ref="U96:AF96" ca="1" si="167">IF(U$12=1,ROUND(U101,2),ROUND(U101,2)-ROUND(T101,2))</f>
        <v>0</v>
      </c>
      <c r="V96" s="239">
        <f t="shared" ca="1" si="167"/>
        <v>0</v>
      </c>
      <c r="W96" s="239">
        <f t="shared" ca="1" si="167"/>
        <v>0</v>
      </c>
      <c r="X96" s="239">
        <f t="shared" ca="1" si="167"/>
        <v>0</v>
      </c>
      <c r="Y96" s="239">
        <f t="shared" ca="1" si="167"/>
        <v>0</v>
      </c>
      <c r="Z96" s="239">
        <f t="shared" ca="1" si="167"/>
        <v>0</v>
      </c>
      <c r="AA96" s="239">
        <f t="shared" ca="1" si="167"/>
        <v>0</v>
      </c>
      <c r="AB96" s="239">
        <f t="shared" ca="1" si="167"/>
        <v>0</v>
      </c>
      <c r="AC96" s="239">
        <f t="shared" ca="1" si="167"/>
        <v>0</v>
      </c>
      <c r="AD96" s="239">
        <f t="shared" ca="1" si="167"/>
        <v>0</v>
      </c>
      <c r="AE96" s="239">
        <f t="shared" ca="1" si="167"/>
        <v>0</v>
      </c>
      <c r="AF96" s="239">
        <f t="shared" ca="1" si="167"/>
        <v>0</v>
      </c>
      <c r="AG96" s="534"/>
    </row>
    <row r="97" spans="4:33" x14ac:dyDescent="0.2">
      <c r="E97" s="530">
        <f ca="1">IF(E$12=1,ROUND(E102,2),ROUND(E102,2)-ROUND(D102,2))</f>
        <v>66460.92</v>
      </c>
      <c r="G97" s="185" t="s">
        <v>536</v>
      </c>
      <c r="H97" s="536"/>
      <c r="L97" s="242"/>
      <c r="S97" s="243"/>
      <c r="T97" s="244" t="s">
        <v>802</v>
      </c>
      <c r="U97" s="530">
        <f t="shared" ref="U97:AF97" ca="1" si="168">IF(U$12=1,ROUND(U102,2),ROUND(U102,2)-ROUND(T102,2))</f>
        <v>66460.92</v>
      </c>
      <c r="V97" s="530">
        <f t="shared" ca="1" si="168"/>
        <v>68718.64</v>
      </c>
      <c r="W97" s="530">
        <f t="shared" ca="1" si="168"/>
        <v>134969.78999999998</v>
      </c>
      <c r="X97" s="530">
        <f t="shared" ca="1" si="168"/>
        <v>46513.450000000012</v>
      </c>
      <c r="Y97" s="530">
        <f t="shared" ca="1" si="168"/>
        <v>509009.98000000004</v>
      </c>
      <c r="Z97" s="530">
        <f t="shared" ca="1" si="168"/>
        <v>349013.76000000001</v>
      </c>
      <c r="AA97" s="530">
        <f t="shared" ca="1" si="168"/>
        <v>1581023.37</v>
      </c>
      <c r="AB97" s="530">
        <f t="shared" ca="1" si="168"/>
        <v>34597.319999999832</v>
      </c>
      <c r="AC97" s="530">
        <f t="shared" ca="1" si="168"/>
        <v>1104142.2999999998</v>
      </c>
      <c r="AD97" s="530">
        <f t="shared" ca="1" si="168"/>
        <v>218141.71000000043</v>
      </c>
      <c r="AE97" s="530">
        <f t="shared" ca="1" si="168"/>
        <v>293191.58000000007</v>
      </c>
      <c r="AF97" s="530">
        <f t="shared" ca="1" si="168"/>
        <v>579302.00999999978</v>
      </c>
      <c r="AG97" s="534"/>
    </row>
    <row r="98" spans="4:33" x14ac:dyDescent="0.2">
      <c r="E98" s="528">
        <f ca="1">ROUND(ROUND(E102,2)/$R$93,4)</f>
        <v>1.3299999999999999E-2</v>
      </c>
      <c r="G98" s="185" t="s">
        <v>536</v>
      </c>
      <c r="L98" s="227"/>
      <c r="S98" s="229"/>
      <c r="T98" s="230" t="s">
        <v>798</v>
      </c>
      <c r="U98" s="528">
        <f t="shared" ref="U98:AF98" ca="1" si="169">ROUND(ROUND(U102,2)/$R$93,4)</f>
        <v>1.3299999999999999E-2</v>
      </c>
      <c r="V98" s="528">
        <f t="shared" ca="1" si="169"/>
        <v>2.7099999999999999E-2</v>
      </c>
      <c r="W98" s="528">
        <f t="shared" ca="1" si="169"/>
        <v>5.4199999999999998E-2</v>
      </c>
      <c r="X98" s="528">
        <f t="shared" ca="1" si="169"/>
        <v>6.3500000000000001E-2</v>
      </c>
      <c r="Y98" s="528">
        <f t="shared" ca="1" si="169"/>
        <v>0.1656</v>
      </c>
      <c r="Z98" s="528">
        <f t="shared" ca="1" si="169"/>
        <v>0.2356</v>
      </c>
      <c r="AA98" s="528">
        <f t="shared" ca="1" si="169"/>
        <v>0.55279999999999996</v>
      </c>
      <c r="AB98" s="528">
        <f t="shared" ca="1" si="169"/>
        <v>0.55969999999999998</v>
      </c>
      <c r="AC98" s="528">
        <f t="shared" ca="1" si="169"/>
        <v>0.78120000000000001</v>
      </c>
      <c r="AD98" s="528">
        <f t="shared" ca="1" si="169"/>
        <v>0.82499999999999996</v>
      </c>
      <c r="AE98" s="528">
        <f t="shared" ca="1" si="169"/>
        <v>0.88380000000000003</v>
      </c>
      <c r="AF98" s="528">
        <f t="shared" ca="1" si="169"/>
        <v>1</v>
      </c>
      <c r="AG98" s="534"/>
    </row>
    <row r="99" spans="4:33" x14ac:dyDescent="0.2">
      <c r="E99" s="231">
        <f ca="1">ROUND(E102-E101-E100,2)</f>
        <v>66460.92</v>
      </c>
      <c r="G99" s="185" t="s">
        <v>536</v>
      </c>
      <c r="L99" s="232"/>
      <c r="S99" s="233"/>
      <c r="T99" s="234" t="str">
        <f>IF(import.recurso="FGTS","Financiamento:","Repasse:")</f>
        <v>Repasse:</v>
      </c>
      <c r="U99" s="231">
        <f t="shared" ref="U99:AF99" ca="1" si="170">ROUND(U102-U101-U100,2)</f>
        <v>66460.92</v>
      </c>
      <c r="V99" s="231">
        <f t="shared" ca="1" si="170"/>
        <v>135179.56</v>
      </c>
      <c r="W99" s="231">
        <f t="shared" ca="1" si="170"/>
        <v>270149.34999999998</v>
      </c>
      <c r="X99" s="231">
        <f t="shared" ca="1" si="170"/>
        <v>316662.8</v>
      </c>
      <c r="Y99" s="231">
        <f t="shared" ca="1" si="170"/>
        <v>825672.78</v>
      </c>
      <c r="Z99" s="231">
        <f t="shared" ca="1" si="170"/>
        <v>1174686.54</v>
      </c>
      <c r="AA99" s="231">
        <f t="shared" ca="1" si="170"/>
        <v>2755709.91</v>
      </c>
      <c r="AB99" s="231">
        <f t="shared" ca="1" si="170"/>
        <v>2790307.23</v>
      </c>
      <c r="AC99" s="231">
        <f t="shared" ca="1" si="170"/>
        <v>3894449.53</v>
      </c>
      <c r="AD99" s="231">
        <f t="shared" ca="1" si="170"/>
        <v>4112591.24</v>
      </c>
      <c r="AE99" s="231">
        <f t="shared" ca="1" si="170"/>
        <v>4405782.82</v>
      </c>
      <c r="AF99" s="231">
        <f t="shared" ca="1" si="170"/>
        <v>4985084.83</v>
      </c>
      <c r="AG99" s="534"/>
    </row>
    <row r="100" spans="4:33" x14ac:dyDescent="0.2">
      <c r="E100" s="529" cm="1">
        <f t="array" aca="1" ref="E100" ca="1">IF(E$12=1,0,OFFSET(E100,0,-1))+SUM((OFFSET($C$13,1,0):OFFSET($C$92,-3,0))*IF(ISNUMBER(OFFSET(E$11,5,0):OFFSET(E$92,-1,0)),OFFSET(E$11,5,0):OFFSET(E$92,-1,0),0))</f>
        <v>0</v>
      </c>
      <c r="G100" s="185" t="s">
        <v>536</v>
      </c>
      <c r="L100" s="236" t="s">
        <v>803</v>
      </c>
      <c r="S100" s="237"/>
      <c r="T100" s="238" t="s">
        <v>800</v>
      </c>
      <c r="U100" s="529" cm="1">
        <f t="array" aca="1" ref="U100" ca="1">IF(U$12=1,0,OFFSET(U100,0,-1))+SUM((OFFSET($C$13,1,0):OFFSET($C$92,-3,0))*IF(ISNUMBER(OFFSET(U$11,5,0):OFFSET(U$92,-1,0)),OFFSET(U$11,5,0):OFFSET(U$92,-1,0),0))</f>
        <v>0</v>
      </c>
      <c r="V100" s="529" cm="1">
        <f t="array" aca="1" ref="V100" ca="1">IF(V$12=1,0,OFFSET(V100,0,-1))+SUM((OFFSET($C$13,1,0):OFFSET($C$92,-3,0))*IF(ISNUMBER(OFFSET(V$11,5,0):OFFSET(V$92,-1,0)),OFFSET(V$11,5,0):OFFSET(V$92,-1,0),0))</f>
        <v>0</v>
      </c>
      <c r="W100" s="529" cm="1">
        <f t="array" aca="1" ref="W100" ca="1">IF(W$12=1,0,OFFSET(W100,0,-1))+SUM((OFFSET($C$13,1,0):OFFSET($C$92,-3,0))*IF(ISNUMBER(OFFSET(W$11,5,0):OFFSET(W$92,-1,0)),OFFSET(W$11,5,0):OFFSET(W$92,-1,0),0))</f>
        <v>0</v>
      </c>
      <c r="X100" s="529" cm="1">
        <f t="array" aca="1" ref="X100" ca="1">IF(X$12=1,0,OFFSET(X100,0,-1))+SUM((OFFSET($C$13,1,0):OFFSET($C$92,-3,0))*IF(ISNUMBER(OFFSET(X$11,5,0):OFFSET(X$92,-1,0)),OFFSET(X$11,5,0):OFFSET(X$92,-1,0),0))</f>
        <v>0</v>
      </c>
      <c r="Y100" s="529" cm="1">
        <f t="array" aca="1" ref="Y100" ca="1">IF(Y$12=1,0,OFFSET(Y100,0,-1))+SUM((OFFSET($C$13,1,0):OFFSET($C$92,-3,0))*IF(ISNUMBER(OFFSET(Y$11,5,0):OFFSET(Y$92,-1,0)),OFFSET(Y$11,5,0):OFFSET(Y$92,-1,0),0))</f>
        <v>0</v>
      </c>
      <c r="Z100" s="529" cm="1">
        <f t="array" aca="1" ref="Z100" ca="1">IF(Z$12=1,0,OFFSET(Z100,0,-1))+SUM((OFFSET($C$13,1,0):OFFSET($C$92,-3,0))*IF(ISNUMBER(OFFSET(Z$11,5,0):OFFSET(Z$92,-1,0)),OFFSET(Z$11,5,0):OFFSET(Z$92,-1,0),0))</f>
        <v>0</v>
      </c>
      <c r="AA100" s="529" cm="1">
        <f t="array" aca="1" ref="AA100" ca="1">IF(AA$12=1,0,OFFSET(AA100,0,-1))+SUM((OFFSET($C$13,1,0):OFFSET($C$92,-3,0))*IF(ISNUMBER(OFFSET(AA$11,5,0):OFFSET(AA$92,-1,0)),OFFSET(AA$11,5,0):OFFSET(AA$92,-1,0),0))</f>
        <v>0</v>
      </c>
      <c r="AB100" s="529" cm="1">
        <f t="array" aca="1" ref="AB100" ca="1">IF(AB$12=1,0,OFFSET(AB100,0,-1))+SUM((OFFSET($C$13,1,0):OFFSET($C$92,-3,0))*IF(ISNUMBER(OFFSET(AB$11,5,0):OFFSET(AB$92,-1,0)),OFFSET(AB$11,5,0):OFFSET(AB$92,-1,0),0))</f>
        <v>0</v>
      </c>
      <c r="AC100" s="529" cm="1">
        <f t="array" aca="1" ref="AC100" ca="1">IF(AC$12=1,0,OFFSET(AC100,0,-1))+SUM((OFFSET($C$13,1,0):OFFSET($C$92,-3,0))*IF(ISNUMBER(OFFSET(AC$11,5,0):OFFSET(AC$92,-1,0)),OFFSET(AC$11,5,0):OFFSET(AC$92,-1,0),0))</f>
        <v>0</v>
      </c>
      <c r="AD100" s="529" cm="1">
        <f t="array" aca="1" ref="AD100" ca="1">IF(AD$12=1,0,OFFSET(AD100,0,-1))+SUM((OFFSET($C$13,1,0):OFFSET($C$92,-3,0))*IF(ISNUMBER(OFFSET(AD$11,5,0):OFFSET(AD$92,-1,0)),OFFSET(AD$11,5,0):OFFSET(AD$92,-1,0),0))</f>
        <v>0</v>
      </c>
      <c r="AE100" s="529" cm="1">
        <f t="array" aca="1" ref="AE100" ca="1">IF(AE$12=1,0,OFFSET(AE100,0,-1))+SUM((OFFSET($C$13,1,0):OFFSET($C$92,-3,0))*IF(ISNUMBER(OFFSET(AE$11,5,0):OFFSET(AE$92,-1,0)),OFFSET(AE$11,5,0):OFFSET(AE$92,-1,0),0))</f>
        <v>0</v>
      </c>
      <c r="AF100" s="529" cm="1">
        <f t="array" aca="1" ref="AF100" ca="1">IF(AF$12=1,0,OFFSET(AF100,0,-1))+SUM((OFFSET($C$13,1,0):OFFSET($C$92,-3,0))*IF(ISNUMBER(OFFSET(AF$11,5,0):OFFSET(AF$92,-1,0)),OFFSET(AF$11,5,0):OFFSET(AF$92,-1,0),0))</f>
        <v>0</v>
      </c>
      <c r="AG100" s="534"/>
    </row>
    <row r="101" spans="4:33" x14ac:dyDescent="0.2">
      <c r="E101" s="239" cm="1">
        <f t="array" aca="1" ref="E101" ca="1">IF(E$12=1,0,OFFSET(E101,0,-1))+SUM((OFFSET($D$13,1,0):OFFSET($D$92,-3,0))*IF(ISNUMBER(OFFSET(E$11,5,0):OFFSET(E$92,-1,0)),OFFSET(E$11,5,0):OFFSET(E$92,-1,0),0))</f>
        <v>0</v>
      </c>
      <c r="G101" s="185" t="s">
        <v>536</v>
      </c>
      <c r="L101" s="236"/>
      <c r="S101" s="240"/>
      <c r="T101" s="241" t="s">
        <v>801</v>
      </c>
      <c r="U101" s="239" cm="1">
        <f t="array" aca="1" ref="U101" ca="1">IF(U$12=1,0,OFFSET(U101,0,-1))+SUM((OFFSET($D$13,1,0):OFFSET($D$92,-3,0))*IF(ISNUMBER(OFFSET(U$11,5,0):OFFSET(U$92,-1,0)),OFFSET(U$11,5,0):OFFSET(U$92,-1,0),0))</f>
        <v>0</v>
      </c>
      <c r="V101" s="239" cm="1">
        <f t="array" aca="1" ref="V101" ca="1">IF(V$12=1,0,OFFSET(V101,0,-1))+SUM((OFFSET($D$13,1,0):OFFSET($D$92,-3,0))*IF(ISNUMBER(OFFSET(V$11,5,0):OFFSET(V$92,-1,0)),OFFSET(V$11,5,0):OFFSET(V$92,-1,0),0))</f>
        <v>0</v>
      </c>
      <c r="W101" s="239" cm="1">
        <f t="array" aca="1" ref="W101" ca="1">IF(W$12=1,0,OFFSET(W101,0,-1))+SUM((OFFSET($D$13,1,0):OFFSET($D$92,-3,0))*IF(ISNUMBER(OFFSET(W$11,5,0):OFFSET(W$92,-1,0)),OFFSET(W$11,5,0):OFFSET(W$92,-1,0),0))</f>
        <v>0</v>
      </c>
      <c r="X101" s="239" cm="1">
        <f t="array" aca="1" ref="X101" ca="1">IF(X$12=1,0,OFFSET(X101,0,-1))+SUM((OFFSET($D$13,1,0):OFFSET($D$92,-3,0))*IF(ISNUMBER(OFFSET(X$11,5,0):OFFSET(X$92,-1,0)),OFFSET(X$11,5,0):OFFSET(X$92,-1,0),0))</f>
        <v>0</v>
      </c>
      <c r="Y101" s="239" cm="1">
        <f t="array" aca="1" ref="Y101" ca="1">IF(Y$12=1,0,OFFSET(Y101,0,-1))+SUM((OFFSET($D$13,1,0):OFFSET($D$92,-3,0))*IF(ISNUMBER(OFFSET(Y$11,5,0):OFFSET(Y$92,-1,0)),OFFSET(Y$11,5,0):OFFSET(Y$92,-1,0),0))</f>
        <v>0</v>
      </c>
      <c r="Z101" s="239" cm="1">
        <f t="array" aca="1" ref="Z101" ca="1">IF(Z$12=1,0,OFFSET(Z101,0,-1))+SUM((OFFSET($D$13,1,0):OFFSET($D$92,-3,0))*IF(ISNUMBER(OFFSET(Z$11,5,0):OFFSET(Z$92,-1,0)),OFFSET(Z$11,5,0):OFFSET(Z$92,-1,0),0))</f>
        <v>0</v>
      </c>
      <c r="AA101" s="239" cm="1">
        <f t="array" aca="1" ref="AA101" ca="1">IF(AA$12=1,0,OFFSET(AA101,0,-1))+SUM((OFFSET($D$13,1,0):OFFSET($D$92,-3,0))*IF(ISNUMBER(OFFSET(AA$11,5,0):OFFSET(AA$92,-1,0)),OFFSET(AA$11,5,0):OFFSET(AA$92,-1,0),0))</f>
        <v>0</v>
      </c>
      <c r="AB101" s="239" cm="1">
        <f t="array" aca="1" ref="AB101" ca="1">IF(AB$12=1,0,OFFSET(AB101,0,-1))+SUM((OFFSET($D$13,1,0):OFFSET($D$92,-3,0))*IF(ISNUMBER(OFFSET(AB$11,5,0):OFFSET(AB$92,-1,0)),OFFSET(AB$11,5,0):OFFSET(AB$92,-1,0),0))</f>
        <v>0</v>
      </c>
      <c r="AC101" s="239" cm="1">
        <f t="array" aca="1" ref="AC101" ca="1">IF(AC$12=1,0,OFFSET(AC101,0,-1))+SUM((OFFSET($D$13,1,0):OFFSET($D$92,-3,0))*IF(ISNUMBER(OFFSET(AC$11,5,0):OFFSET(AC$92,-1,0)),OFFSET(AC$11,5,0):OFFSET(AC$92,-1,0),0))</f>
        <v>0</v>
      </c>
      <c r="AD101" s="239" cm="1">
        <f t="array" aca="1" ref="AD101" ca="1">IF(AD$12=1,0,OFFSET(AD101,0,-1))+SUM((OFFSET($D$13,1,0):OFFSET($D$92,-3,0))*IF(ISNUMBER(OFFSET(AD$11,5,0):OFFSET(AD$92,-1,0)),OFFSET(AD$11,5,0):OFFSET(AD$92,-1,0),0))</f>
        <v>0</v>
      </c>
      <c r="AE101" s="239" cm="1">
        <f t="array" aca="1" ref="AE101" ca="1">IF(AE$12=1,0,OFFSET(AE101,0,-1))+SUM((OFFSET($D$13,1,0):OFFSET($D$92,-3,0))*IF(ISNUMBER(OFFSET(AE$11,5,0):OFFSET(AE$92,-1,0)),OFFSET(AE$11,5,0):OFFSET(AE$92,-1,0),0))</f>
        <v>0</v>
      </c>
      <c r="AF101" s="239" cm="1">
        <f t="array" aca="1" ref="AF101" ca="1">IF(AF$12=1,0,OFFSET(AF101,0,-1))+SUM((OFFSET($D$13,1,0):OFFSET($D$92,-3,0))*IF(ISNUMBER(OFFSET(AF$11,5,0):OFFSET(AF$92,-1,0)),OFFSET(AF$11,5,0):OFFSET(AF$92,-1,0),0))</f>
        <v>0</v>
      </c>
      <c r="AG101" s="534"/>
    </row>
    <row r="102" spans="4:33" ht="13.5" thickBot="1" x14ac:dyDescent="0.25">
      <c r="D102" s="533"/>
      <c r="E102" s="531">
        <f ca="1">SUMIF($S$12:$S$92,"1$",E12:E92)+IF(E$12&gt;1,OFFSET(E102,0,-1),0)</f>
        <v>66460.92</v>
      </c>
      <c r="G102" s="185" t="s">
        <v>536</v>
      </c>
      <c r="H102" s="522" t="str" cm="1">
        <f t="array" ref="H102">IF(ACOMPANHAMENTO="BM","Selecione o Macrosserviço da Administração Local:","")</f>
        <v/>
      </c>
      <c r="I102"/>
      <c r="L102" s="236"/>
      <c r="S102" s="237"/>
      <c r="T102" s="526" t="s">
        <v>802</v>
      </c>
      <c r="U102" s="531">
        <f t="shared" ref="U102:AF102" ca="1" si="171">SUMIF($S$12:$S$92,"1$",U12:U92)+IF(U$12&gt;1,OFFSET(U102,0,-1),0)</f>
        <v>66460.92</v>
      </c>
      <c r="V102" s="531">
        <f t="shared" ca="1" si="171"/>
        <v>135179.56</v>
      </c>
      <c r="W102" s="531">
        <f t="shared" ca="1" si="171"/>
        <v>270149.34999999998</v>
      </c>
      <c r="X102" s="531">
        <f t="shared" ca="1" si="171"/>
        <v>316662.8</v>
      </c>
      <c r="Y102" s="531">
        <f t="shared" ca="1" si="171"/>
        <v>825672.78</v>
      </c>
      <c r="Z102" s="531">
        <f t="shared" ca="1" si="171"/>
        <v>1174686.54</v>
      </c>
      <c r="AA102" s="531">
        <f t="shared" ca="1" si="171"/>
        <v>2755709.91</v>
      </c>
      <c r="AB102" s="531">
        <f t="shared" ca="1" si="171"/>
        <v>2790307.23</v>
      </c>
      <c r="AC102" s="531">
        <f t="shared" ca="1" si="171"/>
        <v>3894449.53</v>
      </c>
      <c r="AD102" s="531">
        <f t="shared" ca="1" si="171"/>
        <v>4112591.2399999998</v>
      </c>
      <c r="AE102" s="531">
        <f t="shared" ca="1" si="171"/>
        <v>4405782.8199999994</v>
      </c>
      <c r="AF102" s="540">
        <f t="shared" ca="1" si="171"/>
        <v>4985084.8299999991</v>
      </c>
      <c r="AG102" s="534"/>
    </row>
    <row r="103" spans="4:33" ht="13.5" thickBot="1" x14ac:dyDescent="0.25">
      <c r="D103" s="533"/>
      <c r="E103" s="532">
        <f ca="1">IF($F$103="","",
  IF(ACOMPANHAMENTO="PLE",
     IF(AUTOEVENTO="Manual",
         IF(AdmLocal="Automática",
              E98,
              SUMIF(OFFSET(CRONOPLE!$F$14,CRONOPLE!$A$8+1,1,1,OFFSET(CRONOPLE!$AF$12,0,-1)),"&lt;="&amp;E$12,OFFSET(EVENTOS!$G$14,CRONOPLE!$A$8+1,1,1,OFFSET(CRONOPLE!$AF$12,0,-1)))/OFFSET(EVENTOS!$G$14,CRONOPLE!$A$8+1,-1)),
         SUMIFS(OFFSET(CÁLCULO!$AI$15,$F$103,1,OFFSET(ORÇAMENTO!$D$15,$F$103,0),CÁLCULO.FrentesPreenchidas),OFFSET(CÁLCULO!$BB$15,$F$103,1,OFFSET(ORÇAMENTO!$D$15,$F$103,0),CÁLCULO.FrentesPreenchidas),"&lt;="&amp;E$12)/OFFSET(ORÇAMENTO!$X$15,$F$103,0)),
     IF(ACOMPANHAMENTO="BM",SUM(OFFSET($T$13,$F$103+2,1,1,E$12))/OFFSET($S$13,$F$103,0),"")))</f>
        <v>0</v>
      </c>
      <c r="F103" s="185">
        <f ca="1">IF(ACOMPANHAMENTO="PLE",
    IF(AUTOEVENTO="Manual",
        IF(AdmLocal="Automática",1,IF(CRONOPLE!$D$8&lt;&gt;"","",MATCH(Import.EventoAdmLocal,EVENTOS!$B$15:$B$46,0))),
        IF(CRONOPLE!$D$8&lt;&gt;"","",CRONOPLE!$A$10)),
    IF($H$104&lt;&gt;"","",MATCH(Import.MacrosserviçoAdmLocal,$A$13:$A$92,0)-1))</f>
        <v>6</v>
      </c>
      <c r="G103" s="185" t="s">
        <v>536</v>
      </c>
      <c r="H103" s="809"/>
      <c r="I103" s="849"/>
      <c r="J103" s="810"/>
      <c r="L103" s="242"/>
      <c r="S103" s="525"/>
      <c r="T103" s="527" t="s">
        <v>804</v>
      </c>
      <c r="U103" s="532">
        <f ca="1">IF($F$103="","",
  IF(ACOMPANHAMENTO="PLE",
     IF(AUTOEVENTO="Manual",
         IF(AdmLocal="Automática",
              U98,
              SUMIF(OFFSET(CRONOPLE!$F$14,CRONOPLE!$A$8+1,1,1,OFFSET(CRONOPLE!$AF$12,0,-1)),"&lt;="&amp;U$12,OFFSET(EVENTOS!$G$14,CRONOPLE!$A$8+1,1,1,OFFSET(CRONOPLE!$AF$12,0,-1)))/OFFSET(EVENTOS!$G$14,CRONOPLE!$A$8+1,-1)),
         SUMIFS(OFFSET(CÁLCULO!$AI$15,$F$103,1,OFFSET(ORÇAMENTO!$D$15,$F$103,0),CÁLCULO.FrentesPreenchidas),OFFSET(CÁLCULO!$BB$15,$F$103,1,OFFSET(ORÇAMENTO!$D$15,$F$103,0),CÁLCULO.FrentesPreenchidas),"&lt;="&amp;U$12)/OFFSET(ORÇAMENTO!$X$15,$F$103,0)),
     IF(ACOMPANHAMENTO="BM",SUM(OFFSET($T$13,$F$103+2,1,1,U$12))/OFFSET($S$13,$F$103,0),"")))</f>
        <v>0</v>
      </c>
      <c r="V103" s="532">
        <f ca="1">IF($F$103="","",
  IF(ACOMPANHAMENTO="PLE",
     IF(AUTOEVENTO="Manual",
         IF(AdmLocal="Automática",
              V98,
              SUMIF(OFFSET(CRONOPLE!$F$14,CRONOPLE!$A$8+1,1,1,OFFSET(CRONOPLE!$AF$12,0,-1)),"&lt;="&amp;V$12,OFFSET(EVENTOS!$G$14,CRONOPLE!$A$8+1,1,1,OFFSET(CRONOPLE!$AF$12,0,-1)))/OFFSET(EVENTOS!$G$14,CRONOPLE!$A$8+1,-1)),
         SUMIFS(OFFSET(CÁLCULO!$AI$15,$F$103,1,OFFSET(ORÇAMENTO!$D$15,$F$103,0),CÁLCULO.FrentesPreenchidas),OFFSET(CÁLCULO!$BB$15,$F$103,1,OFFSET(ORÇAMENTO!$D$15,$F$103,0),CÁLCULO.FrentesPreenchidas),"&lt;="&amp;V$12)/OFFSET(ORÇAMENTO!$X$15,$F$103,0)),
     IF(ACOMPANHAMENTO="BM",SUM(OFFSET($T$13,$F$103+2,1,1,V$12))/OFFSET($S$13,$F$103,0),"")))</f>
        <v>0</v>
      </c>
      <c r="W103" s="532">
        <f ca="1">IF($F$103="","",
  IF(ACOMPANHAMENTO="PLE",
     IF(AUTOEVENTO="Manual",
         IF(AdmLocal="Automática",
              W98,
              SUMIF(OFFSET(CRONOPLE!$F$14,CRONOPLE!$A$8+1,1,1,OFFSET(CRONOPLE!$AF$12,0,-1)),"&lt;="&amp;W$12,OFFSET(EVENTOS!$G$14,CRONOPLE!$A$8+1,1,1,OFFSET(CRONOPLE!$AF$12,0,-1)))/OFFSET(EVENTOS!$G$14,CRONOPLE!$A$8+1,-1)),
         SUMIFS(OFFSET(CÁLCULO!$AI$15,$F$103,1,OFFSET(ORÇAMENTO!$D$15,$F$103,0),CÁLCULO.FrentesPreenchidas),OFFSET(CÁLCULO!$BB$15,$F$103,1,OFFSET(ORÇAMENTO!$D$15,$F$103,0),CÁLCULO.FrentesPreenchidas),"&lt;="&amp;W$12)/OFFSET(ORÇAMENTO!$X$15,$F$103,0)),
     IF(ACOMPANHAMENTO="BM",SUM(OFFSET($T$13,$F$103+2,1,1,W$12))/OFFSET($S$13,$F$103,0),"")))</f>
        <v>4.999998328209853E-2</v>
      </c>
      <c r="X103" s="532">
        <f ca="1">IF($F$103="","",
  IF(ACOMPANHAMENTO="PLE",
     IF(AUTOEVENTO="Manual",
         IF(AdmLocal="Automática",
              X98,
              SUMIF(OFFSET(CRONOPLE!$F$14,CRONOPLE!$A$8+1,1,1,OFFSET(CRONOPLE!$AF$12,0,-1)),"&lt;="&amp;X$12,OFFSET(EVENTOS!$G$14,CRONOPLE!$A$8+1,1,1,OFFSET(CRONOPLE!$AF$12,0,-1)))/OFFSET(EVENTOS!$G$14,CRONOPLE!$A$8+1,-1)),
         SUMIFS(OFFSET(CÁLCULO!$AI$15,$F$103,1,OFFSET(ORÇAMENTO!$D$15,$F$103,0),CÁLCULO.FrentesPreenchidas),OFFSET(CÁLCULO!$BB$15,$F$103,1,OFFSET(ORÇAMENTO!$D$15,$F$103,0),CÁLCULO.FrentesPreenchidas),"&lt;="&amp;X$12)/OFFSET(ORÇAMENTO!$X$15,$F$103,0)),
     IF(ACOMPANHAMENTO="BM",SUM(OFFSET($T$13,$F$103+2,1,1,X$12))/OFFSET($S$13,$F$103,0),"")))</f>
        <v>4.999998328209853E-2</v>
      </c>
      <c r="Y103" s="532">
        <f ca="1">IF($F$103="","",
  IF(ACOMPANHAMENTO="PLE",
     IF(AUTOEVENTO="Manual",
         IF(AdmLocal="Automática",
              Y98,
              SUMIF(OFFSET(CRONOPLE!$F$14,CRONOPLE!$A$8+1,1,1,OFFSET(CRONOPLE!$AF$12,0,-1)),"&lt;="&amp;Y$12,OFFSET(EVENTOS!$G$14,CRONOPLE!$A$8+1,1,1,OFFSET(CRONOPLE!$AF$12,0,-1)))/OFFSET(EVENTOS!$G$14,CRONOPLE!$A$8+1,-1)),
         SUMIFS(OFFSET(CÁLCULO!$AI$15,$F$103,1,OFFSET(ORÇAMENTO!$D$15,$F$103,0),CÁLCULO.FrentesPreenchidas),OFFSET(CÁLCULO!$BB$15,$F$103,1,OFFSET(ORÇAMENTO!$D$15,$F$103,0),CÁLCULO.FrentesPreenchidas),"&lt;="&amp;Y$12)/OFFSET(ORÇAMENTO!$X$15,$F$103,0)),
     IF(ACOMPANHAMENTO="BM",SUM(OFFSET($T$13,$F$103+2,1,1,Y$12))/OFFSET($S$13,$F$103,0),"")))</f>
        <v>0.14999999164104927</v>
      </c>
      <c r="Z103" s="532">
        <f ca="1">IF($F$103="","",
  IF(ACOMPANHAMENTO="PLE",
     IF(AUTOEVENTO="Manual",
         IF(AdmLocal="Automática",
              Z98,
              SUMIF(OFFSET(CRONOPLE!$F$14,CRONOPLE!$A$8+1,1,1,OFFSET(CRONOPLE!$AF$12,0,-1)),"&lt;="&amp;Z$12,OFFSET(EVENTOS!$G$14,CRONOPLE!$A$8+1,1,1,OFFSET(CRONOPLE!$AF$12,0,-1)))/OFFSET(EVENTOS!$G$14,CRONOPLE!$A$8+1,-1)),
         SUMIFS(OFFSET(CÁLCULO!$AI$15,$F$103,1,OFFSET(ORÇAMENTO!$D$15,$F$103,0),CÁLCULO.FrentesPreenchidas),OFFSET(CÁLCULO!$BB$15,$F$103,1,OFFSET(ORÇAMENTO!$D$15,$F$103,0),CÁLCULO.FrentesPreenchidas),"&lt;="&amp;Z$12)/OFFSET(ORÇAMENTO!$X$15,$F$103,0)),
     IF(ACOMPANHAMENTO="BM",SUM(OFFSET($T$13,$F$103+2,1,1,Z$12))/OFFSET($S$13,$F$103,0),"")))</f>
        <v>0.19999997492314781</v>
      </c>
      <c r="AA103" s="532">
        <f ca="1">IF($F$103="","",
  IF(ACOMPANHAMENTO="PLE",
     IF(AUTOEVENTO="Manual",
         IF(AdmLocal="Automática",
              AA98,
              SUMIF(OFFSET(CRONOPLE!$F$14,CRONOPLE!$A$8+1,1,1,OFFSET(CRONOPLE!$AF$12,0,-1)),"&lt;="&amp;AA$12,OFFSET(EVENTOS!$G$14,CRONOPLE!$A$8+1,1,1,OFFSET(CRONOPLE!$AF$12,0,-1)))/OFFSET(EVENTOS!$G$14,CRONOPLE!$A$8+1,-1)),
         SUMIFS(OFFSET(CÁLCULO!$AI$15,$F$103,1,OFFSET(ORÇAMENTO!$D$15,$F$103,0),CÁLCULO.FrentesPreenchidas),OFFSET(CÁLCULO!$BB$15,$F$103,1,OFFSET(ORÇAMENTO!$D$15,$F$103,0),CÁLCULO.FrentesPreenchidas),"&lt;="&amp;AA$12)/OFFSET(ORÇAMENTO!$X$15,$F$103,0)),
     IF(ACOMPANHAMENTO="BM",SUM(OFFSET($T$13,$F$103+2,1,1,AA$12))/OFFSET($S$13,$F$103,0),"")))</f>
        <v>0.49999995820524629</v>
      </c>
      <c r="AB103" s="532">
        <f ca="1">IF($F$103="","",
  IF(ACOMPANHAMENTO="PLE",
     IF(AUTOEVENTO="Manual",
         IF(AdmLocal="Automática",
              AB98,
              SUMIF(OFFSET(CRONOPLE!$F$14,CRONOPLE!$A$8+1,1,1,OFFSET(CRONOPLE!$AF$12,0,-1)),"&lt;="&amp;AB$12,OFFSET(EVENTOS!$G$14,CRONOPLE!$A$8+1,1,1,OFFSET(CRONOPLE!$AF$12,0,-1)))/OFFSET(EVENTOS!$G$14,CRONOPLE!$A$8+1,-1)),
         SUMIFS(OFFSET(CÁLCULO!$AI$15,$F$103,1,OFFSET(ORÇAMENTO!$D$15,$F$103,0),CÁLCULO.FrentesPreenchidas),OFFSET(CÁLCULO!$BB$15,$F$103,1,OFFSET(ORÇAMENTO!$D$15,$F$103,0),CÁLCULO.FrentesPreenchidas),"&lt;="&amp;AB$12)/OFFSET(ORÇAMENTO!$X$15,$F$103,0)),
     IF(ACOMPANHAMENTO="BM",SUM(OFFSET($T$13,$F$103+2,1,1,AB$12))/OFFSET($S$13,$F$103,0),"")))</f>
        <v>0.54999994148734477</v>
      </c>
      <c r="AC103" s="532">
        <f ca="1">IF($F$103="","",
  IF(ACOMPANHAMENTO="PLE",
     IF(AUTOEVENTO="Manual",
         IF(AdmLocal="Automática",
              AC98,
              SUMIF(OFFSET(CRONOPLE!$F$14,CRONOPLE!$A$8+1,1,1,OFFSET(CRONOPLE!$AF$12,0,-1)),"&lt;="&amp;AC$12,OFFSET(EVENTOS!$G$14,CRONOPLE!$A$8+1,1,1,OFFSET(CRONOPLE!$AF$12,0,-1)))/OFFSET(EVENTOS!$G$14,CRONOPLE!$A$8+1,-1)),
         SUMIFS(OFFSET(CÁLCULO!$AI$15,$F$103,1,OFFSET(ORÇAMENTO!$D$15,$F$103,0),CÁLCULO.FrentesPreenchidas),OFFSET(CÁLCULO!$BB$15,$F$103,1,OFFSET(ORÇAMENTO!$D$15,$F$103,0),CÁLCULO.FrentesPreenchidas),"&lt;="&amp;AC$12)/OFFSET(ORÇAMENTO!$X$15,$F$103,0)),
     IF(ACOMPANHAMENTO="BM",SUM(OFFSET($T$13,$F$103+2,1,1,AC$12))/OFFSET($S$13,$F$103,0),"")))</f>
        <v>0.69999997492314769</v>
      </c>
      <c r="AD103" s="532">
        <f ca="1">IF($F$103="","",
  IF(ACOMPANHAMENTO="PLE",
     IF(AUTOEVENTO="Manual",
         IF(AdmLocal="Automática",
              AD98,
              SUMIF(OFFSET(CRONOPLE!$F$14,CRONOPLE!$A$8+1,1,1,OFFSET(CRONOPLE!$AF$12,0,-1)),"&lt;="&amp;AD$12,OFFSET(EVENTOS!$G$14,CRONOPLE!$A$8+1,1,1,OFFSET(CRONOPLE!$AF$12,0,-1)))/OFFSET(EVENTOS!$G$14,CRONOPLE!$A$8+1,-1)),
         SUMIFS(OFFSET(CÁLCULO!$AI$15,$F$103,1,OFFSET(ORÇAMENTO!$D$15,$F$103,0),CÁLCULO.FrentesPreenchidas),OFFSET(CÁLCULO!$BB$15,$F$103,1,OFFSET(ORÇAMENTO!$D$15,$F$103,0),CÁLCULO.FrentesPreenchidas),"&lt;="&amp;AD$12)/OFFSET(ORÇAMENTO!$X$15,$F$103,0)),
     IF(ACOMPANHAMENTO="BM",SUM(OFFSET($T$13,$F$103+2,1,1,AD$12))/OFFSET($S$13,$F$103,0),"")))</f>
        <v>0.79999998328209843</v>
      </c>
      <c r="AE103" s="532">
        <f ca="1">IF($F$103="","",
  IF(ACOMPANHAMENTO="PLE",
     IF(AUTOEVENTO="Manual",
         IF(AdmLocal="Automática",
              AE98,
              SUMIF(OFFSET(CRONOPLE!$F$14,CRONOPLE!$A$8+1,1,1,OFFSET(CRONOPLE!$AF$12,0,-1)),"&lt;="&amp;AE$12,OFFSET(EVENTOS!$G$14,CRONOPLE!$A$8+1,1,1,OFFSET(CRONOPLE!$AF$12,0,-1)))/OFFSET(EVENTOS!$G$14,CRONOPLE!$A$8+1,-1)),
         SUMIFS(OFFSET(CÁLCULO!$AI$15,$F$103,1,OFFSET(ORÇAMENTO!$D$15,$F$103,0),CÁLCULO.FrentesPreenchidas),OFFSET(CÁLCULO!$BB$15,$F$103,1,OFFSET(ORÇAMENTO!$D$15,$F$103,0),CÁLCULO.FrentesPreenchidas),"&lt;="&amp;AE$12)/OFFSET(ORÇAMENTO!$X$15,$F$103,0)),
     IF(ACOMPANHAMENTO="BM",SUM(OFFSET($T$13,$F$103+2,1,1,AE$12))/OFFSET($S$13,$F$103,0),"")))</f>
        <v>0.84999996656419696</v>
      </c>
      <c r="AF103" s="532">
        <f ca="1">IF($F$103="","",
  IF(ACOMPANHAMENTO="PLE",
     IF(AUTOEVENTO="Manual",
         IF(AdmLocal="Automática",
              AF98,
              SUMIF(OFFSET(CRONOPLE!$F$14,CRONOPLE!$A$8+1,1,1,OFFSET(CRONOPLE!$AF$12,0,-1)),"&lt;="&amp;AF$12,OFFSET(EVENTOS!$G$14,CRONOPLE!$A$8+1,1,1,OFFSET(CRONOPLE!$AF$12,0,-1)))/OFFSET(EVENTOS!$G$14,CRONOPLE!$A$8+1,-1)),
         SUMIFS(OFFSET(CÁLCULO!$AI$15,$F$103,1,OFFSET(ORÇAMENTO!$D$15,$F$103,0),CÁLCULO.FrentesPreenchidas),OFFSET(CÁLCULO!$BB$15,$F$103,1,OFFSET(ORÇAMENTO!$D$15,$F$103,0),CÁLCULO.FrentesPreenchidas),"&lt;="&amp;AF$12)/OFFSET(ORÇAMENTO!$X$15,$F$103,0)),
     IF(ACOMPANHAMENTO="BM",SUM(OFFSET($T$13,$F$103+2,1,1,AF$12))/OFFSET($S$13,$F$103,0),"")))</f>
        <v>0.99999999999999989</v>
      </c>
      <c r="AG103" s="534"/>
    </row>
    <row r="104" spans="4:33" ht="17.100000000000001" customHeight="1" x14ac:dyDescent="0.25">
      <c r="G104" s="185" t="s">
        <v>536</v>
      </c>
      <c r="H104" s="571" t="str" cm="1">
        <f t="array" ref="H104">IF(AND(ACOMPANHAMENTO="BM",$H$103=""),"↑ Não foi indicado o Macrosserviço de Administração Local","")</f>
        <v/>
      </c>
      <c r="T104" s="583" t="str">
        <f ca="1">IF(COUNTIF(U104:AG104,"%Adm&gt;%Global")&gt;0,"Verificar proporcionalidade da Administração Local","")</f>
        <v/>
      </c>
      <c r="U104" s="535" t="str">
        <f ca="1">IF(U103="","",IF(ROUND(U103,4)&gt;ROUND(U98,4),"%Adm&gt;%Global",""))</f>
        <v/>
      </c>
      <c r="V104" s="535" t="str">
        <f t="shared" ref="V104:AG104" ca="1" si="172">IF(V103="","",IF(ROUND(V103,4)&gt;ROUND(V98,4),"%Adm&gt;%Global",""))</f>
        <v/>
      </c>
      <c r="W104" s="535" t="str">
        <f t="shared" ca="1" si="172"/>
        <v/>
      </c>
      <c r="X104" s="535" t="str">
        <f t="shared" ca="1" si="172"/>
        <v/>
      </c>
      <c r="Y104" s="535" t="str">
        <f t="shared" ca="1" si="172"/>
        <v/>
      </c>
      <c r="Z104" s="535" t="str">
        <f t="shared" ca="1" si="172"/>
        <v/>
      </c>
      <c r="AA104" s="535" t="str">
        <f t="shared" ca="1" si="172"/>
        <v/>
      </c>
      <c r="AB104" s="535" t="str">
        <f t="shared" ca="1" si="172"/>
        <v/>
      </c>
      <c r="AC104" s="535" t="str">
        <f t="shared" ca="1" si="172"/>
        <v/>
      </c>
      <c r="AD104" s="535" t="str">
        <f t="shared" ca="1" si="172"/>
        <v/>
      </c>
      <c r="AE104" s="535" t="str">
        <f t="shared" ca="1" si="172"/>
        <v/>
      </c>
      <c r="AF104" s="535" t="str">
        <f t="shared" ca="1" si="172"/>
        <v/>
      </c>
      <c r="AG104" s="535" t="str">
        <f t="shared" si="172"/>
        <v/>
      </c>
    </row>
    <row r="105" spans="4:33" ht="32.25" customHeight="1" x14ac:dyDescent="0.2">
      <c r="G105" s="185" t="s">
        <v>536</v>
      </c>
      <c r="I105" s="800" t="str">
        <f>Import.Município</f>
        <v>BOA ESPERANÇA</v>
      </c>
      <c r="J105" s="800"/>
      <c r="K105" s="800"/>
      <c r="L105" s="800"/>
      <c r="M105" s="800"/>
      <c r="N105" s="800"/>
      <c r="O105" s="800"/>
      <c r="P105" s="800"/>
      <c r="Q105" s="800"/>
      <c r="R105" s="800"/>
      <c r="S105" s="800"/>
      <c r="AA105" s="460"/>
      <c r="AB105" s="460"/>
      <c r="AC105" s="460"/>
      <c r="AD105" s="460"/>
      <c r="AE105" s="462"/>
      <c r="AF105" s="462"/>
    </row>
    <row r="106" spans="4:33" x14ac:dyDescent="0.2">
      <c r="G106" s="185" t="s">
        <v>536</v>
      </c>
      <c r="I106" s="9" t="s">
        <v>693</v>
      </c>
      <c r="J106"/>
      <c r="K106"/>
      <c r="L106"/>
      <c r="AA106" s="181" t="s">
        <v>696</v>
      </c>
      <c r="AB106" s="181"/>
      <c r="AC106" s="181"/>
      <c r="AD106" s="181"/>
      <c r="AE106" s="185"/>
      <c r="AF106" s="185"/>
    </row>
    <row r="107" spans="4:33" x14ac:dyDescent="0.2">
      <c r="G107" s="185" t="s">
        <v>536</v>
      </c>
      <c r="I107"/>
      <c r="J107"/>
      <c r="K107"/>
      <c r="L107"/>
      <c r="AA107" s="398" t="str">
        <f t="array" aca="1" ref="AA107:AA109" ca="1">OFFSET(Import.RespOrçamento,0,-1) &amp; " " &amp; Import.RespOrçamento</f>
        <v>Nome: LAIZ MOSCARDINI CRUZ NASCIMENTO</v>
      </c>
      <c r="AC107"/>
      <c r="AD107" s="79"/>
      <c r="AE107" s="185"/>
      <c r="AF107" s="185"/>
    </row>
    <row r="108" spans="4:33" x14ac:dyDescent="0.2">
      <c r="G108" s="185" t="s">
        <v>536</v>
      </c>
      <c r="I108" s="848">
        <f>DADOS!$C$25</f>
        <v>46106</v>
      </c>
      <c r="J108" s="848"/>
      <c r="K108" s="848"/>
      <c r="L108" s="180"/>
      <c r="M108" s="245"/>
      <c r="N108" s="245"/>
      <c r="O108" s="245"/>
      <c r="P108" s="245"/>
      <c r="Q108" s="245"/>
      <c r="R108" s="245"/>
      <c r="S108" s="246"/>
      <c r="AA108" s="398" t="str">
        <f ca="1"/>
        <v>CREA/CAU: 283596/D</v>
      </c>
      <c r="AC108" s="79"/>
      <c r="AD108" s="79"/>
      <c r="AE108" s="185"/>
      <c r="AF108" s="185"/>
    </row>
    <row r="109" spans="4:33" x14ac:dyDescent="0.2">
      <c r="G109" s="185" t="s">
        <v>536</v>
      </c>
      <c r="I109" s="9" t="s">
        <v>694</v>
      </c>
      <c r="J109"/>
      <c r="K109"/>
      <c r="L109"/>
      <c r="AA109" s="398" t="str">
        <f ca="1"/>
        <v>ART/RRT: MG20232488275</v>
      </c>
      <c r="AC109" s="79"/>
      <c r="AD109" s="79"/>
      <c r="AE109" s="185"/>
      <c r="AF109" s="185"/>
    </row>
  </sheetData>
  <sheetProtection algorithmName="SHA-512" hashValue="4t2ZGKjhNeWlPb9DLGEsZKEiob3ifaOyxPSir0bvhOvhb0aJ+zZknDHqKexOj5k2M19wdKB2G1pnmZUdPUy2Wg==" saltValue="E1kf/MhExvUHjTDDPQMhvQ==" spinCount="100000" sheet="1" objects="1" scenarios="1" autoFilter="0"/>
  <autoFilter ref="G13:G109" xr:uid="{00000000-0009-0000-0000-000007000000}">
    <filterColumn colId="0">
      <filters>
        <filter val="F"/>
      </filters>
    </filterColumn>
  </autoFilter>
  <mergeCells count="18">
    <mergeCell ref="G8:G11"/>
    <mergeCell ref="I8:J8"/>
    <mergeCell ref="H7:H9"/>
    <mergeCell ref="AE4:AF4"/>
    <mergeCell ref="AE5:AF5"/>
    <mergeCell ref="Z8:AE8"/>
    <mergeCell ref="H12:H13"/>
    <mergeCell ref="I12:I13"/>
    <mergeCell ref="J12:J13"/>
    <mergeCell ref="I108:K108"/>
    <mergeCell ref="I105:S105"/>
    <mergeCell ref="H103:J103"/>
    <mergeCell ref="S12:S13"/>
    <mergeCell ref="T12:T13"/>
    <mergeCell ref="L8:T8"/>
    <mergeCell ref="U8:Y8"/>
    <mergeCell ref="K10:T11"/>
    <mergeCell ref="I93:K94"/>
  </mergeCells>
  <phoneticPr fontId="38" type="noConversion"/>
  <conditionalFormatting sqref="U12:U13">
    <cfRule type="expression" dxfId="388" priority="16843" stopIfTrue="1">
      <formula>NOT(ISNUMBER(T$12))</formula>
    </cfRule>
  </conditionalFormatting>
  <conditionalFormatting sqref="E2 U2:AF2">
    <cfRule type="expression" dxfId="387" priority="16844" stopIfTrue="1">
      <formula>AND(ISNUMBER($H1),$H1&lt;&gt;0)</formula>
    </cfRule>
  </conditionalFormatting>
  <conditionalFormatting sqref="I2:S2">
    <cfRule type="expression" dxfId="386" priority="16845" stopIfTrue="1">
      <formula>$M1=2</formula>
    </cfRule>
    <cfRule type="expression" dxfId="385" priority="16846" stopIfTrue="1">
      <formula>AND($M1=1,$S1&lt;&gt;"")</formula>
    </cfRule>
  </conditionalFormatting>
  <conditionalFormatting sqref="I1:S1">
    <cfRule type="expression" dxfId="384" priority="16847" stopIfTrue="1">
      <formula>$M1=2</formula>
    </cfRule>
    <cfRule type="expression" dxfId="383" priority="16848" stopIfTrue="1">
      <formula>AND($M1=1,$S1&lt;&gt;"")</formula>
    </cfRule>
  </conditionalFormatting>
  <conditionalFormatting sqref="E93 E95 E97:E98 E100 E102 U102:AF102 U93:AF93 U95:AF95 U97:AF98 U100:AF100">
    <cfRule type="expression" dxfId="382" priority="16849" stopIfTrue="1">
      <formula>D$98=1</formula>
    </cfRule>
  </conditionalFormatting>
  <conditionalFormatting sqref="E94 E96 E99 E101 E103 U94:AF94 U96:AF96 U99:AF99 U101:AF101 U103:AF103">
    <cfRule type="expression" dxfId="381" priority="16850" stopIfTrue="1">
      <formula>D$98=1</formula>
    </cfRule>
  </conditionalFormatting>
  <conditionalFormatting sqref="AF7:AF8">
    <cfRule type="expression" dxfId="380" priority="16854" stopIfTrue="1">
      <formula>OR(TIPOORCAMENTO&lt;&gt;"Licitado",QCI.ExisteManual)</formula>
    </cfRule>
  </conditionalFormatting>
  <conditionalFormatting sqref="Z7:AE8">
    <cfRule type="expression" dxfId="379" priority="16842" stopIfTrue="1">
      <formula>QCI.ExisteManual</formula>
    </cfRule>
  </conditionalFormatting>
  <conditionalFormatting sqref="H2">
    <cfRule type="expression" dxfId="378" priority="12988">
      <formula>AND(H1&lt;&gt;0,ISNUMBER(H1))</formula>
    </cfRule>
  </conditionalFormatting>
  <conditionalFormatting sqref="E103 U103:AF103">
    <cfRule type="expression" dxfId="377" priority="12979">
      <formula>ROUND(E103,4)&gt;ROUND(E98,4)</formula>
    </cfRule>
  </conditionalFormatting>
  <conditionalFormatting sqref="H1">
    <cfRule type="expression" dxfId="376" priority="12978">
      <formula>AND(H1&lt;&gt;0,ISNUMBER(H1))</formula>
    </cfRule>
  </conditionalFormatting>
  <conditionalFormatting sqref="H103:J103">
    <cfRule type="expression" dxfId="375" priority="12977">
      <formula>$H$102=""</formula>
    </cfRule>
  </conditionalFormatting>
  <conditionalFormatting sqref="E103">
    <cfRule type="expression" dxfId="374" priority="12970" stopIfTrue="1">
      <formula>D$98=1</formula>
    </cfRule>
  </conditionalFormatting>
  <conditionalFormatting sqref="E1">
    <cfRule type="expression" dxfId="373" priority="12967" stopIfTrue="1">
      <formula>E1&lt;&gt;0</formula>
    </cfRule>
  </conditionalFormatting>
  <conditionalFormatting sqref="E2">
    <cfRule type="expression" dxfId="372" priority="12966">
      <formula>AND(_xlfn.SINGLE(ACOMPANHAMENTO)="BM",E2&gt;ROUND(E2,4))</formula>
    </cfRule>
  </conditionalFormatting>
  <conditionalFormatting sqref="E103">
    <cfRule type="expression" dxfId="371" priority="12965" stopIfTrue="1">
      <formula>D$98=1</formula>
    </cfRule>
  </conditionalFormatting>
  <conditionalFormatting sqref="U1:AF1">
    <cfRule type="expression" dxfId="370" priority="2921" stopIfTrue="1">
      <formula>U1&lt;&gt;0</formula>
    </cfRule>
  </conditionalFormatting>
  <conditionalFormatting sqref="U2:AF2">
    <cfRule type="expression" dxfId="369" priority="2920">
      <formula>AND(_xlfn.SINGLE(ACOMPANHAMENTO)="BM",U2&gt;ROUND(U2,4))</formula>
    </cfRule>
  </conditionalFormatting>
  <conditionalFormatting sqref="E15 E18 E21 U15:AF15 U18:AF18 U21:AF21">
    <cfRule type="expression" dxfId="368" priority="264" stopIfTrue="1">
      <formula>AND(ISNUMBER($H14),$H14&lt;&gt;0)</formula>
    </cfRule>
  </conditionalFormatting>
  <conditionalFormatting sqref="I15:S15 I18:S18 I21:S21">
    <cfRule type="expression" dxfId="367" priority="265" stopIfTrue="1">
      <formula>$M14=2</formula>
    </cfRule>
    <cfRule type="expression" dxfId="366" priority="266" stopIfTrue="1">
      <formula>AND($M14=1,$S14&lt;&gt;"")</formula>
    </cfRule>
  </conditionalFormatting>
  <conditionalFormatting sqref="I14:S14 I17:S17 I20:S20">
    <cfRule type="expression" dxfId="365" priority="267" stopIfTrue="1">
      <formula>$M14=2</formula>
    </cfRule>
    <cfRule type="expression" dxfId="364" priority="268" stopIfTrue="1">
      <formula>AND($M14=1,$S14&lt;&gt;"")</formula>
    </cfRule>
  </conditionalFormatting>
  <conditionalFormatting sqref="H15 H18 H21">
    <cfRule type="expression" dxfId="363" priority="263">
      <formula>AND(H14&lt;&gt;0,ISNUMBER(H14))</formula>
    </cfRule>
  </conditionalFormatting>
  <conditionalFormatting sqref="H14 H17 H20">
    <cfRule type="expression" dxfId="362" priority="262">
      <formula>AND(H14&lt;&gt;0,ISNUMBER(H14))</formula>
    </cfRule>
  </conditionalFormatting>
  <conditionalFormatting sqref="E14 E17 E20">
    <cfRule type="expression" dxfId="361" priority="261" stopIfTrue="1">
      <formula>E14&lt;&gt;0</formula>
    </cfRule>
  </conditionalFormatting>
  <conditionalFormatting sqref="E15 E18 E21">
    <cfRule type="expression" dxfId="360" priority="260">
      <formula>AND(_xlfn.SINGLE(ACOMPANHAMENTO)="BM",E15&gt;ROUND(E15,4))</formula>
    </cfRule>
  </conditionalFormatting>
  <conditionalFormatting sqref="U14:AF14 U17:AF17 U20:AF20">
    <cfRule type="expression" dxfId="359" priority="259" stopIfTrue="1">
      <formula>U14&lt;&gt;0</formula>
    </cfRule>
  </conditionalFormatting>
  <conditionalFormatting sqref="U15:AF15 U18:AF18 U21:AF21">
    <cfRule type="expression" dxfId="358" priority="258">
      <formula>AND(_xlfn.SINGLE(ACOMPANHAMENTO)="BM",U15&gt;ROUND(U15,4))</formula>
    </cfRule>
  </conditionalFormatting>
  <conditionalFormatting sqref="E24 E27 E30 U24:AF24 U27:AF27 U30:AF30">
    <cfRule type="expression" dxfId="357" priority="253" stopIfTrue="1">
      <formula>AND(ISNUMBER($H23),$H23&lt;&gt;0)</formula>
    </cfRule>
  </conditionalFormatting>
  <conditionalFormatting sqref="I24:S24 I27:S27 I30:S30">
    <cfRule type="expression" dxfId="356" priority="254" stopIfTrue="1">
      <formula>$M23=2</formula>
    </cfRule>
    <cfRule type="expression" dxfId="355" priority="255" stopIfTrue="1">
      <formula>AND($M23=1,$S23&lt;&gt;"")</formula>
    </cfRule>
  </conditionalFormatting>
  <conditionalFormatting sqref="I23:S23 I26:S26 I29:S29">
    <cfRule type="expression" dxfId="354" priority="256" stopIfTrue="1">
      <formula>$M23=2</formula>
    </cfRule>
    <cfRule type="expression" dxfId="353" priority="257" stopIfTrue="1">
      <formula>AND($M23=1,$S23&lt;&gt;"")</formula>
    </cfRule>
  </conditionalFormatting>
  <conditionalFormatting sqref="H24 H27 H30">
    <cfRule type="expression" dxfId="352" priority="252">
      <formula>AND(H23&lt;&gt;0,ISNUMBER(H23))</formula>
    </cfRule>
  </conditionalFormatting>
  <conditionalFormatting sqref="H23 H26 H29">
    <cfRule type="expression" dxfId="351" priority="251">
      <formula>AND(H23&lt;&gt;0,ISNUMBER(H23))</formula>
    </cfRule>
  </conditionalFormatting>
  <conditionalFormatting sqref="E23 E26 E29">
    <cfRule type="expression" dxfId="350" priority="250" stopIfTrue="1">
      <formula>E23&lt;&gt;0</formula>
    </cfRule>
  </conditionalFormatting>
  <conditionalFormatting sqref="E24 E27 E30">
    <cfRule type="expression" dxfId="349" priority="249">
      <formula>AND(_xlfn.SINGLE(ACOMPANHAMENTO)="BM",E24&gt;ROUND(E24,4))</formula>
    </cfRule>
  </conditionalFormatting>
  <conditionalFormatting sqref="U23:AF23 U26:AF26 U29:AF29">
    <cfRule type="expression" dxfId="348" priority="248" stopIfTrue="1">
      <formula>U23&lt;&gt;0</formula>
    </cfRule>
  </conditionalFormatting>
  <conditionalFormatting sqref="U24:AF24 U27:AF27 U30:AF30">
    <cfRule type="expression" dxfId="347" priority="247">
      <formula>AND(_xlfn.SINGLE(ACOMPANHAMENTO)="BM",U24&gt;ROUND(U24,4))</formula>
    </cfRule>
  </conditionalFormatting>
  <conditionalFormatting sqref="E33 U33:AF33">
    <cfRule type="expression" dxfId="346" priority="242" stopIfTrue="1">
      <formula>AND(ISNUMBER($H32),$H32&lt;&gt;0)</formula>
    </cfRule>
  </conditionalFormatting>
  <conditionalFormatting sqref="I33:S33">
    <cfRule type="expression" dxfId="345" priority="243" stopIfTrue="1">
      <formula>$M32=2</formula>
    </cfRule>
    <cfRule type="expression" dxfId="344" priority="244" stopIfTrue="1">
      <formula>AND($M32=1,$S32&lt;&gt;"")</formula>
    </cfRule>
  </conditionalFormatting>
  <conditionalFormatting sqref="I32:S32">
    <cfRule type="expression" dxfId="343" priority="245" stopIfTrue="1">
      <formula>$M32=2</formula>
    </cfRule>
    <cfRule type="expression" dxfId="342" priority="246" stopIfTrue="1">
      <formula>AND($M32=1,$S32&lt;&gt;"")</formula>
    </cfRule>
  </conditionalFormatting>
  <conditionalFormatting sqref="H33">
    <cfRule type="expression" dxfId="341" priority="241">
      <formula>AND(H32&lt;&gt;0,ISNUMBER(H32))</formula>
    </cfRule>
  </conditionalFormatting>
  <conditionalFormatting sqref="H32">
    <cfRule type="expression" dxfId="340" priority="240">
      <formula>AND(H32&lt;&gt;0,ISNUMBER(H32))</formula>
    </cfRule>
  </conditionalFormatting>
  <conditionalFormatting sqref="E32">
    <cfRule type="expression" dxfId="339" priority="239" stopIfTrue="1">
      <formula>E32&lt;&gt;0</formula>
    </cfRule>
  </conditionalFormatting>
  <conditionalFormatting sqref="E33">
    <cfRule type="expression" dxfId="338" priority="238">
      <formula>AND(_xlfn.SINGLE(ACOMPANHAMENTO)="BM",E33&gt;ROUND(E33,4))</formula>
    </cfRule>
  </conditionalFormatting>
  <conditionalFormatting sqref="U32:AF32">
    <cfRule type="expression" dxfId="337" priority="237" stopIfTrue="1">
      <formula>U32&lt;&gt;0</formula>
    </cfRule>
  </conditionalFormatting>
  <conditionalFormatting sqref="U33:AF33">
    <cfRule type="expression" dxfId="336" priority="236">
      <formula>AND(_xlfn.SINGLE(ACOMPANHAMENTO)="BM",U33&gt;ROUND(U33,4))</formula>
    </cfRule>
  </conditionalFormatting>
  <conditionalFormatting sqref="E36 E39 E42 U36:AF36 U39:AF39 U42:AF42">
    <cfRule type="expression" dxfId="335" priority="73" stopIfTrue="1">
      <formula>AND(ISNUMBER($H35),$H35&lt;&gt;0)</formula>
    </cfRule>
  </conditionalFormatting>
  <conditionalFormatting sqref="I36:S36 I39:S39 I42:S42">
    <cfRule type="expression" dxfId="334" priority="74" stopIfTrue="1">
      <formula>$M35=2</formula>
    </cfRule>
    <cfRule type="expression" dxfId="333" priority="75" stopIfTrue="1">
      <formula>AND($M35=1,$S35&lt;&gt;"")</formula>
    </cfRule>
  </conditionalFormatting>
  <conditionalFormatting sqref="I35:S35 I38:S38 I41:S41">
    <cfRule type="expression" dxfId="332" priority="76" stopIfTrue="1">
      <formula>$M35=2</formula>
    </cfRule>
    <cfRule type="expression" dxfId="331" priority="77" stopIfTrue="1">
      <formula>AND($M35=1,$S35&lt;&gt;"")</formula>
    </cfRule>
  </conditionalFormatting>
  <conditionalFormatting sqref="H36 H39 H42">
    <cfRule type="expression" dxfId="330" priority="72">
      <formula>AND(H35&lt;&gt;0,ISNUMBER(H35))</formula>
    </cfRule>
  </conditionalFormatting>
  <conditionalFormatting sqref="H35 H38 H41">
    <cfRule type="expression" dxfId="329" priority="71">
      <formula>AND(H35&lt;&gt;0,ISNUMBER(H35))</formula>
    </cfRule>
  </conditionalFormatting>
  <conditionalFormatting sqref="E35 E38 E41">
    <cfRule type="expression" dxfId="328" priority="70" stopIfTrue="1">
      <formula>E35&lt;&gt;0</formula>
    </cfRule>
  </conditionalFormatting>
  <conditionalFormatting sqref="E36 E39 E42">
    <cfRule type="expression" dxfId="327" priority="69">
      <formula>AND(_xlfn.SINGLE(ACOMPANHAMENTO)="BM",E36&gt;ROUND(E36,4))</formula>
    </cfRule>
  </conditionalFormatting>
  <conditionalFormatting sqref="U35:AF35 U38:AF38 U41:AF41">
    <cfRule type="expression" dxfId="326" priority="68" stopIfTrue="1">
      <formula>U35&lt;&gt;0</formula>
    </cfRule>
  </conditionalFormatting>
  <conditionalFormatting sqref="U36:AF36 U39:AF39 U42:AF42">
    <cfRule type="expression" dxfId="325" priority="67">
      <formula>AND(_xlfn.SINGLE(ACOMPANHAMENTO)="BM",U36&gt;ROUND(U36,4))</formula>
    </cfRule>
  </conditionalFormatting>
  <conditionalFormatting sqref="E45 E48 E51 U45:AF45 U48:AF48 U51:AF51">
    <cfRule type="expression" dxfId="324" priority="62" stopIfTrue="1">
      <formula>AND(ISNUMBER($H44),$H44&lt;&gt;0)</formula>
    </cfRule>
  </conditionalFormatting>
  <conditionalFormatting sqref="I45:S45 I48:S48 I51:S51">
    <cfRule type="expression" dxfId="323" priority="63" stopIfTrue="1">
      <formula>$M44=2</formula>
    </cfRule>
    <cfRule type="expression" dxfId="322" priority="64" stopIfTrue="1">
      <formula>AND($M44=1,$S44&lt;&gt;"")</formula>
    </cfRule>
  </conditionalFormatting>
  <conditionalFormatting sqref="I44:S44 I47:S47 I50:S50">
    <cfRule type="expression" dxfId="321" priority="65" stopIfTrue="1">
      <formula>$M44=2</formula>
    </cfRule>
    <cfRule type="expression" dxfId="320" priority="66" stopIfTrue="1">
      <formula>AND($M44=1,$S44&lt;&gt;"")</formula>
    </cfRule>
  </conditionalFormatting>
  <conditionalFormatting sqref="H45 H48 H51">
    <cfRule type="expression" dxfId="319" priority="61">
      <formula>AND(H44&lt;&gt;0,ISNUMBER(H44))</formula>
    </cfRule>
  </conditionalFormatting>
  <conditionalFormatting sqref="H44 H47 H50">
    <cfRule type="expression" dxfId="318" priority="60">
      <formula>AND(H44&lt;&gt;0,ISNUMBER(H44))</formula>
    </cfRule>
  </conditionalFormatting>
  <conditionalFormatting sqref="E44 E47 E50">
    <cfRule type="expression" dxfId="317" priority="59" stopIfTrue="1">
      <formula>E44&lt;&gt;0</formula>
    </cfRule>
  </conditionalFormatting>
  <conditionalFormatting sqref="E45 E48 E51">
    <cfRule type="expression" dxfId="316" priority="58">
      <formula>AND(_xlfn.SINGLE(ACOMPANHAMENTO)="BM",E45&gt;ROUND(E45,4))</formula>
    </cfRule>
  </conditionalFormatting>
  <conditionalFormatting sqref="U44:AF44 U47:AF47 U50:AF50">
    <cfRule type="expression" dxfId="315" priority="57" stopIfTrue="1">
      <formula>U44&lt;&gt;0</formula>
    </cfRule>
  </conditionalFormatting>
  <conditionalFormatting sqref="U45:AF45 U48:AF48 U51:AF51">
    <cfRule type="expression" dxfId="314" priority="56">
      <formula>AND(_xlfn.SINGLE(ACOMPANHAMENTO)="BM",U45&gt;ROUND(U45,4))</formula>
    </cfRule>
  </conditionalFormatting>
  <conditionalFormatting sqref="E54 E57 E60 U54:AF54 U57:AF57 U60:AF60">
    <cfRule type="expression" dxfId="313" priority="51" stopIfTrue="1">
      <formula>AND(ISNUMBER($H53),$H53&lt;&gt;0)</formula>
    </cfRule>
  </conditionalFormatting>
  <conditionalFormatting sqref="I54:S54 I57:S57 I60:S60">
    <cfRule type="expression" dxfId="312" priority="52" stopIfTrue="1">
      <formula>$M53=2</formula>
    </cfRule>
    <cfRule type="expression" dxfId="311" priority="53" stopIfTrue="1">
      <formula>AND($M53=1,$S53&lt;&gt;"")</formula>
    </cfRule>
  </conditionalFormatting>
  <conditionalFormatting sqref="I53:S53 I56:S56 I59:S59">
    <cfRule type="expression" dxfId="310" priority="54" stopIfTrue="1">
      <formula>$M53=2</formula>
    </cfRule>
    <cfRule type="expression" dxfId="309" priority="55" stopIfTrue="1">
      <formula>AND($M53=1,$S53&lt;&gt;"")</formula>
    </cfRule>
  </conditionalFormatting>
  <conditionalFormatting sqref="H54 H57 H60">
    <cfRule type="expression" dxfId="308" priority="50">
      <formula>AND(H53&lt;&gt;0,ISNUMBER(H53))</formula>
    </cfRule>
  </conditionalFormatting>
  <conditionalFormatting sqref="H53 H56 H59">
    <cfRule type="expression" dxfId="307" priority="49">
      <formula>AND(H53&lt;&gt;0,ISNUMBER(H53))</formula>
    </cfRule>
  </conditionalFormatting>
  <conditionalFormatting sqref="E53 E56 E59">
    <cfRule type="expression" dxfId="306" priority="48" stopIfTrue="1">
      <formula>E53&lt;&gt;0</formula>
    </cfRule>
  </conditionalFormatting>
  <conditionalFormatting sqref="E54 E57 E60">
    <cfRule type="expression" dxfId="305" priority="47">
      <formula>AND(_xlfn.SINGLE(ACOMPANHAMENTO)="BM",E54&gt;ROUND(E54,4))</formula>
    </cfRule>
  </conditionalFormatting>
  <conditionalFormatting sqref="U53:AF53 U56:AF56 U59:AF59">
    <cfRule type="expression" dxfId="304" priority="46" stopIfTrue="1">
      <formula>U53&lt;&gt;0</formula>
    </cfRule>
  </conditionalFormatting>
  <conditionalFormatting sqref="U54:AF54 U57:AF57 U60:AF60">
    <cfRule type="expression" dxfId="303" priority="45">
      <formula>AND(_xlfn.SINGLE(ACOMPANHAMENTO)="BM",U54&gt;ROUND(U54,4))</formula>
    </cfRule>
  </conditionalFormatting>
  <conditionalFormatting sqref="E63 E66 E69 U63:AF63 U66:AF66 U69:AF69">
    <cfRule type="expression" dxfId="302" priority="40" stopIfTrue="1">
      <formula>AND(ISNUMBER($H62),$H62&lt;&gt;0)</formula>
    </cfRule>
  </conditionalFormatting>
  <conditionalFormatting sqref="I63:S63 I66:S66 I69:S69">
    <cfRule type="expression" dxfId="301" priority="41" stopIfTrue="1">
      <formula>$M62=2</formula>
    </cfRule>
    <cfRule type="expression" dxfId="300" priority="42" stopIfTrue="1">
      <formula>AND($M62=1,$S62&lt;&gt;"")</formula>
    </cfRule>
  </conditionalFormatting>
  <conditionalFormatting sqref="I62:S62 I65:S65 I68:S68">
    <cfRule type="expression" dxfId="299" priority="43" stopIfTrue="1">
      <formula>$M62=2</formula>
    </cfRule>
    <cfRule type="expression" dxfId="298" priority="44" stopIfTrue="1">
      <formula>AND($M62=1,$S62&lt;&gt;"")</formula>
    </cfRule>
  </conditionalFormatting>
  <conditionalFormatting sqref="H63 H66 H69">
    <cfRule type="expression" dxfId="297" priority="39">
      <formula>AND(H62&lt;&gt;0,ISNUMBER(H62))</formula>
    </cfRule>
  </conditionalFormatting>
  <conditionalFormatting sqref="H62 H65 H68">
    <cfRule type="expression" dxfId="296" priority="38">
      <formula>AND(H62&lt;&gt;0,ISNUMBER(H62))</formula>
    </cfRule>
  </conditionalFormatting>
  <conditionalFormatting sqref="E62 E65 E68">
    <cfRule type="expression" dxfId="295" priority="37" stopIfTrue="1">
      <formula>E62&lt;&gt;0</formula>
    </cfRule>
  </conditionalFormatting>
  <conditionalFormatting sqref="E63 E66 E69">
    <cfRule type="expression" dxfId="294" priority="36">
      <formula>AND(_xlfn.SINGLE(ACOMPANHAMENTO)="BM",E63&gt;ROUND(E63,4))</formula>
    </cfRule>
  </conditionalFormatting>
  <conditionalFormatting sqref="U62:AF62 U65:AF65 U68:AF68">
    <cfRule type="expression" dxfId="293" priority="35" stopIfTrue="1">
      <formula>U62&lt;&gt;0</formula>
    </cfRule>
  </conditionalFormatting>
  <conditionalFormatting sqref="U63:AF63 U66:AF66 U69:AF69">
    <cfRule type="expression" dxfId="292" priority="34">
      <formula>AND(_xlfn.SINGLE(ACOMPANHAMENTO)="BM",U63&gt;ROUND(U63,4))</formula>
    </cfRule>
  </conditionalFormatting>
  <conditionalFormatting sqref="E72 E75 E78 U72:AF72 U75:AF75 U78:AF78">
    <cfRule type="expression" dxfId="291" priority="29" stopIfTrue="1">
      <formula>AND(ISNUMBER($H71),$H71&lt;&gt;0)</formula>
    </cfRule>
  </conditionalFormatting>
  <conditionalFormatting sqref="I72:S72 I75:S75 I78:S78">
    <cfRule type="expression" dxfId="290" priority="30" stopIfTrue="1">
      <formula>$M71=2</formula>
    </cfRule>
    <cfRule type="expression" dxfId="289" priority="31" stopIfTrue="1">
      <formula>AND($M71=1,$S71&lt;&gt;"")</formula>
    </cfRule>
  </conditionalFormatting>
  <conditionalFormatting sqref="I71:S71 I74:S74 I77:S77">
    <cfRule type="expression" dxfId="288" priority="32" stopIfTrue="1">
      <formula>$M71=2</formula>
    </cfRule>
    <cfRule type="expression" dxfId="287" priority="33" stopIfTrue="1">
      <formula>AND($M71=1,$S71&lt;&gt;"")</formula>
    </cfRule>
  </conditionalFormatting>
  <conditionalFormatting sqref="H72 H75 H78">
    <cfRule type="expression" dxfId="286" priority="28">
      <formula>AND(H71&lt;&gt;0,ISNUMBER(H71))</formula>
    </cfRule>
  </conditionalFormatting>
  <conditionalFormatting sqref="H71 H74 H77">
    <cfRule type="expression" dxfId="285" priority="27">
      <formula>AND(H71&lt;&gt;0,ISNUMBER(H71))</formula>
    </cfRule>
  </conditionalFormatting>
  <conditionalFormatting sqref="E71 E74 E77">
    <cfRule type="expression" dxfId="284" priority="26" stopIfTrue="1">
      <formula>E71&lt;&gt;0</formula>
    </cfRule>
  </conditionalFormatting>
  <conditionalFormatting sqref="E72 E75 E78">
    <cfRule type="expression" dxfId="283" priority="25">
      <formula>AND(_xlfn.SINGLE(ACOMPANHAMENTO)="BM",E72&gt;ROUND(E72,4))</formula>
    </cfRule>
  </conditionalFormatting>
  <conditionalFormatting sqref="U71:AF71 U74:AF74 U77:AF77">
    <cfRule type="expression" dxfId="282" priority="24" stopIfTrue="1">
      <formula>U71&lt;&gt;0</formula>
    </cfRule>
  </conditionalFormatting>
  <conditionalFormatting sqref="U72:AF72 U75:AF75 U78:AF78">
    <cfRule type="expression" dxfId="281" priority="23">
      <formula>AND(_xlfn.SINGLE(ACOMPANHAMENTO)="BM",U72&gt;ROUND(U72,4))</formula>
    </cfRule>
  </conditionalFormatting>
  <conditionalFormatting sqref="E81 E84 E87 U81:AF81 U84:AF84 U87:AF87">
    <cfRule type="expression" dxfId="280" priority="18" stopIfTrue="1">
      <formula>AND(ISNUMBER($H80),$H80&lt;&gt;0)</formula>
    </cfRule>
  </conditionalFormatting>
  <conditionalFormatting sqref="I81:S81 I84:S84 I87:S87">
    <cfRule type="expression" dxfId="279" priority="19" stopIfTrue="1">
      <formula>$M80=2</formula>
    </cfRule>
    <cfRule type="expression" dxfId="278" priority="20" stopIfTrue="1">
      <formula>AND($M80=1,$S80&lt;&gt;"")</formula>
    </cfRule>
  </conditionalFormatting>
  <conditionalFormatting sqref="I80:S80 I83:S83 I86:S86">
    <cfRule type="expression" dxfId="277" priority="21" stopIfTrue="1">
      <formula>$M80=2</formula>
    </cfRule>
    <cfRule type="expression" dxfId="276" priority="22" stopIfTrue="1">
      <formula>AND($M80=1,$S80&lt;&gt;"")</formula>
    </cfRule>
  </conditionalFormatting>
  <conditionalFormatting sqref="H81 H84 H87">
    <cfRule type="expression" dxfId="275" priority="17">
      <formula>AND(H80&lt;&gt;0,ISNUMBER(H80))</formula>
    </cfRule>
  </conditionalFormatting>
  <conditionalFormatting sqref="H80 H83 H86">
    <cfRule type="expression" dxfId="274" priority="16">
      <formula>AND(H80&lt;&gt;0,ISNUMBER(H80))</formula>
    </cfRule>
  </conditionalFormatting>
  <conditionalFormatting sqref="E80 E83 E86">
    <cfRule type="expression" dxfId="273" priority="15" stopIfTrue="1">
      <formula>E80&lt;&gt;0</formula>
    </cfRule>
  </conditionalFormatting>
  <conditionalFormatting sqref="E81 E84 E87">
    <cfRule type="expression" dxfId="272" priority="14">
      <formula>AND(_xlfn.SINGLE(ACOMPANHAMENTO)="BM",E81&gt;ROUND(E81,4))</formula>
    </cfRule>
  </conditionalFormatting>
  <conditionalFormatting sqref="U80:AF80 U83:AF83 U86:AF86">
    <cfRule type="expression" dxfId="271" priority="13" stopIfTrue="1">
      <formula>U80&lt;&gt;0</formula>
    </cfRule>
  </conditionalFormatting>
  <conditionalFormatting sqref="U81:AF81 U84:AF84 U87:AF87">
    <cfRule type="expression" dxfId="270" priority="12">
      <formula>AND(_xlfn.SINGLE(ACOMPANHAMENTO)="BM",U81&gt;ROUND(U81,4))</formula>
    </cfRule>
  </conditionalFormatting>
  <conditionalFormatting sqref="E90 U90:AF90">
    <cfRule type="expression" dxfId="269" priority="7" stopIfTrue="1">
      <formula>AND(ISNUMBER($H89),$H89&lt;&gt;0)</formula>
    </cfRule>
  </conditionalFormatting>
  <conditionalFormatting sqref="I90:S90">
    <cfRule type="expression" dxfId="268" priority="8" stopIfTrue="1">
      <formula>$M89=2</formula>
    </cfRule>
    <cfRule type="expression" dxfId="267" priority="9" stopIfTrue="1">
      <formula>AND($M89=1,$S89&lt;&gt;"")</formula>
    </cfRule>
  </conditionalFormatting>
  <conditionalFormatting sqref="I89:S89">
    <cfRule type="expression" dxfId="266" priority="10" stopIfTrue="1">
      <formula>$M89=2</formula>
    </cfRule>
    <cfRule type="expression" dxfId="265" priority="11" stopIfTrue="1">
      <formula>AND($M89=1,$S89&lt;&gt;"")</formula>
    </cfRule>
  </conditionalFormatting>
  <conditionalFormatting sqref="H90">
    <cfRule type="expression" dxfId="264" priority="6">
      <formula>AND(H89&lt;&gt;0,ISNUMBER(H89))</formula>
    </cfRule>
  </conditionalFormatting>
  <conditionalFormatting sqref="H89">
    <cfRule type="expression" dxfId="263" priority="5">
      <formula>AND(H89&lt;&gt;0,ISNUMBER(H89))</formula>
    </cfRule>
  </conditionalFormatting>
  <conditionalFormatting sqref="E89">
    <cfRule type="expression" dxfId="262" priority="4" stopIfTrue="1">
      <formula>E89&lt;&gt;0</formula>
    </cfRule>
  </conditionalFormatting>
  <conditionalFormatting sqref="E90">
    <cfRule type="expression" dxfId="261" priority="3">
      <formula>AND(_xlfn.SINGLE(ACOMPANHAMENTO)="BM",E90&gt;ROUND(E90,4))</formula>
    </cfRule>
  </conditionalFormatting>
  <conditionalFormatting sqref="U89:AF89">
    <cfRule type="expression" dxfId="260" priority="2" stopIfTrue="1">
      <formula>U89&lt;&gt;0</formula>
    </cfRule>
  </conditionalFormatting>
  <conditionalFormatting sqref="U90:AF90">
    <cfRule type="expression" dxfId="259" priority="1">
      <formula>AND(_xlfn.SINGLE(ACOMPANHAMENTO)="BM",U90&gt;ROUND(U90,4))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32:AF32 E32 U29:AF29 E35 E38 E41 U35:AF35 U38:AF38 U41:AF41 E44 E47 E50 U44:AF44 U47:AF47 U50:AF50 E53 E56 E59 U53:AF53 U56:AF56 U59:AF59 E62 E65 E68 U62:AF62 U65:AF65 U68:AF68 E71 E74 E77 U71:AF71 U74:AF74 U77:AF77 E80 E83 E86 U80:AF80 U83:AF83 U86:AF86 E89 U89:AF89"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E15 E18 E21 E24 E27 E30 E33 E36 E39 E42 E45 E48 E51 E54 E57 E60 E63 E66 E69 E72 E75 E78 E81 E84 E87 U87:AG87 U84:AG84 U81:AG81 U78:AG78 U75:AG75 U72:AG72 U69:AG69 U66:AG66 U63:AG63 U60:AG60 U57:AG57 U54:AG54 U51:AG51 U48:AG48 U45:AG45 U42:AG42 U39:AG39 U36:AG36 U2:AG2 U15:AG15 U18:AG18 U21:AG21 U24:AG24 U27:AG27 U30:AG30 U33:AG33 E90 U90:AG90"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103:J103"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filterMode="1">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4" t="s">
        <v>980</v>
      </c>
      <c r="F1" s="272" t="s">
        <v>805</v>
      </c>
      <c r="I1" s="8"/>
      <c r="J1" s="8"/>
      <c r="O1" s="492" t="s">
        <v>757</v>
      </c>
      <c r="P1" s="86"/>
    </row>
    <row r="2" spans="1:31" x14ac:dyDescent="0.2">
      <c r="A2" t="s">
        <v>975</v>
      </c>
      <c r="Z2" t="s">
        <v>806</v>
      </c>
      <c r="AA2" s="88" t="s">
        <v>807</v>
      </c>
      <c r="AB2" s="77"/>
    </row>
    <row r="3" spans="1:31" x14ac:dyDescent="0.2">
      <c r="A3" t="s">
        <v>976</v>
      </c>
      <c r="D3" s="777" t="s">
        <v>650</v>
      </c>
      <c r="E3" s="777"/>
      <c r="F3" s="87" t="s">
        <v>707</v>
      </c>
      <c r="G3" s="777" t="s">
        <v>652</v>
      </c>
      <c r="H3" s="777"/>
      <c r="I3" s="777"/>
      <c r="J3" s="858" t="s">
        <v>808</v>
      </c>
      <c r="K3" s="858"/>
      <c r="L3" s="858"/>
      <c r="M3" s="859" t="s">
        <v>809</v>
      </c>
      <c r="N3" s="859"/>
      <c r="O3" s="859"/>
      <c r="Z3" s="102">
        <f ca="1">MAX(Z7:AB7)</f>
        <v>0</v>
      </c>
      <c r="AA3" s="273" cm="1">
        <f t="array" aca="1" ref="AA3" ca="1">IF(OR($O$24=ORÇAMENTO.SumINVMANUAL+QCI.SumINVMANUAL,$O$24=0),0,MIN(MAX(0,($Z$3*$O$24-ORÇAMENTO.SumCPMANUAL-QCI.SumCPMANUAL)/($O$24-ORÇAMENTO.SumINVMANUAL-QCI.SumINVMANUAL)),1))</f>
        <v>0</v>
      </c>
      <c r="AB3" s="92"/>
    </row>
    <row r="4" spans="1:31" x14ac:dyDescent="0.2">
      <c r="A4" t="s">
        <v>977</v>
      </c>
      <c r="D4" s="780" t="str">
        <f>Import.CR</f>
        <v>56000000966/2023</v>
      </c>
      <c r="E4" s="780"/>
      <c r="F4" s="56" t="str">
        <f>Import.TransfereGOV</f>
        <v>27488/2025</v>
      </c>
      <c r="G4" s="780" t="str">
        <f>Import.Proponente</f>
        <v>MUNICIPIO DE BOA ESPERANCA</v>
      </c>
      <c r="H4" s="780"/>
      <c r="I4" s="780"/>
      <c r="J4" s="860" t="str">
        <f>Import.Município</f>
        <v>BOA ESPERANÇA</v>
      </c>
      <c r="K4" s="860"/>
      <c r="L4" s="860"/>
      <c r="M4" s="859"/>
      <c r="N4" s="859"/>
      <c r="O4" s="859"/>
      <c r="R4" s="129"/>
      <c r="Z4" s="92"/>
      <c r="AA4" s="92"/>
      <c r="AB4" s="92"/>
    </row>
    <row r="5" spans="1:31" ht="5.0999999999999996" customHeight="1" x14ac:dyDescent="0.2">
      <c r="A5" t="s">
        <v>978</v>
      </c>
      <c r="M5" s="265"/>
      <c r="O5" s="4"/>
    </row>
    <row r="6" spans="1:31" x14ac:dyDescent="0.2">
      <c r="A6" t="s">
        <v>979</v>
      </c>
      <c r="D6" s="777" t="s">
        <v>708</v>
      </c>
      <c r="E6" s="777"/>
      <c r="F6" s="777"/>
      <c r="G6" s="777"/>
      <c r="H6" s="777"/>
      <c r="I6" s="777"/>
      <c r="J6" s="777"/>
      <c r="K6" s="777"/>
      <c r="L6" s="274" t="s">
        <v>715</v>
      </c>
      <c r="M6" s="87" t="str">
        <f>IF(import.recurso="FGTS","FINANCIAMENTO","REPASSE")</f>
        <v>REPASSE</v>
      </c>
      <c r="N6" s="87" t="s">
        <v>810</v>
      </c>
      <c r="O6" s="87" t="s">
        <v>811</v>
      </c>
      <c r="Z6" t="s">
        <v>812</v>
      </c>
      <c r="AA6" t="s">
        <v>813</v>
      </c>
      <c r="AB6" t="s">
        <v>814</v>
      </c>
    </row>
    <row r="7" spans="1:31" ht="12.75" customHeight="1" x14ac:dyDescent="0.2">
      <c r="A7" s="658" t="s">
        <v>982</v>
      </c>
      <c r="C7" s="770" t="s">
        <v>655</v>
      </c>
      <c r="D7" s="780" t="str">
        <f>Import.Apelido</f>
        <v>AMPLIAÇÃO NO SISTEMA DE ÁGUA- BAIRRO NOVA ESPERANÇA</v>
      </c>
      <c r="E7" s="780"/>
      <c r="F7" s="780"/>
      <c r="G7" s="780"/>
      <c r="H7" s="780"/>
      <c r="I7" s="780"/>
      <c r="J7" s="780"/>
      <c r="K7" s="780"/>
      <c r="L7" s="275" t="str">
        <f>import.recurso</f>
        <v>OGU</v>
      </c>
      <c r="M7" s="276">
        <f>Import.Repasse</f>
        <v>4998328.42</v>
      </c>
      <c r="N7" s="276">
        <f>Import.Contrapartida</f>
        <v>0</v>
      </c>
      <c r="O7" s="276">
        <f>M7+N7</f>
        <v>4998328.42</v>
      </c>
      <c r="Z7" s="102">
        <f>ROUND(Import.CPMinPerc,4)</f>
        <v>0</v>
      </c>
      <c r="AA7" s="102">
        <f ca="1">IF($O$24=0,0,Import.CPMinAbsoluta/$O$24)</f>
        <v>0</v>
      </c>
      <c r="AB7" s="102">
        <f ca="1">IF($O$24=0,0,($O$24-$AB$24-Import.Repasse)/($O$24))</f>
        <v>-2.6566428559651714E-3</v>
      </c>
    </row>
    <row r="8" spans="1:31" x14ac:dyDescent="0.2">
      <c r="A8" t="s">
        <v>819</v>
      </c>
      <c r="C8" s="770"/>
      <c r="D8" s="92"/>
      <c r="E8" s="92"/>
      <c r="F8" s="277"/>
      <c r="G8" s="92"/>
      <c r="H8" s="92"/>
      <c r="I8" s="92"/>
      <c r="J8" s="92"/>
      <c r="K8" s="92"/>
      <c r="L8" s="92"/>
      <c r="M8" s="92"/>
      <c r="N8" s="92"/>
      <c r="O8" s="92"/>
    </row>
    <row r="9" spans="1:31" ht="12.75" customHeight="1" x14ac:dyDescent="0.2">
      <c r="A9" t="s">
        <v>981</v>
      </c>
      <c r="C9" s="770"/>
      <c r="G9" s="857"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IF(OFFSET($A$24,-1,0)&lt;OFFSET(ORÇAMENTO!$E$191,-1,0),"ERRO: NÚMERO DE LINHAS DO QCI INSUFICIENTE. CLIQUE NO BOTÃO ADICIONAR LINHAS",
  "")))))))</f>
        <v/>
      </c>
      <c r="H9" s="857"/>
      <c r="I9" s="512"/>
      <c r="J9" s="511"/>
      <c r="K9" s="856" t="s">
        <v>815</v>
      </c>
      <c r="L9" s="278" t="str">
        <f>$L$13</f>
        <v>Repasse (R$)</v>
      </c>
      <c r="M9" s="278" t="s">
        <v>741</v>
      </c>
      <c r="AD9" s="854"/>
      <c r="AE9" s="854"/>
    </row>
    <row r="10" spans="1:31" ht="12.75" customHeight="1" x14ac:dyDescent="0.2">
      <c r="A10" s="853" t="s">
        <v>816</v>
      </c>
      <c r="C10" s="770"/>
      <c r="G10" s="857"/>
      <c r="H10" s="857"/>
      <c r="I10" s="512"/>
      <c r="J10" s="511"/>
      <c r="K10" s="856"/>
      <c r="L10" s="279">
        <f ca="1">Import.Repasse-L24</f>
        <v>13243.589999999851</v>
      </c>
      <c r="M10" s="280">
        <f ca="1">Import.Contrapartida-M24</f>
        <v>0</v>
      </c>
      <c r="Z10" s="790" t="s">
        <v>721</v>
      </c>
      <c r="AA10" s="790"/>
      <c r="AB10" s="790"/>
      <c r="AD10" s="854" t="s">
        <v>817</v>
      </c>
      <c r="AE10" s="854"/>
    </row>
    <row r="11" spans="1:31" ht="20.100000000000001" customHeight="1" x14ac:dyDescent="0.25">
      <c r="A11" s="853"/>
      <c r="C11" s="770"/>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IF(NOT(ISBLANK(QCI.DescManual)),IF(QCI.Divisao="Calculado","Manual","SemiAuto"),IF(ISERROR(MATCH($A12,ORÇAMENTO!$E$15:$E$191,0)),"Branco","Automático"))</f>
        <v>Branco</v>
      </c>
      <c r="C12" t="str">
        <f ca="1">IF(O12&gt;0,"F","")</f>
        <v/>
      </c>
      <c r="D12" s="281">
        <f>ROW()-ROW($D$13)</f>
        <v>-1</v>
      </c>
      <c r="E12" s="118"/>
      <c r="F12" s="118"/>
      <c r="G12" s="163" t="str">
        <f ca="1">IF(OR($B12="Manual",$B12="SemiAuto"),QCI.DescManual,IF($B12="Automático",INDEX(ORÇAMENTO!$R$15:$R$191,MATCH($A12,ORÇAMENTO!$E$15:$E$191,0)),""))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IF($B12="Branco",0,IF(OR($B12="Manual",$B12="SemiAuto"),QCI.InvManual,INDEX(ORÇAMENTO!X$15:X$191,MATCH($A12,ORÇAMENTO!$E$15:$E$191,0))))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IF($B12="Branco",0,IF($B12="Manual",QCI.CPManual,IF($B12="SemiAuto",ROUND(QCI!$AA$3*QCI.InvManual,2),INDEX(ORÇAMENTO!$AA$15:$AA$191,MATCH($A12,ORÇAMENTO!$E$15:$E$191,0)))))</f>
        <v>0</v>
      </c>
      <c r="AB12" cm="1">
        <f t="array" aca="1" ref="AB12" ca="1">IF($B12="Branco",0,IF($B12="Manual",QCI.OutrosManual,IF($B12="SemiAuto",0,INDEX(ORÇAMENTO!$AB$15:$AB$191,MATCH($A12,ORÇAMENTO!$E$15:$E$191,0)))))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s="670" customFormat="1" ht="30" customHeight="1" x14ac:dyDescent="0.2">
      <c r="A14" s="670">
        <f t="shared" ref="A14:A23" ca="1" si="0">IF(NOT(ISBLANK(QCI.DescManual)),OFFSET(A14,-1,0),D14)</f>
        <v>1</v>
      </c>
      <c r="B14" s="670" t="str">
        <f ca="1">IF(NOT(ISBLANK(QCI.DescManual)),IF(QCI.Divisao="Calculado","Manual","SemiAuto"),IF(ISERROR(MATCH($A14,ORÇAMENTO!$E$15:$E$191,0)),"Branco","Automático"))</f>
        <v>Automático</v>
      </c>
      <c r="C14" s="670" t="str">
        <f t="shared" ref="C14:C22" ca="1" si="1">IF(O14&gt;0,"F","")</f>
        <v>F</v>
      </c>
      <c r="D14" s="281">
        <f t="shared" ref="D14:D22" si="2">ROW()-ROW($D$13)</f>
        <v>1</v>
      </c>
      <c r="E14" s="118" t="s">
        <v>104</v>
      </c>
      <c r="F14" s="118" t="s">
        <v>208</v>
      </c>
      <c r="G14" s="163" t="str">
        <f ca="1">IF(OR($B14="Manual",$B14="SemiAuto"),QCI.DescManual,IF($B14="Automático",INDEX(ORÇAMENTO!$R$15:$R$191,MATCH($A14,ORÇAMENTO!$E$15:$E$191,0)),""))</f>
        <v>Ampliação do Sistema de Abastecimento de Água</v>
      </c>
      <c r="H14" s="118" t="s">
        <v>977</v>
      </c>
      <c r="I14" s="464">
        <v>6000</v>
      </c>
      <c r="J14" s="282" t="str">
        <f ca="1">IF(AND(ISBLANK(E14),ISBLANK(F14)),"",VLOOKUP($F14,OFFSET(DADOS!$A$2,1,MATCH(QCI!$E14,DADOS!$2:$2,0)-1,100,50),2,FALSE))</f>
        <v>m</v>
      </c>
      <c r="K14" s="463" t="str" cm="1">
        <f t="array" aca="1" ref="K14" ca="1">IF(OR($B14="Manual",$B14="SemiAuto"),QCI.LoteManual,IF($B14="Automático",IF(TIPOORCAMENTO="Licitado",Import.CTEF,"LOTE 1"),""))</f>
        <v>LOTE 1</v>
      </c>
      <c r="L14" s="283">
        <f t="shared" ref="L14:L22" ca="1" si="3">ROUND($O14,2)-ROUND($M14,2)-ROUND($N14,2)</f>
        <v>4985084.83</v>
      </c>
      <c r="M14" s="284">
        <f t="shared" ref="M14:M22" ca="1" si="4">ROUND($AA14,2)-ROUND($AE14,2)</f>
        <v>0</v>
      </c>
      <c r="N14" s="285">
        <f t="shared" ref="N14:N22" ca="1" si="5">ROUND($AB14,2)</f>
        <v>0</v>
      </c>
      <c r="O14" s="286" cm="1">
        <f t="array" aca="1" ref="O14" ca="1">IF($B14="Branco",0,IF(OR($B14="Manual",$B14="SemiAuto"),QCI.InvManual,INDEX(ORÇAMENTO!X$15:X$191,MATCH($A14,ORÇAMENTO!$E$15:$E$191,0))))</f>
        <v>4985084.83</v>
      </c>
      <c r="P14" s="577" t="str">
        <f t="shared" ref="P14:P22" ca="1" si="6">IF(O14=0,"",
  IF(E14="","ITEM",
  IF(F14="","SUBITEM",
  IF(H14="","SITUAÇÃO",
  IF(I14=0,"QUANT.","")))))</f>
        <v/>
      </c>
      <c r="R14" s="465"/>
      <c r="S14" s="578" t="str">
        <f t="shared" ref="S14:S22" si="7">IF(R14="","",
  IF(T14=0,"► LOTE",
  IF(U14=0,"► INVEST",
  IF(V14=0,"► DIV",
  IF(AND(V14="Calculado",W14=""),"► CP",
  IF(AND(V14="Calculado",X14=""),"► OU",""))))))</f>
        <v/>
      </c>
      <c r="T14" s="466"/>
      <c r="U14" s="579"/>
      <c r="V14" s="467" t="s">
        <v>819</v>
      </c>
      <c r="W14" s="580"/>
      <c r="X14" s="581"/>
      <c r="Z14" s="670">
        <f t="shared" ref="Z14:Z22" ca="1" si="8">$O14-$AA14-$AB14</f>
        <v>4985084.83</v>
      </c>
      <c r="AA14" s="670" cm="1">
        <f t="array" aca="1" ref="AA14" ca="1">IF($B14="Branco",0,IF($B14="Manual",QCI.CPManual,IF($B14="SemiAuto",ROUND(QCI!$AA$3*QCI.InvManual,2),INDEX(ORÇAMENTO!$AA$15:$AA$191,MATCH($A14,ORÇAMENTO!$E$15:$E$191,0)))))</f>
        <v>0</v>
      </c>
      <c r="AB14" s="670" cm="1">
        <f t="array" aca="1" ref="AB14" ca="1">IF($B14="Branco",0,IF($B14="Manual",QCI.OutrosManual,IF($B14="SemiAuto",0,INDEX(ORÇAMENTO!$AB$15:$AB$191,MATCH($A14,ORÇAMENTO!$E$15:$E$191,0)))))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s="670" customFormat="1" ht="30" hidden="1" customHeight="1" x14ac:dyDescent="0.2">
      <c r="A15" s="670">
        <f t="shared" ca="1" si="0"/>
        <v>2</v>
      </c>
      <c r="B15" s="670" t="str">
        <f ca="1">IF(NOT(ISBLANK(QCI.DescManual)),IF(QCI.Divisao="Calculado","Manual","SemiAuto"),IF(ISERROR(MATCH($A15,ORÇAMENTO!$E$15:$E$191,0)),"Branco","Automático"))</f>
        <v>Branco</v>
      </c>
      <c r="C15" s="670" t="str">
        <f t="shared" ca="1" si="1"/>
        <v/>
      </c>
      <c r="D15" s="281">
        <f t="shared" si="2"/>
        <v>2</v>
      </c>
      <c r="E15" s="118"/>
      <c r="F15" s="118"/>
      <c r="G15" s="163" t="str">
        <f ca="1">IF(OR($B15="Manual",$B15="SemiAuto"),QCI.DescManual,IF($B15="Automático",INDEX(ORÇAMENTO!$R$15:$R$191,MATCH($A15,ORÇAMENTO!$E$15:$E$191,0)),""))</f>
        <v/>
      </c>
      <c r="H15" s="118"/>
      <c r="I15" s="464"/>
      <c r="J15" s="282" t="str">
        <f ca="1">IF(AND(ISBLANK(E15),ISBLANK(F15)),"",VLOOKUP($F15,OFFSET(DADOS!$A$2,1,MATCH(QCI!$E15,DADOS!$2:$2,0)-1,100,50),2,FALSE))</f>
        <v/>
      </c>
      <c r="K15" s="463" t="str" cm="1">
        <f t="array" aca="1" ref="K15" ca="1">IF(OR($B15="Manual",$B15="SemiAuto"),QCI.LoteManual,IF($B15="Automático",IF(TIPOORCAMENTO="Licitado",Import.CTEF,"LOTE 1"),""))</f>
        <v/>
      </c>
      <c r="L15" s="283">
        <f t="shared" ca="1" si="3"/>
        <v>0</v>
      </c>
      <c r="M15" s="284">
        <f t="shared" ca="1" si="4"/>
        <v>0</v>
      </c>
      <c r="N15" s="285">
        <f t="shared" ca="1" si="5"/>
        <v>0</v>
      </c>
      <c r="O15" s="286" cm="1">
        <f t="array" aca="1" ref="O15" ca="1">IF($B15="Branco",0,IF(OR($B15="Manual",$B15="SemiAuto"),QCI.InvManual,INDEX(ORÇAMENTO!X$15:X$191,MATCH($A15,ORÇAMENTO!$E$15:$E$191,0))))</f>
        <v>0</v>
      </c>
      <c r="P15" s="577" t="str">
        <f t="shared" ca="1" si="6"/>
        <v/>
      </c>
      <c r="R15" s="465"/>
      <c r="S15" s="578" t="str">
        <f t="shared" si="7"/>
        <v/>
      </c>
      <c r="T15" s="466"/>
      <c r="U15" s="579"/>
      <c r="V15" s="467"/>
      <c r="W15" s="580"/>
      <c r="X15" s="581"/>
      <c r="Z15" s="670">
        <f t="shared" ca="1" si="8"/>
        <v>0</v>
      </c>
      <c r="AA15" s="670" cm="1">
        <f t="array" aca="1" ref="AA15" ca="1">IF($B15="Branco",0,IF($B15="Manual",QCI.CPManual,IF($B15="SemiAuto",ROUND(QCI!$AA$3*QCI.InvManual,2),INDEX(ORÇAMENTO!$AA$15:$AA$191,MATCH($A15,ORÇAMENTO!$E$15:$E$191,0)))))</f>
        <v>0</v>
      </c>
      <c r="AB15" s="670" cm="1">
        <f t="array" aca="1" ref="AB15" ca="1">IF($B15="Branco",0,IF($B15="Manual",QCI.OutrosManual,IF($B15="SemiAuto",0,INDEX(ORÇAMENTO!$AB$15:$AB$191,MATCH($A15,ORÇAMENTO!$E$15:$E$191,0)))))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s="670" customFormat="1" ht="30" hidden="1" customHeight="1" x14ac:dyDescent="0.2">
      <c r="A16" s="670">
        <f t="shared" ca="1" si="0"/>
        <v>3</v>
      </c>
      <c r="B16" s="670" t="str">
        <f ca="1">IF(NOT(ISBLANK(QCI.DescManual)),IF(QCI.Divisao="Calculado","Manual","SemiAuto"),IF(ISERROR(MATCH($A16,ORÇAMENTO!$E$15:$E$191,0)),"Branco","Automático"))</f>
        <v>Branco</v>
      </c>
      <c r="C16" s="670" t="str">
        <f t="shared" ca="1" si="1"/>
        <v/>
      </c>
      <c r="D16" s="281">
        <f t="shared" si="2"/>
        <v>3</v>
      </c>
      <c r="E16" s="118"/>
      <c r="F16" s="118"/>
      <c r="G16" s="163" t="str">
        <f ca="1">IF(OR($B16="Manual",$B16="SemiAuto"),QCI.DescManual,IF($B16="Automático",INDEX(ORÇAMENTO!$R$15:$R$191,MATCH($A16,ORÇAMENTO!$E$15:$E$191,0)),""))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IF($B16="Branco",0,IF(OR($B16="Manual",$B16="SemiAuto"),QCI.InvManual,INDEX(ORÇAMENTO!X$15:X$191,MATCH($A16,ORÇAMENTO!$E$15:$E$191,0))))</f>
        <v>0</v>
      </c>
      <c r="P16" s="577" t="str">
        <f t="shared" ca="1" si="6"/>
        <v/>
      </c>
      <c r="R16" s="465"/>
      <c r="S16" s="578" t="str">
        <f t="shared" si="7"/>
        <v/>
      </c>
      <c r="T16" s="466"/>
      <c r="U16" s="579"/>
      <c r="V16" s="467"/>
      <c r="W16" s="580"/>
      <c r="X16" s="581"/>
      <c r="Z16" s="670">
        <f t="shared" ca="1" si="8"/>
        <v>0</v>
      </c>
      <c r="AA16" s="670" cm="1">
        <f t="array" aca="1" ref="AA16" ca="1">IF($B16="Branco",0,IF($B16="Manual",QCI.CPManual,IF($B16="SemiAuto",ROUND(QCI!$AA$3*QCI.InvManual,2),INDEX(ORÇAMENTO!$AA$15:$AA$191,MATCH($A16,ORÇAMENTO!$E$15:$E$191,0)))))</f>
        <v>0</v>
      </c>
      <c r="AB16" s="670" cm="1">
        <f t="array" aca="1" ref="AB16" ca="1">IF($B16="Branco",0,IF($B16="Manual",QCI.OutrosManual,IF($B16="SemiAuto",0,INDEX(ORÇAMENTO!$AB$15:$AB$191,MATCH($A16,ORÇAMENTO!$E$15:$E$191,0)))))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s="670" customFormat="1" ht="30" hidden="1" customHeight="1" x14ac:dyDescent="0.2">
      <c r="A17" s="670">
        <f t="shared" ca="1" si="0"/>
        <v>4</v>
      </c>
      <c r="B17" s="670" t="str">
        <f ca="1">IF(NOT(ISBLANK(QCI.DescManual)),IF(QCI.Divisao="Calculado","Manual","SemiAuto"),IF(ISERROR(MATCH($A17,ORÇAMENTO!$E$15:$E$191,0)),"Branco","Automático"))</f>
        <v>Branco</v>
      </c>
      <c r="C17" s="670" t="str">
        <f t="shared" ca="1" si="1"/>
        <v/>
      </c>
      <c r="D17" s="281">
        <f t="shared" si="2"/>
        <v>4</v>
      </c>
      <c r="E17" s="118"/>
      <c r="F17" s="118"/>
      <c r="G17" s="163" t="str">
        <f ca="1">IF(OR($B17="Manual",$B17="SemiAuto"),QCI.DescManual,IF($B17="Automático",INDEX(ORÇAMENTO!$R$15:$R$191,MATCH($A17,ORÇAMENTO!$E$15:$E$191,0)),""))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IF($B17="Branco",0,IF(OR($B17="Manual",$B17="SemiAuto"),QCI.InvManual,INDEX(ORÇAMENTO!X$15:X$191,MATCH($A17,ORÇAMENTO!$E$15:$E$191,0))))</f>
        <v>0</v>
      </c>
      <c r="P17" s="577" t="str">
        <f t="shared" ca="1" si="6"/>
        <v/>
      </c>
      <c r="R17" s="465"/>
      <c r="S17" s="578" t="str">
        <f t="shared" si="7"/>
        <v/>
      </c>
      <c r="T17" s="466"/>
      <c r="U17" s="579"/>
      <c r="V17" s="467" t="s">
        <v>819</v>
      </c>
      <c r="W17" s="580"/>
      <c r="X17" s="581"/>
      <c r="Z17" s="670">
        <f t="shared" ca="1" si="8"/>
        <v>0</v>
      </c>
      <c r="AA17" s="670" cm="1">
        <f t="array" aca="1" ref="AA17" ca="1">IF($B17="Branco",0,IF($B17="Manual",QCI.CPManual,IF($B17="SemiAuto",ROUND(QCI!$AA$3*QCI.InvManual,2),INDEX(ORÇAMENTO!$AA$15:$AA$191,MATCH($A17,ORÇAMENTO!$E$15:$E$191,0)))))</f>
        <v>0</v>
      </c>
      <c r="AB17" s="670" cm="1">
        <f t="array" aca="1" ref="AB17" ca="1">IF($B17="Branco",0,IF($B17="Manual",QCI.OutrosManual,IF($B17="SemiAuto",0,INDEX(ORÇAMENTO!$AB$15:$AB$191,MATCH($A17,ORÇAMENTO!$E$15:$E$191,0)))))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s="670" customFormat="1" ht="30" hidden="1" customHeight="1" x14ac:dyDescent="0.2">
      <c r="A18" s="670">
        <f t="shared" ca="1" si="0"/>
        <v>5</v>
      </c>
      <c r="B18" s="670" t="str">
        <f ca="1">IF(NOT(ISBLANK(QCI.DescManual)),IF(QCI.Divisao="Calculado","Manual","SemiAuto"),IF(ISERROR(MATCH($A18,ORÇAMENTO!$E$15:$E$191,0)),"Branco","Automático"))</f>
        <v>Branco</v>
      </c>
      <c r="C18" s="670" t="str">
        <f t="shared" ca="1" si="1"/>
        <v/>
      </c>
      <c r="D18" s="281">
        <f t="shared" si="2"/>
        <v>5</v>
      </c>
      <c r="E18" s="118"/>
      <c r="F18" s="118"/>
      <c r="G18" s="163" t="str">
        <f ca="1">IF(OR($B18="Manual",$B18="SemiAuto"),QCI.DescManual,IF($B18="Automático",INDEX(ORÇAMENTO!$R$15:$R$191,MATCH($A18,ORÇAMENTO!$E$15:$E$191,0)),""))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IF($B18="Branco",0,IF(OR($B18="Manual",$B18="SemiAuto"),QCI.InvManual,INDEX(ORÇAMENTO!X$15:X$191,MATCH($A18,ORÇAMENTO!$E$15:$E$191,0))))</f>
        <v>0</v>
      </c>
      <c r="P18" s="577" t="str">
        <f t="shared" ca="1" si="6"/>
        <v/>
      </c>
      <c r="R18" s="465"/>
      <c r="S18" s="578" t="str">
        <f t="shared" si="7"/>
        <v/>
      </c>
      <c r="T18" s="466"/>
      <c r="U18" s="579"/>
      <c r="V18" s="467" t="s">
        <v>819</v>
      </c>
      <c r="W18" s="580"/>
      <c r="X18" s="581"/>
      <c r="Z18" s="670">
        <f t="shared" ca="1" si="8"/>
        <v>0</v>
      </c>
      <c r="AA18" s="670" cm="1">
        <f t="array" aca="1" ref="AA18" ca="1">IF($B18="Branco",0,IF($B18="Manual",QCI.CPManual,IF($B18="SemiAuto",ROUND(QCI!$AA$3*QCI.InvManual,2),INDEX(ORÇAMENTO!$AA$15:$AA$191,MATCH($A18,ORÇAMENTO!$E$15:$E$191,0)))))</f>
        <v>0</v>
      </c>
      <c r="AB18" s="670" cm="1">
        <f t="array" aca="1" ref="AB18" ca="1">IF($B18="Branco",0,IF($B18="Manual",QCI.OutrosManual,IF($B18="SemiAuto",0,INDEX(ORÇAMENTO!$AB$15:$AB$191,MATCH($A18,ORÇAMENTO!$E$15:$E$191,0)))))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s="670" customFormat="1" ht="30" hidden="1" customHeight="1" x14ac:dyDescent="0.2">
      <c r="A19" s="670">
        <f t="shared" ca="1" si="0"/>
        <v>6</v>
      </c>
      <c r="B19" s="670" t="str">
        <f ca="1">IF(NOT(ISBLANK(QCI.DescManual)),IF(QCI.Divisao="Calculado","Manual","SemiAuto"),IF(ISERROR(MATCH($A19,ORÇAMENTO!$E$15:$E$191,0)),"Branco","Automático"))</f>
        <v>Branco</v>
      </c>
      <c r="C19" s="670" t="str">
        <f t="shared" ca="1" si="1"/>
        <v/>
      </c>
      <c r="D19" s="281">
        <f t="shared" si="2"/>
        <v>6</v>
      </c>
      <c r="E19" s="118"/>
      <c r="F19" s="118"/>
      <c r="G19" s="163" t="str">
        <f ca="1">IF(OR($B19="Manual",$B19="SemiAuto"),QCI.DescManual,IF($B19="Automático",INDEX(ORÇAMENTO!$R$15:$R$191,MATCH($A19,ORÇAMENTO!$E$15:$E$191,0)),""))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IF($B19="Branco",0,IF(OR($B19="Manual",$B19="SemiAuto"),QCI.InvManual,INDEX(ORÇAMENTO!X$15:X$191,MATCH($A19,ORÇAMENTO!$E$15:$E$191,0))))</f>
        <v>0</v>
      </c>
      <c r="P19" s="577" t="str">
        <f t="shared" ca="1" si="6"/>
        <v/>
      </c>
      <c r="R19" s="465"/>
      <c r="S19" s="578" t="str">
        <f t="shared" si="7"/>
        <v/>
      </c>
      <c r="T19" s="466"/>
      <c r="U19" s="579"/>
      <c r="V19" s="467" t="s">
        <v>819</v>
      </c>
      <c r="W19" s="580"/>
      <c r="X19" s="581"/>
      <c r="Z19" s="670">
        <f t="shared" ca="1" si="8"/>
        <v>0</v>
      </c>
      <c r="AA19" s="670" cm="1">
        <f t="array" aca="1" ref="AA19" ca="1">IF($B19="Branco",0,IF($B19="Manual",QCI.CPManual,IF($B19="SemiAuto",ROUND(QCI!$AA$3*QCI.InvManual,2),INDEX(ORÇAMENTO!$AA$15:$AA$191,MATCH($A19,ORÇAMENTO!$E$15:$E$191,0)))))</f>
        <v>0</v>
      </c>
      <c r="AB19" s="670" cm="1">
        <f t="array" aca="1" ref="AB19" ca="1">IF($B19="Branco",0,IF($B19="Manual",QCI.OutrosManual,IF($B19="SemiAuto",0,INDEX(ORÇAMENTO!$AB$15:$AB$191,MATCH($A19,ORÇAMENTO!$E$15:$E$191,0)))))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s="670" customFormat="1" ht="30" hidden="1" customHeight="1" x14ac:dyDescent="0.2">
      <c r="A20" s="670">
        <f t="shared" ca="1" si="0"/>
        <v>7</v>
      </c>
      <c r="B20" s="670" t="str">
        <f ca="1">IF(NOT(ISBLANK(QCI.DescManual)),IF(QCI.Divisao="Calculado","Manual","SemiAuto"),IF(ISERROR(MATCH($A20,ORÇAMENTO!$E$15:$E$191,0)),"Branco","Automático"))</f>
        <v>Branco</v>
      </c>
      <c r="C20" s="670" t="str">
        <f t="shared" ca="1" si="1"/>
        <v/>
      </c>
      <c r="D20" s="281">
        <f t="shared" si="2"/>
        <v>7</v>
      </c>
      <c r="E20" s="118"/>
      <c r="F20" s="118"/>
      <c r="G20" s="163" t="str">
        <f ca="1">IF(OR($B20="Manual",$B20="SemiAuto"),QCI.DescManual,IF($B20="Automático",INDEX(ORÇAMENTO!$R$15:$R$191,MATCH($A20,ORÇAMENTO!$E$15:$E$191,0)),""))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IF($B20="Branco",0,IF(OR($B20="Manual",$B20="SemiAuto"),QCI.InvManual,INDEX(ORÇAMENTO!X$15:X$191,MATCH($A20,ORÇAMENTO!$E$15:$E$191,0))))</f>
        <v>0</v>
      </c>
      <c r="P20" s="577" t="str">
        <f t="shared" ca="1" si="6"/>
        <v/>
      </c>
      <c r="R20" s="465"/>
      <c r="S20" s="578" t="str">
        <f t="shared" si="7"/>
        <v/>
      </c>
      <c r="T20" s="466"/>
      <c r="U20" s="579"/>
      <c r="V20" s="467" t="s">
        <v>819</v>
      </c>
      <c r="W20" s="580"/>
      <c r="X20" s="581"/>
      <c r="Z20" s="670">
        <f t="shared" ca="1" si="8"/>
        <v>0</v>
      </c>
      <c r="AA20" s="670" cm="1">
        <f t="array" aca="1" ref="AA20" ca="1">IF($B20="Branco",0,IF($B20="Manual",QCI.CPManual,IF($B20="SemiAuto",ROUND(QCI!$AA$3*QCI.InvManual,2),INDEX(ORÇAMENTO!$AA$15:$AA$191,MATCH($A20,ORÇAMENTO!$E$15:$E$191,0)))))</f>
        <v>0</v>
      </c>
      <c r="AB20" s="670" cm="1">
        <f t="array" aca="1" ref="AB20" ca="1">IF($B20="Branco",0,IF($B20="Manual",QCI.OutrosManual,IF($B20="SemiAuto",0,INDEX(ORÇAMENTO!$AB$15:$AB$191,MATCH($A20,ORÇAMENTO!$E$15:$E$191,0)))))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s="670" customFormat="1" ht="30" hidden="1" customHeight="1" x14ac:dyDescent="0.2">
      <c r="A21" s="670">
        <f t="shared" ca="1" si="0"/>
        <v>8</v>
      </c>
      <c r="B21" s="670" t="str">
        <f ca="1">IF(NOT(ISBLANK(QCI.DescManual)),IF(QCI.Divisao="Calculado","Manual","SemiAuto"),IF(ISERROR(MATCH($A21,ORÇAMENTO!$E$15:$E$191,0)),"Branco","Automático"))</f>
        <v>Branco</v>
      </c>
      <c r="C21" s="670" t="str">
        <f t="shared" ca="1" si="1"/>
        <v/>
      </c>
      <c r="D21" s="281">
        <f t="shared" si="2"/>
        <v>8</v>
      </c>
      <c r="E21" s="118"/>
      <c r="F21" s="118"/>
      <c r="G21" s="163" t="str">
        <f ca="1">IF(OR($B21="Manual",$B21="SemiAuto"),QCI.DescManual,IF($B21="Automático",INDEX(ORÇAMENTO!$R$15:$R$191,MATCH($A21,ORÇAMENTO!$E$15:$E$191,0)),""))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IF($B21="Branco",0,IF(OR($B21="Manual",$B21="SemiAuto"),QCI.InvManual,INDEX(ORÇAMENTO!X$15:X$191,MATCH($A21,ORÇAMENTO!$E$15:$E$191,0))))</f>
        <v>0</v>
      </c>
      <c r="P21" s="577" t="str">
        <f t="shared" ca="1" si="6"/>
        <v/>
      </c>
      <c r="R21" s="465"/>
      <c r="S21" s="578" t="str">
        <f t="shared" si="7"/>
        <v/>
      </c>
      <c r="T21" s="466"/>
      <c r="U21" s="579"/>
      <c r="V21" s="467" t="s">
        <v>819</v>
      </c>
      <c r="W21" s="580"/>
      <c r="X21" s="581"/>
      <c r="Z21" s="670">
        <f t="shared" ca="1" si="8"/>
        <v>0</v>
      </c>
      <c r="AA21" s="670" cm="1">
        <f t="array" aca="1" ref="AA21" ca="1">IF($B21="Branco",0,IF($B21="Manual",QCI.CPManual,IF($B21="SemiAuto",ROUND(QCI!$AA$3*QCI.InvManual,2),INDEX(ORÇAMENTO!$AA$15:$AA$191,MATCH($A21,ORÇAMENTO!$E$15:$E$191,0)))))</f>
        <v>0</v>
      </c>
      <c r="AB21" s="670" cm="1">
        <f t="array" aca="1" ref="AB21" ca="1">IF($B21="Branco",0,IF($B21="Manual",QCI.OutrosManual,IF($B21="SemiAuto",0,INDEX(ORÇAMENTO!$AB$15:$AB$191,MATCH($A21,ORÇAMENTO!$E$15:$E$191,0)))))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s="670" customFormat="1" ht="30" hidden="1" customHeight="1" x14ac:dyDescent="0.2">
      <c r="A22" s="670">
        <f t="shared" ca="1" si="0"/>
        <v>9</v>
      </c>
      <c r="B22" s="670" t="str">
        <f ca="1">IF(NOT(ISBLANK(QCI.DescManual)),IF(QCI.Divisao="Calculado","Manual","SemiAuto"),IF(ISERROR(MATCH($A22,ORÇAMENTO!$E$15:$E$191,0)),"Branco","Automático"))</f>
        <v>Branco</v>
      </c>
      <c r="C22" s="670" t="str">
        <f t="shared" ca="1" si="1"/>
        <v/>
      </c>
      <c r="D22" s="281">
        <f t="shared" si="2"/>
        <v>9</v>
      </c>
      <c r="E22" s="118"/>
      <c r="F22" s="118"/>
      <c r="G22" s="163" t="str">
        <f ca="1">IF(OR($B22="Manual",$B22="SemiAuto"),QCI.DescManual,IF($B22="Automático",INDEX(ORÇAMENTO!$R$15:$R$191,MATCH($A22,ORÇAMENTO!$E$15:$E$191,0)),""))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IF($B22="Branco",0,IF(OR($B22="Manual",$B22="SemiAuto"),QCI.InvManual,INDEX(ORÇAMENTO!X$15:X$191,MATCH($A22,ORÇAMENTO!$E$15:$E$191,0))))</f>
        <v>0</v>
      </c>
      <c r="P22" s="577" t="str">
        <f t="shared" ca="1" si="6"/>
        <v/>
      </c>
      <c r="R22" s="465"/>
      <c r="S22" s="578" t="str">
        <f t="shared" si="7"/>
        <v/>
      </c>
      <c r="T22" s="466"/>
      <c r="U22" s="579"/>
      <c r="V22" s="467" t="s">
        <v>819</v>
      </c>
      <c r="W22" s="580"/>
      <c r="X22" s="581"/>
      <c r="Z22" s="670">
        <f t="shared" ca="1" si="8"/>
        <v>0</v>
      </c>
      <c r="AA22" s="670" cm="1">
        <f t="array" aca="1" ref="AA22" ca="1">IF($B22="Branco",0,IF($B22="Manual",QCI.CPManual,IF($B22="SemiAuto",ROUND(QCI!$AA$3*QCI.InvManual,2),INDEX(ORÇAMENTO!$AA$15:$AA$191,MATCH($A22,ORÇAMENTO!$E$15:$E$191,0)))))</f>
        <v>0</v>
      </c>
      <c r="AB22" s="670" cm="1">
        <f t="array" aca="1" ref="AB22" ca="1">IF($B22="Branco",0,IF($B22="Manual",QCI.OutrosManual,IF($B22="SemiAuto",0,INDEX(ORÇAMENTO!$AB$15:$AB$191,MATCH($A22,ORÇAMENTO!$E$15:$E$191,0)))))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s="670" customFormat="1" ht="30" hidden="1" customHeight="1" x14ac:dyDescent="0.2">
      <c r="A23" s="670">
        <f t="shared" ca="1" si="0"/>
        <v>10</v>
      </c>
      <c r="B23" s="670" t="str">
        <f ca="1">IF(NOT(ISBLANK(QCI.DescManual)),IF(QCI.Divisao="Calculado","Manual","SemiAuto"),IF(ISERROR(MATCH($A23,ORÇAMENTO!$E$15:$E$191,0)),"Branco","Automático"))</f>
        <v>Branco</v>
      </c>
      <c r="C23" s="670" t="str">
        <f ca="1">IF(O23&gt;0,"F","")</f>
        <v/>
      </c>
      <c r="D23" s="281">
        <f>ROW()-ROW($D$13)</f>
        <v>10</v>
      </c>
      <c r="E23" s="118"/>
      <c r="F23" s="118"/>
      <c r="G23" s="163" t="str">
        <f ca="1">IF(OR($B23="Manual",$B23="SemiAuto"),QCI.DescManual,IF($B23="Automático",INDEX(ORÇAMENTO!$R$15:$R$191,MATCH($A23,ORÇAMENTO!$E$15:$E$191,0)),""))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IF($B23="Branco",0,IF(OR($B23="Manual",$B23="SemiAuto"),QCI.InvManual,INDEX(ORÇAMENTO!X$15:X$191,MATCH($A23,ORÇAMENTO!$E$15:$E$191,0))))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s="670">
        <f ca="1">$O23-$AA23-$AB23</f>
        <v>0</v>
      </c>
      <c r="AA23" s="670" cm="1">
        <f t="array" aca="1" ref="AA23" ca="1">IF($B23="Branco",0,IF($B23="Manual",QCI.CPManual,IF($B23="SemiAuto",ROUND(QCI!$AA$3*QCI.InvManual,2),INDEX(ORÇAMENTO!$AA$15:$AA$191,MATCH($A23,ORÇAMENTO!$E$15:$E$191,0)))))</f>
        <v>0</v>
      </c>
      <c r="AB23" s="670" cm="1">
        <f t="array" aca="1" ref="AB23" ca="1">IF($B23="Branco",0,IF($B23="Manual",QCI.OutrosManual,IF($B23="SemiAuto",0,INDEX(ORÇAMENTO!$AB$15:$AB$191,MATCH($A23,ORÇAMENTO!$E$15:$E$191,0)))))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855" t="s">
        <v>830</v>
      </c>
      <c r="L24" s="296">
        <f ca="1">SUM(L13:OFFSET(L24,-1,0))</f>
        <v>4985084.83</v>
      </c>
      <c r="M24" s="297">
        <f ca="1">SUM(M13:OFFSET(M24,-1,0))</f>
        <v>0</v>
      </c>
      <c r="N24" s="298">
        <f ca="1">SUM(N13:OFFSET(N24,-1,0))</f>
        <v>0</v>
      </c>
      <c r="O24" s="299">
        <f ca="1">SUM(O13:OFFSET(O24,-1,0))</f>
        <v>4985084.83</v>
      </c>
      <c r="R24" s="300"/>
      <c r="T24" s="301"/>
      <c r="U24" s="302"/>
      <c r="V24" s="303"/>
      <c r="W24" s="304"/>
      <c r="X24" s="305"/>
      <c r="Z24" s="88">
        <f ca="1">SUMPRODUCT(ROUND(Z13:OFFSET(Z24,-1,0),2))</f>
        <v>4985084.83</v>
      </c>
      <c r="AA24" s="88">
        <f ca="1">SUMPRODUCT(ROUND(AA13:OFFSET(AA24,-1,0),2))</f>
        <v>0</v>
      </c>
      <c r="AB24" s="88">
        <f ca="1">SUM(AB13:OFFSET(AB24,-1,0))</f>
        <v>0</v>
      </c>
    </row>
    <row r="25" spans="1:31" x14ac:dyDescent="0.2">
      <c r="B25" t="s">
        <v>831</v>
      </c>
      <c r="C25" t="s">
        <v>536</v>
      </c>
      <c r="D25" s="306"/>
      <c r="E25" s="307"/>
      <c r="F25" s="307"/>
      <c r="G25" s="307"/>
      <c r="H25" s="307"/>
      <c r="I25" s="307"/>
      <c r="J25" s="307"/>
      <c r="K25" s="855"/>
      <c r="L25" s="308">
        <f ca="1">IF(ISERROR(L24/$O24),0,ROUND(L24/$O24,4))</f>
        <v>1</v>
      </c>
      <c r="M25" s="309">
        <f ca="1">IF(ISERROR(M24/$O24),0,ROUND(M24/$O24,4))</f>
        <v>0</v>
      </c>
      <c r="N25" s="310">
        <f ca="1">IF(ISERROR(N24/$O24),0,ROUND(N24/$O24,4))</f>
        <v>0</v>
      </c>
      <c r="O25" s="311">
        <f ca="1">IF(ISERROR(O24/$O24),0,ROUND(O24/$O24,4))</f>
        <v>1</v>
      </c>
      <c r="R25" s="312"/>
      <c r="T25" s="313"/>
      <c r="U25" s="314"/>
      <c r="V25" s="315"/>
      <c r="W25" s="316"/>
      <c r="X25" s="317"/>
    </row>
    <row r="27" spans="1:31" ht="14.25" x14ac:dyDescent="0.2">
      <c r="D27" s="135" t="s">
        <v>689</v>
      </c>
    </row>
    <row r="28" spans="1:31" ht="12.75" customHeight="1" x14ac:dyDescent="0.2">
      <c r="D28" s="798"/>
      <c r="E28" s="798"/>
      <c r="F28" s="798"/>
      <c r="G28" s="798"/>
      <c r="H28" s="798"/>
      <c r="I28" s="798"/>
      <c r="J28" s="798"/>
      <c r="K28" s="798"/>
      <c r="L28" s="798"/>
      <c r="M28" s="798"/>
      <c r="N28" s="798"/>
      <c r="O28" s="798"/>
    </row>
    <row r="29" spans="1:31" ht="12.75" customHeight="1" x14ac:dyDescent="0.2">
      <c r="D29" s="798"/>
      <c r="E29" s="798"/>
      <c r="F29" s="798"/>
      <c r="G29" s="798"/>
      <c r="H29" s="798"/>
      <c r="I29" s="798"/>
      <c r="J29" s="798"/>
      <c r="K29" s="798"/>
      <c r="L29" s="798"/>
      <c r="M29" s="798"/>
      <c r="N29" s="798"/>
      <c r="O29" s="798"/>
    </row>
    <row r="30" spans="1:31" ht="12.75" customHeight="1" x14ac:dyDescent="0.2">
      <c r="D30" s="798"/>
      <c r="E30" s="798"/>
      <c r="F30" s="798"/>
      <c r="G30" s="798"/>
      <c r="H30" s="798"/>
      <c r="I30" s="798"/>
      <c r="J30" s="798"/>
      <c r="K30" s="798"/>
      <c r="L30" s="798"/>
      <c r="M30" s="798"/>
      <c r="N30" s="798"/>
      <c r="O30" s="798"/>
    </row>
    <row r="33" spans="4:12" ht="15" x14ac:dyDescent="0.2">
      <c r="D33" s="800" t="str">
        <f>Import.Município</f>
        <v>BOA ESPERANÇA</v>
      </c>
      <c r="E33" s="800"/>
      <c r="F33" s="800"/>
      <c r="I33" s="139"/>
      <c r="J33" s="139"/>
      <c r="K33" s="180"/>
      <c r="L33" s="180"/>
    </row>
    <row r="34" spans="4:12" x14ac:dyDescent="0.2">
      <c r="D34" s="9" t="s">
        <v>693</v>
      </c>
      <c r="I34" s="181" t="s">
        <v>832</v>
      </c>
      <c r="J34" s="181"/>
    </row>
    <row r="35" spans="4:12" x14ac:dyDescent="0.2">
      <c r="I35" s="77" t="str">
        <f>"Nome:" &amp;  " " &amp; DADOS!C28</f>
        <v xml:space="preserve">Nome: AROLDO MEDEIROS </v>
      </c>
    </row>
    <row r="36" spans="4:12" x14ac:dyDescent="0.2">
      <c r="D36" s="794">
        <f>DADOS!$C$25</f>
        <v>46106</v>
      </c>
      <c r="E36" s="794"/>
      <c r="F36" s="794"/>
      <c r="I36" s="77" t="str">
        <f>"Cargo:"  &amp; " " &amp; DADOS!C29</f>
        <v>Cargo: PREFEITO</v>
      </c>
    </row>
    <row r="37" spans="4:12" x14ac:dyDescent="0.2">
      <c r="D37" s="140" t="s">
        <v>694</v>
      </c>
      <c r="E37" s="1"/>
      <c r="F37" s="1"/>
      <c r="K37" s="77"/>
      <c r="L37" s="78"/>
    </row>
  </sheetData>
  <sheetProtection algorithmName="SHA-512" hashValue="HlmCteY89X0/YfuBOhMBiVuqfaLs1aVQH1STVmQBpbqnURyMTT9PkbfAMi/ZdaFWTMaiPJ9CCYhdQWjqNahEow==" saltValue="BwPmLfEc1LpHxpuZOhaKSA==" spinCount="100000" sheet="1" objects="1" scenarios="1" autoFilter="0"/>
  <autoFilter ref="C13:C25" xr:uid="{00000000-0009-0000-0000-00000A000000}">
    <filterColumn colId="0">
      <customFilters>
        <customFilter operator="notEqual" val=" "/>
      </customFilters>
    </filterColumn>
  </autoFilter>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258" priority="969" stopIfTrue="1">
      <formula>OR($B12="Automático",$B12="Branco")</formula>
    </cfRule>
  </conditionalFormatting>
  <conditionalFormatting sqref="L12">
    <cfRule type="expression" dxfId="257" priority="970"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256" priority="971" stopIfTrue="1">
      <formula>OR($B12="Automático",$B12="Branco",$V12&lt;&gt;"Calculado")</formula>
    </cfRule>
  </conditionalFormatting>
  <conditionalFormatting sqref="M25">
    <cfRule type="expression" dxfId="255" priority="973" stopIfTrue="1">
      <formula>AND($G$9&lt;&gt;"",OR($M$25&lt;Import.CPMinPerc,$M$25&gt;Import.CPMaxPerc))</formula>
    </cfRule>
  </conditionalFormatting>
  <conditionalFormatting sqref="M24">
    <cfRule type="expression" dxfId="254" priority="974" stopIfTrue="1">
      <formula>AND($G$9&lt;&gt;"",$M$24&lt;Import.CPMinAbsoluta)</formula>
    </cfRule>
  </conditionalFormatting>
  <conditionalFormatting sqref="L10:M10">
    <cfRule type="cellIs" dxfId="253" priority="975" stopIfTrue="1" operator="lessThan">
      <formula>0</formula>
    </cfRule>
  </conditionalFormatting>
  <conditionalFormatting sqref="G12">
    <cfRule type="cellIs" dxfId="252" priority="976" stopIfTrue="1" operator="equal">
      <formula>"(digite a descrição aqui)"</formula>
    </cfRule>
  </conditionalFormatting>
  <conditionalFormatting sqref="T14:V22">
    <cfRule type="expression" dxfId="251" priority="5" stopIfTrue="1">
      <formula>OR($B14="Automático",$B14="Branco")</formula>
    </cfRule>
  </conditionalFormatting>
  <conditionalFormatting sqref="L14:L22">
    <cfRule type="expression" dxfId="250"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249" priority="7" stopIfTrue="1">
      <formula>OR($B14="Automático",$B14="Branco",$V14&lt;&gt;"Calculado")</formula>
    </cfRule>
  </conditionalFormatting>
  <conditionalFormatting sqref="G14:G22">
    <cfRule type="cellIs" dxfId="248" priority="8" stopIfTrue="1" operator="equal">
      <formula>"(digite a descrição aqui)"</formula>
    </cfRule>
  </conditionalFormatting>
  <conditionalFormatting sqref="T23:V23">
    <cfRule type="expression" dxfId="247" priority="1" stopIfTrue="1">
      <formula>OR($B23="Automático",$B23="Branco")</formula>
    </cfRule>
  </conditionalFormatting>
  <conditionalFormatting sqref="L23">
    <cfRule type="expression" dxfId="246"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245" priority="3" stopIfTrue="1">
      <formula>OR($B23="Automático",$B23="Branco",$V23&lt;&gt;"Calculado")</formula>
    </cfRule>
  </conditionalFormatting>
  <conditionalFormatting sqref="G23">
    <cfRule type="cellIs" dxfId="244"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63"/>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862" t="e">
        <f ca="1">IF(AUTOEVENTO="Manual",OFFSET(EVENTOS!$D$15,$B1-$B$15,0),IF(B1&lt;=MAX(CÁLCULO!$M$15:$M$191),VLOOKUP($B1,CÁLCULO!$M$15:$N$191,2,FALSE),0))</f>
        <v>#REF!</v>
      </c>
      <c r="D1" s="862"/>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781" t="s">
        <v>644</v>
      </c>
      <c r="AE3" s="781"/>
      <c r="AF3" s="781"/>
    </row>
    <row r="4" spans="1:33" ht="15.75" x14ac:dyDescent="0.2">
      <c r="B4" s="82"/>
      <c r="C4" s="82"/>
      <c r="H4" s="83" t="str">
        <f>import.recurso</f>
        <v>OGU</v>
      </c>
      <c r="AD4" s="782" t="s">
        <v>647</v>
      </c>
      <c r="AE4" s="782"/>
      <c r="AF4" s="782"/>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871" t="str" cm="1">
        <f t="array" ref="AE6">IF(TIPOORCAMENTO="Licitado","Nº CTEF","")</f>
        <v/>
      </c>
      <c r="AF6" s="871"/>
    </row>
    <row r="7" spans="1:33" x14ac:dyDescent="0.2">
      <c r="B7" s="842" t="str">
        <f>Import.CR</f>
        <v>56000000966/2023</v>
      </c>
      <c r="C7" s="842"/>
      <c r="D7" s="214" t="str">
        <f>Import.TransfereGOV</f>
        <v>27488/2025</v>
      </c>
      <c r="E7" s="42"/>
      <c r="H7" s="841" t="str">
        <f>Import.Proponente</f>
        <v>MUNICIPIO DE BOA ESPERANCA</v>
      </c>
      <c r="I7" s="841"/>
      <c r="J7" s="841"/>
      <c r="K7" s="841"/>
      <c r="L7" s="841"/>
      <c r="M7" s="841"/>
      <c r="N7" s="841"/>
      <c r="O7" s="842" t="str">
        <f>Import.Apelido</f>
        <v>AMPLIAÇÃO NO SISTEMA DE ÁGUA- BAIRRO NOVA ESPERANÇA</v>
      </c>
      <c r="P7" s="842"/>
      <c r="Q7" s="842"/>
      <c r="R7" s="842"/>
      <c r="S7" s="842"/>
      <c r="T7" s="842"/>
      <c r="U7" s="842"/>
      <c r="V7" s="842" t="str" cm="1">
        <f t="array" ref="V7">IF(TIPOORCAMENTO="Licitado",Import.empresa,Import.DescLote)</f>
        <v>Ampliação e modernização do sistema de abastecimento de água do Município de Boa Esperança.</v>
      </c>
      <c r="W7" s="842"/>
      <c r="X7" s="842"/>
      <c r="Y7" s="842"/>
      <c r="Z7" s="842"/>
      <c r="AA7" s="842"/>
      <c r="AB7" s="842"/>
      <c r="AC7" s="842"/>
      <c r="AD7" s="842"/>
      <c r="AE7" s="872" t="str" cm="1">
        <f t="array" ref="AE7">IF(TIPOORCAMENTO="Licitado",Import.CTEF,"")</f>
        <v/>
      </c>
      <c r="AF7" s="872"/>
      <c r="AG7" s="265"/>
    </row>
    <row r="9" spans="1:33" ht="15.75" x14ac:dyDescent="0.25">
      <c r="A9" s="165">
        <v>0</v>
      </c>
      <c r="B9" s="266"/>
      <c r="C9" s="266"/>
      <c r="I9" s="267" t="s">
        <v>834</v>
      </c>
      <c r="J9" s="874">
        <v>1</v>
      </c>
      <c r="K9" s="874"/>
      <c r="M9" s="267" t="s">
        <v>799</v>
      </c>
      <c r="N9" s="875" t="str">
        <f ca="1">TEXT(IF(PLE.Medicao=1,Import.DataInicioObra,OFFSET($H$49,0,1+(PLE.Medicao-$I$50)*2-2)+1),"dd/mm/aaaa")&amp;" a "&amp;TEXT(OFFSET($H$49,0,1+(PLE.Medicao-$I$50)*2),"dd/mm/aaaa")</f>
        <v>00/01/1900 a 00/01/1900</v>
      </c>
      <c r="O9" s="875"/>
      <c r="P9" s="875"/>
      <c r="Q9" s="875"/>
      <c r="R9" s="875"/>
      <c r="S9" s="875"/>
      <c r="T9" s="875"/>
      <c r="U9" s="268"/>
      <c r="X9" s="267" t="s">
        <v>835</v>
      </c>
      <c r="Y9" s="873">
        <f ca="1">OFFSET($I$50,1+8*(ROUNDUP(($J$9-0)/((COLUMN($AG$14)-COLUMN($G$14)-1)/25*12),0)-1),ROUNDDOWN((($J$9-0)-OFFSET($I$50,8*(ROUNDUP(($J$9-0)/((COLUMN($AG$14)-COLUMN($G$14)-1)/25*12),0)-1),0))*(2+1/12),0))</f>
        <v>0</v>
      </c>
      <c r="Z9" s="873"/>
      <c r="AD9" s="267" t="s">
        <v>836</v>
      </c>
      <c r="AE9" s="873">
        <f ca="1">OFFSET($I$50,3+8*(ROUNDUP(($J$9-0)/((COLUMN($AG$14)-COLUMN($G$14)-1)/25*12),0)-1),ROUNDDOWN((($J$9-0)-OFFSET($I$50,8*(ROUNDUP(($J$9-0)/((COLUMN($AG$14)-COLUMN($G$14)-1)/25*12),0)-1),0))*(2+1/12),0))</f>
        <v>0</v>
      </c>
      <c r="AF9" s="873"/>
    </row>
    <row r="11" spans="1:33" ht="65.25" customHeight="1" x14ac:dyDescent="0.2">
      <c r="A11" s="250" t="s">
        <v>837</v>
      </c>
      <c r="C11" s="867"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IF($H$49&lt;&gt;"",UPPER($H$49),
 IF($S$58&lt;&gt;"",UPPER($S$58),""))))))</f>
        <v>ALTERE O TIPO DE ORÇAMENTO NA ABA 'MENU' PARA LICITADO.</v>
      </c>
      <c r="D11" s="867"/>
      <c r="F11" s="252" t="str" cm="1">
        <f t="array" aca="1" ref="F11" ca="1">IF(F$12&gt;CÁLCULO.NúmeroDeFrentes,"",OFFSET(CÁLCULO!$P$12,0,F$12))</f>
        <v>Projetos</v>
      </c>
      <c r="H11" s="252" t="str" cm="1">
        <f t="array" aca="1" ref="H11" ca="1">IF(H$12&gt;CÁLCULO.NúmeroDeFrentes,"",OFFSET(CÁLCULO!$P$12,0,H$12))</f>
        <v>Projetos</v>
      </c>
      <c r="I11" s="252" t="str" cm="1">
        <f t="array" aca="1" ref="I11" ca="1">IF(I$12&gt;CÁLCULO.NúmeroDeFrentes,"",OFFSET(CÁLCULO!$P$12,0,I$12))</f>
        <v>Geral</v>
      </c>
      <c r="J11" s="252" t="str" cm="1">
        <f t="array" aca="1" ref="J11" ca="1">IF(J$12&gt;CÁLCULO.NúmeroDeFrentes,"",OFFSET(CÁLCULO!$P$12,0,J$12))</f>
        <v>Reservatório 320m³</v>
      </c>
      <c r="K11" s="252" t="str" cm="1">
        <f t="array" aca="1" ref="K11" ca="1">IF(K$12&gt;CÁLCULO.NúmeroDeFrentes,"",OFFSET(CÁLCULO!$P$12,0,K$12))</f>
        <v>Muro de divisa</v>
      </c>
      <c r="L11" s="252" t="str" cm="1">
        <f t="array" aca="1" ref="L11" ca="1">IF(L$12&gt;CÁLCULO.NúmeroDeFrentes,"",OFFSET(CÁLCULO!$P$12,0,L$12))</f>
        <v>Adutora de água tratada</v>
      </c>
      <c r="M11" s="252" t="str" cm="1">
        <f t="array" aca="1" ref="M11" ca="1">IF(M$12&gt;CÁLCULO.NúmeroDeFrentes,"",OFFSET(CÁLCULO!$P$12,0,M$12))</f>
        <v>Estação Elevatória de água tratada</v>
      </c>
      <c r="N11" s="252" t="str" cm="1">
        <f t="array" aca="1" ref="N11" ca="1">IF(N$12&gt;CÁLCULO.NúmeroDeFrentes,"",OFFSET(CÁLCULO!$P$12,0,N$12))</f>
        <v>Distribuição de água tratada</v>
      </c>
      <c r="O11" s="252" t="str" cm="1">
        <f t="array" aca="1" ref="O11" ca="1">IF(O$12&gt;CÁLCULO.NúmeroDeFrentes,"",OFFSET(CÁLCULO!$P$12,0,O$12))</f>
        <v>Mês 7 de obra</v>
      </c>
      <c r="P11" s="252" t="str" cm="1">
        <f t="array" aca="1" ref="P11" ca="1">IF(P$12&gt;CÁLCULO.NúmeroDeFrentes,"",OFFSET(CÁLCULO!$P$12,0,P$12))</f>
        <v>Mês 8 de obra</v>
      </c>
      <c r="Q11" s="252" t="str" cm="1">
        <f t="array" aca="1" ref="Q11" ca="1">IF(Q$12&gt;CÁLCULO.NúmeroDeFrentes,"",OFFSET(CÁLCULO!$P$12,0,Q$12))</f>
        <v>Mês 9 de obra</v>
      </c>
      <c r="R11" s="252" t="str" cm="1">
        <f t="array" aca="1" ref="R11" ca="1">IF(R$12&gt;CÁLCULO.NúmeroDeFrentes,"",OFFSET(CÁLCULO!$P$12,0,R$12))</f>
        <v>Mês 10 de obra</v>
      </c>
      <c r="S11" s="252" cm="1">
        <f t="array" aca="1" ref="S11" ca="1">IF(S$12&gt;CÁLCULO.NúmeroDeFrentes,"",OFFSET(CÁLCULO!$P$12,0,S$12))</f>
        <v>0</v>
      </c>
      <c r="T11" s="252" cm="1">
        <f t="array" aca="1" ref="T11" ca="1">IF(T$12&gt;CÁLCULO.NúmeroDeFrentes,"",OFFSET(CÁLCULO!$P$12,0,T$12))</f>
        <v>0</v>
      </c>
      <c r="U11" s="252" cm="1">
        <f t="array" aca="1" ref="U11" ca="1">IF(U$12&gt;CÁLCULO.NúmeroDeFrentes,"",OFFSET(CÁLCULO!$P$12,0,U$12))</f>
        <v>0</v>
      </c>
      <c r="V11" s="252" cm="1">
        <f t="array" aca="1" ref="V11" ca="1">IF(V$12&gt;CÁLCULO.NúmeroDeFrentes,"",OFFSET(CÁLCULO!$P$12,0,V$12))</f>
        <v>0</v>
      </c>
      <c r="W11" s="252" cm="1">
        <f t="array" aca="1" ref="W11" ca="1">IF(W$12&gt;CÁLCULO.NúmeroDeFrentes,"",OFFSET(CÁLCULO!$P$12,0,W$12))</f>
        <v>0</v>
      </c>
      <c r="X11" s="252" cm="1">
        <f t="array" aca="1" ref="X11" ca="1">IF(X$12&gt;CÁLCULO.NúmeroDeFrentes,"",OFFSET(CÁLCULO!$P$12,0,X$12))</f>
        <v>0</v>
      </c>
      <c r="Y11" s="252" cm="1">
        <f t="array" aca="1" ref="Y11" ca="1">IF(Y$12&gt;CÁLCULO.NúmeroDeFrentes,"",OFFSET(CÁLCULO!$P$12,0,Y$12))</f>
        <v>0</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833" t="s">
        <v>760</v>
      </c>
      <c r="C12" s="833" t="s">
        <v>778</v>
      </c>
      <c r="D12" s="833"/>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833"/>
      <c r="C13" s="833"/>
      <c r="D13" s="833"/>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7" t="str">
        <f>IF(B15=0,"","F")</f>
        <v/>
      </c>
      <c r="B15" s="257">
        <f>EVENTOS!$C$15</f>
        <v>0</v>
      </c>
      <c r="C15" s="876" t="str">
        <f>EVENTOS!$D$15</f>
        <v/>
      </c>
      <c r="D15" s="876"/>
      <c r="F15" s="260"/>
      <c r="H15" s="260" t="str">
        <f>IF(AUTOEVENTO="MANUAL","A administração local será proporcional a execução dos demais eventos, independente de frentes de obra.","Para aplicação de Adm. Local é necessário definir os eventos manualmente.")</f>
        <v>A administração local será proporcional a execução dos demais eventos, independente de frentes de obra.</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s="670" customFormat="1" ht="19.5" customHeight="1" x14ac:dyDescent="0.2">
      <c r="A16" s="668" t="str">
        <f t="shared" ref="A16:A45" ca="1" si="1">IF(C16=0,"","F")</f>
        <v>F</v>
      </c>
      <c r="B16" s="247">
        <f t="shared" ref="B16:B45" ca="1" si="2">OFFSET(B16,-1,0)+1</f>
        <v>1</v>
      </c>
      <c r="C16" s="862" t="str">
        <f ca="1">IF(AUTOEVENTO="Manual",OFFSET(EVENTOS!$D$15,$B16-$B$15,0),IF(B16&lt;=MAX(CÁLCULO!$M$15:$M$191),VLOOKUP($B16,CÁLCULO!$M$15:$N$191,2,FALSE),0))</f>
        <v>Projetos 1</v>
      </c>
      <c r="D16" s="862"/>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s="739" customFormat="1" ht="19.5" customHeight="1" x14ac:dyDescent="0.2">
      <c r="A17" s="737" t="str">
        <f ca="1">IF(C17=0,"","F")</f>
        <v>F</v>
      </c>
      <c r="B17" s="247">
        <f ca="1">OFFSET(B17,-1,0)+1</f>
        <v>2</v>
      </c>
      <c r="C17" s="862" t="str">
        <f ca="1">IF(AUTOEVENTO="Manual",OFFSET(EVENTOS!$D$15,$B17-$B$15,0),IF(B17&lt;=MAX(CÁLCULO!$M$15:$M$191),VLOOKUP($B17,CÁLCULO!$M$15:$N$191,2,FALSE),0))</f>
        <v>Projetos 2</v>
      </c>
      <c r="D17" s="862"/>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s="670" customFormat="1" ht="19.5" customHeight="1" x14ac:dyDescent="0.2">
      <c r="A18" s="668" t="str">
        <f t="shared" ca="1" si="1"/>
        <v>F</v>
      </c>
      <c r="B18" s="247">
        <f t="shared" ca="1" si="2"/>
        <v>3</v>
      </c>
      <c r="C18" s="862" t="str">
        <f ca="1">IF(AUTOEVENTO="Manual",OFFSET(EVENTOS!$D$15,$B18-$B$15,0),IF(B18&lt;=MAX(CÁLCULO!$M$15:$M$191),VLOOKUP($B18,CÁLCULO!$M$15:$N$191,2,FALSE),0))</f>
        <v>Canteiro de Obras</v>
      </c>
      <c r="D18" s="862"/>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s="670" customFormat="1" ht="19.5" customHeight="1" x14ac:dyDescent="0.2">
      <c r="A19" s="668" t="str">
        <f t="shared" ca="1" si="1"/>
        <v>F</v>
      </c>
      <c r="B19" s="247">
        <f t="shared" ca="1" si="2"/>
        <v>4</v>
      </c>
      <c r="C19" s="862" t="str">
        <f ca="1">IF(AUTOEVENTO="Manual",OFFSET(EVENTOS!$D$15,$B19-$B$15,0),IF(B19&lt;=MAX(CÁLCULO!$M$15:$M$191),VLOOKUP($B19,CÁLCULO!$M$15:$N$191,2,FALSE),0))</f>
        <v>Serviços Preliminares</v>
      </c>
      <c r="D19" s="862"/>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s="670" customFormat="1" ht="19.5" customHeight="1" x14ac:dyDescent="0.2">
      <c r="A20" s="668" t="str">
        <f t="shared" ca="1" si="1"/>
        <v>F</v>
      </c>
      <c r="B20" s="247">
        <f t="shared" ca="1" si="2"/>
        <v>5</v>
      </c>
      <c r="C20" s="862" t="str">
        <f ca="1">IF(AUTOEVENTO="Manual",OFFSET(EVENTOS!$D$15,$B20-$B$15,0),IF(B20&lt;=MAX(CÁLCULO!$M$15:$M$191),VLOOKUP($B20,CÁLCULO!$M$15:$N$191,2,FALSE),0))</f>
        <v>Administração Local</v>
      </c>
      <c r="D20" s="862"/>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s="670" customFormat="1" ht="19.5" customHeight="1" x14ac:dyDescent="0.2">
      <c r="A21" s="668" t="str">
        <f t="shared" ca="1" si="1"/>
        <v>F</v>
      </c>
      <c r="B21" s="247">
        <f t="shared" ca="1" si="2"/>
        <v>6</v>
      </c>
      <c r="C21" s="862" t="str">
        <f ca="1">IF(AUTOEVENTO="Manual",OFFSET(EVENTOS!$D$15,$B21-$B$15,0),IF(B21&lt;=MAX(CÁLCULO!$M$15:$M$191),VLOOKUP($B21,CÁLCULO!$M$15:$N$191,2,FALSE),0))</f>
        <v>Demolições / Remoções</v>
      </c>
      <c r="D21" s="862"/>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s="670" customFormat="1" ht="19.5" customHeight="1" x14ac:dyDescent="0.2">
      <c r="A22" s="668" t="str">
        <f t="shared" ca="1" si="1"/>
        <v>F</v>
      </c>
      <c r="B22" s="247">
        <f t="shared" ca="1" si="2"/>
        <v>7</v>
      </c>
      <c r="C22" s="862" t="str">
        <f ca="1">IF(AUTOEVENTO="Manual",OFFSET(EVENTOS!$D$15,$B22-$B$15,0),IF(B22&lt;=MAX(CÁLCULO!$M$15:$M$191),VLOOKUP($B22,CÁLCULO!$M$15:$N$191,2,FALSE),0))</f>
        <v>Escavação - preparo de fundo de vala</v>
      </c>
      <c r="D22" s="862"/>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s="731" customFormat="1" ht="19.5" customHeight="1" x14ac:dyDescent="0.2">
      <c r="A23" s="730" t="str">
        <f t="shared" ca="1" si="1"/>
        <v>F</v>
      </c>
      <c r="B23" s="247">
        <f t="shared" ca="1" si="2"/>
        <v>8</v>
      </c>
      <c r="C23" s="862" t="str">
        <f ca="1">IF(AUTOEVENTO="Manual",OFFSET(EVENTOS!$D$15,$B23-$B$15,0),IF(B23&lt;=MAX(CÁLCULO!$M$15:$M$191),VLOOKUP($B23,CÁLCULO!$M$15:$N$191,2,FALSE),0))</f>
        <v>Assentamento de tubulação</v>
      </c>
      <c r="D23" s="862"/>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s="731" customFormat="1" ht="19.5" customHeight="1" x14ac:dyDescent="0.2">
      <c r="A24" s="730" t="str">
        <f t="shared" ca="1" si="1"/>
        <v>F</v>
      </c>
      <c r="B24" s="247">
        <f t="shared" ca="1" si="2"/>
        <v>9</v>
      </c>
      <c r="C24" s="862" t="str">
        <f ca="1">IF(AUTOEVENTO="Manual",OFFSET(EVENTOS!$D$15,$B24-$B$15,0),IF(B24&lt;=MAX(CÁLCULO!$M$15:$M$191),VLOOKUP($B24,CÁLCULO!$M$15:$N$191,2,FALSE),0))</f>
        <v>Reaterro</v>
      </c>
      <c r="D24" s="862"/>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s="731" customFormat="1" ht="19.5" customHeight="1" x14ac:dyDescent="0.2">
      <c r="A25" s="730" t="str">
        <f t="shared" ca="1" si="1"/>
        <v>F</v>
      </c>
      <c r="B25" s="247">
        <f t="shared" ca="1" si="2"/>
        <v>10</v>
      </c>
      <c r="C25" s="862" t="str">
        <f ca="1">IF(AUTOEVENTO="Manual",OFFSET(EVENTOS!$D$15,$B25-$B$15,0),IF(B25&lt;=MAX(CÁLCULO!$M$15:$M$191),VLOOKUP($B25,CÁLCULO!$M$15:$N$191,2,FALSE),0))</f>
        <v>Fundação - Forma</v>
      </c>
      <c r="D25" s="862"/>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s="731" customFormat="1" ht="19.5" customHeight="1" x14ac:dyDescent="0.2">
      <c r="A26" s="730" t="str">
        <f t="shared" ca="1" si="1"/>
        <v>F</v>
      </c>
      <c r="B26" s="247">
        <f t="shared" ca="1" si="2"/>
        <v>11</v>
      </c>
      <c r="C26" s="862" t="str">
        <f ca="1">IF(AUTOEVENTO="Manual",OFFSET(EVENTOS!$D$15,$B26-$B$15,0),IF(B26&lt;=MAX(CÁLCULO!$M$15:$M$191),VLOOKUP($B26,CÁLCULO!$M$15:$N$191,2,FALSE),0))</f>
        <v>Fundação - Armação</v>
      </c>
      <c r="D26" s="862"/>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s="731" customFormat="1" ht="19.5" customHeight="1" x14ac:dyDescent="0.2">
      <c r="A27" s="730" t="str">
        <f t="shared" ca="1" si="1"/>
        <v>F</v>
      </c>
      <c r="B27" s="247">
        <f t="shared" ca="1" si="2"/>
        <v>12</v>
      </c>
      <c r="C27" s="862" t="str">
        <f ca="1">IF(AUTOEVENTO="Manual",OFFSET(EVENTOS!$D$15,$B27-$B$15,0),IF(B27&lt;=MAX(CÁLCULO!$M$15:$M$191),VLOOKUP($B27,CÁLCULO!$M$15:$N$191,2,FALSE),0))</f>
        <v>Fundação - Concretagem</v>
      </c>
      <c r="D27" s="862"/>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s="728" customFormat="1" ht="19.5" customHeight="1" x14ac:dyDescent="0.2">
      <c r="A28" s="725" t="str">
        <f t="shared" ca="1" si="1"/>
        <v>F</v>
      </c>
      <c r="B28" s="247">
        <f t="shared" ca="1" si="2"/>
        <v>13</v>
      </c>
      <c r="C28" s="862" t="str">
        <f ca="1">IF(AUTOEVENTO="Manual",OFFSET(EVENTOS!$D$15,$B28-$B$15,0),IF(B28&lt;=MAX(CÁLCULO!$M$15:$M$191),VLOOKUP($B28,CÁLCULO!$M$15:$N$191,2,FALSE),0))</f>
        <v>Fundação - Estacas / Tubulões</v>
      </c>
      <c r="D28" s="862"/>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s="728" customFormat="1" ht="19.5" customHeight="1" x14ac:dyDescent="0.2">
      <c r="A29" s="725" t="str">
        <f t="shared" ca="1" si="1"/>
        <v>F</v>
      </c>
      <c r="B29" s="247">
        <f t="shared" ca="1" si="2"/>
        <v>14</v>
      </c>
      <c r="C29" s="862" t="str">
        <f ca="1">IF(AUTOEVENTO="Manual",OFFSET(EVENTOS!$D$15,$B29-$B$15,0),IF(B29&lt;=MAX(CÁLCULO!$M$15:$M$191),VLOOKUP($B29,CÁLCULO!$M$15:$N$191,2,FALSE),0))</f>
        <v>Estrutura - Forma</v>
      </c>
      <c r="D29" s="862"/>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s="728" customFormat="1" ht="19.5" customHeight="1" x14ac:dyDescent="0.2">
      <c r="A30" s="725" t="str">
        <f t="shared" ca="1" si="1"/>
        <v>F</v>
      </c>
      <c r="B30" s="247">
        <f t="shared" ca="1" si="2"/>
        <v>15</v>
      </c>
      <c r="C30" s="862" t="str">
        <f ca="1">IF(AUTOEVENTO="Manual",OFFSET(EVENTOS!$D$15,$B30-$B$15,0),IF(B30&lt;=MAX(CÁLCULO!$M$15:$M$191),VLOOKUP($B30,CÁLCULO!$M$15:$N$191,2,FALSE),0))</f>
        <v>Estrutura - Armadura</v>
      </c>
      <c r="D30" s="862"/>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s="728" customFormat="1" ht="19.5" customHeight="1" x14ac:dyDescent="0.2">
      <c r="A31" s="725" t="str">
        <f t="shared" ca="1" si="1"/>
        <v>F</v>
      </c>
      <c r="B31" s="247">
        <f t="shared" ca="1" si="2"/>
        <v>16</v>
      </c>
      <c r="C31" s="862" t="str">
        <f ca="1">IF(AUTOEVENTO="Manual",OFFSET(EVENTOS!$D$15,$B31-$B$15,0),IF(B31&lt;=MAX(CÁLCULO!$M$15:$M$191),VLOOKUP($B31,CÁLCULO!$M$15:$N$191,2,FALSE),0))</f>
        <v>Estrutura - Concretagem</v>
      </c>
      <c r="D31" s="862"/>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s="728" customFormat="1" ht="19.5" customHeight="1" x14ac:dyDescent="0.2">
      <c r="A32" s="725" t="str">
        <f t="shared" ca="1" si="1"/>
        <v>F</v>
      </c>
      <c r="B32" s="247">
        <f t="shared" ca="1" si="2"/>
        <v>17</v>
      </c>
      <c r="C32" s="862" t="str">
        <f ca="1">IF(AUTOEVENTO="Manual",OFFSET(EVENTOS!$D$15,$B32-$B$15,0),IF(B32&lt;=MAX(CÁLCULO!$M$15:$M$191),VLOOKUP($B32,CÁLCULO!$M$15:$N$191,2,FALSE),0))</f>
        <v>Alvenaria estrutural</v>
      </c>
      <c r="D32" s="862"/>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s="728" customFormat="1" ht="19.5" customHeight="1" x14ac:dyDescent="0.2">
      <c r="A33" s="725" t="str">
        <f t="shared" ca="1" si="1"/>
        <v>F</v>
      </c>
      <c r="B33" s="247">
        <f t="shared" ca="1" si="2"/>
        <v>18</v>
      </c>
      <c r="C33" s="862" t="str">
        <f ca="1">IF(AUTOEVENTO="Manual",OFFSET(EVENTOS!$D$15,$B33-$B$15,0),IF(B33&lt;=MAX(CÁLCULO!$M$15:$M$191),VLOOKUP($B33,CÁLCULO!$M$15:$N$191,2,FALSE),0))</f>
        <v>Reservatório metálico</v>
      </c>
      <c r="D33" s="862"/>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s="728" customFormat="1" ht="19.5" customHeight="1" x14ac:dyDescent="0.2">
      <c r="A34" s="725" t="str">
        <f t="shared" ca="1" si="1"/>
        <v>F</v>
      </c>
      <c r="B34" s="247">
        <f t="shared" ca="1" si="2"/>
        <v>19</v>
      </c>
      <c r="C34" s="862" t="str">
        <f ca="1">IF(AUTOEVENTO="Manual",OFFSET(EVENTOS!$D$15,$B34-$B$15,0),IF(B34&lt;=MAX(CÁLCULO!$M$15:$M$191),VLOOKUP($B34,CÁLCULO!$M$15:$N$191,2,FALSE),0))</f>
        <v>Rede de água - assentamento de tubos</v>
      </c>
      <c r="D34" s="862"/>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s="728" customFormat="1" ht="19.5" customHeight="1" x14ac:dyDescent="0.2">
      <c r="A35" s="725" t="str">
        <f t="shared" ca="1" si="1"/>
        <v>F</v>
      </c>
      <c r="B35" s="247">
        <f t="shared" ca="1" si="2"/>
        <v>20</v>
      </c>
      <c r="C35" s="862" t="str">
        <f ca="1">IF(AUTOEVENTO="Manual",OFFSET(EVENTOS!$D$15,$B35-$B$15,0),IF(B35&lt;=MAX(CÁLCULO!$M$15:$M$191),VLOOKUP($B35,CÁLCULO!$M$15:$N$191,2,FALSE),0))</f>
        <v>Alvenaria</v>
      </c>
      <c r="D35" s="862"/>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s="728" customFormat="1" ht="19.5" customHeight="1" x14ac:dyDescent="0.2">
      <c r="A36" s="725" t="str">
        <f t="shared" ca="1" si="1"/>
        <v>F</v>
      </c>
      <c r="B36" s="247">
        <f t="shared" ca="1" si="2"/>
        <v>21</v>
      </c>
      <c r="C36" s="862" t="str">
        <f ca="1">IF(AUTOEVENTO="Manual",OFFSET(EVENTOS!$D$15,$B36-$B$15,0),IF(B36&lt;=MAX(CÁLCULO!$M$15:$M$191),VLOOKUP($B36,CÁLCULO!$M$15:$N$191,2,FALSE),0))</f>
        <v>Cobertura</v>
      </c>
      <c r="D36" s="862"/>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row>
    <row r="37" spans="1:32" s="728" customFormat="1" ht="19.5" customHeight="1" x14ac:dyDescent="0.2">
      <c r="A37" s="725" t="str">
        <f t="shared" ca="1" si="1"/>
        <v>F</v>
      </c>
      <c r="B37" s="247">
        <f t="shared" ca="1" si="2"/>
        <v>22</v>
      </c>
      <c r="C37" s="862" t="str">
        <f ca="1">IF(AUTOEVENTO="Manual",OFFSET(EVENTOS!$D$15,$B37-$B$15,0),IF(B37&lt;=MAX(CÁLCULO!$M$15:$M$191),VLOOKUP($B37,CÁLCULO!$M$15:$N$191,2,FALSE),0))</f>
        <v>Revestimento de parede</v>
      </c>
      <c r="D37" s="862"/>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1:32" s="734" customFormat="1" ht="19.5" customHeight="1" x14ac:dyDescent="0.2">
      <c r="A38" s="733" t="str">
        <f t="shared" ca="1" si="1"/>
        <v>F</v>
      </c>
      <c r="B38" s="247">
        <f t="shared" ca="1" si="2"/>
        <v>23</v>
      </c>
      <c r="C38" s="862" t="str">
        <f ca="1">IF(AUTOEVENTO="Manual",OFFSET(EVENTOS!$D$15,$B38-$B$15,0),IF(B38&lt;=MAX(CÁLCULO!$M$15:$M$191),VLOOKUP($B38,CÁLCULO!$M$15:$N$191,2,FALSE),0))</f>
        <v>Revestimento de piso</v>
      </c>
      <c r="D38" s="862"/>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row>
    <row r="39" spans="1:32" s="734" customFormat="1" ht="19.5" customHeight="1" x14ac:dyDescent="0.2">
      <c r="A39" s="733" t="str">
        <f t="shared" ca="1" si="1"/>
        <v>F</v>
      </c>
      <c r="B39" s="247">
        <f t="shared" ca="1" si="2"/>
        <v>24</v>
      </c>
      <c r="C39" s="862" t="str">
        <f ca="1">IF(AUTOEVENTO="Manual",OFFSET(EVENTOS!$D$15,$B39-$B$15,0),IF(B39&lt;=MAX(CÁLCULO!$M$15:$M$191),VLOOKUP($B39,CÁLCULO!$M$15:$N$191,2,FALSE),0))</f>
        <v>Instalações hidrossanitárias</v>
      </c>
      <c r="D39" s="862"/>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row>
    <row r="40" spans="1:32" s="734" customFormat="1" ht="19.5" customHeight="1" x14ac:dyDescent="0.2">
      <c r="A40" s="733" t="str">
        <f t="shared" ca="1" si="1"/>
        <v>F</v>
      </c>
      <c r="B40" s="247">
        <f t="shared" ca="1" si="2"/>
        <v>25</v>
      </c>
      <c r="C40" s="862" t="str">
        <f ca="1">IF(AUTOEVENTO="Manual",OFFSET(EVENTOS!$D$15,$B40-$B$15,0),IF(B40&lt;=MAX(CÁLCULO!$M$15:$M$191),VLOOKUP($B40,CÁLCULO!$M$15:$N$191,2,FALSE),0))</f>
        <v>Instalações elétricas</v>
      </c>
      <c r="D40" s="862"/>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row>
    <row r="41" spans="1:32" s="734" customFormat="1" ht="19.5" customHeight="1" x14ac:dyDescent="0.2">
      <c r="A41" s="733" t="str">
        <f t="shared" ca="1" si="1"/>
        <v>F</v>
      </c>
      <c r="B41" s="247">
        <f t="shared" ca="1" si="2"/>
        <v>26</v>
      </c>
      <c r="C41" s="862" t="str">
        <f ca="1">IF(AUTOEVENTO="Manual",OFFSET(EVENTOS!$D$15,$B41-$B$15,0),IF(B41&lt;=MAX(CÁLCULO!$M$15:$M$191),VLOOKUP($B41,CÁLCULO!$M$15:$N$191,2,FALSE),0))</f>
        <v>Instalações mecânicas</v>
      </c>
      <c r="D41" s="862"/>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1:32" s="734" customFormat="1" ht="19.5" customHeight="1" x14ac:dyDescent="0.2">
      <c r="A42" s="733" t="str">
        <f t="shared" ca="1" si="1"/>
        <v>F</v>
      </c>
      <c r="B42" s="247">
        <f t="shared" ca="1" si="2"/>
        <v>27</v>
      </c>
      <c r="C42" s="862" t="str">
        <f ca="1">IF(AUTOEVENTO="Manual",OFFSET(EVENTOS!$D$15,$B42-$B$15,0),IF(B42&lt;=MAX(CÁLCULO!$M$15:$M$191),VLOOKUP($B42,CÁLCULO!$M$15:$N$191,2,FALSE),0))</f>
        <v>Esquadrias</v>
      </c>
      <c r="D42" s="862"/>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row>
    <row r="43" spans="1:32" s="734" customFormat="1" ht="19.5" customHeight="1" x14ac:dyDescent="0.2">
      <c r="A43" s="733" t="str">
        <f t="shared" ca="1" si="1"/>
        <v>F</v>
      </c>
      <c r="B43" s="247">
        <f t="shared" ca="1" si="2"/>
        <v>28</v>
      </c>
      <c r="C43" s="862" t="str">
        <f ca="1">IF(AUTOEVENTO="Manual",OFFSET(EVENTOS!$D$15,$B43-$B$15,0),IF(B43&lt;=MAX(CÁLCULO!$M$15:$M$191),VLOOKUP($B43,CÁLCULO!$M$15:$N$191,2,FALSE),0))</f>
        <v>Pavimentação</v>
      </c>
      <c r="D43" s="862"/>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row>
    <row r="44" spans="1:32" s="734" customFormat="1" ht="19.5" customHeight="1" x14ac:dyDescent="0.2">
      <c r="A44" s="733" t="str">
        <f t="shared" ca="1" si="1"/>
        <v>F</v>
      </c>
      <c r="B44" s="247">
        <f t="shared" ca="1" si="2"/>
        <v>29</v>
      </c>
      <c r="C44" s="862" t="str">
        <f ca="1">IF(AUTOEVENTO="Manual",OFFSET(EVENTOS!$D$15,$B44-$B$15,0),IF(B44&lt;=MAX(CÁLCULO!$M$15:$M$191),VLOOKUP($B44,CÁLCULO!$M$15:$N$191,2,FALSE),0))</f>
        <v>Pintura</v>
      </c>
      <c r="D44" s="862"/>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row>
    <row r="45" spans="1:32" s="734" customFormat="1" ht="19.5" customHeight="1" x14ac:dyDescent="0.2">
      <c r="A45" s="733" t="str">
        <f t="shared" ca="1" si="1"/>
        <v>F</v>
      </c>
      <c r="B45" s="247">
        <f t="shared" ca="1" si="2"/>
        <v>30</v>
      </c>
      <c r="C45" s="862" t="str">
        <f ca="1">IF(AUTOEVENTO="Manual",OFFSET(EVENTOS!$D$15,$B45-$B$15,0),IF(B45&lt;=MAX(CÁLCULO!$M$15:$M$191),VLOOKUP($B45,CÁLCULO!$M$15:$N$191,2,FALSE),0))</f>
        <v>Limpeza Final</v>
      </c>
      <c r="D45" s="862"/>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row>
    <row r="46" spans="1:32" ht="4.5" customHeight="1" x14ac:dyDescent="0.2">
      <c r="A46" s="7" t="s">
        <v>536</v>
      </c>
      <c r="B46" s="618"/>
      <c r="C46" s="619"/>
      <c r="D46" s="419"/>
      <c r="F46" s="636"/>
      <c r="H46" s="618"/>
      <c r="I46" s="619"/>
      <c r="J46" s="619"/>
      <c r="K46" s="619"/>
      <c r="L46" s="619"/>
      <c r="M46" s="619"/>
      <c r="N46" s="619"/>
      <c r="O46" s="619"/>
      <c r="P46" s="619"/>
      <c r="Q46" s="619"/>
      <c r="R46" s="619"/>
      <c r="S46" s="619"/>
      <c r="T46" s="619"/>
      <c r="U46" s="619"/>
      <c r="V46" s="619"/>
      <c r="W46" s="619"/>
      <c r="X46" s="619"/>
      <c r="Y46" s="619"/>
      <c r="Z46" s="619"/>
      <c r="AA46" s="619"/>
      <c r="AB46" s="619"/>
      <c r="AC46" s="619"/>
      <c r="AD46" s="619"/>
      <c r="AE46" s="619"/>
      <c r="AF46" s="419"/>
    </row>
    <row r="47" spans="1:32" x14ac:dyDescent="0.2">
      <c r="A47" s="7" t="s">
        <v>536</v>
      </c>
    </row>
    <row r="48" spans="1:32" x14ac:dyDescent="0.2">
      <c r="A48" s="7" t="s">
        <v>536</v>
      </c>
      <c r="I48" s="881" t="s">
        <v>839</v>
      </c>
      <c r="J48" s="881"/>
      <c r="K48" s="881"/>
      <c r="L48" s="881"/>
      <c r="M48" s="881"/>
      <c r="N48" s="881"/>
      <c r="O48" s="881"/>
      <c r="P48" s="881"/>
      <c r="Q48" s="881"/>
      <c r="R48" s="881"/>
      <c r="S48" s="881"/>
      <c r="T48" s="881"/>
      <c r="U48" s="881"/>
      <c r="V48" s="881"/>
      <c r="W48" s="881"/>
      <c r="X48" s="881"/>
      <c r="Y48" s="881"/>
      <c r="Z48" s="881"/>
      <c r="AA48" s="881"/>
      <c r="AB48" s="881"/>
      <c r="AC48" s="881"/>
      <c r="AD48" s="881"/>
      <c r="AE48" s="881"/>
      <c r="AF48" s="881"/>
    </row>
    <row r="49" spans="1:32" x14ac:dyDescent="0.2">
      <c r="A49" s="7" t="s">
        <v>536</v>
      </c>
      <c r="H49" s="583" t="str">
        <f>IF(INDEX($I$49:$AG$49,MATCH(PLE.Medicao,$I$50:$AG$50,0))="","Preencher a data da medição "&amp;PLE.Medicao,"")</f>
        <v>Preencher a data da medição 1</v>
      </c>
      <c r="I49" s="869"/>
      <c r="J49" s="866"/>
      <c r="K49" s="866"/>
      <c r="L49" s="866"/>
      <c r="M49" s="866"/>
      <c r="N49" s="866"/>
      <c r="O49" s="866"/>
      <c r="P49" s="866"/>
      <c r="Q49" s="866"/>
      <c r="R49" s="866"/>
      <c r="S49" s="866"/>
      <c r="T49" s="866"/>
      <c r="U49" s="866"/>
      <c r="V49" s="866"/>
      <c r="W49" s="866"/>
      <c r="X49" s="866"/>
      <c r="Y49" s="866"/>
      <c r="Z49" s="866"/>
      <c r="AA49" s="866"/>
      <c r="AB49" s="866"/>
      <c r="AC49" s="866"/>
      <c r="AD49" s="866"/>
      <c r="AE49" s="866"/>
      <c r="AF49" s="880"/>
    </row>
    <row r="50" spans="1:32" x14ac:dyDescent="0.2">
      <c r="A50" s="7" t="s">
        <v>536</v>
      </c>
      <c r="D50" s="269" t="s">
        <v>840</v>
      </c>
      <c r="I50" s="868">
        <f>IF(PLE.Medicao&lt;=12,1,TRUNC((PLE.Medicao - 2)/11,0) * 11 + 1)</f>
        <v>1</v>
      </c>
      <c r="J50" s="868"/>
      <c r="K50" s="868">
        <f>I50+1</f>
        <v>2</v>
      </c>
      <c r="L50" s="868"/>
      <c r="M50" s="868">
        <f>K50+1</f>
        <v>3</v>
      </c>
      <c r="N50" s="868"/>
      <c r="O50" s="868">
        <f>M50+1</f>
        <v>4</v>
      </c>
      <c r="P50" s="868"/>
      <c r="Q50" s="868">
        <f>O50+1</f>
        <v>5</v>
      </c>
      <c r="R50" s="868"/>
      <c r="S50" s="868">
        <f>Q50+1</f>
        <v>6</v>
      </c>
      <c r="T50" s="868"/>
      <c r="U50" s="868">
        <f>S50+1</f>
        <v>7</v>
      </c>
      <c r="V50" s="868"/>
      <c r="W50" s="868">
        <f>U50+1</f>
        <v>8</v>
      </c>
      <c r="X50" s="868"/>
      <c r="Y50" s="868">
        <f>W50+1</f>
        <v>9</v>
      </c>
      <c r="Z50" s="868"/>
      <c r="AA50" s="868">
        <f>Y50+1</f>
        <v>10</v>
      </c>
      <c r="AB50" s="868"/>
      <c r="AC50" s="868">
        <f>AA50+1</f>
        <v>11</v>
      </c>
      <c r="AD50" s="868"/>
      <c r="AE50" s="868">
        <f>AC50+1</f>
        <v>12</v>
      </c>
      <c r="AF50" s="868"/>
    </row>
    <row r="51" spans="1:32" x14ac:dyDescent="0.2">
      <c r="A51" s="7" t="s">
        <v>536</v>
      </c>
      <c r="D51" s="861" t="s">
        <v>799</v>
      </c>
      <c r="H51" s="270" t="s">
        <v>781</v>
      </c>
      <c r="I51" s="870">
        <f ca="1">ROUND(I52,2)/ORÇAMENTO!$X$15</f>
        <v>0</v>
      </c>
      <c r="J51" s="870"/>
      <c r="K51" s="877">
        <f ca="1">ROUND(K52,2)/ORÇAMENTO!$X$15</f>
        <v>0</v>
      </c>
      <c r="L51" s="877"/>
      <c r="M51" s="877">
        <f ca="1">ROUND(M52,2)/ORÇAMENTO!$X$15</f>
        <v>0</v>
      </c>
      <c r="N51" s="877"/>
      <c r="O51" s="877">
        <f ca="1">ROUND(O52,2)/ORÇAMENTO!$X$15</f>
        <v>0</v>
      </c>
      <c r="P51" s="877"/>
      <c r="Q51" s="877">
        <f ca="1">ROUND(Q52,2)/ORÇAMENTO!$X$15</f>
        <v>0</v>
      </c>
      <c r="R51" s="877"/>
      <c r="S51" s="877">
        <f ca="1">ROUND(S52,2)/ORÇAMENTO!$X$15</f>
        <v>0</v>
      </c>
      <c r="T51" s="877"/>
      <c r="U51" s="877">
        <f ca="1">ROUND(U52,2)/ORÇAMENTO!$X$15</f>
        <v>0</v>
      </c>
      <c r="V51" s="877"/>
      <c r="W51" s="877">
        <f ca="1">ROUND(W52,2)/ORÇAMENTO!$X$15</f>
        <v>0</v>
      </c>
      <c r="X51" s="877"/>
      <c r="Y51" s="877">
        <f ca="1">ROUND(Y52,2)/ORÇAMENTO!$X$15</f>
        <v>0</v>
      </c>
      <c r="Z51" s="877"/>
      <c r="AA51" s="877">
        <f ca="1">ROUND(AA52,2)/ORÇAMENTO!$X$15</f>
        <v>0</v>
      </c>
      <c r="AB51" s="877"/>
      <c r="AC51" s="877">
        <f ca="1">ROUND(AC52,2)/ORÇAMENTO!$X$15</f>
        <v>0</v>
      </c>
      <c r="AD51" s="877"/>
      <c r="AE51" s="877">
        <f ca="1">ROUND(AE52,2)/ORÇAMENTO!$X$15</f>
        <v>0</v>
      </c>
      <c r="AF51" s="877"/>
    </row>
    <row r="52" spans="1:32" x14ac:dyDescent="0.2">
      <c r="A52" s="7" t="s">
        <v>536</v>
      </c>
      <c r="D52" s="861"/>
      <c r="H52" s="11" t="s">
        <v>782</v>
      </c>
      <c r="I52" s="864" cm="1">
        <f t="array" aca="1" ref="I52" ca="1">IF(I50=1,I54,ROUND(I54,2)-ROUND(SUMIF(CÁLCULO!$BV$15:$CN$191,"&lt;="&amp;PLE!I50-1,CÁLCULO!$AJ$15:$BB$191)*IF(AdmLocal="Automática",(1+CÁLCULO.TotalAdmLocal/(ORÇAMENTO!$X$15-CÁLCULO.TotalAdmLocal)),1),2))</f>
        <v>0</v>
      </c>
      <c r="J52" s="864"/>
      <c r="K52" s="864">
        <f ca="1">ROUND(K54,2)-ROUND(I54,2)</f>
        <v>0</v>
      </c>
      <c r="L52" s="864"/>
      <c r="M52" s="864">
        <f t="shared" ref="M52" ca="1" si="3">ROUND(M54,2)-ROUND(K54,2)</f>
        <v>0</v>
      </c>
      <c r="N52" s="864"/>
      <c r="O52" s="864">
        <f t="shared" ref="O52" ca="1" si="4">ROUND(O54,2)-ROUND(M54,2)</f>
        <v>0</v>
      </c>
      <c r="P52" s="864"/>
      <c r="Q52" s="864">
        <f t="shared" ref="Q52" ca="1" si="5">ROUND(Q54,2)-ROUND(O54,2)</f>
        <v>0</v>
      </c>
      <c r="R52" s="864"/>
      <c r="S52" s="864">
        <f t="shared" ref="S52" ca="1" si="6">ROUND(S54,2)-ROUND(Q54,2)</f>
        <v>0</v>
      </c>
      <c r="T52" s="864"/>
      <c r="U52" s="864">
        <f t="shared" ref="U52" ca="1" si="7">ROUND(U54,2)-ROUND(S54,2)</f>
        <v>0</v>
      </c>
      <c r="V52" s="864"/>
      <c r="W52" s="864">
        <f t="shared" ref="W52" ca="1" si="8">ROUND(W54,2)-ROUND(U54,2)</f>
        <v>0</v>
      </c>
      <c r="X52" s="864"/>
      <c r="Y52" s="864">
        <f t="shared" ref="Y52" ca="1" si="9">ROUND(Y54,2)-ROUND(W54,2)</f>
        <v>0</v>
      </c>
      <c r="Z52" s="864"/>
      <c r="AA52" s="864">
        <f t="shared" ref="AA52" ca="1" si="10">ROUND(AA54,2)-ROUND(Y54,2)</f>
        <v>0</v>
      </c>
      <c r="AB52" s="864"/>
      <c r="AC52" s="864">
        <f t="shared" ref="AC52" ca="1" si="11">ROUND(AC54,2)-ROUND(AA54,2)</f>
        <v>0</v>
      </c>
      <c r="AD52" s="864"/>
      <c r="AE52" s="864">
        <f t="shared" ref="AE52" ca="1" si="12">ROUND(AE54,2)-ROUND(AC54,2)</f>
        <v>0</v>
      </c>
      <c r="AF52" s="864"/>
    </row>
    <row r="53" spans="1:32" x14ac:dyDescent="0.2">
      <c r="A53" s="7" t="s">
        <v>536</v>
      </c>
      <c r="D53" s="861" t="s">
        <v>803</v>
      </c>
      <c r="H53" s="270" t="s">
        <v>781</v>
      </c>
      <c r="I53" s="879">
        <f ca="1">ROUND(I54,2)/ORÇAMENTO!$X$15</f>
        <v>0</v>
      </c>
      <c r="J53" s="879"/>
      <c r="K53" s="865">
        <f ca="1">ROUND(K54,2)/ORÇAMENTO!$X$15</f>
        <v>0</v>
      </c>
      <c r="L53" s="865"/>
      <c r="M53" s="865">
        <f ca="1">ROUND(M54,2)/ORÇAMENTO!$X$15</f>
        <v>0</v>
      </c>
      <c r="N53" s="865"/>
      <c r="O53" s="865">
        <f ca="1">ROUND(O54,2)/ORÇAMENTO!$X$15</f>
        <v>0</v>
      </c>
      <c r="P53" s="865"/>
      <c r="Q53" s="865">
        <f ca="1">ROUND(Q54,2)/ORÇAMENTO!$X$15</f>
        <v>0</v>
      </c>
      <c r="R53" s="865"/>
      <c r="S53" s="865">
        <f ca="1">ROUND(S54,2)/ORÇAMENTO!$X$15</f>
        <v>0</v>
      </c>
      <c r="T53" s="865"/>
      <c r="U53" s="865">
        <f ca="1">ROUND(U54,2)/ORÇAMENTO!$X$15</f>
        <v>0</v>
      </c>
      <c r="V53" s="865"/>
      <c r="W53" s="865">
        <f ca="1">ROUND(W54,2)/ORÇAMENTO!$X$15</f>
        <v>0</v>
      </c>
      <c r="X53" s="865"/>
      <c r="Y53" s="865">
        <f ca="1">ROUND(Y54,2)/ORÇAMENTO!$X$15</f>
        <v>0</v>
      </c>
      <c r="Z53" s="865"/>
      <c r="AA53" s="865">
        <f ca="1">ROUND(AA54,2)/ORÇAMENTO!$X$15</f>
        <v>0</v>
      </c>
      <c r="AB53" s="865"/>
      <c r="AC53" s="865">
        <f ca="1">ROUND(AC54,2)/ORÇAMENTO!$X$15</f>
        <v>0</v>
      </c>
      <c r="AD53" s="865"/>
      <c r="AE53" s="865">
        <f ca="1">ROUND(AE54,2)/ORÇAMENTO!$X$15</f>
        <v>0</v>
      </c>
      <c r="AF53" s="865"/>
    </row>
    <row r="54" spans="1:32" x14ac:dyDescent="0.2">
      <c r="A54" s="7" t="s">
        <v>536</v>
      </c>
      <c r="D54" s="861"/>
      <c r="H54" s="11" t="s">
        <v>782</v>
      </c>
      <c r="I54" s="878" cm="1">
        <f t="array" aca="1" ref="I54" ca="1">SUMIF(CÁLCULO!$BV$15:$CN$191,"&lt;="&amp;PLE!I50,CÁLCULO!$AJ$15:$BB$191)*IF(AdmLocal="Automática",(1+CÁLCULO.TotalAdmLocal/(ORÇAMENTO!$X$15-CÁLCULO.TotalAdmLocal)),1)</f>
        <v>0</v>
      </c>
      <c r="J54" s="878"/>
      <c r="K54" s="864" cm="1">
        <f t="array" aca="1" ref="K54" ca="1">SUMIF(CÁLCULO!$BV$15:$CN$191,"&lt;="&amp;PLE!K50,CÁLCULO!$AJ$15:$BB$191)*IF(AdmLocal="Automática",(1+CÁLCULO.TotalAdmLocal/(ORÇAMENTO!$X$15-CÁLCULO.TotalAdmLocal)),1)</f>
        <v>0</v>
      </c>
      <c r="L54" s="864"/>
      <c r="M54" s="864" cm="1">
        <f t="array" aca="1" ref="M54" ca="1">SUMIF(CÁLCULO!$BV$15:$CN$191,"&lt;="&amp;PLE!M50,CÁLCULO!$AJ$15:$BB$191)*IF(AdmLocal="Automática",(1+CÁLCULO.TotalAdmLocal/(ORÇAMENTO!$X$15-CÁLCULO.TotalAdmLocal)),1)</f>
        <v>0</v>
      </c>
      <c r="N54" s="864"/>
      <c r="O54" s="864" cm="1">
        <f t="array" aca="1" ref="O54" ca="1">SUMIF(CÁLCULO!$BV$15:$CN$191,"&lt;="&amp;PLE!O50,CÁLCULO!$AJ$15:$BB$191)*IF(AdmLocal="Automática",(1+CÁLCULO.TotalAdmLocal/(ORÇAMENTO!$X$15-CÁLCULO.TotalAdmLocal)),1)</f>
        <v>0</v>
      </c>
      <c r="P54" s="864"/>
      <c r="Q54" s="864" cm="1">
        <f t="array" aca="1" ref="Q54" ca="1">SUMIF(CÁLCULO!$BV$15:$CN$191,"&lt;="&amp;PLE!Q50,CÁLCULO!$AJ$15:$BB$191)*IF(AdmLocal="Automática",(1+CÁLCULO.TotalAdmLocal/(ORÇAMENTO!$X$15-CÁLCULO.TotalAdmLocal)),1)</f>
        <v>0</v>
      </c>
      <c r="R54" s="864"/>
      <c r="S54" s="864" cm="1">
        <f t="array" aca="1" ref="S54" ca="1">SUMIF(CÁLCULO!$BV$15:$CN$191,"&lt;="&amp;PLE!S50,CÁLCULO!$AJ$15:$BB$191)*IF(AdmLocal="Automática",(1+CÁLCULO.TotalAdmLocal/(ORÇAMENTO!$X$15-CÁLCULO.TotalAdmLocal)),1)</f>
        <v>0</v>
      </c>
      <c r="T54" s="864"/>
      <c r="U54" s="864" cm="1">
        <f t="array" aca="1" ref="U54" ca="1">SUMIF(CÁLCULO!$BV$15:$CN$191,"&lt;="&amp;PLE!U50,CÁLCULO!$AJ$15:$BB$191)*IF(AdmLocal="Automática",(1+CÁLCULO.TotalAdmLocal/(ORÇAMENTO!$X$15-CÁLCULO.TotalAdmLocal)),1)</f>
        <v>0</v>
      </c>
      <c r="V54" s="864"/>
      <c r="W54" s="864" cm="1">
        <f t="array" aca="1" ref="W54" ca="1">SUMIF(CÁLCULO!$BV$15:$CN$191,"&lt;="&amp;PLE!W50,CÁLCULO!$AJ$15:$BB$191)*IF(AdmLocal="Automática",(1+CÁLCULO.TotalAdmLocal/(ORÇAMENTO!$X$15-CÁLCULO.TotalAdmLocal)),1)</f>
        <v>0</v>
      </c>
      <c r="X54" s="864"/>
      <c r="Y54" s="864" cm="1">
        <f t="array" aca="1" ref="Y54" ca="1">SUMIF(CÁLCULO!$BV$15:$CN$191,"&lt;="&amp;PLE!Y50,CÁLCULO!$AJ$15:$BB$191)*IF(AdmLocal="Automática",(1+CÁLCULO.TotalAdmLocal/(ORÇAMENTO!$X$15-CÁLCULO.TotalAdmLocal)),1)</f>
        <v>0</v>
      </c>
      <c r="Z54" s="864"/>
      <c r="AA54" s="864" cm="1">
        <f t="array" aca="1" ref="AA54" ca="1">SUMIF(CÁLCULO!$BV$15:$CN$191,"&lt;="&amp;PLE!AA50,CÁLCULO!$AJ$15:$BB$191)*IF(AdmLocal="Automática",(1+CÁLCULO.TotalAdmLocal/(ORÇAMENTO!$X$15-CÁLCULO.TotalAdmLocal)),1)</f>
        <v>0</v>
      </c>
      <c r="AB54" s="864"/>
      <c r="AC54" s="864" cm="1">
        <f t="array" aca="1" ref="AC54" ca="1">SUMIF(CÁLCULO!$BV$15:$CN$191,"&lt;="&amp;PLE!AC50,CÁLCULO!$AJ$15:$BB$191)*IF(AdmLocal="Automática",(1+CÁLCULO.TotalAdmLocal/(ORÇAMENTO!$X$15-CÁLCULO.TotalAdmLocal)),1)</f>
        <v>0</v>
      </c>
      <c r="AD54" s="864"/>
      <c r="AE54" s="864" cm="1">
        <f t="array" aca="1" ref="AE54" ca="1">SUMIF(CÁLCULO!$BV$15:$CN$191,"&lt;="&amp;PLE!AE50,CÁLCULO!$AJ$15:$BB$191)*IF(AdmLocal="Automática",(1+CÁLCULO.TotalAdmLocal/(ORÇAMENTO!$X$15-CÁLCULO.TotalAdmLocal)),1)</f>
        <v>0</v>
      </c>
      <c r="AF54" s="864"/>
    </row>
    <row r="55" spans="1:32" ht="12.75" customHeight="1" x14ac:dyDescent="0.2">
      <c r="A55" s="7"/>
      <c r="D55" s="552" t="s">
        <v>784</v>
      </c>
      <c r="H55" s="551" t="s">
        <v>781</v>
      </c>
      <c r="I55" s="821">
        <f ca="1">IF(OR(ACOMPANHAMENTO&lt;&gt;"PLE",I50&gt;PLE.Medicao),0,
   IF(AUTOEVENTO="Manual",
      IF(AdmLocal="Automática",I53,
         IF(Import.EventoAdmLocal="","",SUMIF(OFFSET($G$14,CRONOPLE!$A$8+1,1,1,OFFSET($AG$12,0,-1)),"&lt;="&amp;I50,OFFSET(EVENTOS!$G$14,CRONOPLE!$A$8+1,1,1,OFFSET($AG$12,0,-1)))/OFFSET(EVENTOS!$G$14,CRONOPLE!$A$8+1,-1))),
      IF(Import.EventoAdmLocal="","",SUMIF(OFFSET(CÁLCULO!$BU$15,CRONOPLE!$A$10,1,OFFSET(ORÇAMENTO!$D$15,CRONOPLE!$A$10,0),COLUMN(CÁLCULO!$CN$15)-COLUMN(CÁLCULO!$BU$15)-1),"&lt;="&amp;I50,OFFSET(CÁLCULO!$AI$15,CRONOPLE!$A$10,1,OFFSET(ORÇAMENTO!$D$15,CRONOPLE!$A$10,0),COLUMN(CÁLCULO!$BB$15)-COLUMN(CÁLCULO!$AI$15)-1))/OFFSET(ORÇAMENTO!$X$15,CRONOPLE!$A$10,0))))</f>
        <v>0</v>
      </c>
      <c r="J55" s="821"/>
      <c r="K55" s="821">
        <f ca="1">IF(OR(ACOMPANHAMENTO&lt;&gt;"PLE",K50&gt;PLE.Medicao),0,
   IF(AUTOEVENTO="Manual",
      IF(AdmLocal="Automática",K53,
         IF(Import.EventoAdmLocal="","",SUMIF(OFFSET($G$14,CRONOPLE!$A$8+1,1,1,OFFSET($AG$12,0,-1)),"&lt;="&amp;K50,OFFSET(EVENTOS!$G$14,CRONOPLE!$A$8+1,1,1,OFFSET($AG$12,0,-1)))/OFFSET(EVENTOS!$G$14,CRONOPLE!$A$8+1,-1))),
      IF(Import.EventoAdmLocal="","",SUMIF(OFFSET(CÁLCULO!$BU$15,CRONOPLE!$A$10,1,OFFSET(ORÇAMENTO!$D$15,CRONOPLE!$A$10,0),COLUMN(CÁLCULO!$CN$15)-COLUMN(CÁLCULO!$BU$15)-1),"&lt;="&amp;K50,OFFSET(CÁLCULO!$AI$15,CRONOPLE!$A$10,1,OFFSET(ORÇAMENTO!$D$15,CRONOPLE!$A$10,0),COLUMN(CÁLCULO!$BB$15)-COLUMN(CÁLCULO!$AI$15)-1))/OFFSET(ORÇAMENTO!$X$15,CRONOPLE!$A$10,0))))</f>
        <v>0</v>
      </c>
      <c r="L55" s="821"/>
      <c r="M55" s="821">
        <f ca="1">IF(OR(ACOMPANHAMENTO&lt;&gt;"PLE",M50&gt;PLE.Medicao),0,
   IF(AUTOEVENTO="Manual",
      IF(AdmLocal="Automática",M53,
         IF(Import.EventoAdmLocal="","",SUMIF(OFFSET($G$14,CRONOPLE!$A$8+1,1,1,OFFSET($AG$12,0,-1)),"&lt;="&amp;M50,OFFSET(EVENTOS!$G$14,CRONOPLE!$A$8+1,1,1,OFFSET($AG$12,0,-1)))/OFFSET(EVENTOS!$G$14,CRONOPLE!$A$8+1,-1))),
      IF(Import.EventoAdmLocal="","",SUMIF(OFFSET(CÁLCULO!$BU$15,CRONOPLE!$A$10,1,OFFSET(ORÇAMENTO!$D$15,CRONOPLE!$A$10,0),COLUMN(CÁLCULO!$CN$15)-COLUMN(CÁLCULO!$BU$15)-1),"&lt;="&amp;M50,OFFSET(CÁLCULO!$AI$15,CRONOPLE!$A$10,1,OFFSET(ORÇAMENTO!$D$15,CRONOPLE!$A$10,0),COLUMN(CÁLCULO!$BB$15)-COLUMN(CÁLCULO!$AI$15)-1))/OFFSET(ORÇAMENTO!$X$15,CRONOPLE!$A$10,0))))</f>
        <v>0</v>
      </c>
      <c r="N55" s="821"/>
      <c r="O55" s="821">
        <f ca="1">IF(OR(ACOMPANHAMENTO&lt;&gt;"PLE",O50&gt;PLE.Medicao),0,
   IF(AUTOEVENTO="Manual",
      IF(AdmLocal="Automática",O53,
         IF(Import.EventoAdmLocal="","",SUMIF(OFFSET($G$14,CRONOPLE!$A$8+1,1,1,OFFSET($AG$12,0,-1)),"&lt;="&amp;O50,OFFSET(EVENTOS!$G$14,CRONOPLE!$A$8+1,1,1,OFFSET($AG$12,0,-1)))/OFFSET(EVENTOS!$G$14,CRONOPLE!$A$8+1,-1))),
      IF(Import.EventoAdmLocal="","",SUMIF(OFFSET(CÁLCULO!$BU$15,CRONOPLE!$A$10,1,OFFSET(ORÇAMENTO!$D$15,CRONOPLE!$A$10,0),COLUMN(CÁLCULO!$CN$15)-COLUMN(CÁLCULO!$BU$15)-1),"&lt;="&amp;O50,OFFSET(CÁLCULO!$AI$15,CRONOPLE!$A$10,1,OFFSET(ORÇAMENTO!$D$15,CRONOPLE!$A$10,0),COLUMN(CÁLCULO!$BB$15)-COLUMN(CÁLCULO!$AI$15)-1))/OFFSET(ORÇAMENTO!$X$15,CRONOPLE!$A$10,0))))</f>
        <v>0</v>
      </c>
      <c r="P55" s="821"/>
      <c r="Q55" s="821">
        <f ca="1">IF(OR(ACOMPANHAMENTO&lt;&gt;"PLE",Q50&gt;PLE.Medicao),0,
   IF(AUTOEVENTO="Manual",
      IF(AdmLocal="Automática",Q53,
         IF(Import.EventoAdmLocal="","",SUMIF(OFFSET($G$14,CRONOPLE!$A$8+1,1,1,OFFSET($AG$12,0,-1)),"&lt;="&amp;Q50,OFFSET(EVENTOS!$G$14,CRONOPLE!$A$8+1,1,1,OFFSET($AG$12,0,-1)))/OFFSET(EVENTOS!$G$14,CRONOPLE!$A$8+1,-1))),
      IF(Import.EventoAdmLocal="","",SUMIF(OFFSET(CÁLCULO!$BU$15,CRONOPLE!$A$10,1,OFFSET(ORÇAMENTO!$D$15,CRONOPLE!$A$10,0),COLUMN(CÁLCULO!$CN$15)-COLUMN(CÁLCULO!$BU$15)-1),"&lt;="&amp;Q50,OFFSET(CÁLCULO!$AI$15,CRONOPLE!$A$10,1,OFFSET(ORÇAMENTO!$D$15,CRONOPLE!$A$10,0),COLUMN(CÁLCULO!$BB$15)-COLUMN(CÁLCULO!$AI$15)-1))/OFFSET(ORÇAMENTO!$X$15,CRONOPLE!$A$10,0))))</f>
        <v>0</v>
      </c>
      <c r="R55" s="821"/>
      <c r="S55" s="821">
        <f ca="1">IF(OR(ACOMPANHAMENTO&lt;&gt;"PLE",S50&gt;PLE.Medicao),0,
   IF(AUTOEVENTO="Manual",
      IF(AdmLocal="Automática",S53,
         IF(Import.EventoAdmLocal="","",SUMIF(OFFSET($G$14,CRONOPLE!$A$8+1,1,1,OFFSET($AG$12,0,-1)),"&lt;="&amp;S50,OFFSET(EVENTOS!$G$14,CRONOPLE!$A$8+1,1,1,OFFSET($AG$12,0,-1)))/OFFSET(EVENTOS!$G$14,CRONOPLE!$A$8+1,-1))),
      IF(Import.EventoAdmLocal="","",SUMIF(OFFSET(CÁLCULO!$BU$15,CRONOPLE!$A$10,1,OFFSET(ORÇAMENTO!$D$15,CRONOPLE!$A$10,0),COLUMN(CÁLCULO!$CN$15)-COLUMN(CÁLCULO!$BU$15)-1),"&lt;="&amp;S50,OFFSET(CÁLCULO!$AI$15,CRONOPLE!$A$10,1,OFFSET(ORÇAMENTO!$D$15,CRONOPLE!$A$10,0),COLUMN(CÁLCULO!$BB$15)-COLUMN(CÁLCULO!$AI$15)-1))/OFFSET(ORÇAMENTO!$X$15,CRONOPLE!$A$10,0))))</f>
        <v>0</v>
      </c>
      <c r="T55" s="821"/>
      <c r="U55" s="821">
        <f ca="1">IF(OR(ACOMPANHAMENTO&lt;&gt;"PLE",U50&gt;PLE.Medicao),0,
   IF(AUTOEVENTO="Manual",
      IF(AdmLocal="Automática",U53,
         IF(Import.EventoAdmLocal="","",SUMIF(OFFSET($G$14,CRONOPLE!$A$8+1,1,1,OFFSET($AG$12,0,-1)),"&lt;="&amp;U50,OFFSET(EVENTOS!$G$14,CRONOPLE!$A$8+1,1,1,OFFSET($AG$12,0,-1)))/OFFSET(EVENTOS!$G$14,CRONOPLE!$A$8+1,-1))),
      IF(Import.EventoAdmLocal="","",SUMIF(OFFSET(CÁLCULO!$BU$15,CRONOPLE!$A$10,1,OFFSET(ORÇAMENTO!$D$15,CRONOPLE!$A$10,0),COLUMN(CÁLCULO!$CN$15)-COLUMN(CÁLCULO!$BU$15)-1),"&lt;="&amp;U50,OFFSET(CÁLCULO!$AI$15,CRONOPLE!$A$10,1,OFFSET(ORÇAMENTO!$D$15,CRONOPLE!$A$10,0),COLUMN(CÁLCULO!$BB$15)-COLUMN(CÁLCULO!$AI$15)-1))/OFFSET(ORÇAMENTO!$X$15,CRONOPLE!$A$10,0))))</f>
        <v>0</v>
      </c>
      <c r="V55" s="821"/>
      <c r="W55" s="821">
        <f ca="1">IF(OR(ACOMPANHAMENTO&lt;&gt;"PLE",W50&gt;PLE.Medicao),0,
   IF(AUTOEVENTO="Manual",
      IF(AdmLocal="Automática",W53,
         IF(Import.EventoAdmLocal="","",SUMIF(OFFSET($G$14,CRONOPLE!$A$8+1,1,1,OFFSET($AG$12,0,-1)),"&lt;="&amp;W50,OFFSET(EVENTOS!$G$14,CRONOPLE!$A$8+1,1,1,OFFSET($AG$12,0,-1)))/OFFSET(EVENTOS!$G$14,CRONOPLE!$A$8+1,-1))),
      IF(Import.EventoAdmLocal="","",SUMIF(OFFSET(CÁLCULO!$BU$15,CRONOPLE!$A$10,1,OFFSET(ORÇAMENTO!$D$15,CRONOPLE!$A$10,0),COLUMN(CÁLCULO!$CN$15)-COLUMN(CÁLCULO!$BU$15)-1),"&lt;="&amp;W50,OFFSET(CÁLCULO!$AI$15,CRONOPLE!$A$10,1,OFFSET(ORÇAMENTO!$D$15,CRONOPLE!$A$10,0),COLUMN(CÁLCULO!$BB$15)-COLUMN(CÁLCULO!$AI$15)-1))/OFFSET(ORÇAMENTO!$X$15,CRONOPLE!$A$10,0))))</f>
        <v>0</v>
      </c>
      <c r="X55" s="821"/>
      <c r="Y55" s="821">
        <f ca="1">IF(OR(ACOMPANHAMENTO&lt;&gt;"PLE",Y50&gt;PLE.Medicao),0,
   IF(AUTOEVENTO="Manual",
      IF(AdmLocal="Automática",Y53,
         IF(Import.EventoAdmLocal="","",SUMIF(OFFSET($G$14,CRONOPLE!$A$8+1,1,1,OFFSET($AG$12,0,-1)),"&lt;="&amp;Y50,OFFSET(EVENTOS!$G$14,CRONOPLE!$A$8+1,1,1,OFFSET($AG$12,0,-1)))/OFFSET(EVENTOS!$G$14,CRONOPLE!$A$8+1,-1))),
      IF(Import.EventoAdmLocal="","",SUMIF(OFFSET(CÁLCULO!$BU$15,CRONOPLE!$A$10,1,OFFSET(ORÇAMENTO!$D$15,CRONOPLE!$A$10,0),COLUMN(CÁLCULO!$CN$15)-COLUMN(CÁLCULO!$BU$15)-1),"&lt;="&amp;Y50,OFFSET(CÁLCULO!$AI$15,CRONOPLE!$A$10,1,OFFSET(ORÇAMENTO!$D$15,CRONOPLE!$A$10,0),COLUMN(CÁLCULO!$BB$15)-COLUMN(CÁLCULO!$AI$15)-1))/OFFSET(ORÇAMENTO!$X$15,CRONOPLE!$A$10,0))))</f>
        <v>0</v>
      </c>
      <c r="Z55" s="821"/>
      <c r="AA55" s="821">
        <f ca="1">IF(OR(ACOMPANHAMENTO&lt;&gt;"PLE",AA50&gt;PLE.Medicao),0,
   IF(AUTOEVENTO="Manual",
      IF(AdmLocal="Automática",AA53,
         IF(Import.EventoAdmLocal="","",SUMIF(OFFSET($G$14,CRONOPLE!$A$8+1,1,1,OFFSET($AG$12,0,-1)),"&lt;="&amp;AA50,OFFSET(EVENTOS!$G$14,CRONOPLE!$A$8+1,1,1,OFFSET($AG$12,0,-1)))/OFFSET(EVENTOS!$G$14,CRONOPLE!$A$8+1,-1))),
      IF(Import.EventoAdmLocal="","",SUMIF(OFFSET(CÁLCULO!$BU$15,CRONOPLE!$A$10,1,OFFSET(ORÇAMENTO!$D$15,CRONOPLE!$A$10,0),COLUMN(CÁLCULO!$CN$15)-COLUMN(CÁLCULO!$BU$15)-1),"&lt;="&amp;AA50,OFFSET(CÁLCULO!$AI$15,CRONOPLE!$A$10,1,OFFSET(ORÇAMENTO!$D$15,CRONOPLE!$A$10,0),COLUMN(CÁLCULO!$BB$15)-COLUMN(CÁLCULO!$AI$15)-1))/OFFSET(ORÇAMENTO!$X$15,CRONOPLE!$A$10,0))))</f>
        <v>0</v>
      </c>
      <c r="AB55" s="821"/>
      <c r="AC55" s="821">
        <f ca="1">IF(OR(ACOMPANHAMENTO&lt;&gt;"PLE",AC50&gt;PLE.Medicao),0,
   IF(AUTOEVENTO="Manual",
      IF(AdmLocal="Automática",AC53,
         IF(Import.EventoAdmLocal="","",SUMIF(OFFSET($G$14,CRONOPLE!$A$8+1,1,1,OFFSET($AG$12,0,-1)),"&lt;="&amp;AC50,OFFSET(EVENTOS!$G$14,CRONOPLE!$A$8+1,1,1,OFFSET($AG$12,0,-1)))/OFFSET(EVENTOS!$G$14,CRONOPLE!$A$8+1,-1))),
      IF(Import.EventoAdmLocal="","",SUMIF(OFFSET(CÁLCULO!$BU$15,CRONOPLE!$A$10,1,OFFSET(ORÇAMENTO!$D$15,CRONOPLE!$A$10,0),COLUMN(CÁLCULO!$CN$15)-COLUMN(CÁLCULO!$BU$15)-1),"&lt;="&amp;AC50,OFFSET(CÁLCULO!$AI$15,CRONOPLE!$A$10,1,OFFSET(ORÇAMENTO!$D$15,CRONOPLE!$A$10,0),COLUMN(CÁLCULO!$BB$15)-COLUMN(CÁLCULO!$AI$15)-1))/OFFSET(ORÇAMENTO!$X$15,CRONOPLE!$A$10,0))))</f>
        <v>0</v>
      </c>
      <c r="AD55" s="821"/>
      <c r="AE55" s="821">
        <f ca="1">IF(OR(ACOMPANHAMENTO&lt;&gt;"PLE",AE50&gt;PLE.Medicao),0,
   IF(AUTOEVENTO="Manual",
      IF(AdmLocal="Automática",AE53,
         IF(Import.EventoAdmLocal="","",SUMIF(OFFSET($G$14,CRONOPLE!$A$8+1,1,1,OFFSET($AG$12,0,-1)),"&lt;="&amp;AE50,OFFSET(EVENTOS!$G$14,CRONOPLE!$A$8+1,1,1,OFFSET($AG$12,0,-1)))/OFFSET(EVENTOS!$G$14,CRONOPLE!$A$8+1,-1))),
      IF(Import.EventoAdmLocal="","",SUMIF(OFFSET(CÁLCULO!$BU$15,CRONOPLE!$A$10,1,OFFSET(ORÇAMENTO!$D$15,CRONOPLE!$A$10,0),COLUMN(CÁLCULO!$CN$15)-COLUMN(CÁLCULO!$BU$15)-1),"&lt;="&amp;AE50,OFFSET(CÁLCULO!$AI$15,CRONOPLE!$A$10,1,OFFSET(ORÇAMENTO!$D$15,CRONOPLE!$A$10,0),COLUMN(CÁLCULO!$BB$15)-COLUMN(CÁLCULO!$AI$15)-1))/OFFSET(ORÇAMENTO!$X$15,CRONOPLE!$A$10,0))))</f>
        <v>0</v>
      </c>
      <c r="AF55" s="821"/>
    </row>
    <row r="56" spans="1:32" ht="13.5" x14ac:dyDescent="0.25">
      <c r="A56" s="7" t="s">
        <v>536</v>
      </c>
      <c r="D56" s="523"/>
      <c r="H56" s="583" t="str">
        <f ca="1">IF(COUNTIF(I56:AG56,"%Adm&gt;%Global")&gt;0,"Verificar proporcionalidade da Administração Local","")</f>
        <v/>
      </c>
      <c r="I56" s="535" t="str">
        <f ca="1">IF(I55="","",IF(ROUND(I55,4)&gt;ROUND(I53,4),"%Adm&gt;%Global",""))</f>
        <v/>
      </c>
      <c r="J56" s="524"/>
      <c r="K56" s="535" t="str">
        <f t="shared" ref="K56" ca="1" si="13">IF(K55="","",IF(ROUND(K55,4)&gt;ROUND(K53,4),"%Adm&gt;%Global",""))</f>
        <v/>
      </c>
      <c r="L56" s="524"/>
      <c r="M56" s="535" t="str">
        <f t="shared" ref="M56" ca="1" si="14">IF(M55="","",IF(ROUND(M55,4)&gt;ROUND(M53,4),"%Adm&gt;%Global",""))</f>
        <v/>
      </c>
      <c r="N56" s="524"/>
      <c r="O56" s="535" t="str">
        <f t="shared" ref="O56" ca="1" si="15">IF(O55="","",IF(ROUND(O55,4)&gt;ROUND(O53,4),"%Adm&gt;%Global",""))</f>
        <v/>
      </c>
      <c r="P56" s="524"/>
      <c r="Q56" s="535" t="str">
        <f t="shared" ref="Q56" ca="1" si="16">IF(Q55="","",IF(ROUND(Q55,4)&gt;ROUND(Q53,4),"%Adm&gt;%Global",""))</f>
        <v/>
      </c>
      <c r="R56" s="524"/>
      <c r="S56" s="535" t="str">
        <f t="shared" ref="S56" ca="1" si="17">IF(S55="","",IF(ROUND(S55,4)&gt;ROUND(S53,4),"%Adm&gt;%Global",""))</f>
        <v/>
      </c>
      <c r="T56" s="524"/>
      <c r="U56" s="535" t="str">
        <f t="shared" ref="U56" ca="1" si="18">IF(U55="","",IF(ROUND(U55,4)&gt;ROUND(U53,4),"%Adm&gt;%Global",""))</f>
        <v/>
      </c>
      <c r="V56" s="524"/>
      <c r="W56" s="535" t="str">
        <f t="shared" ref="W56" ca="1" si="19">IF(W55="","",IF(ROUND(W55,4)&gt;ROUND(W53,4),"%Adm&gt;%Global",""))</f>
        <v/>
      </c>
      <c r="X56" s="524"/>
      <c r="Y56" s="535" t="str">
        <f t="shared" ref="Y56" ca="1" si="20">IF(Y55="","",IF(ROUND(Y55,4)&gt;ROUND(Y53,4),"%Adm&gt;%Global",""))</f>
        <v/>
      </c>
      <c r="Z56" s="524"/>
      <c r="AA56" s="535" t="str">
        <f t="shared" ref="AA56" ca="1" si="21">IF(AA55="","",IF(ROUND(AA55,4)&gt;ROUND(AA53,4),"%Adm&gt;%Global",""))</f>
        <v/>
      </c>
      <c r="AB56" s="524"/>
      <c r="AC56" s="535" t="str">
        <f t="shared" ref="AC56" ca="1" si="22">IF(AC55="","",IF(ROUND(AC55,4)&gt;ROUND(AC53,4),"%Adm&gt;%Global",""))</f>
        <v/>
      </c>
      <c r="AD56" s="524"/>
      <c r="AE56" s="535" t="str">
        <f t="shared" ref="AE56" ca="1" si="23">IF(AE55="","",IF(ROUND(AE55,4)&gt;ROUND(AE53,4),"%Adm&gt;%Global",""))</f>
        <v/>
      </c>
      <c r="AF56" s="524"/>
    </row>
    <row r="57" spans="1:32" ht="20.25" customHeight="1" x14ac:dyDescent="0.2">
      <c r="A57" s="7" t="s">
        <v>536</v>
      </c>
      <c r="I57" s="863"/>
      <c r="J57" s="863"/>
    </row>
    <row r="58" spans="1:32" ht="15" x14ac:dyDescent="0.25">
      <c r="A58" s="7" t="s">
        <v>536</v>
      </c>
      <c r="B58" s="800" t="str">
        <f>Import.Município</f>
        <v>BOA ESPERANÇA</v>
      </c>
      <c r="C58" s="800"/>
      <c r="D58" s="800"/>
      <c r="S58" s="562" t="str">
        <f ca="1">IF(DADOS!$D$50&lt;&gt;"","Preencher os Dados do Responsável pela Fiscalização, na aba DADOS.","")</f>
        <v/>
      </c>
      <c r="U58" s="139"/>
      <c r="V58" s="139"/>
      <c r="W58" s="139"/>
      <c r="X58" s="139"/>
      <c r="Y58" s="180"/>
      <c r="Z58" s="180"/>
      <c r="AA58" s="180"/>
      <c r="AB58" s="180"/>
      <c r="AC58" s="180"/>
      <c r="AD58" s="180"/>
    </row>
    <row r="59" spans="1:32" x14ac:dyDescent="0.2">
      <c r="A59" s="7" t="s">
        <v>536</v>
      </c>
      <c r="B59" s="9" t="s">
        <v>693</v>
      </c>
      <c r="U59" s="181" t="s">
        <v>841</v>
      </c>
    </row>
    <row r="60" spans="1:32" x14ac:dyDescent="0.2">
      <c r="A60" s="7" t="s">
        <v>536</v>
      </c>
      <c r="I60" s="79"/>
      <c r="U60" s="77" t="s">
        <v>240</v>
      </c>
      <c r="W60" s="271">
        <f t="array" ref="W60:W63">Import.RespFiscalização</f>
        <v>0</v>
      </c>
    </row>
    <row r="61" spans="1:32" x14ac:dyDescent="0.2">
      <c r="A61" s="7" t="s">
        <v>536</v>
      </c>
      <c r="B61" s="794">
        <f>DADOS!$C$48</f>
        <v>0</v>
      </c>
      <c r="C61" s="794"/>
      <c r="D61" s="794"/>
      <c r="I61" s="79"/>
      <c r="U61" s="77" t="s">
        <v>319</v>
      </c>
      <c r="W61" s="271">
        <v>0</v>
      </c>
    </row>
    <row r="62" spans="1:32" x14ac:dyDescent="0.2">
      <c r="A62" s="7" t="s">
        <v>536</v>
      </c>
      <c r="B62" s="140" t="s">
        <v>694</v>
      </c>
      <c r="C62" s="1"/>
      <c r="D62" s="1"/>
      <c r="I62" s="79"/>
      <c r="U62" s="77" t="s">
        <v>243</v>
      </c>
      <c r="W62" s="271">
        <v>0</v>
      </c>
    </row>
    <row r="63" spans="1:32" x14ac:dyDescent="0.2">
      <c r="U63" s="77" t="s">
        <v>246</v>
      </c>
      <c r="W63" s="12">
        <v>0</v>
      </c>
    </row>
  </sheetData>
  <sheetProtection algorithmName="SHA-512" hashValue="JIA5k1DOn+But88gfCjxvoBFClJzefk8DoB2Pr0Uzsk40GD08dv1UtgEGkxHPf0qegTOqJSzoyjNQI8lu46ULw==" saltValue="VSD6Bn/6PWBHtMjJrCuYiQ==" spinCount="100000" sheet="1" objects="1" scenarios="1" autoFilter="0"/>
  <autoFilter ref="A13:A62" xr:uid="{00000000-0009-0000-0000-000009000000}"/>
  <mergeCells count="137">
    <mergeCell ref="C17:D17"/>
    <mergeCell ref="AC55:AD55"/>
    <mergeCell ref="AE55:AF55"/>
    <mergeCell ref="S55:T55"/>
    <mergeCell ref="U55:V55"/>
    <mergeCell ref="W55:X55"/>
    <mergeCell ref="Y55:Z55"/>
    <mergeCell ref="AA55:AB55"/>
    <mergeCell ref="W53:X53"/>
    <mergeCell ref="S53:T53"/>
    <mergeCell ref="AC54:AD54"/>
    <mergeCell ref="AA53:AB53"/>
    <mergeCell ref="AE54:AF54"/>
    <mergeCell ref="AE53:AF53"/>
    <mergeCell ref="Y54:Z54"/>
    <mergeCell ref="AA54:AB54"/>
    <mergeCell ref="S54:T54"/>
    <mergeCell ref="W54:X54"/>
    <mergeCell ref="S49:T49"/>
    <mergeCell ref="U49:V49"/>
    <mergeCell ref="Q49:R49"/>
    <mergeCell ref="S51:T51"/>
    <mergeCell ref="U50:V50"/>
    <mergeCell ref="I48:AF48"/>
    <mergeCell ref="O49:P49"/>
    <mergeCell ref="AE49:AF49"/>
    <mergeCell ref="AE51:AF51"/>
    <mergeCell ref="Y49:Z49"/>
    <mergeCell ref="Q54:R54"/>
    <mergeCell ref="M49:N49"/>
    <mergeCell ref="O52:P52"/>
    <mergeCell ref="M52:N52"/>
    <mergeCell ref="K52:L52"/>
    <mergeCell ref="S52:T52"/>
    <mergeCell ref="Q52:R52"/>
    <mergeCell ref="W50:X50"/>
    <mergeCell ref="AC52:AD52"/>
    <mergeCell ref="AC53:AD53"/>
    <mergeCell ref="AA52:AB52"/>
    <mergeCell ref="AE52:AF52"/>
    <mergeCell ref="AE50:AF50"/>
    <mergeCell ref="U53:V53"/>
    <mergeCell ref="Y53:Z53"/>
    <mergeCell ref="Q51:R51"/>
    <mergeCell ref="AC50:AD50"/>
    <mergeCell ref="AA50:AB50"/>
    <mergeCell ref="Y51:Z51"/>
    <mergeCell ref="O51:P51"/>
    <mergeCell ref="M51:N51"/>
    <mergeCell ref="K51:L51"/>
    <mergeCell ref="M53:N53"/>
    <mergeCell ref="M54:N54"/>
    <mergeCell ref="I54:J54"/>
    <mergeCell ref="K54:L54"/>
    <mergeCell ref="K53:L53"/>
    <mergeCell ref="I53:J53"/>
    <mergeCell ref="B7:C7"/>
    <mergeCell ref="C15:D15"/>
    <mergeCell ref="W49:X49"/>
    <mergeCell ref="AC49:AD49"/>
    <mergeCell ref="Y50:Z50"/>
    <mergeCell ref="AA51:AB51"/>
    <mergeCell ref="Y52:Z52"/>
    <mergeCell ref="U52:V52"/>
    <mergeCell ref="O50:P50"/>
    <mergeCell ref="W51:X51"/>
    <mergeCell ref="U51:V51"/>
    <mergeCell ref="AC51:AD51"/>
    <mergeCell ref="B12:B13"/>
    <mergeCell ref="C21:D21"/>
    <mergeCell ref="C22:D22"/>
    <mergeCell ref="C28:D28"/>
    <mergeCell ref="C29:D29"/>
    <mergeCell ref="C30:D30"/>
    <mergeCell ref="C31:D31"/>
    <mergeCell ref="C32:D32"/>
    <mergeCell ref="C33:D33"/>
    <mergeCell ref="C34:D34"/>
    <mergeCell ref="C35:D35"/>
    <mergeCell ref="C36:D36"/>
    <mergeCell ref="AD3:AF3"/>
    <mergeCell ref="AD4:AF4"/>
    <mergeCell ref="AE6:AF6"/>
    <mergeCell ref="H7:N7"/>
    <mergeCell ref="O7:U7"/>
    <mergeCell ref="AE7:AF7"/>
    <mergeCell ref="V7:AD7"/>
    <mergeCell ref="Y9:Z9"/>
    <mergeCell ref="AE9:AF9"/>
    <mergeCell ref="J9:K9"/>
    <mergeCell ref="N9:T9"/>
    <mergeCell ref="O55:P55"/>
    <mergeCell ref="Q55:R55"/>
    <mergeCell ref="O54:P54"/>
    <mergeCell ref="O53:P53"/>
    <mergeCell ref="Q53:R53"/>
    <mergeCell ref="AA49:AB49"/>
    <mergeCell ref="C1:D1"/>
    <mergeCell ref="C11:D11"/>
    <mergeCell ref="C12:D13"/>
    <mergeCell ref="U54:V54"/>
    <mergeCell ref="C18:D18"/>
    <mergeCell ref="D51:D52"/>
    <mergeCell ref="C16:D16"/>
    <mergeCell ref="C19:D19"/>
    <mergeCell ref="W52:X52"/>
    <mergeCell ref="S50:T50"/>
    <mergeCell ref="Q50:R50"/>
    <mergeCell ref="K50:L50"/>
    <mergeCell ref="K49:L49"/>
    <mergeCell ref="I49:J49"/>
    <mergeCell ref="I50:J50"/>
    <mergeCell ref="I51:J51"/>
    <mergeCell ref="M50:N50"/>
    <mergeCell ref="C20:D20"/>
    <mergeCell ref="I57:J57"/>
    <mergeCell ref="I55:J55"/>
    <mergeCell ref="K55:L55"/>
    <mergeCell ref="M55:N55"/>
    <mergeCell ref="C23:D23"/>
    <mergeCell ref="C24:D24"/>
    <mergeCell ref="C25:D25"/>
    <mergeCell ref="C26:D26"/>
    <mergeCell ref="C27:D27"/>
    <mergeCell ref="C37:D37"/>
    <mergeCell ref="I52:J52"/>
    <mergeCell ref="B61:D61"/>
    <mergeCell ref="B58:D58"/>
    <mergeCell ref="D53:D54"/>
    <mergeCell ref="C38:D38"/>
    <mergeCell ref="C39:D39"/>
    <mergeCell ref="C40:D40"/>
    <mergeCell ref="C41:D41"/>
    <mergeCell ref="C42:D42"/>
    <mergeCell ref="C43:D43"/>
    <mergeCell ref="C44:D44"/>
    <mergeCell ref="C45:D45"/>
  </mergeCells>
  <phoneticPr fontId="38" type="noConversion"/>
  <conditionalFormatting sqref="F1:F2 F44:F45">
    <cfRule type="expression" dxfId="243" priority="2773" stopIfTrue="1">
      <formula>IF(OR(ACOMPANHAMENTO="BM",F$12&gt;CÁLCULO.NúmeroDeFrentes),TRUE,PLE.ValorDoEvento=0)</formula>
    </cfRule>
    <cfRule type="cellIs" dxfId="242" priority="2774" stopIfTrue="1" operator="equal">
      <formula>$J$9</formula>
    </cfRule>
  </conditionalFormatting>
  <conditionalFormatting sqref="I51:AF51">
    <cfRule type="expression" dxfId="241" priority="2775" stopIfTrue="1">
      <formula>I50=$J$9</formula>
    </cfRule>
  </conditionalFormatting>
  <conditionalFormatting sqref="I52:AF52">
    <cfRule type="expression" dxfId="240" priority="2776" stopIfTrue="1">
      <formula>I50=$J$9</formula>
    </cfRule>
  </conditionalFormatting>
  <conditionalFormatting sqref="I53:AF53">
    <cfRule type="expression" dxfId="239" priority="2777" stopIfTrue="1">
      <formula>I50=$J$9</formula>
    </cfRule>
  </conditionalFormatting>
  <conditionalFormatting sqref="I54:AF54">
    <cfRule type="expression" dxfId="238" priority="2778" stopIfTrue="1">
      <formula>I50=$J$9</formula>
    </cfRule>
  </conditionalFormatting>
  <conditionalFormatting sqref="I50:J50">
    <cfRule type="cellIs" dxfId="237" priority="2772" stopIfTrue="1" operator="notEqual">
      <formula>1</formula>
    </cfRule>
  </conditionalFormatting>
  <conditionalFormatting sqref="H1:AF1 H44:AF45">
    <cfRule type="expression" dxfId="236" priority="2790" stopIfTrue="1">
      <formula>IF(OR(ACOMPANHAMENTO="BM",TIPOORCAMENTO="Proposto",H$12&gt;CÁLCULO.NúmeroDeFrentes),TRUE,PLE.ValorDoEvento=0)</formula>
    </cfRule>
    <cfRule type="cellIs" dxfId="235" priority="2791" stopIfTrue="1" operator="equal">
      <formula>$J$9</formula>
    </cfRule>
  </conditionalFormatting>
  <conditionalFormatting sqref="AE6:AE7">
    <cfRule type="expression" dxfId="234" priority="2779" stopIfTrue="1">
      <formula>TIPOORCAMENTO&lt;&gt;"Licitado"</formula>
    </cfRule>
  </conditionalFormatting>
  <conditionalFormatting sqref="N9:T9">
    <cfRule type="expression" dxfId="233" priority="2780" stopIfTrue="1">
      <formula>COLUMN(N9)&gt;COLUMN($AF$12)</formula>
    </cfRule>
    <cfRule type="expression" dxfId="232" priority="2781" stopIfTrue="1">
      <formula>$N$9="DIGITE A DATA DA MEDIÇÃO"</formula>
    </cfRule>
  </conditionalFormatting>
  <conditionalFormatting sqref="I9:M9 U9:AF9">
    <cfRule type="expression" dxfId="231" priority="2782" stopIfTrue="1">
      <formula>COLUMN(I9)&gt;COLUMN($AF$12)</formula>
    </cfRule>
  </conditionalFormatting>
  <conditionalFormatting sqref="K51:AF54">
    <cfRule type="expression" dxfId="230" priority="1788" stopIfTrue="1">
      <formula>I$53=100%</formula>
    </cfRule>
  </conditionalFormatting>
  <conditionalFormatting sqref="J56 L56 N56 P56 R56 T56 V56 X56 Z56 AB56 AD56 AF56">
    <cfRule type="expression" dxfId="229" priority="14499" stopIfTrue="1">
      <formula>J51=$J$9</formula>
    </cfRule>
  </conditionalFormatting>
  <conditionalFormatting sqref="K55:AF55">
    <cfRule type="expression" dxfId="228" priority="1787">
      <formula>OFFSET(K55,-2,-2)=1</formula>
    </cfRule>
  </conditionalFormatting>
  <conditionalFormatting sqref="I55:AF55">
    <cfRule type="expression" dxfId="227" priority="1786">
      <formula>ROUND(I55,4)&gt;ROUND(I53,4)</formula>
    </cfRule>
  </conditionalFormatting>
  <conditionalFormatting sqref="N13">
    <cfRule type="expression" dxfId="226" priority="1785">
      <formula>$Y$9=0</formula>
    </cfRule>
  </conditionalFormatting>
  <conditionalFormatting sqref="F16 F18:F22">
    <cfRule type="expression" dxfId="225" priority="49" stopIfTrue="1">
      <formula>IF(OR(ACOMPANHAMENTO="BM",F$12&gt;CÁLCULO.NúmeroDeFrentes),TRUE,PLE.ValorDoEvento=0)</formula>
    </cfRule>
    <cfRule type="cellIs" dxfId="224" priority="50" stopIfTrue="1" operator="equal">
      <formula>$J$9</formula>
    </cfRule>
  </conditionalFormatting>
  <conditionalFormatting sqref="H16:AF16 H18:AF22">
    <cfRule type="expression" dxfId="223" priority="51" stopIfTrue="1">
      <formula>IF(OR(ACOMPANHAMENTO="BM",TIPOORCAMENTO="Proposto",H$12&gt;CÁLCULO.NúmeroDeFrentes),TRUE,PLE.ValorDoEvento=0)</formula>
    </cfRule>
    <cfRule type="cellIs" dxfId="222" priority="52" stopIfTrue="1" operator="equal">
      <formula>$J$9</formula>
    </cfRule>
  </conditionalFormatting>
  <conditionalFormatting sqref="F28:F32">
    <cfRule type="expression" dxfId="221" priority="25" stopIfTrue="1">
      <formula>IF(OR(ACOMPANHAMENTO="BM",F$12&gt;CÁLCULO.NúmeroDeFrentes),TRUE,PLE.ValorDoEvento=0)</formula>
    </cfRule>
    <cfRule type="cellIs" dxfId="220" priority="26" stopIfTrue="1" operator="equal">
      <formula>$J$9</formula>
    </cfRule>
  </conditionalFormatting>
  <conditionalFormatting sqref="H28:AF32">
    <cfRule type="expression" dxfId="219" priority="27" stopIfTrue="1">
      <formula>IF(OR(ACOMPANHAMENTO="BM",TIPOORCAMENTO="Proposto",H$12&gt;CÁLCULO.NúmeroDeFrentes),TRUE,PLE.ValorDoEvento=0)</formula>
    </cfRule>
    <cfRule type="cellIs" dxfId="218" priority="28" stopIfTrue="1" operator="equal">
      <formula>$J$9</formula>
    </cfRule>
  </conditionalFormatting>
  <conditionalFormatting sqref="F33:F37">
    <cfRule type="expression" dxfId="217" priority="21" stopIfTrue="1">
      <formula>IF(OR(ACOMPANHAMENTO="BM",F$12&gt;CÁLCULO.NúmeroDeFrentes),TRUE,PLE.ValorDoEvento=0)</formula>
    </cfRule>
    <cfRule type="cellIs" dxfId="216" priority="22" stopIfTrue="1" operator="equal">
      <formula>$J$9</formula>
    </cfRule>
  </conditionalFormatting>
  <conditionalFormatting sqref="H33:AF37">
    <cfRule type="expression" dxfId="215" priority="23" stopIfTrue="1">
      <formula>IF(OR(ACOMPANHAMENTO="BM",TIPOORCAMENTO="Proposto",H$12&gt;CÁLCULO.NúmeroDeFrentes),TRUE,PLE.ValorDoEvento=0)</formula>
    </cfRule>
    <cfRule type="cellIs" dxfId="214" priority="24" stopIfTrue="1" operator="equal">
      <formula>$J$9</formula>
    </cfRule>
  </conditionalFormatting>
  <conditionalFormatting sqref="F23:F27">
    <cfRule type="expression" dxfId="213" priority="17" stopIfTrue="1">
      <formula>IF(OR(ACOMPANHAMENTO="BM",F$12&gt;CÁLCULO.NúmeroDeFrentes),TRUE,PLE.ValorDoEvento=0)</formula>
    </cfRule>
    <cfRule type="cellIs" dxfId="212" priority="18" stopIfTrue="1" operator="equal">
      <formula>$J$9</formula>
    </cfRule>
  </conditionalFormatting>
  <conditionalFormatting sqref="H23:AF27">
    <cfRule type="expression" dxfId="211" priority="19" stopIfTrue="1">
      <formula>IF(OR(ACOMPANHAMENTO="BM",TIPOORCAMENTO="Proposto",H$12&gt;CÁLCULO.NúmeroDeFrentes),TRUE,PLE.ValorDoEvento=0)</formula>
    </cfRule>
    <cfRule type="cellIs" dxfId="210" priority="20" stopIfTrue="1" operator="equal">
      <formula>$J$9</formula>
    </cfRule>
  </conditionalFormatting>
  <conditionalFormatting sqref="F38:F42">
    <cfRule type="expression" dxfId="209" priority="13" stopIfTrue="1">
      <formula>IF(OR(ACOMPANHAMENTO="BM",F$12&gt;CÁLCULO.NúmeroDeFrentes),TRUE,PLE.ValorDoEvento=0)</formula>
    </cfRule>
    <cfRule type="cellIs" dxfId="208" priority="14" stopIfTrue="1" operator="equal">
      <formula>$J$9</formula>
    </cfRule>
  </conditionalFormatting>
  <conditionalFormatting sqref="H38:AF42">
    <cfRule type="expression" dxfId="207" priority="15" stopIfTrue="1">
      <formula>IF(OR(ACOMPANHAMENTO="BM",TIPOORCAMENTO="Proposto",H$12&gt;CÁLCULO.NúmeroDeFrentes),TRUE,PLE.ValorDoEvento=0)</formula>
    </cfRule>
    <cfRule type="cellIs" dxfId="206" priority="16" stopIfTrue="1" operator="equal">
      <formula>$J$9</formula>
    </cfRule>
  </conditionalFormatting>
  <conditionalFormatting sqref="F43">
    <cfRule type="expression" dxfId="205" priority="9" stopIfTrue="1">
      <formula>IF(OR(ACOMPANHAMENTO="BM",F$12&gt;CÁLCULO.NúmeroDeFrentes),TRUE,PLE.ValorDoEvento=0)</formula>
    </cfRule>
    <cfRule type="cellIs" dxfId="204" priority="10" stopIfTrue="1" operator="equal">
      <formula>$J$9</formula>
    </cfRule>
  </conditionalFormatting>
  <conditionalFormatting sqref="H43:AF43">
    <cfRule type="expression" dxfId="203" priority="11" stopIfTrue="1">
      <formula>IF(OR(ACOMPANHAMENTO="BM",TIPOORCAMENTO="Proposto",H$12&gt;CÁLCULO.NúmeroDeFrentes),TRUE,PLE.ValorDoEvento=0)</formula>
    </cfRule>
    <cfRule type="cellIs" dxfId="202" priority="12" stopIfTrue="1" operator="equal">
      <formula>$J$9</formula>
    </cfRule>
  </conditionalFormatting>
  <conditionalFormatting sqref="F17">
    <cfRule type="expression" dxfId="201" priority="1" stopIfTrue="1">
      <formula>IF(OR(ACOMPANHAMENTO="BM",F$12&gt;CÁLCULO.NúmeroDeFrentes),TRUE,PLE.ValorDoEvento=0)</formula>
    </cfRule>
    <cfRule type="cellIs" dxfId="200" priority="2" stopIfTrue="1" operator="equal">
      <formula>$J$9</formula>
    </cfRule>
  </conditionalFormatting>
  <conditionalFormatting sqref="H17:AF17">
    <cfRule type="expression" dxfId="199" priority="3" stopIfTrue="1">
      <formula>IF(OR(ACOMPANHAMENTO="BM",TIPOORCAMENTO="Proposto",H$12&gt;CÁLCULO.NúmeroDeFrentes),TRUE,PLE.ValorDoEvento=0)</formula>
    </cfRule>
    <cfRule type="cellIs" dxfId="198" priority="4" stopIfTrue="1" operator="equal">
      <formula>$J$9</formula>
    </cfRule>
  </conditionalFormatting>
  <dataValidations count="3">
    <dataValidation type="whole" operator="greaterThan" allowBlank="1" showErrorMessage="1" sqref="I3:AC4 J9:K9 F1:F4 F16:F45"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45"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206"/>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Selecione o Regime de Execução na Aba Dados</v>
      </c>
      <c r="O2" s="11" t="s">
        <v>647</v>
      </c>
    </row>
    <row r="3" spans="1:41" x14ac:dyDescent="0.2">
      <c r="A3" s="893" t="b">
        <v>0</v>
      </c>
      <c r="B3" s="893"/>
      <c r="E3" s="86"/>
    </row>
    <row r="4" spans="1:41" x14ac:dyDescent="0.2">
      <c r="D4" s="777" t="s">
        <v>652</v>
      </c>
      <c r="E4" s="777"/>
      <c r="F4" s="788" t="s">
        <v>650</v>
      </c>
      <c r="G4" s="788"/>
      <c r="H4" s="788"/>
      <c r="I4" s="145" t="s">
        <v>707</v>
      </c>
      <c r="J4" s="777" t="s">
        <v>708</v>
      </c>
      <c r="K4" s="777"/>
      <c r="L4" s="777"/>
      <c r="M4" s="777"/>
      <c r="N4" s="777"/>
      <c r="O4" s="147" t="s">
        <v>843</v>
      </c>
    </row>
    <row r="5" spans="1:41" ht="12.75" customHeight="1" x14ac:dyDescent="0.2">
      <c r="A5" t="s">
        <v>844</v>
      </c>
      <c r="D5" s="780" t="str">
        <f>Import.Proponente</f>
        <v>MUNICIPIO DE BOA ESPERANCA</v>
      </c>
      <c r="E5" s="780"/>
      <c r="F5" s="793" t="str">
        <f>Import.CR</f>
        <v>56000000966/2023</v>
      </c>
      <c r="G5" s="793"/>
      <c r="H5" s="793"/>
      <c r="I5" s="322" t="str">
        <f>Import.TransfereGOV</f>
        <v>27488/2025</v>
      </c>
      <c r="J5" s="780" t="str">
        <f>Import.Apelido</f>
        <v>AMPLIAÇÃO NO SISTEMA DE ÁGUA- BAIRRO NOVA ESPERANÇA</v>
      </c>
      <c r="K5" s="780"/>
      <c r="L5" s="780"/>
      <c r="M5" s="780"/>
      <c r="N5" s="780"/>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Unitário</v>
      </c>
      <c r="D7" s="87" t="s">
        <v>846</v>
      </c>
      <c r="E7" s="87" t="s">
        <v>847</v>
      </c>
      <c r="F7" s="777" t="s">
        <v>848</v>
      </c>
      <c r="G7" s="777"/>
      <c r="H7" s="777"/>
      <c r="I7" s="777" t="str" cm="1">
        <f t="array" ref="I7">IF(TIPOORCAMENTO="Licitado","REGIME DE EXECUÇÃO","MUNICÍPIO / UF")</f>
        <v>MUNICÍPIO / UF</v>
      </c>
      <c r="J7" s="777"/>
      <c r="K7" s="777"/>
      <c r="L7" s="777"/>
      <c r="M7" s="777" t="s">
        <v>849</v>
      </c>
      <c r="N7" s="777"/>
      <c r="O7" s="87" t="s">
        <v>850</v>
      </c>
      <c r="AO7" s="275" cm="1">
        <f t="array" aca="1" ref="AO7" ca="1">BM.MEDAcumulado</f>
        <v>0</v>
      </c>
    </row>
    <row r="8" spans="1:41" ht="12.75" customHeight="1" x14ac:dyDescent="0.2">
      <c r="A8" s="320" t="s">
        <v>851</v>
      </c>
      <c r="B8" s="2"/>
      <c r="C8" s="770" t="s">
        <v>655</v>
      </c>
      <c r="D8" s="326">
        <f>Import.CTEF</f>
        <v>0</v>
      </c>
      <c r="E8" s="56">
        <f>Import.empresa</f>
        <v>0</v>
      </c>
      <c r="F8" s="780">
        <f>Import.CNPJ</f>
        <v>0</v>
      </c>
      <c r="G8" s="780"/>
      <c r="H8" s="780"/>
      <c r="I8" s="780" t="str" cm="1">
        <f t="array" ref="I8">IF(TIPOORCAMENTO="Licitado",Import.RegimeExecução,Import.Município)</f>
        <v>BOA ESPERANÇA</v>
      </c>
      <c r="J8" s="780"/>
      <c r="K8" s="780"/>
      <c r="L8" s="780"/>
      <c r="M8" s="780" t="str" cm="1">
        <f t="array" aca="1" ref="M8" ca="1">TEXT(IF(BM.medicao=1,Import.DataInicioObra,OFFSET($AB$12,0,BM.medicao-1-$AB$13)+1),"dd/mm/aaaa")&amp;" a "&amp;TEXT(OFFSET($AB$12,0,BM.medicao-$AB$13),"dd/mm/aaaa")</f>
        <v>00/01/1900 a 00/01/1900</v>
      </c>
      <c r="N8" s="780"/>
      <c r="O8" s="422">
        <v>1</v>
      </c>
    </row>
    <row r="9" spans="1:41" ht="12.75" customHeight="1" x14ac:dyDescent="0.2">
      <c r="A9" s="559" t="b">
        <v>1</v>
      </c>
      <c r="B9" s="4"/>
      <c r="C9" s="770"/>
    </row>
    <row r="10" spans="1:41" ht="13.35" customHeight="1" x14ac:dyDescent="0.2">
      <c r="A10" s="410" t="s">
        <v>852</v>
      </c>
      <c r="B10" s="411"/>
      <c r="C10" s="770"/>
      <c r="E10" s="556"/>
      <c r="F10" s="892"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IF($J$201&lt;&gt;"",UPPER($J$201),
 "")))))))</f>
        <v>Foi selecionado na aba 'MENU' o acompanhamento por PLE.</v>
      </c>
      <c r="G10" s="892"/>
      <c r="H10" s="892"/>
      <c r="I10" s="892"/>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f ca="1">OFFSET(CRONO!$F$13,CRONO!$F$103,0)</f>
        <v>0</v>
      </c>
      <c r="B11" s="418"/>
      <c r="C11" s="770"/>
      <c r="E11" s="556"/>
      <c r="F11" s="892"/>
      <c r="G11" s="892"/>
      <c r="H11" s="892"/>
      <c r="I11" s="892"/>
      <c r="N11" s="557"/>
      <c r="O11" s="558" t="str">
        <f ca="1">IF(ISERROR(P11),"","Administração Local Acumulada: "&amp;TEXT(P11,"0,00%"))</f>
        <v/>
      </c>
      <c r="P11" s="561" t="e">
        <f ca="1">OFFSET($O$15,$A$11,0)/OFFSET($I$15,$A$11,0)</f>
        <v>#DIV/0!</v>
      </c>
      <c r="T11" s="891" t="s">
        <v>853</v>
      </c>
      <c r="U11" s="891"/>
      <c r="Z11" s="4"/>
      <c r="AB11" s="881" t="s">
        <v>854</v>
      </c>
      <c r="AC11" s="881"/>
      <c r="AD11" s="881"/>
      <c r="AE11" s="881"/>
      <c r="AF11" s="881"/>
      <c r="AG11" s="881"/>
      <c r="AH11" s="881"/>
      <c r="AI11" s="881"/>
      <c r="AJ11" s="881"/>
      <c r="AK11" s="881"/>
      <c r="AL11" s="881"/>
      <c r="AM11" s="881"/>
    </row>
    <row r="12" spans="1:41" ht="15" customHeight="1" x14ac:dyDescent="0.25">
      <c r="C12" s="770"/>
      <c r="E12" s="84" t="s">
        <v>855</v>
      </c>
      <c r="J12" s="782" t="str" cm="1">
        <f t="array" aca="1" ref="J12" ca="1">"Evolução Física "&amp;CHOOSE(MATCH(RegimeExecucao,{"Unitário","Global"},0),"(Qtde.)","(%)")</f>
        <v>Evolução Física (Qtde.)</v>
      </c>
      <c r="K12" s="782"/>
      <c r="L12" s="782"/>
      <c r="M12" s="782" t="s">
        <v>856</v>
      </c>
      <c r="N12" s="782"/>
      <c r="O12" s="782"/>
      <c r="Q12" s="782" t="str" cm="1">
        <f t="array" aca="1" ref="Q12" ca="1">"Aferido (CAIXA) "&amp;CHOOSE(MATCH(RegimeExecucao,{"Unitário","Global"},0),"(Qtde.)","(%)")</f>
        <v>Aferido (CAIXA) (Qtde.)</v>
      </c>
      <c r="R12" s="782"/>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90" t="str">
        <f>"Objeto do CTEF: "&amp;Import.DescLote</f>
        <v>Objeto do CTEF: Ampliação e modernização do sistema de abastecimento de água do Município de Boa Esperança.</v>
      </c>
      <c r="E15" s="890"/>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IF(OR(ACOMPANHAMENTO="PLE",TIPOORCAMENTO="Proposto"),0,SUMIF(OFFSET($A15,1,0):$A$191,"S",OFFSET(M15,1,0):M$191))</f>
        <v>0</v>
      </c>
      <c r="N15" s="341">
        <f ca="1">O15-M15</f>
        <v>0</v>
      </c>
      <c r="O15" s="341" cm="1">
        <f t="array" aca="1" ref="O15" ca="1">IF(OR(ACOMPANHAMENTO="PLE",TIPOORCAMENTO="Proposto"),0,SUMIF(OFFSET($A15,1,0):$A$191,"S",OFFSET(O15,1,0):O$191))</f>
        <v>0</v>
      </c>
      <c r="Q15" s="342"/>
      <c r="R15" s="342"/>
      <c r="T15" s="343"/>
      <c r="U15" s="344"/>
      <c r="V15" s="344"/>
      <c r="W15" s="344"/>
      <c r="X15" s="344"/>
      <c r="Y15" s="344"/>
      <c r="Z15" s="345"/>
      <c r="AB15" s="886" t="str" cm="1">
        <f t="array" aca="1" ref="AB15" ca="1">"Preencher abaixo com a "&amp;CHOOSE(MATCH(RegimeExecucao,{"Unitário","Global"},0),"QUANTIDADE","PORCENTAGEM")&amp;" executada no PERÍODO"</f>
        <v>Preencher abaixo com a QUANTIDADE executada no PERÍODO</v>
      </c>
      <c r="AC15" s="886"/>
      <c r="AD15" s="886"/>
      <c r="AE15" s="886"/>
      <c r="AF15" s="886"/>
      <c r="AG15" s="886"/>
      <c r="AH15" s="886"/>
      <c r="AI15" s="886"/>
      <c r="AJ15" s="886"/>
      <c r="AK15" s="886"/>
      <c r="AL15" s="886"/>
      <c r="AM15" s="886"/>
    </row>
    <row r="16" spans="1:41" s="670" customFormat="1" x14ac:dyDescent="0.2">
      <c r="A16" s="670">
        <f ca="1">ORÇAMENTO!C16</f>
        <v>1</v>
      </c>
      <c r="B16" s="670">
        <f ca="1">ORÇAMENTO!D16</f>
        <v>175</v>
      </c>
      <c r="C16" s="114" t="str">
        <f t="shared" ref="C16:C72" ca="1" si="1">IF(OR($I16&gt;0,$A16=1,$A16=2,$A16=3,$A16=4),"F","")</f>
        <v>F</v>
      </c>
      <c r="D16" s="117" t="str">
        <f ca="1">ORÇAMENTO!O16</f>
        <v>1.</v>
      </c>
      <c r="E16" s="163" t="str">
        <f t="shared" ref="E16:E72" si="2">ORÇAMENTO.Descricao</f>
        <v>Ampliação do Sistema de Abastecimento de Água</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4985084.83</v>
      </c>
      <c r="J16" s="333" cm="1">
        <f t="array" aca="1" ref="J16" ca="1">IF($A16="S",IF(CAIXA.Modo,BM.AFAnterior,BM.MEDAnterior),IF(AND(RegimeExecucao="Global",$I16&gt;0,COUNTIF($AB$13:$AM$13,BM.medicao-1)&gt;0),M16/$I16*100,0))</f>
        <v>0</v>
      </c>
      <c r="K16" s="122">
        <f t="shared" ref="K16:K72"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72" ca="1" si="4">O16-M16</f>
        <v>0</v>
      </c>
      <c r="O16" s="125" cm="1">
        <f t="array" aca="1" ref="O16" ca="1">IF($A16="S",VTOTALBM,IF($A16=0,0,ROUND(SomaAgrupBM,15-13*ORÇAMENTO!$AF$11)))</f>
        <v>0</v>
      </c>
      <c r="Q16" s="337"/>
      <c r="R16" s="338"/>
      <c r="T16" s="117" t="str">
        <f t="shared" ref="T16:T72" ca="1" si="5">IF($W16&gt;0,$D16,"")</f>
        <v/>
      </c>
      <c r="U16" s="163" t="str">
        <f t="shared" ref="U16:U72"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72" ca="1" si="7">AO16-O16</f>
        <v>0</v>
      </c>
      <c r="Z16" s="473"/>
      <c r="AB16" s="337"/>
      <c r="AC16" s="437"/>
      <c r="AD16" s="437"/>
      <c r="AE16" s="437"/>
      <c r="AF16" s="437"/>
      <c r="AG16" s="437"/>
      <c r="AH16" s="437"/>
      <c r="AI16" s="437"/>
      <c r="AJ16" s="437"/>
      <c r="AK16" s="437"/>
      <c r="AL16" s="437"/>
      <c r="AM16" s="338"/>
      <c r="AO16" s="670"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s="670" customFormat="1" x14ac:dyDescent="0.2">
      <c r="A17" s="670">
        <f ca="1">ORÇAMENTO!C17</f>
        <v>2</v>
      </c>
      <c r="B17" s="670">
        <f ca="1">ORÇAMENTO!D17</f>
        <v>5</v>
      </c>
      <c r="C17" s="114" t="str">
        <f t="shared" ca="1" si="1"/>
        <v>F</v>
      </c>
      <c r="D17" s="117" t="str">
        <f ca="1">ORÇAMENTO!O17</f>
        <v>1.1.</v>
      </c>
      <c r="E17" s="163" t="str">
        <f t="shared" si="2"/>
        <v>CANTEIROS DE OBRAS</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17998.599999999999</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s="670"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s="670" customFormat="1" ht="25.5" x14ac:dyDescent="0.2">
      <c r="A18" s="670" t="str">
        <f ca="1">ORÇAMENTO!C18</f>
        <v>S</v>
      </c>
      <c r="B18" s="670">
        <f ca="1">ORÇAMENTO!D18</f>
        <v>0</v>
      </c>
      <c r="C18" s="114" t="str">
        <f t="shared" ca="1" si="1"/>
        <v>F</v>
      </c>
      <c r="D18" s="117" t="str">
        <f ca="1">ORÇAMENTO!O18</f>
        <v>1.1.1.</v>
      </c>
      <c r="E18" s="163" t="str">
        <f t="shared" ca="1" si="2"/>
        <v>FORNECIMENTO E INSTALAÇÃO DE PLACA DE OBRA COM CHAPA GALVANIZADA E ESTRUTURA DE MADEIRA. AF_03/2022_PS</v>
      </c>
      <c r="F18" s="164" t="str" cm="1">
        <f t="array" aca="1" ref="F18" ca="1">IF(RegimeExecucao="Global","",ORÇAMENTO.Unidade)</f>
        <v>M2</v>
      </c>
      <c r="G18" s="122" cm="1">
        <f t="array" aca="1" ref="G18" ca="1">IF(RegimeExecucao="Global","",ORÇAMENTO!T18)</f>
        <v>6.48</v>
      </c>
      <c r="H18" s="122" cm="1">
        <f t="array" aca="1" ref="H18" ca="1">IF(RegimeExecucao="Global","",ORÇAMENTO!W18)</f>
        <v>533.22</v>
      </c>
      <c r="I18" s="125">
        <f ca="1">ORÇAMENTO!X18</f>
        <v>3455.27</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s="670"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s="670" customFormat="1" ht="89.25" x14ac:dyDescent="0.2">
      <c r="A19" s="670" t="str">
        <f ca="1">ORÇAMENTO!C19</f>
        <v>S</v>
      </c>
      <c r="B19" s="670">
        <f ca="1">ORÇAMENTO!D19</f>
        <v>0</v>
      </c>
      <c r="C19" s="114" t="str">
        <f t="shared" ca="1" si="1"/>
        <v>F</v>
      </c>
      <c r="D19" s="117" t="str">
        <f ca="1">ORÇAMENTO!O19</f>
        <v>1.1.2.</v>
      </c>
      <c r="E19" s="163" t="str">
        <f t="shared" ca="1" si="2"/>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
      <c r="F19" s="164" t="str" cm="1">
        <f t="array" aca="1" ref="F19" ca="1">IF(RegimeExecucao="Global","",ORÇAMENTO.Unidade)</f>
        <v>mês</v>
      </c>
      <c r="G19" s="122" cm="1">
        <f t="array" aca="1" ref="G19" ca="1">IF(RegimeExecucao="Global","",ORÇAMENTO!T19)</f>
        <v>12</v>
      </c>
      <c r="H19" s="122" cm="1">
        <f t="array" aca="1" ref="H19" ca="1">IF(RegimeExecucao="Global","",ORÇAMENTO!W19)</f>
        <v>1064.8</v>
      </c>
      <c r="I19" s="125">
        <f ca="1">ORÇAMENTO!X19</f>
        <v>12777.6</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s="670"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s="670" customFormat="1" ht="63.75" x14ac:dyDescent="0.2">
      <c r="A20" s="670" t="str">
        <f ca="1">ORÇAMENTO!C20</f>
        <v>S</v>
      </c>
      <c r="B20" s="670">
        <f ca="1">ORÇAMENTO!D20</f>
        <v>0</v>
      </c>
      <c r="C20" s="114" t="str">
        <f t="shared" ca="1" si="1"/>
        <v>F</v>
      </c>
      <c r="D20" s="117" t="str">
        <f ca="1">ORÇAMENTO!O20</f>
        <v>1.1.3.</v>
      </c>
      <c r="E20" s="163" t="str">
        <f t="shared" ca="1" si="2"/>
        <v>LIGAÇÃO PROVISÓRIA COM ENTRADA DE ENERGIA AÉREA, PADRÃO CEMIG, CARGA INSTALADA DE 15,1KVA ATÉ 30KVA, TRIFÁSICO, COM SAÍDA SUBTERRÂNEA, INCLUSIVE POSTE, CAIXA PARA MEDIDOR, DISJUNTOR, BARRAMENTO, ATERRAMENTO E ACESSÓRIOS</v>
      </c>
      <c r="F20" s="164" t="str" cm="1">
        <f t="array" aca="1" ref="F20" ca="1">IF(RegimeExecucao="Global","",ORÇAMENTO.Unidade)</f>
        <v>un</v>
      </c>
      <c r="G20" s="122" cm="1">
        <f t="array" aca="1" ref="G20" ca="1">IF(RegimeExecucao="Global","",ORÇAMENTO!T20)</f>
        <v>1</v>
      </c>
      <c r="H20" s="122" cm="1">
        <f t="array" aca="1" ref="H20" ca="1">IF(RegimeExecucao="Global","",ORÇAMENTO!W20)</f>
        <v>1030.3900000000001</v>
      </c>
      <c r="I20" s="125">
        <f ca="1">ORÇAMENTO!X20</f>
        <v>1030.3900000000001</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s="67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s="670" customFormat="1" ht="51" x14ac:dyDescent="0.2">
      <c r="A21" s="670" t="str">
        <f ca="1">ORÇAMENTO!C21</f>
        <v>S</v>
      </c>
      <c r="B21" s="670">
        <f ca="1">ORÇAMENTO!D21</f>
        <v>0</v>
      </c>
      <c r="C21" s="114" t="str">
        <f t="shared" ca="1" si="1"/>
        <v>F</v>
      </c>
      <c r="D21" s="117" t="str">
        <f ca="1">ORÇAMENTO!O21</f>
        <v>1.1.4.</v>
      </c>
      <c r="E21" s="163" t="str">
        <f t="shared" ca="1" si="2"/>
        <v>LIGAÇÃO DE ÁGUA PROVISÓRIA PARA CANTEIRO,  INCLUSIVE HIDRÔMETRO E CAVALETE PARA MEDIÇÃO DE ÁGUA - ENTRADA PRINCIPAL, EM AÇO GALVANIZADO DN 20MM (1/2") - PADRÃO CONCESSIONÁRIA</v>
      </c>
      <c r="F21" s="164" t="str" cm="1">
        <f t="array" aca="1" ref="F21" ca="1">IF(RegimeExecucao="Global","",ORÇAMENTO.Unidade)</f>
        <v>un</v>
      </c>
      <c r="G21" s="122" cm="1">
        <f t="array" aca="1" ref="G21" ca="1">IF(RegimeExecucao="Global","",ORÇAMENTO!T21)</f>
        <v>1</v>
      </c>
      <c r="H21" s="122" cm="1">
        <f t="array" aca="1" ref="H21" ca="1">IF(RegimeExecucao="Global","",ORÇAMENTO!W21)</f>
        <v>735.34</v>
      </c>
      <c r="I21" s="125">
        <f ca="1">ORÇAMENTO!X21</f>
        <v>735.34</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s="670"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s="728" customFormat="1" x14ac:dyDescent="0.2">
      <c r="A22" s="728">
        <f ca="1">ORÇAMENTO!C22</f>
        <v>2</v>
      </c>
      <c r="B22" s="728">
        <f ca="1">ORÇAMENTO!D22</f>
        <v>5</v>
      </c>
      <c r="C22" s="684" t="str">
        <f ca="1">IF(OR($I22&gt;0,$A22=1,$A22=2,$A22=3,$A22=4),"F","")</f>
        <v>F</v>
      </c>
      <c r="D22" s="687" t="str">
        <f ca="1">ORÇAMENTO!O22</f>
        <v>1.2.</v>
      </c>
      <c r="E22" s="699" t="str">
        <f>ORÇAMENTO.Descricao</f>
        <v>SERVIÇOS PRELIMINARES</v>
      </c>
      <c r="F22" s="700" t="str" cm="1">
        <f t="array" aca="1" ref="F22" ca="1">IF(RegimeExecucao="Global","",ORÇAMENTO.Unidade)</f>
        <v>-</v>
      </c>
      <c r="G22" s="692" cm="1">
        <f t="array" aca="1" ref="G22" ca="1">IF(RegimeExecucao="Global","",ORÇAMENTO!T22)</f>
        <v>0</v>
      </c>
      <c r="H22" s="692" cm="1">
        <f t="array" aca="1" ref="H22" ca="1">IF(RegimeExecucao="Global","",ORÇAMENTO!W22)</f>
        <v>0</v>
      </c>
      <c r="I22" s="695">
        <f ca="1">ORÇAMENTO!X22</f>
        <v>22366.32</v>
      </c>
      <c r="J22" s="707" cm="1">
        <f t="array" aca="1" ref="J22" ca="1">IF($A22="S",IF(CAIXA.Modo,BM.AFAnterior,BM.MEDAnterior),IF(AND(RegimeExecucao="Global",$I22&gt;0,COUNTIF($AB$13:$AM$13,BM.medicao-1)&gt;0),M22/$I22*100,0))</f>
        <v>0</v>
      </c>
      <c r="K22" s="692">
        <f ca="1">L22-J22</f>
        <v>0</v>
      </c>
      <c r="L22" s="708" cm="1">
        <f t="array" aca="1" ref="L22" ca="1">IF($A22="S",IF(CAIXA.Modo,BM.AFAcumulado,BM.MEDAcumulado),IF(AND(RegimeExecucao="Global",$I22&gt;0,COUNTIF($AB$13:$AM$13,BM.medicao)&gt;0),O22/$I22*100,0))</f>
        <v>0</v>
      </c>
      <c r="M22" s="709" cm="1">
        <f t="array" aca="1" ref="M22" ca="1">IF($A22="S",VTOTALBM,IF($A22=0,0,ROUND(SomaAgrupBM,15-13*ORÇAMENTO!$AF$11)))</f>
        <v>0</v>
      </c>
      <c r="N22" s="710">
        <f ca="1">O22-M22</f>
        <v>0</v>
      </c>
      <c r="O22" s="695" cm="1">
        <f t="array" aca="1" ref="O22" ca="1">IF($A22="S",VTOTALBM,IF($A22=0,0,ROUND(SomaAgrupBM,15-13*ORÇAMENTO!$AF$11)))</f>
        <v>0</v>
      </c>
      <c r="Q22" s="711"/>
      <c r="R22" s="712"/>
      <c r="T22" s="687" t="str">
        <f ca="1">IF($W22&gt;0,$D22,"")</f>
        <v/>
      </c>
      <c r="U22" s="699" t="str">
        <f ca="1">IF($W22&gt;0,$E22,"")</f>
        <v/>
      </c>
      <c r="V22" s="700" t="str" cm="1">
        <f t="array" aca="1" ref="V22" ca="1">IF(AND($W22&gt;0,RegimeExecucao="Unitário"),$F22,"")</f>
        <v/>
      </c>
      <c r="W22" s="719" cm="1">
        <f t="array" aca="1" ref="W22" ca="1">IF($Y22&gt;0,CHOOSE(MATCH(RegimeExecucao,{"Unitário","Global"},0),IF($A22="S",$Y22/$X22,""),($Y22/$X22)*100),0)</f>
        <v>0</v>
      </c>
      <c r="X22" s="713" t="str" cm="1">
        <f t="array" aca="1" ref="X22" ca="1">IF($Y22&gt;0,CHOOSE(MATCH(RegimeExecucao,{"Unitário","Global"},0),IF($A22="S",ROUND($H22,ORÇAMENTO!$AF$10),""),ROUND($I22,ORÇAMENTO!$AF$11)),"")</f>
        <v/>
      </c>
      <c r="Y22" s="713">
        <f ca="1">AO22-O22</f>
        <v>0</v>
      </c>
      <c r="Z22" s="722"/>
      <c r="AB22" s="711"/>
      <c r="AC22" s="717"/>
      <c r="AD22" s="717"/>
      <c r="AE22" s="717"/>
      <c r="AF22" s="717"/>
      <c r="AG22" s="717"/>
      <c r="AH22" s="717"/>
      <c r="AI22" s="717"/>
      <c r="AJ22" s="717"/>
      <c r="AK22" s="717"/>
      <c r="AL22" s="717"/>
      <c r="AM22" s="712"/>
      <c r="AO22" s="728"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s="670" customFormat="1" ht="38.25" x14ac:dyDescent="0.2">
      <c r="A23" s="670" t="str">
        <f ca="1">ORÇAMENTO!C23</f>
        <v>S</v>
      </c>
      <c r="B23" s="670">
        <f ca="1">ORÇAMENTO!D23</f>
        <v>0</v>
      </c>
      <c r="C23" s="114" t="str">
        <f t="shared" ca="1" si="1"/>
        <v>F</v>
      </c>
      <c r="D23" s="117" t="str">
        <f ca="1">ORÇAMENTO!O23</f>
        <v>1.2.1.</v>
      </c>
      <c r="E23" s="163" t="str">
        <f t="shared" ca="1" si="2"/>
        <v>LOCAÇÃO CONVENCIONAL DE OBRA, UTILIZANDO GABARITO DE TÁBUAS CORRIDAS PONTALETADAS A CADA 2,00M - 2 UTILIZAÇÕES. AF_03/2024</v>
      </c>
      <c r="F23" s="164" t="str" cm="1">
        <f t="array" aca="1" ref="F23" ca="1">IF(RegimeExecucao="Global","",ORÇAMENTO.Unidade)</f>
        <v>M</v>
      </c>
      <c r="G23" s="122" cm="1">
        <f t="array" aca="1" ref="G23" ca="1">IF(RegimeExecucao="Global","",ORÇAMENTO!T23)</f>
        <v>100</v>
      </c>
      <c r="H23" s="122" cm="1">
        <f t="array" aca="1" ref="H23" ca="1">IF(RegimeExecucao="Global","",ORÇAMENTO!W23)</f>
        <v>96.01</v>
      </c>
      <c r="I23" s="125">
        <f ca="1">ORÇAMENTO!X23</f>
        <v>9601</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s="670"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s="670" customFormat="1" ht="25.5" x14ac:dyDescent="0.2">
      <c r="A24" s="670" t="str">
        <f ca="1">ORÇAMENTO!C24</f>
        <v>S</v>
      </c>
      <c r="B24" s="670">
        <f ca="1">ORÇAMENTO!D24</f>
        <v>0</v>
      </c>
      <c r="C24" s="114" t="str">
        <f t="shared" ca="1" si="1"/>
        <v>F</v>
      </c>
      <c r="D24" s="117" t="str">
        <f ca="1">ORÇAMENTO!O24</f>
        <v>1.2.2.</v>
      </c>
      <c r="E24" s="163" t="str">
        <f t="shared" ca="1" si="2"/>
        <v>LIMPEZA MANUAL DE VEGETAÇÃO EM TERRENO COM ENXADA. AF_03/2024</v>
      </c>
      <c r="F24" s="164" t="str" cm="1">
        <f t="array" aca="1" ref="F24" ca="1">IF(RegimeExecucao="Global","",ORÇAMENTO.Unidade)</f>
        <v>M2</v>
      </c>
      <c r="G24" s="122" cm="1">
        <f t="array" aca="1" ref="G24" ca="1">IF(RegimeExecucao="Global","",ORÇAMENTO!T24)</f>
        <v>600</v>
      </c>
      <c r="H24" s="122" cm="1">
        <f t="array" aca="1" ref="H24" ca="1">IF(RegimeExecucao="Global","",ORÇAMENTO!W24)</f>
        <v>6.57</v>
      </c>
      <c r="I24" s="125">
        <f ca="1">ORÇAMENTO!X24</f>
        <v>3942</v>
      </c>
      <c r="J24" s="333" cm="1">
        <f t="array" aca="1" ref="J24" ca="1">IF($A24="S",IF(CAIXA.Modo,BM.AFAnterior,BM.MEDAnterior),IF(AND(RegimeExecucao="Global",$I24&gt;0,COUNTIF($AB$13:$AM$13,BM.medicao-1)&gt;0),M24/$I24*100,0))</f>
        <v>0</v>
      </c>
      <c r="K24" s="122">
        <f t="shared" ca="1" si="3"/>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ca="1" si="4"/>
        <v>0</v>
      </c>
      <c r="O24" s="125" cm="1">
        <f t="array" aca="1" ref="O24" ca="1">IF($A24="S",VTOTALBM,IF($A24=0,0,ROUND(SomaAgrupBM,15-13*ORÇAMENTO!$AF$11)))</f>
        <v>0</v>
      </c>
      <c r="Q24" s="337"/>
      <c r="R24" s="338"/>
      <c r="T24" s="117" t="str">
        <f t="shared" ca="1" si="5"/>
        <v/>
      </c>
      <c r="U24" s="163" t="str">
        <f t="shared" ca="1" si="6"/>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s="670"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s="670" customFormat="1" ht="25.5" x14ac:dyDescent="0.2">
      <c r="A25" s="670" t="str">
        <f ca="1">ORÇAMENTO!C25</f>
        <v>S</v>
      </c>
      <c r="B25" s="670">
        <f ca="1">ORÇAMENTO!D25</f>
        <v>0</v>
      </c>
      <c r="C25" s="114" t="str">
        <f t="shared" ca="1" si="1"/>
        <v>F</v>
      </c>
      <c r="D25" s="117" t="str">
        <f ca="1">ORÇAMENTO!O25</f>
        <v>1.2.3.</v>
      </c>
      <c r="E25" s="163" t="str">
        <f t="shared" ca="1" si="2"/>
        <v>LOCAÇÃO TOPOGRÁFICA ACIMA DE CINQUENTA (50) PONTOS REFERENCIAIS, INCLUSIVE ESTACA (PIQUETE) DE MARCAÇÃO</v>
      </c>
      <c r="F25" s="164" t="str" cm="1">
        <f t="array" aca="1" ref="F25" ca="1">IF(RegimeExecucao="Global","",ORÇAMENTO.Unidade)</f>
        <v>un</v>
      </c>
      <c r="G25" s="122" cm="1">
        <f t="array" aca="1" ref="G25" ca="1">IF(RegimeExecucao="Global","",ORÇAMENTO!T25)</f>
        <v>4</v>
      </c>
      <c r="H25" s="122" cm="1">
        <f t="array" aca="1" ref="H25" ca="1">IF(RegimeExecucao="Global","",ORÇAMENTO!W25)</f>
        <v>54.11</v>
      </c>
      <c r="I25" s="125">
        <f ca="1">ORÇAMENTO!X25</f>
        <v>216.44</v>
      </c>
      <c r="J25" s="333" cm="1">
        <f t="array" aca="1" ref="J25" ca="1">IF($A25="S",IF(CAIXA.Modo,BM.AFAnterior,BM.MEDAnterior),IF(AND(RegimeExecucao="Global",$I25&gt;0,COUNTIF($AB$13:$AM$13,BM.medicao-1)&gt;0),M25/$I25*100,0))</f>
        <v>0</v>
      </c>
      <c r="K25" s="122">
        <f t="shared" ca="1" si="3"/>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ca="1" si="4"/>
        <v>0</v>
      </c>
      <c r="O25" s="125" cm="1">
        <f t="array" aca="1" ref="O25" ca="1">IF($A25="S",VTOTALBM,IF($A25=0,0,ROUND(SomaAgrupBM,15-13*ORÇAMENTO!$AF$11)))</f>
        <v>0</v>
      </c>
      <c r="Q25" s="337"/>
      <c r="R25" s="338"/>
      <c r="T25" s="117" t="str">
        <f t="shared" ca="1" si="5"/>
        <v/>
      </c>
      <c r="U25" s="163" t="str">
        <f t="shared" ca="1" si="6"/>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s="670"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s="670" customFormat="1" x14ac:dyDescent="0.2">
      <c r="A26" s="670" t="str">
        <f ca="1">ORÇAMENTO!C26</f>
        <v>S</v>
      </c>
      <c r="B26" s="670">
        <f ca="1">ORÇAMENTO!D26</f>
        <v>0</v>
      </c>
      <c r="C26" s="114" t="str">
        <f t="shared" ca="1" si="1"/>
        <v>F</v>
      </c>
      <c r="D26" s="117" t="str">
        <f ca="1">ORÇAMENTO!O26</f>
        <v>1.2.4.</v>
      </c>
      <c r="E26" s="163" t="str">
        <f t="shared" ca="1" si="2"/>
        <v>LIMPEZA FINAL PARA ENTREGA DA OBRA</v>
      </c>
      <c r="F26" s="164" t="str" cm="1">
        <f t="array" aca="1" ref="F26" ca="1">IF(RegimeExecucao="Global","",ORÇAMENTO.Unidade)</f>
        <v>m2</v>
      </c>
      <c r="G26" s="122" cm="1">
        <f t="array" aca="1" ref="G26" ca="1">IF(RegimeExecucao="Global","",ORÇAMENTO!T26)</f>
        <v>834</v>
      </c>
      <c r="H26" s="122" cm="1">
        <f t="array" aca="1" ref="H26" ca="1">IF(RegimeExecucao="Global","",ORÇAMENTO!W26)</f>
        <v>10.32</v>
      </c>
      <c r="I26" s="125">
        <f ca="1">ORÇAMENTO!X26</f>
        <v>8606.8799999999992</v>
      </c>
      <c r="J26" s="333" cm="1">
        <f t="array" aca="1" ref="J26" ca="1">IF($A26="S",IF(CAIXA.Modo,BM.AFAnterior,BM.MEDAnterior),IF(AND(RegimeExecucao="Global",$I26&gt;0,COUNTIF($AB$13:$AM$13,BM.medicao-1)&gt;0),M26/$I26*100,0))</f>
        <v>0</v>
      </c>
      <c r="K26" s="122">
        <f t="shared" ca="1" si="3"/>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4"/>
        <v>0</v>
      </c>
      <c r="O26" s="125" cm="1">
        <f t="array" aca="1" ref="O26" ca="1">IF($A26="S",VTOTALBM,IF($A26=0,0,ROUND(SomaAgrupBM,15-13*ORÇAMENTO!$AF$11)))</f>
        <v>0</v>
      </c>
      <c r="Q26" s="337"/>
      <c r="R26" s="338"/>
      <c r="T26" s="117" t="str">
        <f t="shared" ca="1" si="5"/>
        <v/>
      </c>
      <c r="U26" s="163" t="str">
        <f t="shared" ca="1" si="6"/>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s="670"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s="670" customFormat="1" x14ac:dyDescent="0.2">
      <c r="A27" s="670">
        <f ca="1">ORÇAMENTO!C27</f>
        <v>2</v>
      </c>
      <c r="B27" s="670">
        <f ca="1">ORÇAMENTO!D27</f>
        <v>5</v>
      </c>
      <c r="C27" s="114" t="str">
        <f t="shared" ca="1" si="1"/>
        <v>F</v>
      </c>
      <c r="D27" s="117" t="str">
        <f ca="1">ORÇAMENTO!O27</f>
        <v>1.3.</v>
      </c>
      <c r="E27" s="163" t="str">
        <f t="shared" si="2"/>
        <v>ADMINISTRAÇÃO LOCAL</v>
      </c>
      <c r="F27" s="164" t="str" cm="1">
        <f t="array" aca="1" ref="F27" ca="1">IF(RegimeExecucao="Global","",ORÇAMENTO.Unidade)</f>
        <v>-</v>
      </c>
      <c r="G27" s="122" cm="1">
        <f t="array" aca="1" ref="G27" ca="1">IF(RegimeExecucao="Global","",ORÇAMENTO!T27)</f>
        <v>0</v>
      </c>
      <c r="H27" s="122" cm="1">
        <f t="array" aca="1" ref="H27" ca="1">IF(RegimeExecucao="Global","",ORÇAMENTO!W27)</f>
        <v>0</v>
      </c>
      <c r="I27" s="125">
        <f ca="1">ORÇAMENTO!X27</f>
        <v>239264.48</v>
      </c>
      <c r="J27" s="333" cm="1">
        <f t="array" aca="1" ref="J27" ca="1">IF($A27="S",IF(CAIXA.Modo,BM.AFAnterior,BM.MEDAnterior),IF(AND(RegimeExecucao="Global",$I27&gt;0,COUNTIF($AB$13:$AM$13,BM.medicao-1)&gt;0),M27/$I27*100,0))</f>
        <v>0</v>
      </c>
      <c r="K27" s="122">
        <f t="shared" ca="1" si="3"/>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t="shared" ca="1" si="4"/>
        <v>0</v>
      </c>
      <c r="O27" s="125" cm="1">
        <f t="array" aca="1" ref="O27" ca="1">IF($A27="S",VTOTALBM,IF($A27=0,0,ROUND(SomaAgrupBM,15-13*ORÇAMENTO!$AF$11)))</f>
        <v>0</v>
      </c>
      <c r="Q27" s="337"/>
      <c r="R27" s="338"/>
      <c r="T27" s="117" t="str">
        <f t="shared" ca="1" si="5"/>
        <v/>
      </c>
      <c r="U27" s="163" t="str">
        <f t="shared" ca="1" si="6"/>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s="670"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s="670" customFormat="1" x14ac:dyDescent="0.2">
      <c r="A28" s="670" t="str">
        <f ca="1">ORÇAMENTO!C28</f>
        <v>S</v>
      </c>
      <c r="B28" s="670">
        <f ca="1">ORÇAMENTO!D28</f>
        <v>0</v>
      </c>
      <c r="C28" s="114" t="str">
        <f t="shared" ca="1" si="1"/>
        <v>F</v>
      </c>
      <c r="D28" s="117" t="str">
        <f ca="1">ORÇAMENTO!O28</f>
        <v>1.3.1.</v>
      </c>
      <c r="E28" s="163" t="str">
        <f t="shared" ca="1" si="2"/>
        <v>TOPOGRAFO COM ENCARGOS COMPLEMENTARES</v>
      </c>
      <c r="F28" s="164" t="str" cm="1">
        <f t="array" aca="1" ref="F28" ca="1">IF(RegimeExecucao="Global","",ORÇAMENTO.Unidade)</f>
        <v>MES</v>
      </c>
      <c r="G28" s="122" cm="1">
        <f t="array" aca="1" ref="G28" ca="1">IF(RegimeExecucao="Global","",ORÇAMENTO!T28)</f>
        <v>0.2</v>
      </c>
      <c r="H28" s="122" cm="1">
        <f t="array" aca="1" ref="H28" ca="1">IF(RegimeExecucao="Global","",ORÇAMENTO!W28)</f>
        <v>11042.01</v>
      </c>
      <c r="I28" s="125">
        <f ca="1">ORÇAMENTO!X28</f>
        <v>2208.4</v>
      </c>
      <c r="J28" s="333" cm="1">
        <f t="array" aca="1" ref="J28" ca="1">IF($A28="S",IF(CAIXA.Modo,BM.AFAnterior,BM.MEDAnterior),IF(AND(RegimeExecucao="Global",$I28&gt;0,COUNTIF($AB$13:$AM$13,BM.medicao-1)&gt;0),M28/$I28*100,0))</f>
        <v>0</v>
      </c>
      <c r="K28" s="122">
        <f t="shared" ca="1" si="3"/>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t="shared" ca="1" si="4"/>
        <v>0</v>
      </c>
      <c r="O28" s="125" cm="1">
        <f t="array" aca="1" ref="O28" ca="1">IF($A28="S",VTOTALBM,IF($A28=0,0,ROUND(SomaAgrupBM,15-13*ORÇAMENTO!$AF$11)))</f>
        <v>0</v>
      </c>
      <c r="Q28" s="337"/>
      <c r="R28" s="338"/>
      <c r="T28" s="117" t="str">
        <f t="shared" ca="1" si="5"/>
        <v/>
      </c>
      <c r="U28" s="163" t="str">
        <f t="shared" ca="1" si="6"/>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s="670"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s="670" customFormat="1" ht="25.5" x14ac:dyDescent="0.2">
      <c r="A29" s="670" t="str">
        <f ca="1">ORÇAMENTO!C29</f>
        <v>S</v>
      </c>
      <c r="B29" s="670">
        <f ca="1">ORÇAMENTO!D29</f>
        <v>0</v>
      </c>
      <c r="C29" s="114" t="str">
        <f t="shared" ca="1" si="1"/>
        <v>F</v>
      </c>
      <c r="D29" s="117" t="str">
        <f ca="1">ORÇAMENTO!O29</f>
        <v>1.3.2.</v>
      </c>
      <c r="E29" s="163" t="str">
        <f t="shared" ca="1" si="2"/>
        <v>TÉCNICO EM SEGURANÇA DO TRABALHO COM ENCARGOS COMPLEMENTARES</v>
      </c>
      <c r="F29" s="164" t="str" cm="1">
        <f t="array" aca="1" ref="F29" ca="1">IF(RegimeExecucao="Global","",ORÇAMENTO.Unidade)</f>
        <v>MES</v>
      </c>
      <c r="G29" s="122" cm="1">
        <f t="array" aca="1" ref="G29" ca="1">IF(RegimeExecucao="Global","",ORÇAMENTO!T29)</f>
        <v>0.2</v>
      </c>
      <c r="H29" s="122" cm="1">
        <f t="array" aca="1" ref="H29" ca="1">IF(RegimeExecucao="Global","",ORÇAMENTO!W29)</f>
        <v>10627.37</v>
      </c>
      <c r="I29" s="125">
        <f ca="1">ORÇAMENTO!X29</f>
        <v>2125.46</v>
      </c>
      <c r="J29" s="333" cm="1">
        <f t="array" aca="1" ref="J29" ca="1">IF($A29="S",IF(CAIXA.Modo,BM.AFAnterior,BM.MEDAnterior),IF(AND(RegimeExecucao="Global",$I29&gt;0,COUNTIF($AB$13:$AM$13,BM.medicao-1)&gt;0),M29/$I29*100,0))</f>
        <v>0</v>
      </c>
      <c r="K29" s="122">
        <f t="shared" ca="1" si="3"/>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ca="1" si="4"/>
        <v>0</v>
      </c>
      <c r="O29" s="125" cm="1">
        <f t="array" aca="1" ref="O29" ca="1">IF($A29="S",VTOTALBM,IF($A29=0,0,ROUND(SomaAgrupBM,15-13*ORÇAMENTO!$AF$11)))</f>
        <v>0</v>
      </c>
      <c r="Q29" s="337"/>
      <c r="R29" s="338"/>
      <c r="T29" s="117" t="str">
        <f t="shared" ca="1" si="5"/>
        <v/>
      </c>
      <c r="U29" s="163" t="str">
        <f t="shared" ca="1" si="6"/>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s="670"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s="670" customFormat="1" ht="25.5" x14ac:dyDescent="0.2">
      <c r="A30" s="670" t="str">
        <f ca="1">ORÇAMENTO!C30</f>
        <v>S</v>
      </c>
      <c r="B30" s="670">
        <f ca="1">ORÇAMENTO!D30</f>
        <v>0</v>
      </c>
      <c r="C30" s="114" t="str">
        <f t="shared" ca="1" si="1"/>
        <v>F</v>
      </c>
      <c r="D30" s="117" t="str">
        <f ca="1">ORÇAMENTO!O30</f>
        <v>1.3.3.</v>
      </c>
      <c r="E30" s="163" t="str">
        <f t="shared" ca="1" si="2"/>
        <v>ENCARREGADO GERAL DE OBRAS COM ENCARGOS COMPLEMENTARES</v>
      </c>
      <c r="F30" s="164" t="str" cm="1">
        <f t="array" aca="1" ref="F30" ca="1">IF(RegimeExecucao="Global","",ORÇAMENTO.Unidade)</f>
        <v>MES</v>
      </c>
      <c r="G30" s="122" cm="1">
        <f t="array" aca="1" ref="G30" ca="1">IF(RegimeExecucao="Global","",ORÇAMENTO!T30)</f>
        <v>12</v>
      </c>
      <c r="H30" s="122" cm="1">
        <f t="array" aca="1" ref="H30" ca="1">IF(RegimeExecucao="Global","",ORÇAMENTO!W30)</f>
        <v>14283.92</v>
      </c>
      <c r="I30" s="125">
        <f ca="1">ORÇAMENTO!X30</f>
        <v>171407.03000000003</v>
      </c>
      <c r="J30" s="333" cm="1">
        <f t="array" aca="1" ref="J30" ca="1">IF($A30="S",IF(CAIXA.Modo,BM.AFAnterior,BM.MEDAnterior),IF(AND(RegimeExecucao="Global",$I30&gt;0,COUNTIF($AB$13:$AM$13,BM.medicao-1)&gt;0),M30/$I30*100,0))</f>
        <v>0</v>
      </c>
      <c r="K30" s="122">
        <f t="shared" ca="1" si="3"/>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t="shared" ca="1" si="4"/>
        <v>0</v>
      </c>
      <c r="O30" s="125" cm="1">
        <f t="array" aca="1" ref="O30" ca="1">IF($A30="S",VTOTALBM,IF($A30=0,0,ROUND(SomaAgrupBM,15-13*ORÇAMENTO!$AF$11)))</f>
        <v>0</v>
      </c>
      <c r="Q30" s="337"/>
      <c r="R30" s="338"/>
      <c r="T30" s="117" t="str">
        <f t="shared" ca="1" si="5"/>
        <v/>
      </c>
      <c r="U30" s="163" t="str">
        <f t="shared" ca="1" si="6"/>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t="shared" ca="1" si="7"/>
        <v>0</v>
      </c>
      <c r="Z30" s="473"/>
      <c r="AB30" s="337"/>
      <c r="AC30" s="437"/>
      <c r="AD30" s="437"/>
      <c r="AE30" s="437"/>
      <c r="AF30" s="437"/>
      <c r="AG30" s="437"/>
      <c r="AH30" s="437"/>
      <c r="AI30" s="437"/>
      <c r="AJ30" s="437"/>
      <c r="AK30" s="437"/>
      <c r="AL30" s="437"/>
      <c r="AM30" s="338"/>
      <c r="AO30" s="67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s="670" customFormat="1" ht="25.5" x14ac:dyDescent="0.2">
      <c r="A31" s="670" t="str">
        <f ca="1">ORÇAMENTO!C31</f>
        <v>S</v>
      </c>
      <c r="B31" s="670">
        <f ca="1">ORÇAMENTO!D31</f>
        <v>0</v>
      </c>
      <c r="C31" s="114" t="str">
        <f t="shared" ca="1" si="1"/>
        <v>F</v>
      </c>
      <c r="D31" s="117" t="str">
        <f ca="1">ORÇAMENTO!O31</f>
        <v>1.3.4.</v>
      </c>
      <c r="E31" s="163" t="str">
        <f t="shared" ca="1" si="2"/>
        <v>ENGENHEIRO CIVIL DE OBRA PLENO COM ENCARGOS COMPLEMENTARES</v>
      </c>
      <c r="F31" s="164" t="str" cm="1">
        <f t="array" aca="1" ref="F31" ca="1">IF(RegimeExecucao="Global","",ORÇAMENTO.Unidade)</f>
        <v>MES</v>
      </c>
      <c r="G31" s="122" cm="1">
        <f t="array" aca="1" ref="G31" ca="1">IF(RegimeExecucao="Global","",ORÇAMENTO!T31)</f>
        <v>2</v>
      </c>
      <c r="H31" s="122" cm="1">
        <f t="array" aca="1" ref="H31" ca="1">IF(RegimeExecucao="Global","",ORÇAMENTO!W31)</f>
        <v>31761.79</v>
      </c>
      <c r="I31" s="125">
        <f ca="1">ORÇAMENTO!X31</f>
        <v>63523.590000000004</v>
      </c>
      <c r="J31" s="333" cm="1">
        <f t="array" aca="1" ref="J31" ca="1">IF($A31="S",IF(CAIXA.Modo,BM.AFAnterior,BM.MEDAnterior),IF(AND(RegimeExecucao="Global",$I31&gt;0,COUNTIF($AB$13:$AM$13,BM.medicao-1)&gt;0),M31/$I31*100,0))</f>
        <v>0</v>
      </c>
      <c r="K31" s="122">
        <f t="shared" ca="1" si="3"/>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ca="1" si="4"/>
        <v>0</v>
      </c>
      <c r="O31" s="125" cm="1">
        <f t="array" aca="1" ref="O31" ca="1">IF($A31="S",VTOTALBM,IF($A31=0,0,ROUND(SomaAgrupBM,15-13*ORÇAMENTO!$AF$11)))</f>
        <v>0</v>
      </c>
      <c r="Q31" s="337"/>
      <c r="R31" s="338"/>
      <c r="T31" s="117" t="str">
        <f t="shared" ca="1" si="5"/>
        <v/>
      </c>
      <c r="U31" s="163" t="str">
        <f t="shared" ca="1" si="6"/>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s="670"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s="670" customFormat="1" x14ac:dyDescent="0.2">
      <c r="A32" s="670">
        <f ca="1">ORÇAMENTO!C32</f>
        <v>2</v>
      </c>
      <c r="B32" s="670">
        <f ca="1">ORÇAMENTO!D32</f>
        <v>6</v>
      </c>
      <c r="C32" s="114" t="str">
        <f t="shared" ca="1" si="1"/>
        <v>F</v>
      </c>
      <c r="D32" s="117" t="str">
        <f ca="1">ORÇAMENTO!O32</f>
        <v>1.4.</v>
      </c>
      <c r="E32" s="163" t="str">
        <f t="shared" si="2"/>
        <v>FUNDAÇÕES - Reservatório de 320 m³</v>
      </c>
      <c r="F32" s="164" t="str" cm="1">
        <f t="array" aca="1" ref="F32" ca="1">IF(RegimeExecucao="Global","",ORÇAMENTO.Unidade)</f>
        <v>-</v>
      </c>
      <c r="G32" s="122" cm="1">
        <f t="array" aca="1" ref="G32" ca="1">IF(RegimeExecucao="Global","",ORÇAMENTO!T32)</f>
        <v>0</v>
      </c>
      <c r="H32" s="122" cm="1">
        <f t="array" aca="1" ref="H32" ca="1">IF(RegimeExecucao="Global","",ORÇAMENTO!W32)</f>
        <v>0</v>
      </c>
      <c r="I32" s="125">
        <f ca="1">ORÇAMENTO!X32</f>
        <v>249565.41</v>
      </c>
      <c r="J32" s="333" cm="1">
        <f t="array" aca="1" ref="J32" ca="1">IF($A32="S",IF(CAIXA.Modo,BM.AFAnterior,BM.MEDAnterior),IF(AND(RegimeExecucao="Global",$I32&gt;0,COUNTIF($AB$13:$AM$13,BM.medicao-1)&gt;0),M32/$I32*100,0))</f>
        <v>0</v>
      </c>
      <c r="K32" s="122">
        <f t="shared" ca="1" si="3"/>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4"/>
        <v>0</v>
      </c>
      <c r="O32" s="125" cm="1">
        <f t="array" aca="1" ref="O32" ca="1">IF($A32="S",VTOTALBM,IF($A32=0,0,ROUND(SomaAgrupBM,15-13*ORÇAMENTO!$AF$11)))</f>
        <v>0</v>
      </c>
      <c r="Q32" s="337"/>
      <c r="R32" s="338"/>
      <c r="T32" s="117" t="str">
        <f t="shared" ca="1" si="5"/>
        <v/>
      </c>
      <c r="U32" s="163" t="str">
        <f t="shared" ca="1" si="6"/>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s="670"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s="670" customFormat="1" ht="25.5" x14ac:dyDescent="0.2">
      <c r="A33" s="670" t="str">
        <f ca="1">ORÇAMENTO!C33</f>
        <v>S</v>
      </c>
      <c r="B33" s="670">
        <f ca="1">ORÇAMENTO!D33</f>
        <v>0</v>
      </c>
      <c r="C33" s="114" t="str">
        <f t="shared" ca="1" si="1"/>
        <v>F</v>
      </c>
      <c r="D33" s="117" t="str">
        <f ca="1">ORÇAMENTO!O33</f>
        <v>1.4.1.</v>
      </c>
      <c r="E33" s="163" t="str">
        <f t="shared" ca="1" si="2"/>
        <v>ESCAVAÇÃO MANUAL PARA BLOCO DE COROAMENTO OU SAPATA (SEM ESCAVAÇÃO PARA COLOCAÇÃO DE FÔRMAS). AF_01/2024</v>
      </c>
      <c r="F33" s="164" t="str" cm="1">
        <f t="array" aca="1" ref="F33" ca="1">IF(RegimeExecucao="Global","",ORÇAMENTO.Unidade)</f>
        <v>M3</v>
      </c>
      <c r="G33" s="122" cm="1">
        <f t="array" aca="1" ref="G33" ca="1">IF(RegimeExecucao="Global","",ORÇAMENTO!T33)</f>
        <v>120</v>
      </c>
      <c r="H33" s="122" cm="1">
        <f t="array" aca="1" ref="H33" ca="1">IF(RegimeExecucao="Global","",ORÇAMENTO!W33)</f>
        <v>207.17</v>
      </c>
      <c r="I33" s="125">
        <f ca="1">ORÇAMENTO!X33</f>
        <v>24860.400000000001</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s="670"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s="670" customFormat="1" ht="38.25" x14ac:dyDescent="0.2">
      <c r="A34" s="670" t="str">
        <f ca="1">ORÇAMENTO!C34</f>
        <v>S</v>
      </c>
      <c r="B34" s="670">
        <f ca="1">ORÇAMENTO!D34</f>
        <v>0</v>
      </c>
      <c r="C34" s="114" t="str">
        <f t="shared" ca="1" si="1"/>
        <v>F</v>
      </c>
      <c r="D34" s="117" t="str">
        <f ca="1">ORÇAMENTO!O34</f>
        <v>1.4.2.</v>
      </c>
      <c r="E34" s="163" t="str">
        <f t="shared" ca="1" si="2"/>
        <v>TUBULÃO A CÉU ABERTO, DIÂMETRO DO FUSTE DE 70CM, ESCAVAÇÃO MECÂNICA, SEM ALARGAMENTO DE BASE, CONCRETO FEITO EM OBRA E LANÇADO COM JERICA. AF_05/2020</v>
      </c>
      <c r="F34" s="164" t="str" cm="1">
        <f t="array" aca="1" ref="F34" ca="1">IF(RegimeExecucao="Global","",ORÇAMENTO.Unidade)</f>
        <v>M3</v>
      </c>
      <c r="G34" s="122" cm="1">
        <f t="array" aca="1" ref="G34" ca="1">IF(RegimeExecucao="Global","",ORÇAMENTO!T34)</f>
        <v>63</v>
      </c>
      <c r="H34" s="122" cm="1">
        <f t="array" aca="1" ref="H34" ca="1">IF(RegimeExecucao="Global","",ORÇAMENTO!W34)</f>
        <v>1313.07</v>
      </c>
      <c r="I34" s="125">
        <f ca="1">ORÇAMENTO!X34</f>
        <v>82723.41</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s="670"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s="676" customFormat="1" ht="38.25" x14ac:dyDescent="0.2">
      <c r="A35" s="676" t="str">
        <f ca="1">ORÇAMENTO!C35</f>
        <v>S</v>
      </c>
      <c r="B35" s="676">
        <f ca="1">ORÇAMENTO!D35</f>
        <v>0</v>
      </c>
      <c r="C35" s="114" t="str">
        <f ca="1">IF(OR($I35&gt;0,$A35=1,$A35=2,$A35=3,$A35=4),"F","")</f>
        <v>F</v>
      </c>
      <c r="D35" s="117" t="str">
        <f ca="1">ORÇAMENTO!O35</f>
        <v>1.4.3.</v>
      </c>
      <c r="E35" s="163" t="str">
        <f ca="1">ORÇAMENTO.Descricao</f>
        <v>FORNECIMENTO DE CONCRETO ESTRUTURAL, USINADO BOMBEADO, COM FCK 40MPA, INCLUSIVE LANÇAMENTO, ADENSAMENTO E ACABAMENTO</v>
      </c>
      <c r="F35" s="164" t="str" cm="1">
        <f t="array" aca="1" ref="F35" ca="1">IF(RegimeExecucao="Global","",ORÇAMENTO.Unidade)</f>
        <v>m3</v>
      </c>
      <c r="G35" s="122" cm="1">
        <f t="array" aca="1" ref="G35" ca="1">IF(RegimeExecucao="Global","",ORÇAMENTO!T35)</f>
        <v>40</v>
      </c>
      <c r="H35" s="122" cm="1">
        <f t="array" aca="1" ref="H35" ca="1">IF(RegimeExecucao="Global","",ORÇAMENTO!W35)</f>
        <v>948.04</v>
      </c>
      <c r="I35" s="125">
        <f ca="1">ORÇAMENTO!X35</f>
        <v>37921.599999999999</v>
      </c>
      <c r="J35" s="333" cm="1">
        <f t="array" aca="1" ref="J35" ca="1">IF($A35="S",IF(CAIXA.Modo,BM.AFAnterior,BM.MEDAnterior),IF(AND(RegimeExecucao="Global",$I35&gt;0,COUNTIF($AB$13:$AM$13,BM.medicao-1)&gt;0),M35/$I35*100,0))</f>
        <v>0</v>
      </c>
      <c r="K35" s="122">
        <f ca="1">L35-J35</f>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ca="1">O35-M35</f>
        <v>0</v>
      </c>
      <c r="O35" s="125" cm="1">
        <f t="array" aca="1" ref="O35" ca="1">IF($A35="S",VTOTALBM,IF($A35=0,0,ROUND(SomaAgrupBM,15-13*ORÇAMENTO!$AF$11)))</f>
        <v>0</v>
      </c>
      <c r="Q35" s="337"/>
      <c r="R35" s="338"/>
      <c r="T35" s="117" t="str">
        <f ca="1">IF($W35&gt;0,$D35,"")</f>
        <v/>
      </c>
      <c r="U35" s="163" t="str">
        <f ca="1">IF($W35&gt;0,$E35,"")</f>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ca="1">AO35-O35</f>
        <v>0</v>
      </c>
      <c r="Z35" s="473"/>
      <c r="AB35" s="337"/>
      <c r="AC35" s="437"/>
      <c r="AD35" s="437"/>
      <c r="AE35" s="437"/>
      <c r="AF35" s="437"/>
      <c r="AG35" s="437"/>
      <c r="AH35" s="437"/>
      <c r="AI35" s="437"/>
      <c r="AJ35" s="437"/>
      <c r="AK35" s="437"/>
      <c r="AL35" s="437"/>
      <c r="AM35" s="338"/>
      <c r="AO35" s="676"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s="670" customFormat="1" x14ac:dyDescent="0.2">
      <c r="A36" s="670" t="str">
        <f ca="1">ORÇAMENTO!C36</f>
        <v>S</v>
      </c>
      <c r="B36" s="670">
        <f ca="1">ORÇAMENTO!D36</f>
        <v>0</v>
      </c>
      <c r="C36" s="114" t="str">
        <f t="shared" ca="1" si="1"/>
        <v>F</v>
      </c>
      <c r="D36" s="117" t="str">
        <f ca="1">ORÇAMENTO!O36</f>
        <v>1.4.4.</v>
      </c>
      <c r="E36" s="163" t="str">
        <f t="shared" ca="1" si="2"/>
        <v>CORTE E DOBRA DE AÇO CA-25, DIÂMETRO DE 20,0 MM. AF_06/2022</v>
      </c>
      <c r="F36" s="164" t="str" cm="1">
        <f t="array" aca="1" ref="F36" ca="1">IF(RegimeExecucao="Global","",ORÇAMENTO.Unidade)</f>
        <v>KG</v>
      </c>
      <c r="G36" s="122" cm="1">
        <f t="array" aca="1" ref="G36" ca="1">IF(RegimeExecucao="Global","",ORÇAMENTO!T36)</f>
        <v>4400</v>
      </c>
      <c r="H36" s="122" cm="1">
        <f t="array" aca="1" ref="H36" ca="1">IF(RegimeExecucao="Global","",ORÇAMENTO!W36)</f>
        <v>10.51</v>
      </c>
      <c r="I36" s="125">
        <f ca="1">ORÇAMENTO!X36</f>
        <v>46244</v>
      </c>
      <c r="J36" s="333" cm="1">
        <f t="array" aca="1" ref="J36" ca="1">IF($A36="S",IF(CAIXA.Modo,BM.AFAnterior,BM.MEDAnterior),IF(AND(RegimeExecucao="Global",$I36&gt;0,COUNTIF($AB$13:$AM$13,BM.medicao-1)&gt;0),M36/$I36*100,0))</f>
        <v>0</v>
      </c>
      <c r="K36" s="122">
        <f t="shared" ca="1" si="3"/>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4"/>
        <v>0</v>
      </c>
      <c r="O36" s="125" cm="1">
        <f t="array" aca="1" ref="O36" ca="1">IF($A36="S",VTOTALBM,IF($A36=0,0,ROUND(SomaAgrupBM,15-13*ORÇAMENTO!$AF$11)))</f>
        <v>0</v>
      </c>
      <c r="Q36" s="337"/>
      <c r="R36" s="338"/>
      <c r="T36" s="117" t="str">
        <f t="shared" ca="1" si="5"/>
        <v/>
      </c>
      <c r="U36" s="163" t="str">
        <f t="shared" ca="1" si="6"/>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s="670"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s="680" customFormat="1" ht="25.5" x14ac:dyDescent="0.2">
      <c r="A37" s="680" t="str">
        <f ca="1">ORÇAMENTO!C37</f>
        <v>S</v>
      </c>
      <c r="B37" s="680">
        <f ca="1">ORÇAMENTO!D37</f>
        <v>0</v>
      </c>
      <c r="C37" s="684" t="str">
        <f ca="1">IF(OR($I37&gt;0,$A37=1,$A37=2,$A37=3,$A37=4),"F","")</f>
        <v>F</v>
      </c>
      <c r="D37" s="687" t="str">
        <f ca="1">ORÇAMENTO!O37</f>
        <v>1.4.5.</v>
      </c>
      <c r="E37" s="699" t="str">
        <f ca="1">ORÇAMENTO.Descricao</f>
        <v>ARMAÇÃO DE BLOCO, SAPATA ISOLADA E SAPATA CORRIDA UTILIZANDO AÇO CA-50 DE 20 MM - MONTAGEM. AF_01/2024</v>
      </c>
      <c r="F37" s="700" t="str" cm="1">
        <f t="array" aca="1" ref="F37" ca="1">IF(RegimeExecucao="Global","",ORÇAMENTO.Unidade)</f>
        <v>KG</v>
      </c>
      <c r="G37" s="692" cm="1">
        <f t="array" aca="1" ref="G37" ca="1">IF(RegimeExecucao="Global","",ORÇAMENTO!T37)</f>
        <v>4400</v>
      </c>
      <c r="H37" s="692" cm="1">
        <f t="array" aca="1" ref="H37" ca="1">IF(RegimeExecucao="Global","",ORÇAMENTO!W37)</f>
        <v>13.14</v>
      </c>
      <c r="I37" s="695">
        <f ca="1">ORÇAMENTO!X37</f>
        <v>57816</v>
      </c>
      <c r="J37" s="707" cm="1">
        <f t="array" aca="1" ref="J37" ca="1">IF($A37="S",IF(CAIXA.Modo,BM.AFAnterior,BM.MEDAnterior),IF(AND(RegimeExecucao="Global",$I37&gt;0,COUNTIF($AB$13:$AM$13,BM.medicao-1)&gt;0),M37/$I37*100,0))</f>
        <v>0</v>
      </c>
      <c r="K37" s="692">
        <f ca="1">L37-J37</f>
        <v>0</v>
      </c>
      <c r="L37" s="708" cm="1">
        <f t="array" aca="1" ref="L37" ca="1">IF($A37="S",IF(CAIXA.Modo,BM.AFAcumulado,BM.MEDAcumulado),IF(AND(RegimeExecucao="Global",$I37&gt;0,COUNTIF($AB$13:$AM$13,BM.medicao)&gt;0),O37/$I37*100,0))</f>
        <v>0</v>
      </c>
      <c r="M37" s="709" cm="1">
        <f t="array" aca="1" ref="M37" ca="1">IF($A37="S",VTOTALBM,IF($A37=0,0,ROUND(SomaAgrupBM,15-13*ORÇAMENTO!$AF$11)))</f>
        <v>0</v>
      </c>
      <c r="N37" s="710">
        <f ca="1">O37-M37</f>
        <v>0</v>
      </c>
      <c r="O37" s="695" cm="1">
        <f t="array" aca="1" ref="O37" ca="1">IF($A37="S",VTOTALBM,IF($A37=0,0,ROUND(SomaAgrupBM,15-13*ORÇAMENTO!$AF$11)))</f>
        <v>0</v>
      </c>
      <c r="Q37" s="711"/>
      <c r="R37" s="712"/>
      <c r="T37" s="687" t="str">
        <f ca="1">IF($W37&gt;0,$D37,"")</f>
        <v/>
      </c>
      <c r="U37" s="699" t="str">
        <f ca="1">IF($W37&gt;0,$E37,"")</f>
        <v/>
      </c>
      <c r="V37" s="700" t="str" cm="1">
        <f t="array" aca="1" ref="V37" ca="1">IF(AND($W37&gt;0,RegimeExecucao="Unitário"),$F37,"")</f>
        <v/>
      </c>
      <c r="W37" s="719" cm="1">
        <f t="array" aca="1" ref="W37" ca="1">IF($Y37&gt;0,CHOOSE(MATCH(RegimeExecucao,{"Unitário","Global"},0),IF($A37="S",$Y37/$X37,""),($Y37/$X37)*100),0)</f>
        <v>0</v>
      </c>
      <c r="X37" s="713" t="str" cm="1">
        <f t="array" aca="1" ref="X37" ca="1">IF($Y37&gt;0,CHOOSE(MATCH(RegimeExecucao,{"Unitário","Global"},0),IF($A37="S",ROUND($H37,ORÇAMENTO!$AF$10),""),ROUND($I37,ORÇAMENTO!$AF$11)),"")</f>
        <v/>
      </c>
      <c r="Y37" s="713">
        <f ca="1">AO37-O37</f>
        <v>0</v>
      </c>
      <c r="Z37" s="722"/>
      <c r="AB37" s="711"/>
      <c r="AC37" s="717"/>
      <c r="AD37" s="717"/>
      <c r="AE37" s="717"/>
      <c r="AF37" s="717"/>
      <c r="AG37" s="717"/>
      <c r="AH37" s="717"/>
      <c r="AI37" s="717"/>
      <c r="AJ37" s="717"/>
      <c r="AK37" s="717"/>
      <c r="AL37" s="717"/>
      <c r="AM37" s="712"/>
      <c r="AO37" s="680"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s="670" customFormat="1" x14ac:dyDescent="0.2">
      <c r="A38" s="670">
        <f ca="1">ORÇAMENTO!C38</f>
        <v>2</v>
      </c>
      <c r="B38" s="670">
        <f ca="1">ORÇAMENTO!D38</f>
        <v>4</v>
      </c>
      <c r="C38" s="114" t="str">
        <f t="shared" ca="1" si="1"/>
        <v>F</v>
      </c>
      <c r="D38" s="117" t="str">
        <f ca="1">ORÇAMENTO!O38</f>
        <v>1.5.</v>
      </c>
      <c r="E38" s="163" t="str">
        <f t="shared" si="2"/>
        <v>ESTRUTURAS - Reservatório de 320 m³</v>
      </c>
      <c r="F38" s="164" t="str" cm="1">
        <f t="array" aca="1" ref="F38" ca="1">IF(RegimeExecucao="Global","",ORÇAMENTO.Unidade)</f>
        <v>-</v>
      </c>
      <c r="G38" s="122" cm="1">
        <f t="array" aca="1" ref="G38" ca="1">IF(RegimeExecucao="Global","",ORÇAMENTO!T38)</f>
        <v>0</v>
      </c>
      <c r="H38" s="122" cm="1">
        <f t="array" aca="1" ref="H38" ca="1">IF(RegimeExecucao="Global","",ORÇAMENTO!W38)</f>
        <v>0</v>
      </c>
      <c r="I38" s="125">
        <f ca="1">ORÇAMENTO!X38</f>
        <v>102850.02</v>
      </c>
      <c r="J38" s="333" cm="1">
        <f t="array" aca="1" ref="J38" ca="1">IF($A38="S",IF(CAIXA.Modo,BM.AFAnterior,BM.MEDAnterior),IF(AND(RegimeExecucao="Global",$I38&gt;0,COUNTIF($AB$13:$AM$13,BM.medicao-1)&gt;0),M38/$I38*100,0))</f>
        <v>0</v>
      </c>
      <c r="K38" s="122">
        <f t="shared" ca="1" si="3"/>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ca="1" si="4"/>
        <v>0</v>
      </c>
      <c r="O38" s="125" cm="1">
        <f t="array" aca="1" ref="O38" ca="1">IF($A38="S",VTOTALBM,IF($A38=0,0,ROUND(SomaAgrupBM,15-13*ORÇAMENTO!$AF$11)))</f>
        <v>0</v>
      </c>
      <c r="Q38" s="337"/>
      <c r="R38" s="338"/>
      <c r="T38" s="117" t="str">
        <f t="shared" ca="1" si="5"/>
        <v/>
      </c>
      <c r="U38" s="163" t="str">
        <f t="shared" ca="1" si="6"/>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s="670"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s="670" customFormat="1" ht="38.25" x14ac:dyDescent="0.2">
      <c r="A39" s="670" t="str">
        <f ca="1">ORÇAMENTO!C39</f>
        <v>S</v>
      </c>
      <c r="B39" s="670">
        <f ca="1">ORÇAMENTO!D39</f>
        <v>0</v>
      </c>
      <c r="C39" s="114" t="str">
        <f t="shared" ca="1" si="1"/>
        <v>F</v>
      </c>
      <c r="D39" s="117" t="str">
        <f ca="1">ORÇAMENTO!O39</f>
        <v>1.5.1.</v>
      </c>
      <c r="E39" s="163" t="str">
        <f t="shared" ca="1" si="2"/>
        <v>CONCRETO FCK = 40MPA, TRAÇO 1:1,6:1,9 (EM MASSA SECA DE CIMENTO/ AREIA MÉDIA/ BRITA 1) - PREPARO MECÂNICO COM BETONEIRA 400 L. AF_05/2021</v>
      </c>
      <c r="F39" s="164" t="str" cm="1">
        <f t="array" aca="1" ref="F39" ca="1">IF(RegimeExecucao="Global","",ORÇAMENTO.Unidade)</f>
        <v>M3</v>
      </c>
      <c r="G39" s="122" cm="1">
        <f t="array" aca="1" ref="G39" ca="1">IF(RegimeExecucao="Global","",ORÇAMENTO!T39)</f>
        <v>17.5</v>
      </c>
      <c r="H39" s="122" cm="1">
        <f t="array" aca="1" ref="H39" ca="1">IF(RegimeExecucao="Global","",ORÇAMENTO!W39)</f>
        <v>835.69</v>
      </c>
      <c r="I39" s="125">
        <f ca="1">ORÇAMENTO!X39</f>
        <v>14624.58</v>
      </c>
      <c r="J39" s="333" cm="1">
        <f t="array" aca="1" ref="J39" ca="1">IF($A39="S",IF(CAIXA.Modo,BM.AFAnterior,BM.MEDAnterior),IF(AND(RegimeExecucao="Global",$I39&gt;0,COUNTIF($AB$13:$AM$13,BM.medicao-1)&gt;0),M39/$I39*100,0))</f>
        <v>0</v>
      </c>
      <c r="K39" s="122">
        <f t="shared" ca="1" si="3"/>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4"/>
        <v>0</v>
      </c>
      <c r="O39" s="125" cm="1">
        <f t="array" aca="1" ref="O39" ca="1">IF($A39="S",VTOTALBM,IF($A39=0,0,ROUND(SomaAgrupBM,15-13*ORÇAMENTO!$AF$11)))</f>
        <v>0</v>
      </c>
      <c r="Q39" s="337"/>
      <c r="R39" s="338"/>
      <c r="T39" s="117" t="str">
        <f t="shared" ca="1" si="5"/>
        <v/>
      </c>
      <c r="U39" s="163" t="str">
        <f t="shared" ca="1" si="6"/>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s="670"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s="670" customFormat="1" ht="38.25" x14ac:dyDescent="0.2">
      <c r="A40" s="670" t="str">
        <f ca="1">ORÇAMENTO!C40</f>
        <v>S</v>
      </c>
      <c r="B40" s="670">
        <f ca="1">ORÇAMENTO!D40</f>
        <v>0</v>
      </c>
      <c r="C40" s="114" t="str">
        <f t="shared" ca="1" si="1"/>
        <v>F</v>
      </c>
      <c r="D40" s="117" t="str">
        <f ca="1">ORÇAMENTO!O40</f>
        <v>1.5.2.</v>
      </c>
      <c r="E40" s="163" t="str">
        <f t="shared" ca="1" si="2"/>
        <v>FORNECIMENTO DE CONCRETO ESTRUTURAL, USINADO BOMBEADO, COM FCK 40MPA, INCLUSIVE LANÇAMENTO, ADENSAMENTO E ACABAMENTO</v>
      </c>
      <c r="F40" s="164" t="str" cm="1">
        <f t="array" aca="1" ref="F40" ca="1">IF(RegimeExecucao="Global","",ORÇAMENTO.Unidade)</f>
        <v>m3</v>
      </c>
      <c r="G40" s="122" cm="1">
        <f t="array" aca="1" ref="G40" ca="1">IF(RegimeExecucao="Global","",ORÇAMENTO!T40)</f>
        <v>91</v>
      </c>
      <c r="H40" s="122" cm="1">
        <f t="array" aca="1" ref="H40" ca="1">IF(RegimeExecucao="Global","",ORÇAMENTO!W40)</f>
        <v>948.04</v>
      </c>
      <c r="I40" s="125">
        <f ca="1">ORÇAMENTO!X40</f>
        <v>86271.64</v>
      </c>
      <c r="J40" s="333" cm="1">
        <f t="array" aca="1" ref="J40" ca="1">IF($A40="S",IF(CAIXA.Modo,BM.AFAnterior,BM.MEDAnterior),IF(AND(RegimeExecucao="Global",$I40&gt;0,COUNTIF($AB$13:$AM$13,BM.medicao-1)&gt;0),M40/$I40*100,0))</f>
        <v>0</v>
      </c>
      <c r="K40" s="122">
        <f t="shared" ca="1" si="3"/>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ca="1" si="4"/>
        <v>0</v>
      </c>
      <c r="O40" s="125" cm="1">
        <f t="array" aca="1" ref="O40" ca="1">IF($A40="S",VTOTALBM,IF($A40=0,0,ROUND(SomaAgrupBM,15-13*ORÇAMENTO!$AF$11)))</f>
        <v>0</v>
      </c>
      <c r="Q40" s="337"/>
      <c r="R40" s="338"/>
      <c r="T40" s="117" t="str">
        <f t="shared" ca="1" si="5"/>
        <v/>
      </c>
      <c r="U40" s="163" t="str">
        <f t="shared" ca="1" si="6"/>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s="67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s="670" customFormat="1" ht="25.5" x14ac:dyDescent="0.2">
      <c r="A41" s="670" t="str">
        <f ca="1">ORÇAMENTO!C41</f>
        <v>S</v>
      </c>
      <c r="B41" s="670">
        <f ca="1">ORÇAMENTO!D41</f>
        <v>0</v>
      </c>
      <c r="C41" s="114" t="str">
        <f t="shared" ca="1" si="1"/>
        <v>F</v>
      </c>
      <c r="D41" s="117" t="str">
        <f ca="1">ORÇAMENTO!O41</f>
        <v>1.5.3.</v>
      </c>
      <c r="E41" s="163" t="str">
        <f t="shared" ca="1" si="2"/>
        <v>FÔRMA E DESFORMA PARA VIGA-CINTA/BLOCO COM COMPENSADO PLASTIFICADO, ESP. 12MM, REAPROVEITAMENTO (3X) (FUNDAÇÃO)</v>
      </c>
      <c r="F41" s="164" t="str" cm="1">
        <f t="array" aca="1" ref="F41" ca="1">IF(RegimeExecucao="Global","",ORÇAMENTO.Unidade)</f>
        <v>m2</v>
      </c>
      <c r="G41" s="122" cm="1">
        <f t="array" aca="1" ref="G41" ca="1">IF(RegimeExecucao="Global","",ORÇAMENTO!T41)</f>
        <v>20</v>
      </c>
      <c r="H41" s="122" cm="1">
        <f t="array" aca="1" ref="H41" ca="1">IF(RegimeExecucao="Global","",ORÇAMENTO!W41)</f>
        <v>97.69</v>
      </c>
      <c r="I41" s="125">
        <f ca="1">ORÇAMENTO!X41</f>
        <v>1953.8</v>
      </c>
      <c r="J41" s="333" cm="1">
        <f t="array" aca="1" ref="J41" ca="1">IF($A41="S",IF(CAIXA.Modo,BM.AFAnterior,BM.MEDAnterior),IF(AND(RegimeExecucao="Global",$I41&gt;0,COUNTIF($AB$13:$AM$13,BM.medicao-1)&gt;0),M41/$I41*100,0))</f>
        <v>0</v>
      </c>
      <c r="K41" s="122">
        <f t="shared" ca="1" si="3"/>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t="shared" ca="1" si="4"/>
        <v>0</v>
      </c>
      <c r="O41" s="125" cm="1">
        <f t="array" aca="1" ref="O41" ca="1">IF($A41="S",VTOTALBM,IF($A41=0,0,ROUND(SomaAgrupBM,15-13*ORÇAMENTO!$AF$11)))</f>
        <v>0</v>
      </c>
      <c r="Q41" s="337"/>
      <c r="R41" s="338"/>
      <c r="T41" s="117" t="str">
        <f t="shared" ca="1" si="5"/>
        <v/>
      </c>
      <c r="U41" s="163" t="str">
        <f t="shared" ca="1" si="6"/>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t="shared" ca="1" si="7"/>
        <v>0</v>
      </c>
      <c r="Z41" s="473"/>
      <c r="AB41" s="337"/>
      <c r="AC41" s="437"/>
      <c r="AD41" s="437"/>
      <c r="AE41" s="437"/>
      <c r="AF41" s="437"/>
      <c r="AG41" s="437"/>
      <c r="AH41" s="437"/>
      <c r="AI41" s="437"/>
      <c r="AJ41" s="437"/>
      <c r="AK41" s="437"/>
      <c r="AL41" s="437"/>
      <c r="AM41" s="338"/>
      <c r="AO41" s="670"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s="670" customFormat="1" x14ac:dyDescent="0.2">
      <c r="A42" s="670">
        <f ca="1">ORÇAMENTO!C42</f>
        <v>2</v>
      </c>
      <c r="B42" s="670">
        <f ca="1">ORÇAMENTO!D42</f>
        <v>2</v>
      </c>
      <c r="C42" s="114" t="str">
        <f t="shared" ca="1" si="1"/>
        <v>F</v>
      </c>
      <c r="D42" s="117" t="str">
        <f ca="1">ORÇAMENTO!O42</f>
        <v>1.6.</v>
      </c>
      <c r="E42" s="163" t="str">
        <f t="shared" si="2"/>
        <v xml:space="preserve">RESERVATÓRIO </v>
      </c>
      <c r="F42" s="164" t="str" cm="1">
        <f t="array" aca="1" ref="F42" ca="1">IF(RegimeExecucao="Global","",ORÇAMENTO.Unidade)</f>
        <v>-</v>
      </c>
      <c r="G42" s="122" cm="1">
        <f t="array" aca="1" ref="G42" ca="1">IF(RegimeExecucao="Global","",ORÇAMENTO!T42)</f>
        <v>0</v>
      </c>
      <c r="H42" s="122" cm="1">
        <f t="array" aca="1" ref="H42" ca="1">IF(RegimeExecucao="Global","",ORÇAMENTO!W42)</f>
        <v>0</v>
      </c>
      <c r="I42" s="125">
        <f ca="1">ORÇAMENTO!X42</f>
        <v>513137.44</v>
      </c>
      <c r="J42" s="333" cm="1">
        <f t="array" aca="1" ref="J42" ca="1">IF($A42="S",IF(CAIXA.Modo,BM.AFAnterior,BM.MEDAnterior),IF(AND(RegimeExecucao="Global",$I42&gt;0,COUNTIF($AB$13:$AM$13,BM.medicao-1)&gt;0),M42/$I42*100,0))</f>
        <v>0</v>
      </c>
      <c r="K42" s="122">
        <f t="shared" ca="1" si="3"/>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t="shared" ca="1" si="4"/>
        <v>0</v>
      </c>
      <c r="O42" s="125" cm="1">
        <f t="array" aca="1" ref="O42" ca="1">IF($A42="S",VTOTALBM,IF($A42=0,0,ROUND(SomaAgrupBM,15-13*ORÇAMENTO!$AF$11)))</f>
        <v>0</v>
      </c>
      <c r="Q42" s="337"/>
      <c r="R42" s="338"/>
      <c r="T42" s="117" t="str">
        <f t="shared" ca="1" si="5"/>
        <v/>
      </c>
      <c r="U42" s="163" t="str">
        <f t="shared" ca="1" si="6"/>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s="670"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s="670" customFormat="1" x14ac:dyDescent="0.2">
      <c r="A43" s="670" t="str">
        <f ca="1">ORÇAMENTO!C43</f>
        <v>S</v>
      </c>
      <c r="B43" s="670">
        <f ca="1">ORÇAMENTO!D43</f>
        <v>0</v>
      </c>
      <c r="C43" s="114" t="str">
        <f t="shared" ca="1" si="1"/>
        <v>F</v>
      </c>
      <c r="D43" s="117" t="str">
        <f ca="1">ORÇAMENTO!O43</f>
        <v>1.6.1.</v>
      </c>
      <c r="E43" s="163" t="str">
        <f t="shared" ca="1" si="2"/>
        <v>RESERVATÓRIO- 320³</v>
      </c>
      <c r="F43" s="164" t="str" cm="1">
        <f t="array" aca="1" ref="F43" ca="1">IF(RegimeExecucao="Global","",ORÇAMENTO.Unidade)</f>
        <v>UNIDADE</v>
      </c>
      <c r="G43" s="122" cm="1">
        <f t="array" aca="1" ref="G43" ca="1">IF(RegimeExecucao="Global","",ORÇAMENTO!T43)</f>
        <v>1</v>
      </c>
      <c r="H43" s="122" cm="1">
        <f t="array" aca="1" ref="H43" ca="1">IF(RegimeExecucao="Global","",ORÇAMENTO!W43)</f>
        <v>513137.44</v>
      </c>
      <c r="I43" s="125">
        <f ca="1">ORÇAMENTO!X43</f>
        <v>513137.44</v>
      </c>
      <c r="J43" s="333" cm="1">
        <f t="array" aca="1" ref="J43" ca="1">IF($A43="S",IF(CAIXA.Modo,BM.AFAnterior,BM.MEDAnterior),IF(AND(RegimeExecucao="Global",$I43&gt;0,COUNTIF($AB$13:$AM$13,BM.medicao-1)&gt;0),M43/$I43*100,0))</f>
        <v>0</v>
      </c>
      <c r="K43" s="122">
        <f t="shared" ca="1" si="3"/>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t="shared" ca="1" si="4"/>
        <v>0</v>
      </c>
      <c r="O43" s="125" cm="1">
        <f t="array" aca="1" ref="O43" ca="1">IF($A43="S",VTOTALBM,IF($A43=0,0,ROUND(SomaAgrupBM,15-13*ORÇAMENTO!$AF$11)))</f>
        <v>0</v>
      </c>
      <c r="Q43" s="337"/>
      <c r="R43" s="338"/>
      <c r="T43" s="117" t="str">
        <f t="shared" ca="1" si="5"/>
        <v/>
      </c>
      <c r="U43" s="163" t="str">
        <f t="shared" ca="1" si="6"/>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s="670"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s="670" customFormat="1" x14ac:dyDescent="0.2">
      <c r="A44" s="670">
        <f ca="1">ORÇAMENTO!C44</f>
        <v>2</v>
      </c>
      <c r="B44" s="670">
        <f ca="1">ORÇAMENTO!D44</f>
        <v>7</v>
      </c>
      <c r="C44" s="114" t="str">
        <f t="shared" ca="1" si="1"/>
        <v>F</v>
      </c>
      <c r="D44" s="117" t="str">
        <f ca="1">ORÇAMENTO!O44</f>
        <v>1.7.</v>
      </c>
      <c r="E44" s="163" t="str">
        <f t="shared" si="2"/>
        <v>TUBOS, PEÇAS E CONEXÕES - Reservatório de 320 m³</v>
      </c>
      <c r="F44" s="164" t="str" cm="1">
        <f t="array" aca="1" ref="F44" ca="1">IF(RegimeExecucao="Global","",ORÇAMENTO.Unidade)</f>
        <v>-</v>
      </c>
      <c r="G44" s="122" cm="1">
        <f t="array" aca="1" ref="G44" ca="1">IF(RegimeExecucao="Global","",ORÇAMENTO!T44)</f>
        <v>0</v>
      </c>
      <c r="H44" s="122" cm="1">
        <f t="array" aca="1" ref="H44" ca="1">IF(RegimeExecucao="Global","",ORÇAMENTO!W44)</f>
        <v>0</v>
      </c>
      <c r="I44" s="125">
        <f ca="1">ORÇAMENTO!X44</f>
        <v>105007.97</v>
      </c>
      <c r="J44" s="333" cm="1">
        <f t="array" aca="1" ref="J44" ca="1">IF($A44="S",IF(CAIXA.Modo,BM.AFAnterior,BM.MEDAnterior),IF(AND(RegimeExecucao="Global",$I44&gt;0,COUNTIF($AB$13:$AM$13,BM.medicao-1)&gt;0),M44/$I44*100,0))</f>
        <v>0</v>
      </c>
      <c r="K44" s="122">
        <f t="shared" ca="1" si="3"/>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ca="1" si="4"/>
        <v>0</v>
      </c>
      <c r="O44" s="125" cm="1">
        <f t="array" aca="1" ref="O44" ca="1">IF($A44="S",VTOTALBM,IF($A44=0,0,ROUND(SomaAgrupBM,15-13*ORÇAMENTO!$AF$11)))</f>
        <v>0</v>
      </c>
      <c r="Q44" s="337"/>
      <c r="R44" s="338"/>
      <c r="T44" s="117" t="str">
        <f t="shared" ca="1" si="5"/>
        <v/>
      </c>
      <c r="U44" s="163" t="str">
        <f t="shared" ca="1" si="6"/>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s="670"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s="670" customFormat="1" x14ac:dyDescent="0.2">
      <c r="A45" s="670" t="str">
        <f ca="1">ORÇAMENTO!C45</f>
        <v>S</v>
      </c>
      <c r="B45" s="670">
        <f ca="1">ORÇAMENTO!D45</f>
        <v>0</v>
      </c>
      <c r="C45" s="114" t="str">
        <f t="shared" ca="1" si="1"/>
        <v>F</v>
      </c>
      <c r="D45" s="117" t="str">
        <f ca="1">ORÇAMENTO!O45</f>
        <v>1.7.1.</v>
      </c>
      <c r="E45" s="163" t="str">
        <f t="shared" ca="1" si="2"/>
        <v>tubo em ferro fundido, c/ flanges PN 10, diam. =  200mm, L=1,00m</v>
      </c>
      <c r="F45" s="164" t="str" cm="1">
        <f t="array" aca="1" ref="F45" ca="1">IF(RegimeExecucao="Global","",ORÇAMENTO.Unidade)</f>
        <v>UNIDADE</v>
      </c>
      <c r="G45" s="122" cm="1">
        <f t="array" aca="1" ref="G45" ca="1">IF(RegimeExecucao="Global","",ORÇAMENTO!T45)</f>
        <v>20</v>
      </c>
      <c r="H45" s="122" cm="1">
        <f t="array" aca="1" ref="H45" ca="1">IF(RegimeExecucao="Global","",ORÇAMENTO!W45)</f>
        <v>3987.89</v>
      </c>
      <c r="I45" s="125">
        <f ca="1">ORÇAMENTO!X45</f>
        <v>79757.8</v>
      </c>
      <c r="J45" s="333" cm="1">
        <f t="array" aca="1" ref="J45" ca="1">IF($A45="S",IF(CAIXA.Modo,BM.AFAnterior,BM.MEDAnterior),IF(AND(RegimeExecucao="Global",$I45&gt;0,COUNTIF($AB$13:$AM$13,BM.medicao-1)&gt;0),M45/$I45*100,0))</f>
        <v>0</v>
      </c>
      <c r="K45" s="122">
        <f t="shared" ca="1" si="3"/>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t="shared" ca="1" si="4"/>
        <v>0</v>
      </c>
      <c r="O45" s="125" cm="1">
        <f t="array" aca="1" ref="O45" ca="1">IF($A45="S",VTOTALBM,IF($A45=0,0,ROUND(SomaAgrupBM,15-13*ORÇAMENTO!$AF$11)))</f>
        <v>0</v>
      </c>
      <c r="Q45" s="337"/>
      <c r="R45" s="338"/>
      <c r="T45" s="117" t="str">
        <f t="shared" ca="1" si="5"/>
        <v/>
      </c>
      <c r="U45" s="163" t="str">
        <f t="shared" ca="1" si="6"/>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s="670"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s="680" customFormat="1" ht="51" x14ac:dyDescent="0.2">
      <c r="A46" s="680" t="str">
        <f ca="1">ORÇAMENTO!C46</f>
        <v>S</v>
      </c>
      <c r="B46" s="680">
        <f ca="1">ORÇAMENTO!D46</f>
        <v>0</v>
      </c>
      <c r="C46" s="684" t="str">
        <f ca="1">IF(OR($I46&gt;0,$A46=1,$A46=2,$A46=3,$A46=4),"F","")</f>
        <v>F</v>
      </c>
      <c r="D46" s="687" t="str">
        <f ca="1">ORÇAMENTO!O46</f>
        <v>1.7.2.</v>
      </c>
      <c r="E46" s="699" t="str">
        <f ca="1">ORÇAMENTO.Descricao</f>
        <v>ASSENTAMENTO DE TUBO DE FERRO FUNDIDO PARA REDE DE ÁGUA, DN 200 MM, JUNTA ELÁSTICA, INSTALADO EM LOCAL COM NÍVEL ALTO DE INTERFERÊNCIAS (NÃO INCLUI FORNECIMENTO). AF_05/2024</v>
      </c>
      <c r="F46" s="700" t="str" cm="1">
        <f t="array" aca="1" ref="F46" ca="1">IF(RegimeExecucao="Global","",ORÇAMENTO.Unidade)</f>
        <v>M</v>
      </c>
      <c r="G46" s="692" cm="1">
        <f t="array" aca="1" ref="G46" ca="1">IF(RegimeExecucao="Global","",ORÇAMENTO!T46)</f>
        <v>20</v>
      </c>
      <c r="H46" s="692" cm="1">
        <f t="array" aca="1" ref="H46" ca="1">IF(RegimeExecucao="Global","",ORÇAMENTO!W46)</f>
        <v>13.16</v>
      </c>
      <c r="I46" s="695">
        <f ca="1">ORÇAMENTO!X46</f>
        <v>263.2</v>
      </c>
      <c r="J46" s="707" cm="1">
        <f t="array" aca="1" ref="J46" ca="1">IF($A46="S",IF(CAIXA.Modo,BM.AFAnterior,BM.MEDAnterior),IF(AND(RegimeExecucao="Global",$I46&gt;0,COUNTIF($AB$13:$AM$13,BM.medicao-1)&gt;0),M46/$I46*100,0))</f>
        <v>0</v>
      </c>
      <c r="K46" s="692">
        <f ca="1">L46-J46</f>
        <v>0</v>
      </c>
      <c r="L46" s="708" cm="1">
        <f t="array" aca="1" ref="L46" ca="1">IF($A46="S",IF(CAIXA.Modo,BM.AFAcumulado,BM.MEDAcumulado),IF(AND(RegimeExecucao="Global",$I46&gt;0,COUNTIF($AB$13:$AM$13,BM.medicao)&gt;0),O46/$I46*100,0))</f>
        <v>0</v>
      </c>
      <c r="M46" s="709" cm="1">
        <f t="array" aca="1" ref="M46" ca="1">IF($A46="S",VTOTALBM,IF($A46=0,0,ROUND(SomaAgrupBM,15-13*ORÇAMENTO!$AF$11)))</f>
        <v>0</v>
      </c>
      <c r="N46" s="710">
        <f ca="1">O46-M46</f>
        <v>0</v>
      </c>
      <c r="O46" s="695" cm="1">
        <f t="array" aca="1" ref="O46" ca="1">IF($A46="S",VTOTALBM,IF($A46=0,0,ROUND(SomaAgrupBM,15-13*ORÇAMENTO!$AF$11)))</f>
        <v>0</v>
      </c>
      <c r="Q46" s="711"/>
      <c r="R46" s="712"/>
      <c r="T46" s="687" t="str">
        <f ca="1">IF($W46&gt;0,$D46,"")</f>
        <v/>
      </c>
      <c r="U46" s="699" t="str">
        <f ca="1">IF($W46&gt;0,$E46,"")</f>
        <v/>
      </c>
      <c r="V46" s="700" t="str" cm="1">
        <f t="array" aca="1" ref="V46" ca="1">IF(AND($W46&gt;0,RegimeExecucao="Unitário"),$F46,"")</f>
        <v/>
      </c>
      <c r="W46" s="719" cm="1">
        <f t="array" aca="1" ref="W46" ca="1">IF($Y46&gt;0,CHOOSE(MATCH(RegimeExecucao,{"Unitário","Global"},0),IF($A46="S",$Y46/$X46,""),($Y46/$X46)*100),0)</f>
        <v>0</v>
      </c>
      <c r="X46" s="713" t="str" cm="1">
        <f t="array" aca="1" ref="X46" ca="1">IF($Y46&gt;0,CHOOSE(MATCH(RegimeExecucao,{"Unitário","Global"},0),IF($A46="S",ROUND($H46,ORÇAMENTO!$AF$10),""),ROUND($I46,ORÇAMENTO!$AF$11)),"")</f>
        <v/>
      </c>
      <c r="Y46" s="713">
        <f ca="1">AO46-O46</f>
        <v>0</v>
      </c>
      <c r="Z46" s="722"/>
      <c r="AB46" s="711"/>
      <c r="AC46" s="717"/>
      <c r="AD46" s="717"/>
      <c r="AE46" s="717"/>
      <c r="AF46" s="717"/>
      <c r="AG46" s="717"/>
      <c r="AH46" s="717"/>
      <c r="AI46" s="717"/>
      <c r="AJ46" s="717"/>
      <c r="AK46" s="717"/>
      <c r="AL46" s="717"/>
      <c r="AM46" s="712"/>
      <c r="AO46" s="680"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s="670" customFormat="1" ht="25.5" x14ac:dyDescent="0.2">
      <c r="A47" s="670" t="str">
        <f ca="1">ORÇAMENTO!C47</f>
        <v>S</v>
      </c>
      <c r="B47" s="670">
        <f ca="1">ORÇAMENTO!D47</f>
        <v>0</v>
      </c>
      <c r="C47" s="114" t="str">
        <f t="shared" ca="1" si="1"/>
        <v>F</v>
      </c>
      <c r="D47" s="117" t="str">
        <f ca="1">ORÇAMENTO!O47</f>
        <v>1.7.3.</v>
      </c>
      <c r="E47" s="163" t="str">
        <f t="shared" ca="1" si="2"/>
        <v>CURVA 90° EM  FERRO FUNDIDO, COM FLANGES PN 10,  DIAMETRO: 200MM</v>
      </c>
      <c r="F47" s="164" t="str" cm="1">
        <f t="array" aca="1" ref="F47" ca="1">IF(RegimeExecucao="Global","",ORÇAMENTO.Unidade)</f>
        <v>UNIDADE</v>
      </c>
      <c r="G47" s="122" cm="1">
        <f t="array" aca="1" ref="G47" ca="1">IF(RegimeExecucao="Global","",ORÇAMENTO!T47)</f>
        <v>3</v>
      </c>
      <c r="H47" s="122" cm="1">
        <f t="array" aca="1" ref="H47" ca="1">IF(RegimeExecucao="Global","",ORÇAMENTO!W47)</f>
        <v>1406.69</v>
      </c>
      <c r="I47" s="125">
        <f ca="1">ORÇAMENTO!X47</f>
        <v>4220.07</v>
      </c>
      <c r="J47" s="333" cm="1">
        <f t="array" aca="1" ref="J47" ca="1">IF($A47="S",IF(CAIXA.Modo,BM.AFAnterior,BM.MEDAnterior),IF(AND(RegimeExecucao="Global",$I47&gt;0,COUNTIF($AB$13:$AM$13,BM.medicao-1)&gt;0),M47/$I47*100,0))</f>
        <v>0</v>
      </c>
      <c r="K47" s="122">
        <f t="shared" ca="1" si="3"/>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t="shared" ca="1" si="4"/>
        <v>0</v>
      </c>
      <c r="O47" s="125" cm="1">
        <f t="array" aca="1" ref="O47" ca="1">IF($A47="S",VTOTALBM,IF($A47=0,0,ROUND(SomaAgrupBM,15-13*ORÇAMENTO!$AF$11)))</f>
        <v>0</v>
      </c>
      <c r="Q47" s="337"/>
      <c r="R47" s="338"/>
      <c r="T47" s="117" t="str">
        <f t="shared" ca="1" si="5"/>
        <v/>
      </c>
      <c r="U47" s="163" t="str">
        <f t="shared" ca="1" si="6"/>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s="670"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s="670" customFormat="1" x14ac:dyDescent="0.2">
      <c r="A48" s="670" t="str">
        <f ca="1">ORÇAMENTO!C48</f>
        <v>S</v>
      </c>
      <c r="B48" s="670">
        <f ca="1">ORÇAMENTO!D48</f>
        <v>0</v>
      </c>
      <c r="C48" s="114" t="str">
        <f t="shared" ca="1" si="1"/>
        <v>F</v>
      </c>
      <c r="D48" s="117" t="str">
        <f ca="1">ORÇAMENTO!O48</f>
        <v>1.7.4.</v>
      </c>
      <c r="E48" s="163" t="str">
        <f t="shared" ca="1" si="2"/>
        <v>FLANGE AVULSO EM FERRO FUNDIDO, CLASSE PN-10, DN= 200MM</v>
      </c>
      <c r="F48" s="164" t="str" cm="1">
        <f t="array" aca="1" ref="F48" ca="1">IF(RegimeExecucao="Global","",ORÇAMENTO.Unidade)</f>
        <v>UNIDADE</v>
      </c>
      <c r="G48" s="122" cm="1">
        <f t="array" aca="1" ref="G48" ca="1">IF(RegimeExecucao="Global","",ORÇAMENTO!T48)</f>
        <v>12</v>
      </c>
      <c r="H48" s="122" cm="1">
        <f t="array" aca="1" ref="H48" ca="1">IF(RegimeExecucao="Global","",ORÇAMENTO!W48)</f>
        <v>544.16999999999996</v>
      </c>
      <c r="I48" s="125">
        <f ca="1">ORÇAMENTO!X48</f>
        <v>6530.04</v>
      </c>
      <c r="J48" s="333" cm="1">
        <f t="array" aca="1" ref="J48" ca="1">IF($A48="S",IF(CAIXA.Modo,BM.AFAnterior,BM.MEDAnterior),IF(AND(RegimeExecucao="Global",$I48&gt;0,COUNTIF($AB$13:$AM$13,BM.medicao-1)&gt;0),M48/$I48*100,0))</f>
        <v>0</v>
      </c>
      <c r="K48" s="122">
        <f t="shared" ca="1" si="3"/>
        <v>0</v>
      </c>
      <c r="L48" s="334" cm="1">
        <f t="array" aca="1" ref="L48" ca="1">IF($A48="S",IF(CAIXA.Modo,BM.AFAcumulado,BM.MEDAcumulado),IF(AND(RegimeExecucao="Global",$I48&gt;0,COUNTIF($AB$13:$AM$13,BM.medicao)&gt;0),O48/$I48*100,0))</f>
        <v>0</v>
      </c>
      <c r="M48" s="335" cm="1">
        <f t="array" aca="1" ref="M48" ca="1">IF($A48="S",VTOTALBM,IF($A48=0,0,ROUND(SomaAgrupBM,15-13*ORÇAMENTO!$AF$11)))</f>
        <v>0</v>
      </c>
      <c r="N48" s="336">
        <f t="shared" ca="1" si="4"/>
        <v>0</v>
      </c>
      <c r="O48" s="125" cm="1">
        <f t="array" aca="1" ref="O48" ca="1">IF($A48="S",VTOTALBM,IF($A48=0,0,ROUND(SomaAgrupBM,15-13*ORÇAMENTO!$AF$11)))</f>
        <v>0</v>
      </c>
      <c r="Q48" s="337"/>
      <c r="R48" s="338"/>
      <c r="T48" s="117" t="str">
        <f t="shared" ca="1" si="5"/>
        <v/>
      </c>
      <c r="U48" s="163" t="str">
        <f t="shared" ca="1" si="6"/>
        <v/>
      </c>
      <c r="V48" s="164" t="str" cm="1">
        <f t="array" aca="1" ref="V48" ca="1">IF(AND($W48&gt;0,RegimeExecucao="Unitário"),$F48,"")</f>
        <v/>
      </c>
      <c r="W48" s="454" cm="1">
        <f t="array" aca="1" ref="W48" ca="1">IF($Y48&gt;0,CHOOSE(MATCH(RegimeExecucao,{"Unitário","Global"},0),IF($A48="S",$Y48/$X48,""),($Y48/$X48)*100),0)</f>
        <v>0</v>
      </c>
      <c r="X48" s="339" t="str" cm="1">
        <f t="array" aca="1" ref="X48" ca="1">IF($Y48&gt;0,CHOOSE(MATCH(RegimeExecucao,{"Unitário","Global"},0),IF($A48="S",ROUND($H48,ORÇAMENTO!$AF$10),""),ROUND($I48,ORÇAMENTO!$AF$11)),"")</f>
        <v/>
      </c>
      <c r="Y48" s="339">
        <f t="shared" ca="1" si="7"/>
        <v>0</v>
      </c>
      <c r="Z48" s="473"/>
      <c r="AB48" s="337"/>
      <c r="AC48" s="437"/>
      <c r="AD48" s="437"/>
      <c r="AE48" s="437"/>
      <c r="AF48" s="437"/>
      <c r="AG48" s="437"/>
      <c r="AH48" s="437"/>
      <c r="AI48" s="437"/>
      <c r="AJ48" s="437"/>
      <c r="AK48" s="437"/>
      <c r="AL48" s="437"/>
      <c r="AM48" s="338"/>
      <c r="AO48" s="670"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s="670" customFormat="1" x14ac:dyDescent="0.2">
      <c r="A49" s="670" t="str">
        <f ca="1">ORÇAMENTO!C49</f>
        <v>S</v>
      </c>
      <c r="B49" s="670">
        <f ca="1">ORÇAMENTO!D49</f>
        <v>0</v>
      </c>
      <c r="C49" s="114" t="str">
        <f t="shared" ca="1" si="1"/>
        <v>F</v>
      </c>
      <c r="D49" s="117" t="str">
        <f ca="1">ORÇAMENTO!O49</f>
        <v>1.7.5.</v>
      </c>
      <c r="E49" s="163" t="str">
        <f t="shared" ca="1" si="2"/>
        <v>REGISTRO DE GAVETA FF 200mm</v>
      </c>
      <c r="F49" s="164" t="str" cm="1">
        <f t="array" aca="1" ref="F49" ca="1">IF(RegimeExecucao="Global","",ORÇAMENTO.Unidade)</f>
        <v>UNIDADE</v>
      </c>
      <c r="G49" s="122" cm="1">
        <f t="array" aca="1" ref="G49" ca="1">IF(RegimeExecucao="Global","",ORÇAMENTO!T49)</f>
        <v>3</v>
      </c>
      <c r="H49" s="122" cm="1">
        <f t="array" aca="1" ref="H49" ca="1">IF(RegimeExecucao="Global","",ORÇAMENTO!W49)</f>
        <v>4596.58</v>
      </c>
      <c r="I49" s="125">
        <f ca="1">ORÇAMENTO!X49</f>
        <v>13789.74</v>
      </c>
      <c r="J49" s="333" cm="1">
        <f t="array" aca="1" ref="J49" ca="1">IF($A49="S",IF(CAIXA.Modo,BM.AFAnterior,BM.MEDAnterior),IF(AND(RegimeExecucao="Global",$I49&gt;0,COUNTIF($AB$13:$AM$13,BM.medicao-1)&gt;0),M49/$I49*100,0))</f>
        <v>0</v>
      </c>
      <c r="K49" s="122">
        <f t="shared" ca="1" si="3"/>
        <v>0</v>
      </c>
      <c r="L49" s="334" cm="1">
        <f t="array" aca="1" ref="L49" ca="1">IF($A49="S",IF(CAIXA.Modo,BM.AFAcumulado,BM.MEDAcumulado),IF(AND(RegimeExecucao="Global",$I49&gt;0,COUNTIF($AB$13:$AM$13,BM.medicao)&gt;0),O49/$I49*100,0))</f>
        <v>0</v>
      </c>
      <c r="M49" s="335" cm="1">
        <f t="array" aca="1" ref="M49" ca="1">IF($A49="S",VTOTALBM,IF($A49=0,0,ROUND(SomaAgrupBM,15-13*ORÇAMENTO!$AF$11)))</f>
        <v>0</v>
      </c>
      <c r="N49" s="336">
        <f t="shared" ca="1" si="4"/>
        <v>0</v>
      </c>
      <c r="O49" s="125" cm="1">
        <f t="array" aca="1" ref="O49" ca="1">IF($A49="S",VTOTALBM,IF($A49=0,0,ROUND(SomaAgrupBM,15-13*ORÇAMENTO!$AF$11)))</f>
        <v>0</v>
      </c>
      <c r="Q49" s="337"/>
      <c r="R49" s="338"/>
      <c r="T49" s="117" t="str">
        <f t="shared" ca="1" si="5"/>
        <v/>
      </c>
      <c r="U49" s="163" t="str">
        <f t="shared" ca="1" si="6"/>
        <v/>
      </c>
      <c r="V49" s="164" t="str" cm="1">
        <f t="array" aca="1" ref="V49" ca="1">IF(AND($W49&gt;0,RegimeExecucao="Unitário"),$F49,"")</f>
        <v/>
      </c>
      <c r="W49" s="454" cm="1">
        <f t="array" aca="1" ref="W49" ca="1">IF($Y49&gt;0,CHOOSE(MATCH(RegimeExecucao,{"Unitário","Global"},0),IF($A49="S",$Y49/$X49,""),($Y49/$X49)*100),0)</f>
        <v>0</v>
      </c>
      <c r="X49" s="339" t="str" cm="1">
        <f t="array" aca="1" ref="X49" ca="1">IF($Y49&gt;0,CHOOSE(MATCH(RegimeExecucao,{"Unitário","Global"},0),IF($A49="S",ROUND($H49,ORÇAMENTO!$AF$10),""),ROUND($I49,ORÇAMENTO!$AF$11)),"")</f>
        <v/>
      </c>
      <c r="Y49" s="339">
        <f t="shared" ca="1" si="7"/>
        <v>0</v>
      </c>
      <c r="Z49" s="473"/>
      <c r="AB49" s="337"/>
      <c r="AC49" s="437"/>
      <c r="AD49" s="437"/>
      <c r="AE49" s="437"/>
      <c r="AF49" s="437"/>
      <c r="AG49" s="437"/>
      <c r="AH49" s="437"/>
      <c r="AI49" s="437"/>
      <c r="AJ49" s="437"/>
      <c r="AK49" s="437"/>
      <c r="AL49" s="437"/>
      <c r="AM49" s="338"/>
      <c r="AO49" s="670"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s="680" customFormat="1" ht="25.5" x14ac:dyDescent="0.2">
      <c r="A50" s="680" t="str">
        <f ca="1">ORÇAMENTO!C50</f>
        <v>S</v>
      </c>
      <c r="B50" s="680">
        <f ca="1">ORÇAMENTO!D50</f>
        <v>0</v>
      </c>
      <c r="C50" s="684" t="str">
        <f ca="1">IF(OR($I50&gt;0,$A50=1,$A50=2,$A50=3,$A50=4),"F","")</f>
        <v>F</v>
      </c>
      <c r="D50" s="687" t="str">
        <f ca="1">ORÇAMENTO!O50</f>
        <v>1.7.6.</v>
      </c>
      <c r="E50" s="699" t="str">
        <f ca="1">ORÇAMENTO.Descricao</f>
        <v>MONTAGEM DE CONEXÕES DE FERRO FUNDIDO, COM FLANGES, DIAM.= 200 MM. INC_05/2020</v>
      </c>
      <c r="F50" s="700" t="str" cm="1">
        <f t="array" aca="1" ref="F50" ca="1">IF(RegimeExecucao="Global","",ORÇAMENTO.Unidade)</f>
        <v>UNIDADE</v>
      </c>
      <c r="G50" s="692" cm="1">
        <f t="array" aca="1" ref="G50" ca="1">IF(RegimeExecucao="Global","",ORÇAMENTO!T50)</f>
        <v>18</v>
      </c>
      <c r="H50" s="692" cm="1">
        <f t="array" aca="1" ref="H50" ca="1">IF(RegimeExecucao="Global","",ORÇAMENTO!W50)</f>
        <v>24.84</v>
      </c>
      <c r="I50" s="695">
        <f ca="1">ORÇAMENTO!X50</f>
        <v>447.12</v>
      </c>
      <c r="J50" s="707" cm="1">
        <f t="array" aca="1" ref="J50" ca="1">IF($A50="S",IF(CAIXA.Modo,BM.AFAnterior,BM.MEDAnterior),IF(AND(RegimeExecucao="Global",$I50&gt;0,COUNTIF($AB$13:$AM$13,BM.medicao-1)&gt;0),M50/$I50*100,0))</f>
        <v>0</v>
      </c>
      <c r="K50" s="692">
        <f ca="1">L50-J50</f>
        <v>0</v>
      </c>
      <c r="L50" s="708" cm="1">
        <f t="array" aca="1" ref="L50" ca="1">IF($A50="S",IF(CAIXA.Modo,BM.AFAcumulado,BM.MEDAcumulado),IF(AND(RegimeExecucao="Global",$I50&gt;0,COUNTIF($AB$13:$AM$13,BM.medicao)&gt;0),O50/$I50*100,0))</f>
        <v>0</v>
      </c>
      <c r="M50" s="709" cm="1">
        <f t="array" aca="1" ref="M50" ca="1">IF($A50="S",VTOTALBM,IF($A50=0,0,ROUND(SomaAgrupBM,15-13*ORÇAMENTO!$AF$11)))</f>
        <v>0</v>
      </c>
      <c r="N50" s="710">
        <f ca="1">O50-M50</f>
        <v>0</v>
      </c>
      <c r="O50" s="695" cm="1">
        <f t="array" aca="1" ref="O50" ca="1">IF($A50="S",VTOTALBM,IF($A50=0,0,ROUND(SomaAgrupBM,15-13*ORÇAMENTO!$AF$11)))</f>
        <v>0</v>
      </c>
      <c r="Q50" s="711"/>
      <c r="R50" s="712"/>
      <c r="T50" s="687" t="str">
        <f ca="1">IF($W50&gt;0,$D50,"")</f>
        <v/>
      </c>
      <c r="U50" s="699" t="str">
        <f ca="1">IF($W50&gt;0,$E50,"")</f>
        <v/>
      </c>
      <c r="V50" s="700" t="str" cm="1">
        <f t="array" aca="1" ref="V50" ca="1">IF(AND($W50&gt;0,RegimeExecucao="Unitário"),$F50,"")</f>
        <v/>
      </c>
      <c r="W50" s="719" cm="1">
        <f t="array" aca="1" ref="W50" ca="1">IF($Y50&gt;0,CHOOSE(MATCH(RegimeExecucao,{"Unitário","Global"},0),IF($A50="S",$Y50/$X50,""),($Y50/$X50)*100),0)</f>
        <v>0</v>
      </c>
      <c r="X50" s="713" t="str" cm="1">
        <f t="array" aca="1" ref="X50" ca="1">IF($Y50&gt;0,CHOOSE(MATCH(RegimeExecucao,{"Unitário","Global"},0),IF($A50="S",ROUND($H50,ORÇAMENTO!$AF$10),""),ROUND($I50,ORÇAMENTO!$AF$11)),"")</f>
        <v/>
      </c>
      <c r="Y50" s="713">
        <f ca="1">AO50-O50</f>
        <v>0</v>
      </c>
      <c r="Z50" s="722"/>
      <c r="AB50" s="711"/>
      <c r="AC50" s="717"/>
      <c r="AD50" s="717"/>
      <c r="AE50" s="717"/>
      <c r="AF50" s="717"/>
      <c r="AG50" s="717"/>
      <c r="AH50" s="717"/>
      <c r="AI50" s="717"/>
      <c r="AJ50" s="717"/>
      <c r="AK50" s="717"/>
      <c r="AL50" s="717"/>
      <c r="AM50" s="712"/>
      <c r="AO50" s="680"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s="670" customFormat="1" x14ac:dyDescent="0.2">
      <c r="A51" s="670">
        <f ca="1">ORÇAMENTO!C51</f>
        <v>2</v>
      </c>
      <c r="B51" s="670">
        <f ca="1">ORÇAMENTO!D51</f>
        <v>13</v>
      </c>
      <c r="C51" s="114" t="str">
        <f t="shared" ca="1" si="1"/>
        <v>F</v>
      </c>
      <c r="D51" s="117" t="str">
        <f ca="1">ORÇAMENTO!O51</f>
        <v>1.8.</v>
      </c>
      <c r="E51" s="163" t="str">
        <f t="shared" si="2"/>
        <v xml:space="preserve">MURO DE DIVISA </v>
      </c>
      <c r="F51" s="164" t="str" cm="1">
        <f t="array" aca="1" ref="F51" ca="1">IF(RegimeExecucao="Global","",ORÇAMENTO.Unidade)</f>
        <v>-</v>
      </c>
      <c r="G51" s="122" cm="1">
        <f t="array" aca="1" ref="G51" ca="1">IF(RegimeExecucao="Global","",ORÇAMENTO!T51)</f>
        <v>0</v>
      </c>
      <c r="H51" s="122" cm="1">
        <f t="array" aca="1" ref="H51" ca="1">IF(RegimeExecucao="Global","",ORÇAMENTO!W51)</f>
        <v>0</v>
      </c>
      <c r="I51" s="125">
        <f ca="1">ORÇAMENTO!X51</f>
        <v>192295.65</v>
      </c>
      <c r="J51" s="333" cm="1">
        <f t="array" aca="1" ref="J51" ca="1">IF($A51="S",IF(CAIXA.Modo,BM.AFAnterior,BM.MEDAnterior),IF(AND(RegimeExecucao="Global",$I51&gt;0,COUNTIF($AB$13:$AM$13,BM.medicao-1)&gt;0),M51/$I51*100,0))</f>
        <v>0</v>
      </c>
      <c r="K51" s="122">
        <f t="shared" ca="1" si="3"/>
        <v>0</v>
      </c>
      <c r="L51" s="334" cm="1">
        <f t="array" aca="1" ref="L51" ca="1">IF($A51="S",IF(CAIXA.Modo,BM.AFAcumulado,BM.MEDAcumulado),IF(AND(RegimeExecucao="Global",$I51&gt;0,COUNTIF($AB$13:$AM$13,BM.medicao)&gt;0),O51/$I51*100,0))</f>
        <v>0</v>
      </c>
      <c r="M51" s="335" cm="1">
        <f t="array" aca="1" ref="M51" ca="1">IF($A51="S",VTOTALBM,IF($A51=0,0,ROUND(SomaAgrupBM,15-13*ORÇAMENTO!$AF$11)))</f>
        <v>0</v>
      </c>
      <c r="N51" s="336">
        <f t="shared" ca="1" si="4"/>
        <v>0</v>
      </c>
      <c r="O51" s="125" cm="1">
        <f t="array" aca="1" ref="O51" ca="1">IF($A51="S",VTOTALBM,IF($A51=0,0,ROUND(SomaAgrupBM,15-13*ORÇAMENTO!$AF$11)))</f>
        <v>0</v>
      </c>
      <c r="Q51" s="337"/>
      <c r="R51" s="338"/>
      <c r="T51" s="117" t="str">
        <f t="shared" ca="1" si="5"/>
        <v/>
      </c>
      <c r="U51" s="163" t="str">
        <f t="shared" ca="1" si="6"/>
        <v/>
      </c>
      <c r="V51" s="164" t="str" cm="1">
        <f t="array" aca="1" ref="V51" ca="1">IF(AND($W51&gt;0,RegimeExecucao="Unitário"),$F51,"")</f>
        <v/>
      </c>
      <c r="W51" s="454" cm="1">
        <f t="array" aca="1" ref="W51" ca="1">IF($Y51&gt;0,CHOOSE(MATCH(RegimeExecucao,{"Unitário","Global"},0),IF($A51="S",$Y51/$X51,""),($Y51/$X51)*100),0)</f>
        <v>0</v>
      </c>
      <c r="X51" s="339" t="str" cm="1">
        <f t="array" aca="1" ref="X51" ca="1">IF($Y51&gt;0,CHOOSE(MATCH(RegimeExecucao,{"Unitário","Global"},0),IF($A51="S",ROUND($H51,ORÇAMENTO!$AF$10),""),ROUND($I51,ORÇAMENTO!$AF$11)),"")</f>
        <v/>
      </c>
      <c r="Y51" s="339">
        <f t="shared" ca="1" si="7"/>
        <v>0</v>
      </c>
      <c r="Z51" s="473"/>
      <c r="AB51" s="337"/>
      <c r="AC51" s="437"/>
      <c r="AD51" s="437"/>
      <c r="AE51" s="437"/>
      <c r="AF51" s="437"/>
      <c r="AG51" s="437"/>
      <c r="AH51" s="437"/>
      <c r="AI51" s="437"/>
      <c r="AJ51" s="437"/>
      <c r="AK51" s="437"/>
      <c r="AL51" s="437"/>
      <c r="AM51" s="338"/>
      <c r="AO51" s="670"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s="670" customFormat="1" ht="25.5" x14ac:dyDescent="0.2">
      <c r="A52" s="670" t="str">
        <f ca="1">ORÇAMENTO!C52</f>
        <v>S</v>
      </c>
      <c r="B52" s="670">
        <f ca="1">ORÇAMENTO!D52</f>
        <v>0</v>
      </c>
      <c r="C52" s="114" t="str">
        <f t="shared" ca="1" si="1"/>
        <v>F</v>
      </c>
      <c r="D52" s="117" t="str">
        <f ca="1">ORÇAMENTO!O52</f>
        <v>1.8.1.</v>
      </c>
      <c r="E52" s="163" t="str">
        <f t="shared" ca="1" si="2"/>
        <v>REMOÇÃO DE TRAMA METÁLICA PARA COBERTURA, DE FORMA MANUAL, SEM REAPROVEITAMENTO. AF_09/2023</v>
      </c>
      <c r="F52" s="164" t="str" cm="1">
        <f t="array" aca="1" ref="F52" ca="1">IF(RegimeExecucao="Global","",ORÇAMENTO.Unidade)</f>
        <v>M2</v>
      </c>
      <c r="G52" s="122" cm="1">
        <f t="array" aca="1" ref="G52" ca="1">IF(RegimeExecucao="Global","",ORÇAMENTO!T52)</f>
        <v>210.1</v>
      </c>
      <c r="H52" s="122" cm="1">
        <f t="array" aca="1" ref="H52" ca="1">IF(RegimeExecucao="Global","",ORÇAMENTO!W52)</f>
        <v>44.8</v>
      </c>
      <c r="I52" s="125">
        <f ca="1">ORÇAMENTO!X52</f>
        <v>9412.48</v>
      </c>
      <c r="J52" s="333" cm="1">
        <f t="array" aca="1" ref="J52" ca="1">IF($A52="S",IF(CAIXA.Modo,BM.AFAnterior,BM.MEDAnterior),IF(AND(RegimeExecucao="Global",$I52&gt;0,COUNTIF($AB$13:$AM$13,BM.medicao-1)&gt;0),M52/$I52*100,0))</f>
        <v>0</v>
      </c>
      <c r="K52" s="122">
        <f t="shared" ca="1" si="3"/>
        <v>0</v>
      </c>
      <c r="L52" s="334" cm="1">
        <f t="array" aca="1" ref="L52" ca="1">IF($A52="S",IF(CAIXA.Modo,BM.AFAcumulado,BM.MEDAcumulado),IF(AND(RegimeExecucao="Global",$I52&gt;0,COUNTIF($AB$13:$AM$13,BM.medicao)&gt;0),O52/$I52*100,0))</f>
        <v>0</v>
      </c>
      <c r="M52" s="335" cm="1">
        <f t="array" aca="1" ref="M52" ca="1">IF($A52="S",VTOTALBM,IF($A52=0,0,ROUND(SomaAgrupBM,15-13*ORÇAMENTO!$AF$11)))</f>
        <v>0</v>
      </c>
      <c r="N52" s="336">
        <f t="shared" ca="1" si="4"/>
        <v>0</v>
      </c>
      <c r="O52" s="125" cm="1">
        <f t="array" aca="1" ref="O52" ca="1">IF($A52="S",VTOTALBM,IF($A52=0,0,ROUND(SomaAgrupBM,15-13*ORÇAMENTO!$AF$11)))</f>
        <v>0</v>
      </c>
      <c r="Q52" s="337"/>
      <c r="R52" s="338"/>
      <c r="T52" s="117" t="str">
        <f t="shared" ca="1" si="5"/>
        <v/>
      </c>
      <c r="U52" s="163" t="str">
        <f t="shared" ca="1" si="6"/>
        <v/>
      </c>
      <c r="V52" s="164" t="str" cm="1">
        <f t="array" aca="1" ref="V52" ca="1">IF(AND($W52&gt;0,RegimeExecucao="Unitário"),$F52,"")</f>
        <v/>
      </c>
      <c r="W52" s="454" cm="1">
        <f t="array" aca="1" ref="W52" ca="1">IF($Y52&gt;0,CHOOSE(MATCH(RegimeExecucao,{"Unitário","Global"},0),IF($A52="S",$Y52/$X52,""),($Y52/$X52)*100),0)</f>
        <v>0</v>
      </c>
      <c r="X52" s="339" t="str" cm="1">
        <f t="array" aca="1" ref="X52" ca="1">IF($Y52&gt;0,CHOOSE(MATCH(RegimeExecucao,{"Unitário","Global"},0),IF($A52="S",ROUND($H52,ORÇAMENTO!$AF$10),""),ROUND($I52,ORÇAMENTO!$AF$11)),"")</f>
        <v/>
      </c>
      <c r="Y52" s="339">
        <f t="shared" ca="1" si="7"/>
        <v>0</v>
      </c>
      <c r="Z52" s="473"/>
      <c r="AB52" s="337"/>
      <c r="AC52" s="437"/>
      <c r="AD52" s="437"/>
      <c r="AE52" s="437"/>
      <c r="AF52" s="437"/>
      <c r="AG52" s="437"/>
      <c r="AH52" s="437"/>
      <c r="AI52" s="437"/>
      <c r="AJ52" s="437"/>
      <c r="AK52" s="437"/>
      <c r="AL52" s="437"/>
      <c r="AM52" s="338"/>
      <c r="AO52" s="670"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s="670" customFormat="1" x14ac:dyDescent="0.2">
      <c r="A53" s="670" t="str">
        <f ca="1">ORÇAMENTO!C53</f>
        <v>S</v>
      </c>
      <c r="B53" s="670">
        <f ca="1">ORÇAMENTO!D53</f>
        <v>0</v>
      </c>
      <c r="C53" s="114" t="str">
        <f t="shared" ca="1" si="1"/>
        <v>F</v>
      </c>
      <c r="D53" s="117" t="str">
        <f ca="1">ORÇAMENTO!O53</f>
        <v>1.8.2.</v>
      </c>
      <c r="E53" s="163" t="str">
        <f t="shared" ca="1" si="2"/>
        <v>LIMPEZA FINAL PARA ENTREGA DA OBRA</v>
      </c>
      <c r="F53" s="164" t="str" cm="1">
        <f t="array" aca="1" ref="F53" ca="1">IF(RegimeExecucao="Global","",ORÇAMENTO.Unidade)</f>
        <v>m2</v>
      </c>
      <c r="G53" s="122" cm="1">
        <f t="array" aca="1" ref="G53" ca="1">IF(RegimeExecucao="Global","",ORÇAMENTO!T53)</f>
        <v>1.98</v>
      </c>
      <c r="H53" s="122" cm="1">
        <f t="array" aca="1" ref="H53" ca="1">IF(RegimeExecucao="Global","",ORÇAMENTO!W53)</f>
        <v>10.32</v>
      </c>
      <c r="I53" s="125">
        <f ca="1">ORÇAMENTO!X53</f>
        <v>20.43</v>
      </c>
      <c r="J53" s="333" cm="1">
        <f t="array" aca="1" ref="J53" ca="1">IF($A53="S",IF(CAIXA.Modo,BM.AFAnterior,BM.MEDAnterior),IF(AND(RegimeExecucao="Global",$I53&gt;0,COUNTIF($AB$13:$AM$13,BM.medicao-1)&gt;0),M53/$I53*100,0))</f>
        <v>0</v>
      </c>
      <c r="K53" s="122">
        <f t="shared" ca="1" si="3"/>
        <v>0</v>
      </c>
      <c r="L53" s="334" cm="1">
        <f t="array" aca="1" ref="L53" ca="1">IF($A53="S",IF(CAIXA.Modo,BM.AFAcumulado,BM.MEDAcumulado),IF(AND(RegimeExecucao="Global",$I53&gt;0,COUNTIF($AB$13:$AM$13,BM.medicao)&gt;0),O53/$I53*100,0))</f>
        <v>0</v>
      </c>
      <c r="M53" s="335" cm="1">
        <f t="array" aca="1" ref="M53" ca="1">IF($A53="S",VTOTALBM,IF($A53=0,0,ROUND(SomaAgrupBM,15-13*ORÇAMENTO!$AF$11)))</f>
        <v>0</v>
      </c>
      <c r="N53" s="336">
        <f t="shared" ca="1" si="4"/>
        <v>0</v>
      </c>
      <c r="O53" s="125" cm="1">
        <f t="array" aca="1" ref="O53" ca="1">IF($A53="S",VTOTALBM,IF($A53=0,0,ROUND(SomaAgrupBM,15-13*ORÇAMENTO!$AF$11)))</f>
        <v>0</v>
      </c>
      <c r="Q53" s="337"/>
      <c r="R53" s="338"/>
      <c r="T53" s="117" t="str">
        <f t="shared" ca="1" si="5"/>
        <v/>
      </c>
      <c r="U53" s="163" t="str">
        <f t="shared" ca="1" si="6"/>
        <v/>
      </c>
      <c r="V53" s="164" t="str" cm="1">
        <f t="array" aca="1" ref="V53" ca="1">IF(AND($W53&gt;0,RegimeExecucao="Unitário"),$F53,"")</f>
        <v/>
      </c>
      <c r="W53" s="454" cm="1">
        <f t="array" aca="1" ref="W53" ca="1">IF($Y53&gt;0,CHOOSE(MATCH(RegimeExecucao,{"Unitário","Global"},0),IF($A53="S",$Y53/$X53,""),($Y53/$X53)*100),0)</f>
        <v>0</v>
      </c>
      <c r="X53" s="339" t="str" cm="1">
        <f t="array" aca="1" ref="X53" ca="1">IF($Y53&gt;0,CHOOSE(MATCH(RegimeExecucao,{"Unitário","Global"},0),IF($A53="S",ROUND($H53,ORÇAMENTO!$AF$10),""),ROUND($I53,ORÇAMENTO!$AF$11)),"")</f>
        <v/>
      </c>
      <c r="Y53" s="339">
        <f t="shared" ca="1" si="7"/>
        <v>0</v>
      </c>
      <c r="Z53" s="473"/>
      <c r="AB53" s="337"/>
      <c r="AC53" s="437"/>
      <c r="AD53" s="437"/>
      <c r="AE53" s="437"/>
      <c r="AF53" s="437"/>
      <c r="AG53" s="437"/>
      <c r="AH53" s="437"/>
      <c r="AI53" s="437"/>
      <c r="AJ53" s="437"/>
      <c r="AK53" s="437"/>
      <c r="AL53" s="437"/>
      <c r="AM53" s="338"/>
      <c r="AO53" s="670"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s="670" customFormat="1" x14ac:dyDescent="0.2">
      <c r="A54" s="670" t="str">
        <f ca="1">ORÇAMENTO!C54</f>
        <v>S</v>
      </c>
      <c r="B54" s="670">
        <f ca="1">ORÇAMENTO!D54</f>
        <v>0</v>
      </c>
      <c r="C54" s="114" t="str">
        <f t="shared" ca="1" si="1"/>
        <v>F</v>
      </c>
      <c r="D54" s="117" t="str">
        <f ca="1">ORÇAMENTO!O54</f>
        <v>1.8.3.</v>
      </c>
      <c r="E54" s="163" t="str">
        <f t="shared" ca="1" si="2"/>
        <v>ESCAVAÇÃO MANUAL DE VALA. AF_09/2024</v>
      </c>
      <c r="F54" s="164" t="str" cm="1">
        <f t="array" aca="1" ref="F54" ca="1">IF(RegimeExecucao="Global","",ORÇAMENTO.Unidade)</f>
        <v>M3</v>
      </c>
      <c r="G54" s="122" cm="1">
        <f t="array" aca="1" ref="G54" ca="1">IF(RegimeExecucao="Global","",ORÇAMENTO!T54)</f>
        <v>59.53</v>
      </c>
      <c r="H54" s="122" cm="1">
        <f t="array" aca="1" ref="H54" ca="1">IF(RegimeExecucao="Global","",ORÇAMENTO!W54)</f>
        <v>122.03</v>
      </c>
      <c r="I54" s="125">
        <f ca="1">ORÇAMENTO!X54</f>
        <v>7264.45</v>
      </c>
      <c r="J54" s="333" cm="1">
        <f t="array" aca="1" ref="J54" ca="1">IF($A54="S",IF(CAIXA.Modo,BM.AFAnterior,BM.MEDAnterior),IF(AND(RegimeExecucao="Global",$I54&gt;0,COUNTIF($AB$13:$AM$13,BM.medicao-1)&gt;0),M54/$I54*100,0))</f>
        <v>0</v>
      </c>
      <c r="K54" s="122">
        <f t="shared" ca="1" si="3"/>
        <v>0</v>
      </c>
      <c r="L54" s="334" cm="1">
        <f t="array" aca="1" ref="L54" ca="1">IF($A54="S",IF(CAIXA.Modo,BM.AFAcumulado,BM.MEDAcumulado),IF(AND(RegimeExecucao="Global",$I54&gt;0,COUNTIF($AB$13:$AM$13,BM.medicao)&gt;0),O54/$I54*100,0))</f>
        <v>0</v>
      </c>
      <c r="M54" s="335" cm="1">
        <f t="array" aca="1" ref="M54" ca="1">IF($A54="S",VTOTALBM,IF($A54=0,0,ROUND(SomaAgrupBM,15-13*ORÇAMENTO!$AF$11)))</f>
        <v>0</v>
      </c>
      <c r="N54" s="336">
        <f t="shared" ca="1" si="4"/>
        <v>0</v>
      </c>
      <c r="O54" s="125" cm="1">
        <f t="array" aca="1" ref="O54" ca="1">IF($A54="S",VTOTALBM,IF($A54=0,0,ROUND(SomaAgrupBM,15-13*ORÇAMENTO!$AF$11)))</f>
        <v>0</v>
      </c>
      <c r="Q54" s="337"/>
      <c r="R54" s="338"/>
      <c r="T54" s="117" t="str">
        <f t="shared" ca="1" si="5"/>
        <v/>
      </c>
      <c r="U54" s="163" t="str">
        <f t="shared" ca="1" si="6"/>
        <v/>
      </c>
      <c r="V54" s="164" t="str" cm="1">
        <f t="array" aca="1" ref="V54" ca="1">IF(AND($W54&gt;0,RegimeExecucao="Unitário"),$F54,"")</f>
        <v/>
      </c>
      <c r="W54" s="454" cm="1">
        <f t="array" aca="1" ref="W54" ca="1">IF($Y54&gt;0,CHOOSE(MATCH(RegimeExecucao,{"Unitário","Global"},0),IF($A54="S",$Y54/$X54,""),($Y54/$X54)*100),0)</f>
        <v>0</v>
      </c>
      <c r="X54" s="339" t="str" cm="1">
        <f t="array" aca="1" ref="X54" ca="1">IF($Y54&gt;0,CHOOSE(MATCH(RegimeExecucao,{"Unitário","Global"},0),IF($A54="S",ROUND($H54,ORÇAMENTO!$AF$10),""),ROUND($I54,ORÇAMENTO!$AF$11)),"")</f>
        <v/>
      </c>
      <c r="Y54" s="339">
        <f t="shared" ca="1" si="7"/>
        <v>0</v>
      </c>
      <c r="Z54" s="473"/>
      <c r="AB54" s="337"/>
      <c r="AC54" s="437"/>
      <c r="AD54" s="437"/>
      <c r="AE54" s="437"/>
      <c r="AF54" s="437"/>
      <c r="AG54" s="437"/>
      <c r="AH54" s="437"/>
      <c r="AI54" s="437"/>
      <c r="AJ54" s="437"/>
      <c r="AK54" s="437"/>
      <c r="AL54" s="437"/>
      <c r="AM54" s="338"/>
      <c r="AO54" s="670" cm="1">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s="670" customFormat="1" ht="25.5" x14ac:dyDescent="0.2">
      <c r="A55" s="670" t="str">
        <f ca="1">ORÇAMENTO!C55</f>
        <v>S</v>
      </c>
      <c r="B55" s="670">
        <f ca="1">ORÇAMENTO!D55</f>
        <v>0</v>
      </c>
      <c r="C55" s="114" t="str">
        <f t="shared" ca="1" si="1"/>
        <v>F</v>
      </c>
      <c r="D55" s="117" t="str">
        <f ca="1">ORÇAMENTO!O55</f>
        <v>1.8.4.</v>
      </c>
      <c r="E55" s="163" t="str">
        <f t="shared" ca="1" si="2"/>
        <v>REATERRO MANUAL DE VALA, INCLUSIVE ESPALHAMENTO E COMPACTAÇÃO MANUAL COM SOQUETE</v>
      </c>
      <c r="F55" s="164" t="str" cm="1">
        <f t="array" aca="1" ref="F55" ca="1">IF(RegimeExecucao="Global","",ORÇAMENTO.Unidade)</f>
        <v>m3</v>
      </c>
      <c r="G55" s="122" cm="1">
        <f t="array" aca="1" ref="G55" ca="1">IF(RegimeExecucao="Global","",ORÇAMENTO!T55)</f>
        <v>43.21</v>
      </c>
      <c r="H55" s="122" cm="1">
        <f t="array" aca="1" ref="H55" ca="1">IF(RegimeExecucao="Global","",ORÇAMENTO!W55)</f>
        <v>95.84</v>
      </c>
      <c r="I55" s="125">
        <f ca="1">ORÇAMENTO!X55</f>
        <v>4141.25</v>
      </c>
      <c r="J55" s="333" cm="1">
        <f t="array" aca="1" ref="J55" ca="1">IF($A55="S",IF(CAIXA.Modo,BM.AFAnterior,BM.MEDAnterior),IF(AND(RegimeExecucao="Global",$I55&gt;0,COUNTIF($AB$13:$AM$13,BM.medicao-1)&gt;0),M55/$I55*100,0))</f>
        <v>0</v>
      </c>
      <c r="K55" s="122">
        <f t="shared" ca="1" si="3"/>
        <v>0</v>
      </c>
      <c r="L55" s="334" cm="1">
        <f t="array" aca="1" ref="L55" ca="1">IF($A55="S",IF(CAIXA.Modo,BM.AFAcumulado,BM.MEDAcumulado),IF(AND(RegimeExecucao="Global",$I55&gt;0,COUNTIF($AB$13:$AM$13,BM.medicao)&gt;0),O55/$I55*100,0))</f>
        <v>0</v>
      </c>
      <c r="M55" s="335" cm="1">
        <f t="array" aca="1" ref="M55" ca="1">IF($A55="S",VTOTALBM,IF($A55=0,0,ROUND(SomaAgrupBM,15-13*ORÇAMENTO!$AF$11)))</f>
        <v>0</v>
      </c>
      <c r="N55" s="336">
        <f t="shared" ca="1" si="4"/>
        <v>0</v>
      </c>
      <c r="O55" s="125" cm="1">
        <f t="array" aca="1" ref="O55" ca="1">IF($A55="S",VTOTALBM,IF($A55=0,0,ROUND(SomaAgrupBM,15-13*ORÇAMENTO!$AF$11)))</f>
        <v>0</v>
      </c>
      <c r="Q55" s="337"/>
      <c r="R55" s="338"/>
      <c r="T55" s="117" t="str">
        <f t="shared" ca="1" si="5"/>
        <v/>
      </c>
      <c r="U55" s="163" t="str">
        <f t="shared" ca="1" si="6"/>
        <v/>
      </c>
      <c r="V55" s="164" t="str" cm="1">
        <f t="array" aca="1" ref="V55" ca="1">IF(AND($W55&gt;0,RegimeExecucao="Unitário"),$F55,"")</f>
        <v/>
      </c>
      <c r="W55" s="454" cm="1">
        <f t="array" aca="1" ref="W55" ca="1">IF($Y55&gt;0,CHOOSE(MATCH(RegimeExecucao,{"Unitário","Global"},0),IF($A55="S",$Y55/$X55,""),($Y55/$X55)*100),0)</f>
        <v>0</v>
      </c>
      <c r="X55" s="339" t="str" cm="1">
        <f t="array" aca="1" ref="X55" ca="1">IF($Y55&gt;0,CHOOSE(MATCH(RegimeExecucao,{"Unitário","Global"},0),IF($A55="S",ROUND($H55,ORÇAMENTO!$AF$10),""),ROUND($I55,ORÇAMENTO!$AF$11)),"")</f>
        <v/>
      </c>
      <c r="Y55" s="339">
        <f t="shared" ca="1" si="7"/>
        <v>0</v>
      </c>
      <c r="Z55" s="473"/>
      <c r="AB55" s="337"/>
      <c r="AC55" s="437"/>
      <c r="AD55" s="437"/>
      <c r="AE55" s="437"/>
      <c r="AF55" s="437"/>
      <c r="AG55" s="437"/>
      <c r="AH55" s="437"/>
      <c r="AI55" s="437"/>
      <c r="AJ55" s="437"/>
      <c r="AK55" s="437"/>
      <c r="AL55" s="437"/>
      <c r="AM55" s="338"/>
      <c r="AO55" s="670" cm="1">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s="670" customFormat="1" ht="25.5" x14ac:dyDescent="0.2">
      <c r="A56" s="670" t="str">
        <f ca="1">ORÇAMENTO!C56</f>
        <v>S</v>
      </c>
      <c r="B56" s="670">
        <f ca="1">ORÇAMENTO!D56</f>
        <v>0</v>
      </c>
      <c r="C56" s="114" t="str">
        <f t="shared" ca="1" si="1"/>
        <v>F</v>
      </c>
      <c r="D56" s="117" t="str">
        <f ca="1">ORÇAMENTO!O56</f>
        <v>1.8.5.</v>
      </c>
      <c r="E56" s="163" t="str">
        <f t="shared" ca="1" si="2"/>
        <v>ALVENARIA ESTRUTURAL COM BLOCO DE CONCRETO, ESP. 14CM, (FBK 4,5MPA), INCLUSIVE ARGAMASSA PARA ASSENTAMENTO</v>
      </c>
      <c r="F56" s="164" t="str" cm="1">
        <f t="array" aca="1" ref="F56" ca="1">IF(RegimeExecucao="Global","",ORÇAMENTO.Unidade)</f>
        <v>m2</v>
      </c>
      <c r="G56" s="122" cm="1">
        <f t="array" aca="1" ref="G56" ca="1">IF(RegimeExecucao="Global","",ORÇAMENTO!T56)</f>
        <v>300</v>
      </c>
      <c r="H56" s="122" cm="1">
        <f t="array" aca="1" ref="H56" ca="1">IF(RegimeExecucao="Global","",ORÇAMENTO!W56)</f>
        <v>107.67</v>
      </c>
      <c r="I56" s="125">
        <f ca="1">ORÇAMENTO!X56</f>
        <v>32301</v>
      </c>
      <c r="J56" s="333" cm="1">
        <f t="array" aca="1" ref="J56" ca="1">IF($A56="S",IF(CAIXA.Modo,BM.AFAnterior,BM.MEDAnterior),IF(AND(RegimeExecucao="Global",$I56&gt;0,COUNTIF($AB$13:$AM$13,BM.medicao-1)&gt;0),M56/$I56*100,0))</f>
        <v>0</v>
      </c>
      <c r="K56" s="122">
        <f t="shared" ca="1" si="3"/>
        <v>0</v>
      </c>
      <c r="L56" s="334" cm="1">
        <f t="array" aca="1" ref="L56" ca="1">IF($A56="S",IF(CAIXA.Modo,BM.AFAcumulado,BM.MEDAcumulado),IF(AND(RegimeExecucao="Global",$I56&gt;0,COUNTIF($AB$13:$AM$13,BM.medicao)&gt;0),O56/$I56*100,0))</f>
        <v>0</v>
      </c>
      <c r="M56" s="335" cm="1">
        <f t="array" aca="1" ref="M56" ca="1">IF($A56="S",VTOTALBM,IF($A56=0,0,ROUND(SomaAgrupBM,15-13*ORÇAMENTO!$AF$11)))</f>
        <v>0</v>
      </c>
      <c r="N56" s="336">
        <f t="shared" ca="1" si="4"/>
        <v>0</v>
      </c>
      <c r="O56" s="125" cm="1">
        <f t="array" aca="1" ref="O56" ca="1">IF($A56="S",VTOTALBM,IF($A56=0,0,ROUND(SomaAgrupBM,15-13*ORÇAMENTO!$AF$11)))</f>
        <v>0</v>
      </c>
      <c r="Q56" s="337"/>
      <c r="R56" s="338"/>
      <c r="T56" s="117" t="str">
        <f t="shared" ca="1" si="5"/>
        <v/>
      </c>
      <c r="U56" s="163" t="str">
        <f t="shared" ca="1" si="6"/>
        <v/>
      </c>
      <c r="V56" s="164" t="str" cm="1">
        <f t="array" aca="1" ref="V56" ca="1">IF(AND($W56&gt;0,RegimeExecucao="Unitário"),$F56,"")</f>
        <v/>
      </c>
      <c r="W56" s="454" cm="1">
        <f t="array" aca="1" ref="W56" ca="1">IF($Y56&gt;0,CHOOSE(MATCH(RegimeExecucao,{"Unitário","Global"},0),IF($A56="S",$Y56/$X56,""),($Y56/$X56)*100),0)</f>
        <v>0</v>
      </c>
      <c r="X56" s="339" t="str" cm="1">
        <f t="array" aca="1" ref="X56" ca="1">IF($Y56&gt;0,CHOOSE(MATCH(RegimeExecucao,{"Unitário","Global"},0),IF($A56="S",ROUND($H56,ORÇAMENTO!$AF$10),""),ROUND($I56,ORÇAMENTO!$AF$11)),"")</f>
        <v/>
      </c>
      <c r="Y56" s="339">
        <f t="shared" ca="1" si="7"/>
        <v>0</v>
      </c>
      <c r="Z56" s="473"/>
      <c r="AB56" s="337"/>
      <c r="AC56" s="437"/>
      <c r="AD56" s="437"/>
      <c r="AE56" s="437"/>
      <c r="AF56" s="437"/>
      <c r="AG56" s="437"/>
      <c r="AH56" s="437"/>
      <c r="AI56" s="437"/>
      <c r="AJ56" s="437"/>
      <c r="AK56" s="437"/>
      <c r="AL56" s="437"/>
      <c r="AM56" s="338"/>
      <c r="AO56" s="670" cm="1">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s="670" customFormat="1" ht="51" x14ac:dyDescent="0.2">
      <c r="A57" s="670" t="str">
        <f ca="1">ORÇAMENTO!C57</f>
        <v>S</v>
      </c>
      <c r="B57" s="670">
        <f ca="1">ORÇAMENTO!D57</f>
        <v>0</v>
      </c>
      <c r="C57" s="114" t="str">
        <f t="shared" ca="1" si="1"/>
        <v>F</v>
      </c>
      <c r="D57" s="117" t="str">
        <f ca="1">ORÇAMENTO!O57</f>
        <v>1.8.6.</v>
      </c>
      <c r="E57" s="163" t="str">
        <f t="shared" ca="1" si="2"/>
        <v>CONCRETAGEM DE EDIFICAÇÕES (PAREDES E LAJES) FEITAS COM SISTEMA DE FÔRMAS MANUSEÁVEIS, COM CONCRETO USINADO BOMBEÁVEL FCK 25 MPA - LANÇAMENTO, ADENSAMENTO E ACABAMENTO. AF_09/2024</v>
      </c>
      <c r="F57" s="164" t="str" cm="1">
        <f t="array" aca="1" ref="F57" ca="1">IF(RegimeExecucao="Global","",ORÇAMENTO.Unidade)</f>
        <v>M3</v>
      </c>
      <c r="G57" s="122" cm="1">
        <f t="array" aca="1" ref="G57" ca="1">IF(RegimeExecucao="Global","",ORÇAMENTO!T57)</f>
        <v>1.7</v>
      </c>
      <c r="H57" s="122" cm="1">
        <f t="array" aca="1" ref="H57" ca="1">IF(RegimeExecucao="Global","",ORÇAMENTO!W57)</f>
        <v>927.1</v>
      </c>
      <c r="I57" s="125">
        <f ca="1">ORÇAMENTO!X57</f>
        <v>1576.07</v>
      </c>
      <c r="J57" s="333" cm="1">
        <f t="array" aca="1" ref="J57" ca="1">IF($A57="S",IF(CAIXA.Modo,BM.AFAnterior,BM.MEDAnterior),IF(AND(RegimeExecucao="Global",$I57&gt;0,COUNTIF($AB$13:$AM$13,BM.medicao-1)&gt;0),M57/$I57*100,0))</f>
        <v>0</v>
      </c>
      <c r="K57" s="122">
        <f t="shared" ca="1" si="3"/>
        <v>0</v>
      </c>
      <c r="L57" s="334" cm="1">
        <f t="array" aca="1" ref="L57" ca="1">IF($A57="S",IF(CAIXA.Modo,BM.AFAcumulado,BM.MEDAcumulado),IF(AND(RegimeExecucao="Global",$I57&gt;0,COUNTIF($AB$13:$AM$13,BM.medicao)&gt;0),O57/$I57*100,0))</f>
        <v>0</v>
      </c>
      <c r="M57" s="335" cm="1">
        <f t="array" aca="1" ref="M57" ca="1">IF($A57="S",VTOTALBM,IF($A57=0,0,ROUND(SomaAgrupBM,15-13*ORÇAMENTO!$AF$11)))</f>
        <v>0</v>
      </c>
      <c r="N57" s="336">
        <f t="shared" ca="1" si="4"/>
        <v>0</v>
      </c>
      <c r="O57" s="125" cm="1">
        <f t="array" aca="1" ref="O57" ca="1">IF($A57="S",VTOTALBM,IF($A57=0,0,ROUND(SomaAgrupBM,15-13*ORÇAMENTO!$AF$11)))</f>
        <v>0</v>
      </c>
      <c r="Q57" s="337"/>
      <c r="R57" s="338"/>
      <c r="T57" s="117" t="str">
        <f t="shared" ca="1" si="5"/>
        <v/>
      </c>
      <c r="U57" s="163" t="str">
        <f t="shared" ca="1" si="6"/>
        <v/>
      </c>
      <c r="V57" s="164" t="str" cm="1">
        <f t="array" aca="1" ref="V57" ca="1">IF(AND($W57&gt;0,RegimeExecucao="Unitário"),$F57,"")</f>
        <v/>
      </c>
      <c r="W57" s="454" cm="1">
        <f t="array" aca="1" ref="W57" ca="1">IF($Y57&gt;0,CHOOSE(MATCH(RegimeExecucao,{"Unitário","Global"},0),IF($A57="S",$Y57/$X57,""),($Y57/$X57)*100),0)</f>
        <v>0</v>
      </c>
      <c r="X57" s="339" t="str" cm="1">
        <f t="array" aca="1" ref="X57" ca="1">IF($Y57&gt;0,CHOOSE(MATCH(RegimeExecucao,{"Unitário","Global"},0),IF($A57="S",ROUND($H57,ORÇAMENTO!$AF$10),""),ROUND($I57,ORÇAMENTO!$AF$11)),"")</f>
        <v/>
      </c>
      <c r="Y57" s="339">
        <f t="shared" ca="1" si="7"/>
        <v>0</v>
      </c>
      <c r="Z57" s="473"/>
      <c r="AB57" s="337"/>
      <c r="AC57" s="437"/>
      <c r="AD57" s="437"/>
      <c r="AE57" s="437"/>
      <c r="AF57" s="437"/>
      <c r="AG57" s="437"/>
      <c r="AH57" s="437"/>
      <c r="AI57" s="437"/>
      <c r="AJ57" s="437"/>
      <c r="AK57" s="437"/>
      <c r="AL57" s="437"/>
      <c r="AM57" s="338"/>
      <c r="AO57" s="670" cm="1">
        <f t="array" aca="1" ref="AO57" ca="1">IF($A57="S",IF(BM!$I57=0,0,CHOOSE(MATCH(RegimeExecucao,{"Global","Unitário"},0),ROUND(ROUND(BM.MEDAcumulado,15-13*BM!$A$9)/100*BM!$I57,15-13*ORÇAMENTO!$AF$11),ROUND(ROUND(BM.MEDAcumulado,15-13*BM!$A$9)*ROUND(BM!$H57,15-13*ORÇAMENTO!$AF$10),15-13*ORÇAMENTO!$AF$11))),IF($A57=0,0,ROUND(SomaAgrupBM,15-13*ORÇAMENTO!$AF$11)))</f>
        <v>0</v>
      </c>
    </row>
    <row r="58" spans="1:41" s="680" customFormat="1" ht="25.5" x14ac:dyDescent="0.2">
      <c r="A58" s="680" t="str">
        <f ca="1">ORÇAMENTO!C58</f>
        <v>S</v>
      </c>
      <c r="B58" s="680">
        <f ca="1">ORÇAMENTO!D58</f>
        <v>0</v>
      </c>
      <c r="C58" s="684" t="str">
        <f ca="1">IF(OR($I58&gt;0,$A58=1,$A58=2,$A58=3,$A58=4),"F","")</f>
        <v>F</v>
      </c>
      <c r="D58" s="687" t="str">
        <f ca="1">ORÇAMENTO!O58</f>
        <v>1.8.7.</v>
      </c>
      <c r="E58" s="699" t="str">
        <f ca="1">ORÇAMENTO.Descricao</f>
        <v>LANÇAMENTO COM USO DE BOMBA, ADENSAMENTO E ACABAMENTO DE CONCRETO EM ESTRUTURAS. AF_02/2022</v>
      </c>
      <c r="F58" s="700" t="str" cm="1">
        <f t="array" aca="1" ref="F58" ca="1">IF(RegimeExecucao="Global","",ORÇAMENTO.Unidade)</f>
        <v>M3</v>
      </c>
      <c r="G58" s="692" cm="1">
        <f t="array" aca="1" ref="G58" ca="1">IF(RegimeExecucao="Global","",ORÇAMENTO!T58)</f>
        <v>28.3</v>
      </c>
      <c r="H58" s="692" cm="1">
        <f t="array" aca="1" ref="H58" ca="1">IF(RegimeExecucao="Global","",ORÇAMENTO!W58)</f>
        <v>60.2</v>
      </c>
      <c r="I58" s="695">
        <f ca="1">ORÇAMENTO!X58</f>
        <v>1703.66</v>
      </c>
      <c r="J58" s="707" cm="1">
        <f t="array" aca="1" ref="J58" ca="1">IF($A58="S",IF(CAIXA.Modo,BM.AFAnterior,BM.MEDAnterior),IF(AND(RegimeExecucao="Global",$I58&gt;0,COUNTIF($AB$13:$AM$13,BM.medicao-1)&gt;0),M58/$I58*100,0))</f>
        <v>0</v>
      </c>
      <c r="K58" s="692">
        <f ca="1">L58-J58</f>
        <v>0</v>
      </c>
      <c r="L58" s="708" cm="1">
        <f t="array" aca="1" ref="L58" ca="1">IF($A58="S",IF(CAIXA.Modo,BM.AFAcumulado,BM.MEDAcumulado),IF(AND(RegimeExecucao="Global",$I58&gt;0,COUNTIF($AB$13:$AM$13,BM.medicao)&gt;0),O58/$I58*100,0))</f>
        <v>0</v>
      </c>
      <c r="M58" s="709" cm="1">
        <f t="array" aca="1" ref="M58" ca="1">IF($A58="S",VTOTALBM,IF($A58=0,0,ROUND(SomaAgrupBM,15-13*ORÇAMENTO!$AF$11)))</f>
        <v>0</v>
      </c>
      <c r="N58" s="710">
        <f ca="1">O58-M58</f>
        <v>0</v>
      </c>
      <c r="O58" s="695" cm="1">
        <f t="array" aca="1" ref="O58" ca="1">IF($A58="S",VTOTALBM,IF($A58=0,0,ROUND(SomaAgrupBM,15-13*ORÇAMENTO!$AF$11)))</f>
        <v>0</v>
      </c>
      <c r="Q58" s="711"/>
      <c r="R58" s="712"/>
      <c r="T58" s="687" t="str">
        <f ca="1">IF($W58&gt;0,$D58,"")</f>
        <v/>
      </c>
      <c r="U58" s="699" t="str">
        <f ca="1">IF($W58&gt;0,$E58,"")</f>
        <v/>
      </c>
      <c r="V58" s="700" t="str" cm="1">
        <f t="array" aca="1" ref="V58" ca="1">IF(AND($W58&gt;0,RegimeExecucao="Unitário"),$F58,"")</f>
        <v/>
      </c>
      <c r="W58" s="719" cm="1">
        <f t="array" aca="1" ref="W58" ca="1">IF($Y58&gt;0,CHOOSE(MATCH(RegimeExecucao,{"Unitário","Global"},0),IF($A58="S",$Y58/$X58,""),($Y58/$X58)*100),0)</f>
        <v>0</v>
      </c>
      <c r="X58" s="713" t="str" cm="1">
        <f t="array" aca="1" ref="X58" ca="1">IF($Y58&gt;0,CHOOSE(MATCH(RegimeExecucao,{"Unitário","Global"},0),IF($A58="S",ROUND($H58,ORÇAMENTO!$AF$10),""),ROUND($I58,ORÇAMENTO!$AF$11)),"")</f>
        <v/>
      </c>
      <c r="Y58" s="713">
        <f ca="1">AO58-O58</f>
        <v>0</v>
      </c>
      <c r="Z58" s="722"/>
      <c r="AB58" s="711"/>
      <c r="AC58" s="717"/>
      <c r="AD58" s="717"/>
      <c r="AE58" s="717"/>
      <c r="AF58" s="717"/>
      <c r="AG58" s="717"/>
      <c r="AH58" s="717"/>
      <c r="AI58" s="717"/>
      <c r="AJ58" s="717"/>
      <c r="AK58" s="717"/>
      <c r="AL58" s="717"/>
      <c r="AM58" s="712"/>
      <c r="AO58" s="680" cm="1">
        <f t="array" aca="1" ref="AO58" ca="1">IF($A58="S",IF(BM!$I58=0,0,CHOOSE(MATCH(RegimeExecucao,{"Global","Unitário"},0),ROUND(ROUND(BM.MEDAcumulado,15-13*BM!$A$9)/100*BM!$I58,15-13*ORÇAMENTO!$AF$11),ROUND(ROUND(BM.MEDAcumulado,15-13*BM!$A$9)*ROUND(BM!$H58,15-13*ORÇAMENTO!$AF$10),15-13*ORÇAMENTO!$AF$11))),IF($A58=0,0,ROUND(SomaAgrupBM,15-13*ORÇAMENTO!$AF$11)))</f>
        <v>0</v>
      </c>
    </row>
    <row r="59" spans="1:41" s="670" customFormat="1" ht="51" x14ac:dyDescent="0.2">
      <c r="A59" s="670" t="str">
        <f ca="1">ORÇAMENTO!C59</f>
        <v>S</v>
      </c>
      <c r="B59" s="670">
        <f ca="1">ORÇAMENTO!D59</f>
        <v>0</v>
      </c>
      <c r="C59" s="114" t="str">
        <f t="shared" ca="1" si="1"/>
        <v>F</v>
      </c>
      <c r="D59" s="117" t="str">
        <f ca="1">ORÇAMENTO!O59</f>
        <v>1.8.8.</v>
      </c>
      <c r="E59" s="163" t="str">
        <f t="shared" ca="1" si="2"/>
        <v>CONCRETAGEM DE EDIFICAÇÕES (PAREDES E LAJES) FEITAS COM SISTEMA DE FÔRMAS MANUSEÁVEIS, COM CONCRETO USINADO BOMBEÁVEL FCK 25 MPA - LANÇAMENTO, ADENSAMENTO E ACABAMENTO. AF_09/2024</v>
      </c>
      <c r="F59" s="164" t="str" cm="1">
        <f t="array" aca="1" ref="F59" ca="1">IF(RegimeExecucao="Global","",ORÇAMENTO.Unidade)</f>
        <v>M3</v>
      </c>
      <c r="G59" s="122" cm="1">
        <f t="array" aca="1" ref="G59" ca="1">IF(RegimeExecucao="Global","",ORÇAMENTO!T59)</f>
        <v>26.6</v>
      </c>
      <c r="H59" s="122" cm="1">
        <f t="array" aca="1" ref="H59" ca="1">IF(RegimeExecucao="Global","",ORÇAMENTO!W59)</f>
        <v>927.1</v>
      </c>
      <c r="I59" s="125">
        <f ca="1">ORÇAMENTO!X59</f>
        <v>24660.86</v>
      </c>
      <c r="J59" s="333" cm="1">
        <f t="array" aca="1" ref="J59" ca="1">IF($A59="S",IF(CAIXA.Modo,BM.AFAnterior,BM.MEDAnterior),IF(AND(RegimeExecucao="Global",$I59&gt;0,COUNTIF($AB$13:$AM$13,BM.medicao-1)&gt;0),M59/$I59*100,0))</f>
        <v>0</v>
      </c>
      <c r="K59" s="122">
        <f t="shared" ca="1" si="3"/>
        <v>0</v>
      </c>
      <c r="L59" s="334" cm="1">
        <f t="array" aca="1" ref="L59" ca="1">IF($A59="S",IF(CAIXA.Modo,BM.AFAcumulado,BM.MEDAcumulado),IF(AND(RegimeExecucao="Global",$I59&gt;0,COUNTIF($AB$13:$AM$13,BM.medicao)&gt;0),O59/$I59*100,0))</f>
        <v>0</v>
      </c>
      <c r="M59" s="335" cm="1">
        <f t="array" aca="1" ref="M59" ca="1">IF($A59="S",VTOTALBM,IF($A59=0,0,ROUND(SomaAgrupBM,15-13*ORÇAMENTO!$AF$11)))</f>
        <v>0</v>
      </c>
      <c r="N59" s="336">
        <f t="shared" ca="1" si="4"/>
        <v>0</v>
      </c>
      <c r="O59" s="125" cm="1">
        <f t="array" aca="1" ref="O59" ca="1">IF($A59="S",VTOTALBM,IF($A59=0,0,ROUND(SomaAgrupBM,15-13*ORÇAMENTO!$AF$11)))</f>
        <v>0</v>
      </c>
      <c r="Q59" s="337"/>
      <c r="R59" s="338"/>
      <c r="T59" s="117" t="str">
        <f t="shared" ca="1" si="5"/>
        <v/>
      </c>
      <c r="U59" s="163" t="str">
        <f t="shared" ca="1" si="6"/>
        <v/>
      </c>
      <c r="V59" s="164" t="str" cm="1">
        <f t="array" aca="1" ref="V59" ca="1">IF(AND($W59&gt;0,RegimeExecucao="Unitário"),$F59,"")</f>
        <v/>
      </c>
      <c r="W59" s="454" cm="1">
        <f t="array" aca="1" ref="W59" ca="1">IF($Y59&gt;0,CHOOSE(MATCH(RegimeExecucao,{"Unitário","Global"},0),IF($A59="S",$Y59/$X59,""),($Y59/$X59)*100),0)</f>
        <v>0</v>
      </c>
      <c r="X59" s="339" t="str" cm="1">
        <f t="array" aca="1" ref="X59" ca="1">IF($Y59&gt;0,CHOOSE(MATCH(RegimeExecucao,{"Unitário","Global"},0),IF($A59="S",ROUND($H59,ORÇAMENTO!$AF$10),""),ROUND($I59,ORÇAMENTO!$AF$11)),"")</f>
        <v/>
      </c>
      <c r="Y59" s="339">
        <f t="shared" ca="1" si="7"/>
        <v>0</v>
      </c>
      <c r="Z59" s="473"/>
      <c r="AB59" s="337"/>
      <c r="AC59" s="437"/>
      <c r="AD59" s="437"/>
      <c r="AE59" s="437"/>
      <c r="AF59" s="437"/>
      <c r="AG59" s="437"/>
      <c r="AH59" s="437"/>
      <c r="AI59" s="437"/>
      <c r="AJ59" s="437"/>
      <c r="AK59" s="437"/>
      <c r="AL59" s="437"/>
      <c r="AM59" s="338"/>
      <c r="AO59" s="670" cm="1">
        <f t="array" aca="1" ref="AO59" ca="1">IF($A59="S",IF(BM!$I59=0,0,CHOOSE(MATCH(RegimeExecucao,{"Global","Unitário"},0),ROUND(ROUND(BM.MEDAcumulado,15-13*BM!$A$9)/100*BM!$I59,15-13*ORÇAMENTO!$AF$11),ROUND(ROUND(BM.MEDAcumulado,15-13*BM!$A$9)*ROUND(BM!$H59,15-13*ORÇAMENTO!$AF$10),15-13*ORÇAMENTO!$AF$11))),IF($A59=0,0,ROUND(SomaAgrupBM,15-13*ORÇAMENTO!$AF$11)))</f>
        <v>0</v>
      </c>
    </row>
    <row r="60" spans="1:41" s="670" customFormat="1" ht="38.25" x14ac:dyDescent="0.2">
      <c r="A60" s="670" t="str">
        <f ca="1">ORÇAMENTO!C60</f>
        <v>S</v>
      </c>
      <c r="B60" s="670">
        <f ca="1">ORÇAMENTO!D60</f>
        <v>0</v>
      </c>
      <c r="C60" s="114" t="str">
        <f t="shared" ca="1" si="1"/>
        <v>F</v>
      </c>
      <c r="D60" s="117" t="str">
        <f ca="1">ORÇAMENTO!O60</f>
        <v>1.8.9.</v>
      </c>
      <c r="E60" s="163" t="str">
        <f t="shared" ca="1" si="2"/>
        <v>FABRICAÇÃO DE FÔRMA PARA PILARES E ESTRUTURAS SIMILARES, EM CHAPA DE MADEIRA COMPENSADA RESINADA, E = 17 MM. AF_09/2020</v>
      </c>
      <c r="F60" s="164" t="str" cm="1">
        <f t="array" aca="1" ref="F60" ca="1">IF(RegimeExecucao="Global","",ORÇAMENTO.Unidade)</f>
        <v>M2</v>
      </c>
      <c r="G60" s="122" cm="1">
        <f t="array" aca="1" ref="G60" ca="1">IF(RegimeExecucao="Global","",ORÇAMENTO!T60)</f>
        <v>281.94</v>
      </c>
      <c r="H60" s="122" cm="1">
        <f t="array" aca="1" ref="H60" ca="1">IF(RegimeExecucao="Global","",ORÇAMENTO!W60)</f>
        <v>215.59</v>
      </c>
      <c r="I60" s="125">
        <f ca="1">ORÇAMENTO!X60</f>
        <v>60783.44</v>
      </c>
      <c r="J60" s="333" cm="1">
        <f t="array" aca="1" ref="J60" ca="1">IF($A60="S",IF(CAIXA.Modo,BM.AFAnterior,BM.MEDAnterior),IF(AND(RegimeExecucao="Global",$I60&gt;0,COUNTIF($AB$13:$AM$13,BM.medicao-1)&gt;0),M60/$I60*100,0))</f>
        <v>0</v>
      </c>
      <c r="K60" s="122">
        <f t="shared" ca="1" si="3"/>
        <v>0</v>
      </c>
      <c r="L60" s="334" cm="1">
        <f t="array" aca="1" ref="L60" ca="1">IF($A60="S",IF(CAIXA.Modo,BM.AFAcumulado,BM.MEDAcumulado),IF(AND(RegimeExecucao="Global",$I60&gt;0,COUNTIF($AB$13:$AM$13,BM.medicao)&gt;0),O60/$I60*100,0))</f>
        <v>0</v>
      </c>
      <c r="M60" s="335" cm="1">
        <f t="array" aca="1" ref="M60" ca="1">IF($A60="S",VTOTALBM,IF($A60=0,0,ROUND(SomaAgrupBM,15-13*ORÇAMENTO!$AF$11)))</f>
        <v>0</v>
      </c>
      <c r="N60" s="336">
        <f t="shared" ca="1" si="4"/>
        <v>0</v>
      </c>
      <c r="O60" s="125" cm="1">
        <f t="array" aca="1" ref="O60" ca="1">IF($A60="S",VTOTALBM,IF($A60=0,0,ROUND(SomaAgrupBM,15-13*ORÇAMENTO!$AF$11)))</f>
        <v>0</v>
      </c>
      <c r="Q60" s="337"/>
      <c r="R60" s="338"/>
      <c r="T60" s="117" t="str">
        <f t="shared" ca="1" si="5"/>
        <v/>
      </c>
      <c r="U60" s="163" t="str">
        <f t="shared" ca="1" si="6"/>
        <v/>
      </c>
      <c r="V60" s="164" t="str" cm="1">
        <f t="array" aca="1" ref="V60" ca="1">IF(AND($W60&gt;0,RegimeExecucao="Unitário"),$F60,"")</f>
        <v/>
      </c>
      <c r="W60" s="454" cm="1">
        <f t="array" aca="1" ref="W60" ca="1">IF($Y60&gt;0,CHOOSE(MATCH(RegimeExecucao,{"Unitário","Global"},0),IF($A60="S",$Y60/$X60,""),($Y60/$X60)*100),0)</f>
        <v>0</v>
      </c>
      <c r="X60" s="339" t="str" cm="1">
        <f t="array" aca="1" ref="X60" ca="1">IF($Y60&gt;0,CHOOSE(MATCH(RegimeExecucao,{"Unitário","Global"},0),IF($A60="S",ROUND($H60,ORÇAMENTO!$AF$10),""),ROUND($I60,ORÇAMENTO!$AF$11)),"")</f>
        <v/>
      </c>
      <c r="Y60" s="339">
        <f t="shared" ca="1" si="7"/>
        <v>0</v>
      </c>
      <c r="Z60" s="473"/>
      <c r="AB60" s="337"/>
      <c r="AC60" s="437"/>
      <c r="AD60" s="437"/>
      <c r="AE60" s="437"/>
      <c r="AF60" s="437"/>
      <c r="AG60" s="437"/>
      <c r="AH60" s="437"/>
      <c r="AI60" s="437"/>
      <c r="AJ60" s="437"/>
      <c r="AK60" s="437"/>
      <c r="AL60" s="437"/>
      <c r="AM60" s="338"/>
      <c r="AO60" s="670" cm="1">
        <f t="array" aca="1" ref="AO60" ca="1">IF($A60="S",IF(BM!$I60=0,0,CHOOSE(MATCH(RegimeExecucao,{"Global","Unitário"},0),ROUND(ROUND(BM.MEDAcumulado,15-13*BM!$A$9)/100*BM!$I60,15-13*ORÇAMENTO!$AF$11),ROUND(ROUND(BM.MEDAcumulado,15-13*BM!$A$9)*ROUND(BM!$H60,15-13*ORÇAMENTO!$AF$10),15-13*ORÇAMENTO!$AF$11))),IF($A60=0,0,ROUND(SomaAgrupBM,15-13*ORÇAMENTO!$AF$11)))</f>
        <v>0</v>
      </c>
    </row>
    <row r="61" spans="1:41" s="670" customFormat="1" x14ac:dyDescent="0.2">
      <c r="A61" s="670" t="str">
        <f ca="1">ORÇAMENTO!C61</f>
        <v>S</v>
      </c>
      <c r="B61" s="670">
        <f ca="1">ORÇAMENTO!D61</f>
        <v>0</v>
      </c>
      <c r="C61" s="114" t="str">
        <f t="shared" ca="1" si="1"/>
        <v>F</v>
      </c>
      <c r="D61" s="117" t="str">
        <f ca="1">ORÇAMENTO!O61</f>
        <v>1.8.10.</v>
      </c>
      <c r="E61" s="163" t="str">
        <f t="shared" ca="1" si="2"/>
        <v>CORTE E DOBRA DE AÇO CA-25, DIÂMETRO DE 20,0 MM. AF_06/2022</v>
      </c>
      <c r="F61" s="164" t="str" cm="1">
        <f t="array" aca="1" ref="F61" ca="1">IF(RegimeExecucao="Global","",ORÇAMENTO.Unidade)</f>
        <v>KG</v>
      </c>
      <c r="G61" s="122" cm="1">
        <f t="array" aca="1" ref="G61" ca="1">IF(RegimeExecucao="Global","",ORÇAMENTO!T61)</f>
        <v>1791.8</v>
      </c>
      <c r="H61" s="122" cm="1">
        <f t="array" aca="1" ref="H61" ca="1">IF(RegimeExecucao="Global","",ORÇAMENTO!W61)</f>
        <v>10.51</v>
      </c>
      <c r="I61" s="125">
        <f ca="1">ORÇAMENTO!X61</f>
        <v>18831.82</v>
      </c>
      <c r="J61" s="333" cm="1">
        <f t="array" aca="1" ref="J61" ca="1">IF($A61="S",IF(CAIXA.Modo,BM.AFAnterior,BM.MEDAnterior),IF(AND(RegimeExecucao="Global",$I61&gt;0,COUNTIF($AB$13:$AM$13,BM.medicao-1)&gt;0),M61/$I61*100,0))</f>
        <v>0</v>
      </c>
      <c r="K61" s="122">
        <f t="shared" ca="1" si="3"/>
        <v>0</v>
      </c>
      <c r="L61" s="334" cm="1">
        <f t="array" aca="1" ref="L61" ca="1">IF($A61="S",IF(CAIXA.Modo,BM.AFAcumulado,BM.MEDAcumulado),IF(AND(RegimeExecucao="Global",$I61&gt;0,COUNTIF($AB$13:$AM$13,BM.medicao)&gt;0),O61/$I61*100,0))</f>
        <v>0</v>
      </c>
      <c r="M61" s="335" cm="1">
        <f t="array" aca="1" ref="M61" ca="1">IF($A61="S",VTOTALBM,IF($A61=0,0,ROUND(SomaAgrupBM,15-13*ORÇAMENTO!$AF$11)))</f>
        <v>0</v>
      </c>
      <c r="N61" s="336">
        <f t="shared" ca="1" si="4"/>
        <v>0</v>
      </c>
      <c r="O61" s="125" cm="1">
        <f t="array" aca="1" ref="O61" ca="1">IF($A61="S",VTOTALBM,IF($A61=0,0,ROUND(SomaAgrupBM,15-13*ORÇAMENTO!$AF$11)))</f>
        <v>0</v>
      </c>
      <c r="Q61" s="337"/>
      <c r="R61" s="338"/>
      <c r="T61" s="117" t="str">
        <f t="shared" ca="1" si="5"/>
        <v/>
      </c>
      <c r="U61" s="163" t="str">
        <f t="shared" ca="1" si="6"/>
        <v/>
      </c>
      <c r="V61" s="164" t="str" cm="1">
        <f t="array" aca="1" ref="V61" ca="1">IF(AND($W61&gt;0,RegimeExecucao="Unitário"),$F61,"")</f>
        <v/>
      </c>
      <c r="W61" s="454" cm="1">
        <f t="array" aca="1" ref="W61" ca="1">IF($Y61&gt;0,CHOOSE(MATCH(RegimeExecucao,{"Unitário","Global"},0),IF($A61="S",$Y61/$X61,""),($Y61/$X61)*100),0)</f>
        <v>0</v>
      </c>
      <c r="X61" s="339" t="str" cm="1">
        <f t="array" aca="1" ref="X61" ca="1">IF($Y61&gt;0,CHOOSE(MATCH(RegimeExecucao,{"Unitário","Global"},0),IF($A61="S",ROUND($H61,ORÇAMENTO!$AF$10),""),ROUND($I61,ORÇAMENTO!$AF$11)),"")</f>
        <v/>
      </c>
      <c r="Y61" s="339">
        <f t="shared" ca="1" si="7"/>
        <v>0</v>
      </c>
      <c r="Z61" s="473"/>
      <c r="AB61" s="337"/>
      <c r="AC61" s="437"/>
      <c r="AD61" s="437"/>
      <c r="AE61" s="437"/>
      <c r="AF61" s="437"/>
      <c r="AG61" s="437"/>
      <c r="AH61" s="437"/>
      <c r="AI61" s="437"/>
      <c r="AJ61" s="437"/>
      <c r="AK61" s="437"/>
      <c r="AL61" s="437"/>
      <c r="AM61" s="338"/>
      <c r="AO61" s="670" cm="1">
        <f t="array" aca="1" ref="AO61" ca="1">IF($A61="S",IF(BM!$I61=0,0,CHOOSE(MATCH(RegimeExecucao,{"Global","Unitário"},0),ROUND(ROUND(BM.MEDAcumulado,15-13*BM!$A$9)/100*BM!$I61,15-13*ORÇAMENTO!$AF$11),ROUND(ROUND(BM.MEDAcumulado,15-13*BM!$A$9)*ROUND(BM!$H61,15-13*ORÇAMENTO!$AF$10),15-13*ORÇAMENTO!$AF$11))),IF($A61=0,0,ROUND(SomaAgrupBM,15-13*ORÇAMENTO!$AF$11)))</f>
        <v>0</v>
      </c>
    </row>
    <row r="62" spans="1:41" s="680" customFormat="1" ht="25.5" x14ac:dyDescent="0.2">
      <c r="A62" s="680" t="str">
        <f ca="1">ORÇAMENTO!C62</f>
        <v>S</v>
      </c>
      <c r="B62" s="680">
        <f ca="1">ORÇAMENTO!D62</f>
        <v>0</v>
      </c>
      <c r="C62" s="684" t="str">
        <f ca="1">IF(OR($I62&gt;0,$A62=1,$A62=2,$A62=3,$A62=4),"F","")</f>
        <v>F</v>
      </c>
      <c r="D62" s="687" t="str">
        <f ca="1">ORÇAMENTO!O62</f>
        <v>1.8.11.</v>
      </c>
      <c r="E62" s="699" t="str">
        <f ca="1">ORÇAMENTO.Descricao</f>
        <v>ARMAÇÃO DE BLOCO, SAPATA ISOLADA E SAPATA CORRIDA UTILIZANDO AÇO CA-50 DE 20 MM - MONTAGEM. AF_01/2024</v>
      </c>
      <c r="F62" s="700" t="str" cm="1">
        <f t="array" aca="1" ref="F62" ca="1">IF(RegimeExecucao="Global","",ORÇAMENTO.Unidade)</f>
        <v>KG</v>
      </c>
      <c r="G62" s="692" cm="1">
        <f t="array" aca="1" ref="G62" ca="1">IF(RegimeExecucao="Global","",ORÇAMENTO!T62)</f>
        <v>1791.8</v>
      </c>
      <c r="H62" s="692" cm="1">
        <f t="array" aca="1" ref="H62" ca="1">IF(RegimeExecucao="Global","",ORÇAMENTO!W62)</f>
        <v>13.14</v>
      </c>
      <c r="I62" s="695">
        <f ca="1">ORÇAMENTO!X62</f>
        <v>23544.25</v>
      </c>
      <c r="J62" s="707" cm="1">
        <f t="array" aca="1" ref="J62" ca="1">IF($A62="S",IF(CAIXA.Modo,BM.AFAnterior,BM.MEDAnterior),IF(AND(RegimeExecucao="Global",$I62&gt;0,COUNTIF($AB$13:$AM$13,BM.medicao-1)&gt;0),M62/$I62*100,0))</f>
        <v>0</v>
      </c>
      <c r="K62" s="692">
        <f ca="1">L62-J62</f>
        <v>0</v>
      </c>
      <c r="L62" s="708" cm="1">
        <f t="array" aca="1" ref="L62" ca="1">IF($A62="S",IF(CAIXA.Modo,BM.AFAcumulado,BM.MEDAcumulado),IF(AND(RegimeExecucao="Global",$I62&gt;0,COUNTIF($AB$13:$AM$13,BM.medicao)&gt;0),O62/$I62*100,0))</f>
        <v>0</v>
      </c>
      <c r="M62" s="709" cm="1">
        <f t="array" aca="1" ref="M62" ca="1">IF($A62="S",VTOTALBM,IF($A62=0,0,ROUND(SomaAgrupBM,15-13*ORÇAMENTO!$AF$11)))</f>
        <v>0</v>
      </c>
      <c r="N62" s="710">
        <f ca="1">O62-M62</f>
        <v>0</v>
      </c>
      <c r="O62" s="695" cm="1">
        <f t="array" aca="1" ref="O62" ca="1">IF($A62="S",VTOTALBM,IF($A62=0,0,ROUND(SomaAgrupBM,15-13*ORÇAMENTO!$AF$11)))</f>
        <v>0</v>
      </c>
      <c r="Q62" s="711"/>
      <c r="R62" s="712"/>
      <c r="T62" s="687" t="str">
        <f ca="1">IF($W62&gt;0,$D62,"")</f>
        <v/>
      </c>
      <c r="U62" s="699" t="str">
        <f ca="1">IF($W62&gt;0,$E62,"")</f>
        <v/>
      </c>
      <c r="V62" s="700" t="str" cm="1">
        <f t="array" aca="1" ref="V62" ca="1">IF(AND($W62&gt;0,RegimeExecucao="Unitário"),$F62,"")</f>
        <v/>
      </c>
      <c r="W62" s="719" cm="1">
        <f t="array" aca="1" ref="W62" ca="1">IF($Y62&gt;0,CHOOSE(MATCH(RegimeExecucao,{"Unitário","Global"},0),IF($A62="S",$Y62/$X62,""),($Y62/$X62)*100),0)</f>
        <v>0</v>
      </c>
      <c r="X62" s="713" t="str" cm="1">
        <f t="array" aca="1" ref="X62" ca="1">IF($Y62&gt;0,CHOOSE(MATCH(RegimeExecucao,{"Unitário","Global"},0),IF($A62="S",ROUND($H62,ORÇAMENTO!$AF$10),""),ROUND($I62,ORÇAMENTO!$AF$11)),"")</f>
        <v/>
      </c>
      <c r="Y62" s="713">
        <f ca="1">AO62-O62</f>
        <v>0</v>
      </c>
      <c r="Z62" s="722"/>
      <c r="AB62" s="711"/>
      <c r="AC62" s="717"/>
      <c r="AD62" s="717"/>
      <c r="AE62" s="717"/>
      <c r="AF62" s="717"/>
      <c r="AG62" s="717"/>
      <c r="AH62" s="717"/>
      <c r="AI62" s="717"/>
      <c r="AJ62" s="717"/>
      <c r="AK62" s="717"/>
      <c r="AL62" s="717"/>
      <c r="AM62" s="712"/>
      <c r="AO62" s="680" cm="1">
        <f t="array" aca="1" ref="AO62" ca="1">IF($A62="S",IF(BM!$I62=0,0,CHOOSE(MATCH(RegimeExecucao,{"Global","Unitário"},0),ROUND(ROUND(BM.MEDAcumulado,15-13*BM!$A$9)/100*BM!$I62,15-13*ORÇAMENTO!$AF$11),ROUND(ROUND(BM.MEDAcumulado,15-13*BM!$A$9)*ROUND(BM!$H62,15-13*ORÇAMENTO!$AF$10),15-13*ORÇAMENTO!$AF$11))),IF($A62=0,0,ROUND(SomaAgrupBM,15-13*ORÇAMENTO!$AF$11)))</f>
        <v>0</v>
      </c>
    </row>
    <row r="63" spans="1:41" s="670" customFormat="1" ht="25.5" x14ac:dyDescent="0.2">
      <c r="A63" s="670" t="str">
        <f ca="1">ORÇAMENTO!C63</f>
        <v>S</v>
      </c>
      <c r="B63" s="670">
        <f ca="1">ORÇAMENTO!D63</f>
        <v>0</v>
      </c>
      <c r="C63" s="114" t="str">
        <f t="shared" ca="1" si="1"/>
        <v>F</v>
      </c>
      <c r="D63" s="117" t="str">
        <f ca="1">ORÇAMENTO!O63</f>
        <v>1.8.12.</v>
      </c>
      <c r="E63" s="163" t="str">
        <f t="shared" ca="1" si="2"/>
        <v>PORTÃO COM TUBOS E TELAS DE AÇO, 1 FOLHA - SOLDADO EM ESTRUTURA - FORNECIMENTO E INSTALAÇÃO</v>
      </c>
      <c r="F63" s="164" t="str" cm="1">
        <f t="array" aca="1" ref="F63" ca="1">IF(RegimeExecucao="Global","",ORÇAMENTO.Unidade)</f>
        <v>M2</v>
      </c>
      <c r="G63" s="122" cm="1">
        <f t="array" aca="1" ref="G63" ca="1">IF(RegimeExecucao="Global","",ORÇAMENTO!T63)</f>
        <v>19.2</v>
      </c>
      <c r="H63" s="122" cm="1">
        <f t="array" aca="1" ref="H63" ca="1">IF(RegimeExecucao="Global","",ORÇAMENTO!W63)</f>
        <v>419.58</v>
      </c>
      <c r="I63" s="125">
        <f ca="1">ORÇAMENTO!X63</f>
        <v>8055.94</v>
      </c>
      <c r="J63" s="333" cm="1">
        <f t="array" aca="1" ref="J63" ca="1">IF($A63="S",IF(CAIXA.Modo,BM.AFAnterior,BM.MEDAnterior),IF(AND(RegimeExecucao="Global",$I63&gt;0,COUNTIF($AB$13:$AM$13,BM.medicao-1)&gt;0),M63/$I63*100,0))</f>
        <v>0</v>
      </c>
      <c r="K63" s="122">
        <f t="shared" ca="1" si="3"/>
        <v>0</v>
      </c>
      <c r="L63" s="334" cm="1">
        <f t="array" aca="1" ref="L63" ca="1">IF($A63="S",IF(CAIXA.Modo,BM.AFAcumulado,BM.MEDAcumulado),IF(AND(RegimeExecucao="Global",$I63&gt;0,COUNTIF($AB$13:$AM$13,BM.medicao)&gt;0),O63/$I63*100,0))</f>
        <v>0</v>
      </c>
      <c r="M63" s="335" cm="1">
        <f t="array" aca="1" ref="M63" ca="1">IF($A63="S",VTOTALBM,IF($A63=0,0,ROUND(SomaAgrupBM,15-13*ORÇAMENTO!$AF$11)))</f>
        <v>0</v>
      </c>
      <c r="N63" s="336">
        <f t="shared" ca="1" si="4"/>
        <v>0</v>
      </c>
      <c r="O63" s="125" cm="1">
        <f t="array" aca="1" ref="O63" ca="1">IF($A63="S",VTOTALBM,IF($A63=0,0,ROUND(SomaAgrupBM,15-13*ORÇAMENTO!$AF$11)))</f>
        <v>0</v>
      </c>
      <c r="Q63" s="337"/>
      <c r="R63" s="338"/>
      <c r="T63" s="117" t="str">
        <f t="shared" ca="1" si="5"/>
        <v/>
      </c>
      <c r="U63" s="163" t="str">
        <f t="shared" ca="1" si="6"/>
        <v/>
      </c>
      <c r="V63" s="164" t="str" cm="1">
        <f t="array" aca="1" ref="V63" ca="1">IF(AND($W63&gt;0,RegimeExecucao="Unitário"),$F63,"")</f>
        <v/>
      </c>
      <c r="W63" s="454" cm="1">
        <f t="array" aca="1" ref="W63" ca="1">IF($Y63&gt;0,CHOOSE(MATCH(RegimeExecucao,{"Unitário","Global"},0),IF($A63="S",$Y63/$X63,""),($Y63/$X63)*100),0)</f>
        <v>0</v>
      </c>
      <c r="X63" s="339" t="str" cm="1">
        <f t="array" aca="1" ref="X63" ca="1">IF($Y63&gt;0,CHOOSE(MATCH(RegimeExecucao,{"Unitário","Global"},0),IF($A63="S",ROUND($H63,ORÇAMENTO!$AF$10),""),ROUND($I63,ORÇAMENTO!$AF$11)),"")</f>
        <v/>
      </c>
      <c r="Y63" s="339">
        <f t="shared" ca="1" si="7"/>
        <v>0</v>
      </c>
      <c r="Z63" s="473"/>
      <c r="AB63" s="337"/>
      <c r="AC63" s="437"/>
      <c r="AD63" s="437"/>
      <c r="AE63" s="437"/>
      <c r="AF63" s="437"/>
      <c r="AG63" s="437"/>
      <c r="AH63" s="437"/>
      <c r="AI63" s="437"/>
      <c r="AJ63" s="437"/>
      <c r="AK63" s="437"/>
      <c r="AL63" s="437"/>
      <c r="AM63" s="338"/>
      <c r="AO63" s="670" cm="1">
        <f t="array" aca="1" ref="AO63" ca="1">IF($A63="S",IF(BM!$I63=0,0,CHOOSE(MATCH(RegimeExecucao,{"Global","Unitário"},0),ROUND(ROUND(BM.MEDAcumulado,15-13*BM!$A$9)/100*BM!$I63,15-13*ORÇAMENTO!$AF$11),ROUND(ROUND(BM.MEDAcumulado,15-13*BM!$A$9)*ROUND(BM!$H63,15-13*ORÇAMENTO!$AF$10),15-13*ORÇAMENTO!$AF$11))),IF($A63=0,0,ROUND(SomaAgrupBM,15-13*ORÇAMENTO!$AF$11)))</f>
        <v>0</v>
      </c>
    </row>
    <row r="64" spans="1:41" s="670" customFormat="1" ht="25.5" x14ac:dyDescent="0.2">
      <c r="A64" s="670">
        <f ca="1">ORÇAMENTO!C64</f>
        <v>2</v>
      </c>
      <c r="B64" s="670">
        <f ca="1">ORÇAMENTO!D64</f>
        <v>11</v>
      </c>
      <c r="C64" s="114" t="str">
        <f t="shared" ca="1" si="1"/>
        <v>F</v>
      </c>
      <c r="D64" s="117" t="str">
        <f ca="1">ORÇAMENTO!O64</f>
        <v>1.9.</v>
      </c>
      <c r="E64" s="163" t="str">
        <f t="shared" si="2"/>
        <v>MATERIAIS E EQUIPAMENTOS HIDRAULICOS - Adutora de Água Tratada</v>
      </c>
      <c r="F64" s="164" t="str" cm="1">
        <f t="array" aca="1" ref="F64" ca="1">IF(RegimeExecucao="Global","",ORÇAMENTO.Unidade)</f>
        <v>-</v>
      </c>
      <c r="G64" s="122" cm="1">
        <f t="array" aca="1" ref="G64" ca="1">IF(RegimeExecucao="Global","",ORÇAMENTO!T64)</f>
        <v>0</v>
      </c>
      <c r="H64" s="122" cm="1">
        <f t="array" aca="1" ref="H64" ca="1">IF(RegimeExecucao="Global","",ORÇAMENTO!W64)</f>
        <v>0</v>
      </c>
      <c r="I64" s="125">
        <f ca="1">ORÇAMENTO!X64</f>
        <v>1126964.55</v>
      </c>
      <c r="J64" s="333" cm="1">
        <f t="array" aca="1" ref="J64" ca="1">IF($A64="S",IF(CAIXA.Modo,BM.AFAnterior,BM.MEDAnterior),IF(AND(RegimeExecucao="Global",$I64&gt;0,COUNTIF($AB$13:$AM$13,BM.medicao-1)&gt;0),M64/$I64*100,0))</f>
        <v>0</v>
      </c>
      <c r="K64" s="122">
        <f t="shared" ca="1" si="3"/>
        <v>0</v>
      </c>
      <c r="L64" s="334" cm="1">
        <f t="array" aca="1" ref="L64" ca="1">IF($A64="S",IF(CAIXA.Modo,BM.AFAcumulado,BM.MEDAcumulado),IF(AND(RegimeExecucao="Global",$I64&gt;0,COUNTIF($AB$13:$AM$13,BM.medicao)&gt;0),O64/$I64*100,0))</f>
        <v>0</v>
      </c>
      <c r="M64" s="335" cm="1">
        <f t="array" aca="1" ref="M64" ca="1">IF($A64="S",VTOTALBM,IF($A64=0,0,ROUND(SomaAgrupBM,15-13*ORÇAMENTO!$AF$11)))</f>
        <v>0</v>
      </c>
      <c r="N64" s="336">
        <f t="shared" ca="1" si="4"/>
        <v>0</v>
      </c>
      <c r="O64" s="125" cm="1">
        <f t="array" aca="1" ref="O64" ca="1">IF($A64="S",VTOTALBM,IF($A64=0,0,ROUND(SomaAgrupBM,15-13*ORÇAMENTO!$AF$11)))</f>
        <v>0</v>
      </c>
      <c r="Q64" s="337"/>
      <c r="R64" s="338"/>
      <c r="T64" s="117" t="str">
        <f t="shared" ca="1" si="5"/>
        <v/>
      </c>
      <c r="U64" s="163" t="str">
        <f t="shared" ca="1" si="6"/>
        <v/>
      </c>
      <c r="V64" s="164" t="str" cm="1">
        <f t="array" aca="1" ref="V64" ca="1">IF(AND($W64&gt;0,RegimeExecucao="Unitário"),$F64,"")</f>
        <v/>
      </c>
      <c r="W64" s="454" cm="1">
        <f t="array" aca="1" ref="W64" ca="1">IF($Y64&gt;0,CHOOSE(MATCH(RegimeExecucao,{"Unitário","Global"},0),IF($A64="S",$Y64/$X64,""),($Y64/$X64)*100),0)</f>
        <v>0</v>
      </c>
      <c r="X64" s="339" t="str" cm="1">
        <f t="array" aca="1" ref="X64" ca="1">IF($Y64&gt;0,CHOOSE(MATCH(RegimeExecucao,{"Unitário","Global"},0),IF($A64="S",ROUND($H64,ORÇAMENTO!$AF$10),""),ROUND($I64,ORÇAMENTO!$AF$11)),"")</f>
        <v/>
      </c>
      <c r="Y64" s="339">
        <f t="shared" ca="1" si="7"/>
        <v>0</v>
      </c>
      <c r="Z64" s="473"/>
      <c r="AB64" s="337"/>
      <c r="AC64" s="437"/>
      <c r="AD64" s="437"/>
      <c r="AE64" s="437"/>
      <c r="AF64" s="437"/>
      <c r="AG64" s="437"/>
      <c r="AH64" s="437"/>
      <c r="AI64" s="437"/>
      <c r="AJ64" s="437"/>
      <c r="AK64" s="437"/>
      <c r="AL64" s="437"/>
      <c r="AM64" s="338"/>
      <c r="AO64" s="670" cm="1">
        <f t="array" aca="1" ref="AO64" ca="1">IF($A64="S",IF(BM!$I64=0,0,CHOOSE(MATCH(RegimeExecucao,{"Global","Unitário"},0),ROUND(ROUND(BM.MEDAcumulado,15-13*BM!$A$9)/100*BM!$I64,15-13*ORÇAMENTO!$AF$11),ROUND(ROUND(BM.MEDAcumulado,15-13*BM!$A$9)*ROUND(BM!$H64,15-13*ORÇAMENTO!$AF$10),15-13*ORÇAMENTO!$AF$11))),IF($A64=0,0,ROUND(SomaAgrupBM,15-13*ORÇAMENTO!$AF$11)))</f>
        <v>0</v>
      </c>
    </row>
    <row r="65" spans="1:41" s="670" customFormat="1" ht="25.5" x14ac:dyDescent="0.2">
      <c r="A65" s="670" t="str">
        <f ca="1">ORÇAMENTO!C65</f>
        <v>S</v>
      </c>
      <c r="B65" s="670">
        <f ca="1">ORÇAMENTO!D65</f>
        <v>0</v>
      </c>
      <c r="C65" s="114" t="str">
        <f t="shared" ca="1" si="1"/>
        <v>F</v>
      </c>
      <c r="D65" s="117" t="str">
        <f ca="1">ORÇAMENTO!O65</f>
        <v>1.9.1.</v>
      </c>
      <c r="E65" s="163" t="str">
        <f t="shared" ca="1" si="2"/>
        <v>TUBO PVC DEFOFO, JEI, 1 MPA, DN 200 MM, PARA REDE DE AGUA (NBR 7665)</v>
      </c>
      <c r="F65" s="164" t="str" cm="1">
        <f t="array" aca="1" ref="F65" ca="1">IF(RegimeExecucao="Global","",ORÇAMENTO.Unidade)</f>
        <v>M</v>
      </c>
      <c r="G65" s="122" cm="1">
        <f t="array" aca="1" ref="G65" ca="1">IF(RegimeExecucao="Global","",ORÇAMENTO!T65)</f>
        <v>3390</v>
      </c>
      <c r="H65" s="122" cm="1">
        <f t="array" aca="1" ref="H65" ca="1">IF(RegimeExecucao="Global","",ORÇAMENTO!W65)</f>
        <v>297.06</v>
      </c>
      <c r="I65" s="125">
        <f ca="1">ORÇAMENTO!X65</f>
        <v>1007033.4</v>
      </c>
      <c r="J65" s="333" cm="1">
        <f t="array" aca="1" ref="J65" ca="1">IF($A65="S",IF(CAIXA.Modo,BM.AFAnterior,BM.MEDAnterior),IF(AND(RegimeExecucao="Global",$I65&gt;0,COUNTIF($AB$13:$AM$13,BM.medicao-1)&gt;0),M65/$I65*100,0))</f>
        <v>0</v>
      </c>
      <c r="K65" s="122">
        <f t="shared" ca="1" si="3"/>
        <v>0</v>
      </c>
      <c r="L65" s="334" cm="1">
        <f t="array" aca="1" ref="L65" ca="1">IF($A65="S",IF(CAIXA.Modo,BM.AFAcumulado,BM.MEDAcumulado),IF(AND(RegimeExecucao="Global",$I65&gt;0,COUNTIF($AB$13:$AM$13,BM.medicao)&gt;0),O65/$I65*100,0))</f>
        <v>0</v>
      </c>
      <c r="M65" s="335" cm="1">
        <f t="array" aca="1" ref="M65" ca="1">IF($A65="S",VTOTALBM,IF($A65=0,0,ROUND(SomaAgrupBM,15-13*ORÇAMENTO!$AF$11)))</f>
        <v>0</v>
      </c>
      <c r="N65" s="336">
        <f t="shared" ca="1" si="4"/>
        <v>0</v>
      </c>
      <c r="O65" s="125" cm="1">
        <f t="array" aca="1" ref="O65" ca="1">IF($A65="S",VTOTALBM,IF($A65=0,0,ROUND(SomaAgrupBM,15-13*ORÇAMENTO!$AF$11)))</f>
        <v>0</v>
      </c>
      <c r="Q65" s="337"/>
      <c r="R65" s="338"/>
      <c r="T65" s="117" t="str">
        <f t="shared" ca="1" si="5"/>
        <v/>
      </c>
      <c r="U65" s="163" t="str">
        <f t="shared" ca="1" si="6"/>
        <v/>
      </c>
      <c r="V65" s="164" t="str" cm="1">
        <f t="array" aca="1" ref="V65" ca="1">IF(AND($W65&gt;0,RegimeExecucao="Unitário"),$F65,"")</f>
        <v/>
      </c>
      <c r="W65" s="454" cm="1">
        <f t="array" aca="1" ref="W65" ca="1">IF($Y65&gt;0,CHOOSE(MATCH(RegimeExecucao,{"Unitário","Global"},0),IF($A65="S",$Y65/$X65,""),($Y65/$X65)*100),0)</f>
        <v>0</v>
      </c>
      <c r="X65" s="339" t="str" cm="1">
        <f t="array" aca="1" ref="X65" ca="1">IF($Y65&gt;0,CHOOSE(MATCH(RegimeExecucao,{"Unitário","Global"},0),IF($A65="S",ROUND($H65,ORÇAMENTO!$AF$10),""),ROUND($I65,ORÇAMENTO!$AF$11)),"")</f>
        <v/>
      </c>
      <c r="Y65" s="339">
        <f t="shared" ca="1" si="7"/>
        <v>0</v>
      </c>
      <c r="Z65" s="473"/>
      <c r="AB65" s="337"/>
      <c r="AC65" s="437"/>
      <c r="AD65" s="437"/>
      <c r="AE65" s="437"/>
      <c r="AF65" s="437"/>
      <c r="AG65" s="437"/>
      <c r="AH65" s="437"/>
      <c r="AI65" s="437"/>
      <c r="AJ65" s="437"/>
      <c r="AK65" s="437"/>
      <c r="AL65" s="437"/>
      <c r="AM65" s="338"/>
      <c r="AO65" s="670" cm="1">
        <f t="array" aca="1" ref="AO65" ca="1">IF($A65="S",IF(BM!$I65=0,0,CHOOSE(MATCH(RegimeExecucao,{"Global","Unitário"},0),ROUND(ROUND(BM.MEDAcumulado,15-13*BM!$A$9)/100*BM!$I65,15-13*ORÇAMENTO!$AF$11),ROUND(ROUND(BM.MEDAcumulado,15-13*BM!$A$9)*ROUND(BM!$H65,15-13*ORÇAMENTO!$AF$10),15-13*ORÇAMENTO!$AF$11))),IF($A65=0,0,ROUND(SomaAgrupBM,15-13*ORÇAMENTO!$AF$11)))</f>
        <v>0</v>
      </c>
    </row>
    <row r="66" spans="1:41" s="680" customFormat="1" ht="51" x14ac:dyDescent="0.2">
      <c r="A66" s="680" t="str">
        <f ca="1">ORÇAMENTO!C66</f>
        <v>S</v>
      </c>
      <c r="B66" s="680">
        <f ca="1">ORÇAMENTO!D66</f>
        <v>0</v>
      </c>
      <c r="C66" s="684" t="str">
        <f ca="1">IF(OR($I66&gt;0,$A66=1,$A66=2,$A66=3,$A66=4),"F","")</f>
        <v>F</v>
      </c>
      <c r="D66" s="687" t="str">
        <f ca="1">ORÇAMENTO!O66</f>
        <v>1.9.2.</v>
      </c>
      <c r="E66" s="699" t="str">
        <f ca="1">ORÇAMENTO.Descricao</f>
        <v>ASSENTAMENTO DE TUBO DE FERRO FUNDIDO PARA REDE DE ÁGUA, DN 200 MM, JUNTA ELÁSTICA, INSTALADO EM LOCAL COM NÍVEL ALTO DE INTERFERÊNCIAS (NÃO INCLUI FORNECIMENTO). AF_05/2024</v>
      </c>
      <c r="F66" s="700" t="str" cm="1">
        <f t="array" aca="1" ref="F66" ca="1">IF(RegimeExecucao="Global","",ORÇAMENTO.Unidade)</f>
        <v>M</v>
      </c>
      <c r="G66" s="692" cm="1">
        <f t="array" aca="1" ref="G66" ca="1">IF(RegimeExecucao="Global","",ORÇAMENTO!T66)</f>
        <v>3390</v>
      </c>
      <c r="H66" s="692" cm="1">
        <f t="array" aca="1" ref="H66" ca="1">IF(RegimeExecucao="Global","",ORÇAMENTO!W66)</f>
        <v>13.16</v>
      </c>
      <c r="I66" s="695">
        <f ca="1">ORÇAMENTO!X66</f>
        <v>44612.4</v>
      </c>
      <c r="J66" s="707" cm="1">
        <f t="array" aca="1" ref="J66" ca="1">IF($A66="S",IF(CAIXA.Modo,BM.AFAnterior,BM.MEDAnterior),IF(AND(RegimeExecucao="Global",$I66&gt;0,COUNTIF($AB$13:$AM$13,BM.medicao-1)&gt;0),M66/$I66*100,0))</f>
        <v>0</v>
      </c>
      <c r="K66" s="692">
        <f ca="1">L66-J66</f>
        <v>0</v>
      </c>
      <c r="L66" s="708" cm="1">
        <f t="array" aca="1" ref="L66" ca="1">IF($A66="S",IF(CAIXA.Modo,BM.AFAcumulado,BM.MEDAcumulado),IF(AND(RegimeExecucao="Global",$I66&gt;0,COUNTIF($AB$13:$AM$13,BM.medicao)&gt;0),O66/$I66*100,0))</f>
        <v>0</v>
      </c>
      <c r="M66" s="709" cm="1">
        <f t="array" aca="1" ref="M66" ca="1">IF($A66="S",VTOTALBM,IF($A66=0,0,ROUND(SomaAgrupBM,15-13*ORÇAMENTO!$AF$11)))</f>
        <v>0</v>
      </c>
      <c r="N66" s="710">
        <f ca="1">O66-M66</f>
        <v>0</v>
      </c>
      <c r="O66" s="695" cm="1">
        <f t="array" aca="1" ref="O66" ca="1">IF($A66="S",VTOTALBM,IF($A66=0,0,ROUND(SomaAgrupBM,15-13*ORÇAMENTO!$AF$11)))</f>
        <v>0</v>
      </c>
      <c r="Q66" s="711"/>
      <c r="R66" s="712"/>
      <c r="T66" s="687" t="str">
        <f ca="1">IF($W66&gt;0,$D66,"")</f>
        <v/>
      </c>
      <c r="U66" s="699" t="str">
        <f ca="1">IF($W66&gt;0,$E66,"")</f>
        <v/>
      </c>
      <c r="V66" s="700" t="str" cm="1">
        <f t="array" aca="1" ref="V66" ca="1">IF(AND($W66&gt;0,RegimeExecucao="Unitário"),$F66,"")</f>
        <v/>
      </c>
      <c r="W66" s="719" cm="1">
        <f t="array" aca="1" ref="W66" ca="1">IF($Y66&gt;0,CHOOSE(MATCH(RegimeExecucao,{"Unitário","Global"},0),IF($A66="S",$Y66/$X66,""),($Y66/$X66)*100),0)</f>
        <v>0</v>
      </c>
      <c r="X66" s="713" t="str" cm="1">
        <f t="array" aca="1" ref="X66" ca="1">IF($Y66&gt;0,CHOOSE(MATCH(RegimeExecucao,{"Unitário","Global"},0),IF($A66="S",ROUND($H66,ORÇAMENTO!$AF$10),""),ROUND($I66,ORÇAMENTO!$AF$11)),"")</f>
        <v/>
      </c>
      <c r="Y66" s="713">
        <f ca="1">AO66-O66</f>
        <v>0</v>
      </c>
      <c r="Z66" s="722"/>
      <c r="AB66" s="711"/>
      <c r="AC66" s="717"/>
      <c r="AD66" s="717"/>
      <c r="AE66" s="717"/>
      <c r="AF66" s="717"/>
      <c r="AG66" s="717"/>
      <c r="AH66" s="717"/>
      <c r="AI66" s="717"/>
      <c r="AJ66" s="717"/>
      <c r="AK66" s="717"/>
      <c r="AL66" s="717"/>
      <c r="AM66" s="712"/>
      <c r="AO66" s="680" cm="1">
        <f t="array" aca="1" ref="AO66" ca="1">IF($A66="S",IF(BM!$I66=0,0,CHOOSE(MATCH(RegimeExecucao,{"Global","Unitário"},0),ROUND(ROUND(BM.MEDAcumulado,15-13*BM!$A$9)/100*BM!$I66,15-13*ORÇAMENTO!$AF$11),ROUND(ROUND(BM.MEDAcumulado,15-13*BM!$A$9)*ROUND(BM!$H66,15-13*ORÇAMENTO!$AF$10),15-13*ORÇAMENTO!$AF$11))),IF($A66=0,0,ROUND(SomaAgrupBM,15-13*ORÇAMENTO!$AF$11)))</f>
        <v>0</v>
      </c>
    </row>
    <row r="67" spans="1:41" s="670" customFormat="1" x14ac:dyDescent="0.2">
      <c r="A67" s="670" t="str">
        <f ca="1">ORÇAMENTO!C67</f>
        <v>S</v>
      </c>
      <c r="B67" s="670">
        <f ca="1">ORÇAMENTO!D67</f>
        <v>0</v>
      </c>
      <c r="C67" s="114" t="str">
        <f t="shared" ca="1" si="1"/>
        <v>F</v>
      </c>
      <c r="D67" s="117" t="str">
        <f ca="1">ORÇAMENTO!O67</f>
        <v>1.9.3.</v>
      </c>
      <c r="E67" s="163" t="str">
        <f t="shared" ca="1" si="2"/>
        <v>Curva 90º, em ferro fundido, com flanges pn 10, diam. =  200mm</v>
      </c>
      <c r="F67" s="164" t="str" cm="1">
        <f t="array" aca="1" ref="F67" ca="1">IF(RegimeExecucao="Global","",ORÇAMENTO.Unidade)</f>
        <v>UNIDADE</v>
      </c>
      <c r="G67" s="122" cm="1">
        <f t="array" aca="1" ref="G67" ca="1">IF(RegimeExecucao="Global","",ORÇAMENTO!T67)</f>
        <v>6</v>
      </c>
      <c r="H67" s="122" cm="1">
        <f t="array" aca="1" ref="H67" ca="1">IF(RegimeExecucao="Global","",ORÇAMENTO!W67)</f>
        <v>1325.01</v>
      </c>
      <c r="I67" s="125">
        <f ca="1">ORÇAMENTO!X67</f>
        <v>7950.06</v>
      </c>
      <c r="J67" s="333" cm="1">
        <f t="array" aca="1" ref="J67" ca="1">IF($A67="S",IF(CAIXA.Modo,BM.AFAnterior,BM.MEDAnterior),IF(AND(RegimeExecucao="Global",$I67&gt;0,COUNTIF($AB$13:$AM$13,BM.medicao-1)&gt;0),M67/$I67*100,0))</f>
        <v>0</v>
      </c>
      <c r="K67" s="122">
        <f t="shared" ca="1" si="3"/>
        <v>0</v>
      </c>
      <c r="L67" s="334" cm="1">
        <f t="array" aca="1" ref="L67" ca="1">IF($A67="S",IF(CAIXA.Modo,BM.AFAcumulado,BM.MEDAcumulado),IF(AND(RegimeExecucao="Global",$I67&gt;0,COUNTIF($AB$13:$AM$13,BM.medicao)&gt;0),O67/$I67*100,0))</f>
        <v>0</v>
      </c>
      <c r="M67" s="335" cm="1">
        <f t="array" aca="1" ref="M67" ca="1">IF($A67="S",VTOTALBM,IF($A67=0,0,ROUND(SomaAgrupBM,15-13*ORÇAMENTO!$AF$11)))</f>
        <v>0</v>
      </c>
      <c r="N67" s="336">
        <f t="shared" ca="1" si="4"/>
        <v>0</v>
      </c>
      <c r="O67" s="125" cm="1">
        <f t="array" aca="1" ref="O67" ca="1">IF($A67="S",VTOTALBM,IF($A67=0,0,ROUND(SomaAgrupBM,15-13*ORÇAMENTO!$AF$11)))</f>
        <v>0</v>
      </c>
      <c r="Q67" s="337"/>
      <c r="R67" s="338"/>
      <c r="T67" s="117" t="str">
        <f t="shared" ca="1" si="5"/>
        <v/>
      </c>
      <c r="U67" s="163" t="str">
        <f t="shared" ca="1" si="6"/>
        <v/>
      </c>
      <c r="V67" s="164" t="str" cm="1">
        <f t="array" aca="1" ref="V67" ca="1">IF(AND($W67&gt;0,RegimeExecucao="Unitário"),$F67,"")</f>
        <v/>
      </c>
      <c r="W67" s="454" cm="1">
        <f t="array" aca="1" ref="W67" ca="1">IF($Y67&gt;0,CHOOSE(MATCH(RegimeExecucao,{"Unitário","Global"},0),IF($A67="S",$Y67/$X67,""),($Y67/$X67)*100),0)</f>
        <v>0</v>
      </c>
      <c r="X67" s="339" t="str" cm="1">
        <f t="array" aca="1" ref="X67" ca="1">IF($Y67&gt;0,CHOOSE(MATCH(RegimeExecucao,{"Unitário","Global"},0),IF($A67="S",ROUND($H67,ORÇAMENTO!$AF$10),""),ROUND($I67,ORÇAMENTO!$AF$11)),"")</f>
        <v/>
      </c>
      <c r="Y67" s="339">
        <f t="shared" ca="1" si="7"/>
        <v>0</v>
      </c>
      <c r="Z67" s="473"/>
      <c r="AB67" s="337"/>
      <c r="AC67" s="437"/>
      <c r="AD67" s="437"/>
      <c r="AE67" s="437"/>
      <c r="AF67" s="437"/>
      <c r="AG67" s="437"/>
      <c r="AH67" s="437"/>
      <c r="AI67" s="437"/>
      <c r="AJ67" s="437"/>
      <c r="AK67" s="437"/>
      <c r="AL67" s="437"/>
      <c r="AM67" s="338"/>
      <c r="AO67" s="670" cm="1">
        <f t="array" aca="1" ref="AO67" ca="1">IF($A67="S",IF(BM!$I67=0,0,CHOOSE(MATCH(RegimeExecucao,{"Global","Unitário"},0),ROUND(ROUND(BM.MEDAcumulado,15-13*BM!$A$9)/100*BM!$I67,15-13*ORÇAMENTO!$AF$11),ROUND(ROUND(BM.MEDAcumulado,15-13*BM!$A$9)*ROUND(BM!$H67,15-13*ORÇAMENTO!$AF$10),15-13*ORÇAMENTO!$AF$11))),IF($A67=0,0,ROUND(SomaAgrupBM,15-13*ORÇAMENTO!$AF$11)))</f>
        <v>0</v>
      </c>
    </row>
    <row r="68" spans="1:41" s="670" customFormat="1" ht="25.5" x14ac:dyDescent="0.2">
      <c r="A68" s="670" t="str">
        <f ca="1">ORÇAMENTO!C68</f>
        <v>S</v>
      </c>
      <c r="B68" s="670">
        <f ca="1">ORÇAMENTO!D68</f>
        <v>0</v>
      </c>
      <c r="C68" s="114" t="str">
        <f t="shared" ca="1" si="1"/>
        <v>F</v>
      </c>
      <c r="D68" s="117" t="str">
        <f ca="1">ORÇAMENTO!O68</f>
        <v>1.9.4.</v>
      </c>
      <c r="E68" s="163" t="str">
        <f t="shared" ca="1" si="2"/>
        <v>CURVA 45°, EM FERRO FUNDIDO, COM FLANGES PN 10, DIAMETRO: 200MM</v>
      </c>
      <c r="F68" s="164" t="str" cm="1">
        <f t="array" aca="1" ref="F68" ca="1">IF(RegimeExecucao="Global","",ORÇAMENTO.Unidade)</f>
        <v>UNIDADE</v>
      </c>
      <c r="G68" s="122" cm="1">
        <f t="array" aca="1" ref="G68" ca="1">IF(RegimeExecucao="Global","",ORÇAMENTO!T68)</f>
        <v>3</v>
      </c>
      <c r="H68" s="122" cm="1">
        <f t="array" aca="1" ref="H68" ca="1">IF(RegimeExecucao="Global","",ORÇAMENTO!W68)</f>
        <v>1227.21</v>
      </c>
      <c r="I68" s="125">
        <f ca="1">ORÇAMENTO!X68</f>
        <v>3681.63</v>
      </c>
      <c r="J68" s="333" cm="1">
        <f t="array" aca="1" ref="J68" ca="1">IF($A68="S",IF(CAIXA.Modo,BM.AFAnterior,BM.MEDAnterior),IF(AND(RegimeExecucao="Global",$I68&gt;0,COUNTIF($AB$13:$AM$13,BM.medicao-1)&gt;0),M68/$I68*100,0))</f>
        <v>0</v>
      </c>
      <c r="K68" s="122">
        <f t="shared" ca="1" si="3"/>
        <v>0</v>
      </c>
      <c r="L68" s="334" cm="1">
        <f t="array" aca="1" ref="L68" ca="1">IF($A68="S",IF(CAIXA.Modo,BM.AFAcumulado,BM.MEDAcumulado),IF(AND(RegimeExecucao="Global",$I68&gt;0,COUNTIF($AB$13:$AM$13,BM.medicao)&gt;0),O68/$I68*100,0))</f>
        <v>0</v>
      </c>
      <c r="M68" s="335" cm="1">
        <f t="array" aca="1" ref="M68" ca="1">IF($A68="S",VTOTALBM,IF($A68=0,0,ROUND(SomaAgrupBM,15-13*ORÇAMENTO!$AF$11)))</f>
        <v>0</v>
      </c>
      <c r="N68" s="336">
        <f t="shared" ca="1" si="4"/>
        <v>0</v>
      </c>
      <c r="O68" s="125" cm="1">
        <f t="array" aca="1" ref="O68" ca="1">IF($A68="S",VTOTALBM,IF($A68=0,0,ROUND(SomaAgrupBM,15-13*ORÇAMENTO!$AF$11)))</f>
        <v>0</v>
      </c>
      <c r="Q68" s="337"/>
      <c r="R68" s="338"/>
      <c r="T68" s="117" t="str">
        <f t="shared" ca="1" si="5"/>
        <v/>
      </c>
      <c r="U68" s="163" t="str">
        <f t="shared" ca="1" si="6"/>
        <v/>
      </c>
      <c r="V68" s="164" t="str" cm="1">
        <f t="array" aca="1" ref="V68" ca="1">IF(AND($W68&gt;0,RegimeExecucao="Unitário"),$F68,"")</f>
        <v/>
      </c>
      <c r="W68" s="454" cm="1">
        <f t="array" aca="1" ref="W68" ca="1">IF($Y68&gt;0,CHOOSE(MATCH(RegimeExecucao,{"Unitário","Global"},0),IF($A68="S",$Y68/$X68,""),($Y68/$X68)*100),0)</f>
        <v>0</v>
      </c>
      <c r="X68" s="339" t="str" cm="1">
        <f t="array" aca="1" ref="X68" ca="1">IF($Y68&gt;0,CHOOSE(MATCH(RegimeExecucao,{"Unitário","Global"},0),IF($A68="S",ROUND($H68,ORÇAMENTO!$AF$10),""),ROUND($I68,ORÇAMENTO!$AF$11)),"")</f>
        <v/>
      </c>
      <c r="Y68" s="339">
        <f t="shared" ca="1" si="7"/>
        <v>0</v>
      </c>
      <c r="Z68" s="473"/>
      <c r="AB68" s="337"/>
      <c r="AC68" s="437"/>
      <c r="AD68" s="437"/>
      <c r="AE68" s="437"/>
      <c r="AF68" s="437"/>
      <c r="AG68" s="437"/>
      <c r="AH68" s="437"/>
      <c r="AI68" s="437"/>
      <c r="AJ68" s="437"/>
      <c r="AK68" s="437"/>
      <c r="AL68" s="437"/>
      <c r="AM68" s="338"/>
      <c r="AO68" s="670" cm="1">
        <f t="array" aca="1" ref="AO68" ca="1">IF($A68="S",IF(BM!$I68=0,0,CHOOSE(MATCH(RegimeExecucao,{"Global","Unitário"},0),ROUND(ROUND(BM.MEDAcumulado,15-13*BM!$A$9)/100*BM!$I68,15-13*ORÇAMENTO!$AF$11),ROUND(ROUND(BM.MEDAcumulado,15-13*BM!$A$9)*ROUND(BM!$H68,15-13*ORÇAMENTO!$AF$10),15-13*ORÇAMENTO!$AF$11))),IF($A68=0,0,ROUND(SomaAgrupBM,15-13*ORÇAMENTO!$AF$11)))</f>
        <v>0</v>
      </c>
    </row>
    <row r="69" spans="1:41" s="670" customFormat="1" ht="51" x14ac:dyDescent="0.2">
      <c r="A69" s="670" t="str">
        <f ca="1">ORÇAMENTO!C69</f>
        <v>S</v>
      </c>
      <c r="B69" s="670">
        <f ca="1">ORÇAMENTO!D69</f>
        <v>0</v>
      </c>
      <c r="C69" s="114" t="str">
        <f t="shared" ca="1" si="1"/>
        <v>F</v>
      </c>
      <c r="D69" s="117" t="str">
        <f ca="1">ORÇAMENTO!O69</f>
        <v>1.9.5.</v>
      </c>
      <c r="E69" s="163" t="str">
        <f t="shared" ca="1" si="2"/>
        <v xml:space="preserve">Curva de 22o30' de ferro fundido ductil, pintada interna e externamente com tinta betuminosa, com 2 flanges, inclusive fornecimento de material para junta (arruela de borracha, parafusos com porca), com diametro de 200mm. </v>
      </c>
      <c r="F69" s="164" t="str" cm="1">
        <f t="array" aca="1" ref="F69" ca="1">IF(RegimeExecucao="Global","",ORÇAMENTO.Unidade)</f>
        <v>UNIDADE</v>
      </c>
      <c r="G69" s="122" cm="1">
        <f t="array" aca="1" ref="G69" ca="1">IF(RegimeExecucao="Global","",ORÇAMENTO!T69)</f>
        <v>1</v>
      </c>
      <c r="H69" s="122" cm="1">
        <f t="array" aca="1" ref="H69" ca="1">IF(RegimeExecucao="Global","",ORÇAMENTO!W69)</f>
        <v>1923.87</v>
      </c>
      <c r="I69" s="125">
        <f ca="1">ORÇAMENTO!X69</f>
        <v>1923.87</v>
      </c>
      <c r="J69" s="333" cm="1">
        <f t="array" aca="1" ref="J69" ca="1">IF($A69="S",IF(CAIXA.Modo,BM.AFAnterior,BM.MEDAnterior),IF(AND(RegimeExecucao="Global",$I69&gt;0,COUNTIF($AB$13:$AM$13,BM.medicao-1)&gt;0),M69/$I69*100,0))</f>
        <v>0</v>
      </c>
      <c r="K69" s="122">
        <f t="shared" ca="1" si="3"/>
        <v>0</v>
      </c>
      <c r="L69" s="334" cm="1">
        <f t="array" aca="1" ref="L69" ca="1">IF($A69="S",IF(CAIXA.Modo,BM.AFAcumulado,BM.MEDAcumulado),IF(AND(RegimeExecucao="Global",$I69&gt;0,COUNTIF($AB$13:$AM$13,BM.medicao)&gt;0),O69/$I69*100,0))</f>
        <v>0</v>
      </c>
      <c r="M69" s="335" cm="1">
        <f t="array" aca="1" ref="M69" ca="1">IF($A69="S",VTOTALBM,IF($A69=0,0,ROUND(SomaAgrupBM,15-13*ORÇAMENTO!$AF$11)))</f>
        <v>0</v>
      </c>
      <c r="N69" s="336">
        <f t="shared" ca="1" si="4"/>
        <v>0</v>
      </c>
      <c r="O69" s="125" cm="1">
        <f t="array" aca="1" ref="O69" ca="1">IF($A69="S",VTOTALBM,IF($A69=0,0,ROUND(SomaAgrupBM,15-13*ORÇAMENTO!$AF$11)))</f>
        <v>0</v>
      </c>
      <c r="Q69" s="337"/>
      <c r="R69" s="338"/>
      <c r="T69" s="117" t="str">
        <f t="shared" ca="1" si="5"/>
        <v/>
      </c>
      <c r="U69" s="163" t="str">
        <f t="shared" ca="1" si="6"/>
        <v/>
      </c>
      <c r="V69" s="164" t="str" cm="1">
        <f t="array" aca="1" ref="V69" ca="1">IF(AND($W69&gt;0,RegimeExecucao="Unitário"),$F69,"")</f>
        <v/>
      </c>
      <c r="W69" s="454" cm="1">
        <f t="array" aca="1" ref="W69" ca="1">IF($Y69&gt;0,CHOOSE(MATCH(RegimeExecucao,{"Unitário","Global"},0),IF($A69="S",$Y69/$X69,""),($Y69/$X69)*100),0)</f>
        <v>0</v>
      </c>
      <c r="X69" s="339" t="str" cm="1">
        <f t="array" aca="1" ref="X69" ca="1">IF($Y69&gt;0,CHOOSE(MATCH(RegimeExecucao,{"Unitário","Global"},0),IF($A69="S",ROUND($H69,ORÇAMENTO!$AF$10),""),ROUND($I69,ORÇAMENTO!$AF$11)),"")</f>
        <v/>
      </c>
      <c r="Y69" s="339">
        <f t="shared" ca="1" si="7"/>
        <v>0</v>
      </c>
      <c r="Z69" s="473"/>
      <c r="AB69" s="337"/>
      <c r="AC69" s="437"/>
      <c r="AD69" s="437"/>
      <c r="AE69" s="437"/>
      <c r="AF69" s="437"/>
      <c r="AG69" s="437"/>
      <c r="AH69" s="437"/>
      <c r="AI69" s="437"/>
      <c r="AJ69" s="437"/>
      <c r="AK69" s="437"/>
      <c r="AL69" s="437"/>
      <c r="AM69" s="338"/>
      <c r="AO69" s="670" cm="1">
        <f t="array" aca="1" ref="AO69" ca="1">IF($A69="S",IF(BM!$I69=0,0,CHOOSE(MATCH(RegimeExecucao,{"Global","Unitário"},0),ROUND(ROUND(BM.MEDAcumulado,15-13*BM!$A$9)/100*BM!$I69,15-13*ORÇAMENTO!$AF$11),ROUND(ROUND(BM.MEDAcumulado,15-13*BM!$A$9)*ROUND(BM!$H69,15-13*ORÇAMENTO!$AF$10),15-13*ORÇAMENTO!$AF$11))),IF($A69=0,0,ROUND(SomaAgrupBM,15-13*ORÇAMENTO!$AF$11)))</f>
        <v>0</v>
      </c>
    </row>
    <row r="70" spans="1:41" s="670" customFormat="1" ht="25.5" x14ac:dyDescent="0.2">
      <c r="A70" s="670" t="str">
        <f ca="1">ORÇAMENTO!C70</f>
        <v>S</v>
      </c>
      <c r="B70" s="670">
        <f ca="1">ORÇAMENTO!D70</f>
        <v>0</v>
      </c>
      <c r="C70" s="114" t="str">
        <f t="shared" ca="1" si="1"/>
        <v>F</v>
      </c>
      <c r="D70" s="117" t="str">
        <f ca="1">ORÇAMENTO!O70</f>
        <v>1.9.6.</v>
      </c>
      <c r="E70" s="163" t="str">
        <f t="shared" ca="1" si="2"/>
        <v>FLANGE AVULSO EM FERRO FUNDIDO, CLASSE PN-10, DN= 200MM- fornecimento e assentamento</v>
      </c>
      <c r="F70" s="164" t="str" cm="1">
        <f t="array" aca="1" ref="F70" ca="1">IF(RegimeExecucao="Global","",ORÇAMENTO.Unidade)</f>
        <v>UNIDADE</v>
      </c>
      <c r="G70" s="122" cm="1">
        <f t="array" aca="1" ref="G70" ca="1">IF(RegimeExecucao="Global","",ORÇAMENTO!T70)</f>
        <v>50</v>
      </c>
      <c r="H70" s="122" cm="1">
        <f t="array" aca="1" ref="H70" ca="1">IF(RegimeExecucao="Global","",ORÇAMENTO!W70)</f>
        <v>512.58000000000004</v>
      </c>
      <c r="I70" s="125">
        <f ca="1">ORÇAMENTO!X70</f>
        <v>25629</v>
      </c>
      <c r="J70" s="333" cm="1">
        <f t="array" aca="1" ref="J70" ca="1">IF($A70="S",IF(CAIXA.Modo,BM.AFAnterior,BM.MEDAnterior),IF(AND(RegimeExecucao="Global",$I70&gt;0,COUNTIF($AB$13:$AM$13,BM.medicao-1)&gt;0),M70/$I70*100,0))</f>
        <v>0</v>
      </c>
      <c r="K70" s="122">
        <f t="shared" ca="1" si="3"/>
        <v>0</v>
      </c>
      <c r="L70" s="334" cm="1">
        <f t="array" aca="1" ref="L70" ca="1">IF($A70="S",IF(CAIXA.Modo,BM.AFAcumulado,BM.MEDAcumulado),IF(AND(RegimeExecucao="Global",$I70&gt;0,COUNTIF($AB$13:$AM$13,BM.medicao)&gt;0),O70/$I70*100,0))</f>
        <v>0</v>
      </c>
      <c r="M70" s="335" cm="1">
        <f t="array" aca="1" ref="M70" ca="1">IF($A70="S",VTOTALBM,IF($A70=0,0,ROUND(SomaAgrupBM,15-13*ORÇAMENTO!$AF$11)))</f>
        <v>0</v>
      </c>
      <c r="N70" s="336">
        <f t="shared" ca="1" si="4"/>
        <v>0</v>
      </c>
      <c r="O70" s="125" cm="1">
        <f t="array" aca="1" ref="O70" ca="1">IF($A70="S",VTOTALBM,IF($A70=0,0,ROUND(SomaAgrupBM,15-13*ORÇAMENTO!$AF$11)))</f>
        <v>0</v>
      </c>
      <c r="Q70" s="337"/>
      <c r="R70" s="338"/>
      <c r="T70" s="117" t="str">
        <f t="shared" ca="1" si="5"/>
        <v/>
      </c>
      <c r="U70" s="163" t="str">
        <f t="shared" ca="1" si="6"/>
        <v/>
      </c>
      <c r="V70" s="164" t="str" cm="1">
        <f t="array" aca="1" ref="V70" ca="1">IF(AND($W70&gt;0,RegimeExecucao="Unitário"),$F70,"")</f>
        <v/>
      </c>
      <c r="W70" s="454" cm="1">
        <f t="array" aca="1" ref="W70" ca="1">IF($Y70&gt;0,CHOOSE(MATCH(RegimeExecucao,{"Unitário","Global"},0),IF($A70="S",$Y70/$X70,""),($Y70/$X70)*100),0)</f>
        <v>0</v>
      </c>
      <c r="X70" s="339" t="str" cm="1">
        <f t="array" aca="1" ref="X70" ca="1">IF($Y70&gt;0,CHOOSE(MATCH(RegimeExecucao,{"Unitário","Global"},0),IF($A70="S",ROUND($H70,ORÇAMENTO!$AF$10),""),ROUND($I70,ORÇAMENTO!$AF$11)),"")</f>
        <v/>
      </c>
      <c r="Y70" s="339">
        <f t="shared" ca="1" si="7"/>
        <v>0</v>
      </c>
      <c r="Z70" s="473"/>
      <c r="AB70" s="337"/>
      <c r="AC70" s="437"/>
      <c r="AD70" s="437"/>
      <c r="AE70" s="437"/>
      <c r="AF70" s="437"/>
      <c r="AG70" s="437"/>
      <c r="AH70" s="437"/>
      <c r="AI70" s="437"/>
      <c r="AJ70" s="437"/>
      <c r="AK70" s="437"/>
      <c r="AL70" s="437"/>
      <c r="AM70" s="338"/>
      <c r="AO70" s="670" cm="1">
        <f t="array" aca="1" ref="AO70" ca="1">IF($A70="S",IF(BM!$I70=0,0,CHOOSE(MATCH(RegimeExecucao,{"Global","Unitário"},0),ROUND(ROUND(BM.MEDAcumulado,15-13*BM!$A$9)/100*BM!$I70,15-13*ORÇAMENTO!$AF$11),ROUND(ROUND(BM.MEDAcumulado,15-13*BM!$A$9)*ROUND(BM!$H70,15-13*ORÇAMENTO!$AF$10),15-13*ORÇAMENTO!$AF$11))),IF($A70=0,0,ROUND(SomaAgrupBM,15-13*ORÇAMENTO!$AF$11)))</f>
        <v>0</v>
      </c>
    </row>
    <row r="71" spans="1:41" s="670" customFormat="1" x14ac:dyDescent="0.2">
      <c r="A71" s="670" t="str">
        <f ca="1">ORÇAMENTO!C71</f>
        <v>S</v>
      </c>
      <c r="B71" s="670">
        <f ca="1">ORÇAMENTO!D71</f>
        <v>0</v>
      </c>
      <c r="C71" s="114" t="str">
        <f t="shared" ca="1" si="1"/>
        <v>F</v>
      </c>
      <c r="D71" s="117" t="str">
        <f ca="1">ORÇAMENTO!O71</f>
        <v>1.9.7.</v>
      </c>
      <c r="E71" s="163" t="str">
        <f t="shared" ca="1" si="2"/>
        <v>REGISTRO DE GAVETA FF: 200MM - fornecimento e assentamento</v>
      </c>
      <c r="F71" s="164" t="str" cm="1">
        <f t="array" aca="1" ref="F71" ca="1">IF(RegimeExecucao="Global","",ORÇAMENTO.Unidade)</f>
        <v>UNIDADE</v>
      </c>
      <c r="G71" s="122" cm="1">
        <f t="array" aca="1" ref="G71" ca="1">IF(RegimeExecucao="Global","",ORÇAMENTO!T71)</f>
        <v>7</v>
      </c>
      <c r="H71" s="122" cm="1">
        <f t="array" aca="1" ref="H71" ca="1">IF(RegimeExecucao="Global","",ORÇAMENTO!W71)</f>
        <v>4329.68</v>
      </c>
      <c r="I71" s="125">
        <f ca="1">ORÇAMENTO!X71</f>
        <v>30307.759999999998</v>
      </c>
      <c r="J71" s="333" cm="1">
        <f t="array" aca="1" ref="J71" ca="1">IF($A71="S",IF(CAIXA.Modo,BM.AFAnterior,BM.MEDAnterior),IF(AND(RegimeExecucao="Global",$I71&gt;0,COUNTIF($AB$13:$AM$13,BM.medicao-1)&gt;0),M71/$I71*100,0))</f>
        <v>0</v>
      </c>
      <c r="K71" s="122">
        <f t="shared" ca="1" si="3"/>
        <v>0</v>
      </c>
      <c r="L71" s="334" cm="1">
        <f t="array" aca="1" ref="L71" ca="1">IF($A71="S",IF(CAIXA.Modo,BM.AFAcumulado,BM.MEDAcumulado),IF(AND(RegimeExecucao="Global",$I71&gt;0,COUNTIF($AB$13:$AM$13,BM.medicao)&gt;0),O71/$I71*100,0))</f>
        <v>0</v>
      </c>
      <c r="M71" s="335" cm="1">
        <f t="array" aca="1" ref="M71" ca="1">IF($A71="S",VTOTALBM,IF($A71=0,0,ROUND(SomaAgrupBM,15-13*ORÇAMENTO!$AF$11)))</f>
        <v>0</v>
      </c>
      <c r="N71" s="336">
        <f t="shared" ca="1" si="4"/>
        <v>0</v>
      </c>
      <c r="O71" s="125" cm="1">
        <f t="array" aca="1" ref="O71" ca="1">IF($A71="S",VTOTALBM,IF($A71=0,0,ROUND(SomaAgrupBM,15-13*ORÇAMENTO!$AF$11)))</f>
        <v>0</v>
      </c>
      <c r="Q71" s="337"/>
      <c r="R71" s="338"/>
      <c r="T71" s="117" t="str">
        <f t="shared" ca="1" si="5"/>
        <v/>
      </c>
      <c r="U71" s="163" t="str">
        <f t="shared" ca="1" si="6"/>
        <v/>
      </c>
      <c r="V71" s="164" t="str" cm="1">
        <f t="array" aca="1" ref="V71" ca="1">IF(AND($W71&gt;0,RegimeExecucao="Unitário"),$F71,"")</f>
        <v/>
      </c>
      <c r="W71" s="454" cm="1">
        <f t="array" aca="1" ref="W71" ca="1">IF($Y71&gt;0,CHOOSE(MATCH(RegimeExecucao,{"Unitário","Global"},0),IF($A71="S",$Y71/$X71,""),($Y71/$X71)*100),0)</f>
        <v>0</v>
      </c>
      <c r="X71" s="339" t="str" cm="1">
        <f t="array" aca="1" ref="X71" ca="1">IF($Y71&gt;0,CHOOSE(MATCH(RegimeExecucao,{"Unitário","Global"},0),IF($A71="S",ROUND($H71,ORÇAMENTO!$AF$10),""),ROUND($I71,ORÇAMENTO!$AF$11)),"")</f>
        <v/>
      </c>
      <c r="Y71" s="339">
        <f t="shared" ca="1" si="7"/>
        <v>0</v>
      </c>
      <c r="Z71" s="473"/>
      <c r="AB71" s="337"/>
      <c r="AC71" s="437"/>
      <c r="AD71" s="437"/>
      <c r="AE71" s="437"/>
      <c r="AF71" s="437"/>
      <c r="AG71" s="437"/>
      <c r="AH71" s="437"/>
      <c r="AI71" s="437"/>
      <c r="AJ71" s="437"/>
      <c r="AK71" s="437"/>
      <c r="AL71" s="437"/>
      <c r="AM71" s="338"/>
      <c r="AO71" s="670" cm="1">
        <f t="array" aca="1" ref="AO71" ca="1">IF($A71="S",IF(BM!$I71=0,0,CHOOSE(MATCH(RegimeExecucao,{"Global","Unitário"},0),ROUND(ROUND(BM.MEDAcumulado,15-13*BM!$A$9)/100*BM!$I71,15-13*ORÇAMENTO!$AF$11),ROUND(ROUND(BM.MEDAcumulado,15-13*BM!$A$9)*ROUND(BM!$H71,15-13*ORÇAMENTO!$AF$10),15-13*ORÇAMENTO!$AF$11))),IF($A71=0,0,ROUND(SomaAgrupBM,15-13*ORÇAMENTO!$AF$11)))</f>
        <v>0</v>
      </c>
    </row>
    <row r="72" spans="1:41" s="670" customFormat="1" x14ac:dyDescent="0.2">
      <c r="A72" s="670" t="str">
        <f ca="1">ORÇAMENTO!C72</f>
        <v>S</v>
      </c>
      <c r="B72" s="670">
        <f ca="1">ORÇAMENTO!D72</f>
        <v>0</v>
      </c>
      <c r="C72" s="114" t="str">
        <f t="shared" ca="1" si="1"/>
        <v>F</v>
      </c>
      <c r="D72" s="117" t="str">
        <f ca="1">ORÇAMENTO!O72</f>
        <v>1.9.8.</v>
      </c>
      <c r="E72" s="163" t="str">
        <f t="shared" ca="1" si="2"/>
        <v xml:space="preserve">Luva de Correr com bolsa - 200mm </v>
      </c>
      <c r="F72" s="164" t="str" cm="1">
        <f t="array" aca="1" ref="F72" ca="1">IF(RegimeExecucao="Global","",ORÇAMENTO.Unidade)</f>
        <v>UNIDADE</v>
      </c>
      <c r="G72" s="122" cm="1">
        <f t="array" aca="1" ref="G72" ca="1">IF(RegimeExecucao="Global","",ORÇAMENTO!T72)</f>
        <v>8</v>
      </c>
      <c r="H72" s="122" cm="1">
        <f t="array" aca="1" ref="H72" ca="1">IF(RegimeExecucao="Global","",ORÇAMENTO!W72)</f>
        <v>197.78</v>
      </c>
      <c r="I72" s="125">
        <f ca="1">ORÇAMENTO!X72</f>
        <v>1582.24</v>
      </c>
      <c r="J72" s="333" cm="1">
        <f t="array" aca="1" ref="J72" ca="1">IF($A72="S",IF(CAIXA.Modo,BM.AFAnterior,BM.MEDAnterior),IF(AND(RegimeExecucao="Global",$I72&gt;0,COUNTIF($AB$13:$AM$13,BM.medicao-1)&gt;0),M72/$I72*100,0))</f>
        <v>0</v>
      </c>
      <c r="K72" s="122">
        <f t="shared" ca="1" si="3"/>
        <v>0</v>
      </c>
      <c r="L72" s="334" cm="1">
        <f t="array" aca="1" ref="L72" ca="1">IF($A72="S",IF(CAIXA.Modo,BM.AFAcumulado,BM.MEDAcumulado),IF(AND(RegimeExecucao="Global",$I72&gt;0,COUNTIF($AB$13:$AM$13,BM.medicao)&gt;0),O72/$I72*100,0))</f>
        <v>0</v>
      </c>
      <c r="M72" s="335" cm="1">
        <f t="array" aca="1" ref="M72" ca="1">IF($A72="S",VTOTALBM,IF($A72=0,0,ROUND(SomaAgrupBM,15-13*ORÇAMENTO!$AF$11)))</f>
        <v>0</v>
      </c>
      <c r="N72" s="336">
        <f t="shared" ca="1" si="4"/>
        <v>0</v>
      </c>
      <c r="O72" s="125" cm="1">
        <f t="array" aca="1" ref="O72" ca="1">IF($A72="S",VTOTALBM,IF($A72=0,0,ROUND(SomaAgrupBM,15-13*ORÇAMENTO!$AF$11)))</f>
        <v>0</v>
      </c>
      <c r="Q72" s="337"/>
      <c r="R72" s="338"/>
      <c r="T72" s="117" t="str">
        <f t="shared" ca="1" si="5"/>
        <v/>
      </c>
      <c r="U72" s="163" t="str">
        <f t="shared" ca="1" si="6"/>
        <v/>
      </c>
      <c r="V72" s="164" t="str" cm="1">
        <f t="array" aca="1" ref="V72" ca="1">IF(AND($W72&gt;0,RegimeExecucao="Unitário"),$F72,"")</f>
        <v/>
      </c>
      <c r="W72" s="454" cm="1">
        <f t="array" aca="1" ref="W72" ca="1">IF($Y72&gt;0,CHOOSE(MATCH(RegimeExecucao,{"Unitário","Global"},0),IF($A72="S",$Y72/$X72,""),($Y72/$X72)*100),0)</f>
        <v>0</v>
      </c>
      <c r="X72" s="339" t="str" cm="1">
        <f t="array" aca="1" ref="X72" ca="1">IF($Y72&gt;0,CHOOSE(MATCH(RegimeExecucao,{"Unitário","Global"},0),IF($A72="S",ROUND($H72,ORÇAMENTO!$AF$10),""),ROUND($I72,ORÇAMENTO!$AF$11)),"")</f>
        <v/>
      </c>
      <c r="Y72" s="339">
        <f t="shared" ca="1" si="7"/>
        <v>0</v>
      </c>
      <c r="Z72" s="473"/>
      <c r="AB72" s="337"/>
      <c r="AC72" s="437"/>
      <c r="AD72" s="437"/>
      <c r="AE72" s="437"/>
      <c r="AF72" s="437"/>
      <c r="AG72" s="437"/>
      <c r="AH72" s="437"/>
      <c r="AI72" s="437"/>
      <c r="AJ72" s="437"/>
      <c r="AK72" s="437"/>
      <c r="AL72" s="437"/>
      <c r="AM72" s="338"/>
      <c r="AO72" s="670" cm="1">
        <f t="array" aca="1" ref="AO72" ca="1">IF($A72="S",IF(BM!$I72=0,0,CHOOSE(MATCH(RegimeExecucao,{"Global","Unitário"},0),ROUND(ROUND(BM.MEDAcumulado,15-13*BM!$A$9)/100*BM!$I72,15-13*ORÇAMENTO!$AF$11),ROUND(ROUND(BM.MEDAcumulado,15-13*BM!$A$9)*ROUND(BM!$H72,15-13*ORÇAMENTO!$AF$10),15-13*ORÇAMENTO!$AF$11))),IF($A72=0,0,ROUND(SomaAgrupBM,15-13*ORÇAMENTO!$AF$11)))</f>
        <v>0</v>
      </c>
    </row>
    <row r="73" spans="1:41" s="670" customFormat="1" ht="38.25" x14ac:dyDescent="0.2">
      <c r="A73" s="670" t="str">
        <f ca="1">ORÇAMENTO!C73</f>
        <v>S</v>
      </c>
      <c r="B73" s="670">
        <f ca="1">ORÇAMENTO!D73</f>
        <v>0</v>
      </c>
      <c r="C73" s="114" t="str">
        <f t="shared" ref="C73:C140" ca="1" si="8">IF(OR($I73&gt;0,$A73=1,$A73=2,$A73=3,$A73=4),"F","")</f>
        <v>F</v>
      </c>
      <c r="D73" s="117" t="str">
        <f ca="1">ORÇAMENTO!O73</f>
        <v>1.9.9.</v>
      </c>
      <c r="E73" s="163" t="str">
        <f t="shared" ref="E73:E140" ca="1" si="9">ORÇAMENTO.Descricao</f>
        <v>PASTA LUBRIFICANTE PARA TUBOS E CONEXOES COM JUNTA ELASTICA, EMBALAGEM DE *400* GR (USO EM PVC, ACO, POLIETILENO E OUTROS)</v>
      </c>
      <c r="F73" s="164" t="str" cm="1">
        <f t="array" aca="1" ref="F73" ca="1">IF(RegimeExecucao="Global","",ORÇAMENTO.Unidade)</f>
        <v>UN</v>
      </c>
      <c r="G73" s="122" cm="1">
        <f t="array" aca="1" ref="G73" ca="1">IF(RegimeExecucao="Global","",ORÇAMENTO!T73)</f>
        <v>63</v>
      </c>
      <c r="H73" s="122" cm="1">
        <f t="array" aca="1" ref="H73" ca="1">IF(RegimeExecucao="Global","",ORÇAMENTO!W73)</f>
        <v>36.130000000000003</v>
      </c>
      <c r="I73" s="125">
        <f ca="1">ORÇAMENTO!X73</f>
        <v>2276.19</v>
      </c>
      <c r="J73" s="333" cm="1">
        <f t="array" aca="1" ref="J73" ca="1">IF($A73="S",IF(CAIXA.Modo,BM.AFAnterior,BM.MEDAnterior),IF(AND(RegimeExecucao="Global",$I73&gt;0,COUNTIF($AB$13:$AM$13,BM.medicao-1)&gt;0),M73/$I73*100,0))</f>
        <v>0</v>
      </c>
      <c r="K73" s="122">
        <f t="shared" ref="K73:K140" ca="1" si="10">L73-J73</f>
        <v>0</v>
      </c>
      <c r="L73" s="334" cm="1">
        <f t="array" aca="1" ref="L73" ca="1">IF($A73="S",IF(CAIXA.Modo,BM.AFAcumulado,BM.MEDAcumulado),IF(AND(RegimeExecucao="Global",$I73&gt;0,COUNTIF($AB$13:$AM$13,BM.medicao)&gt;0),O73/$I73*100,0))</f>
        <v>0</v>
      </c>
      <c r="M73" s="335" cm="1">
        <f t="array" aca="1" ref="M73" ca="1">IF($A73="S",VTOTALBM,IF($A73=0,0,ROUND(SomaAgrupBM,15-13*ORÇAMENTO!$AF$11)))</f>
        <v>0</v>
      </c>
      <c r="N73" s="336">
        <f t="shared" ref="N73:N140" ca="1" si="11">O73-M73</f>
        <v>0</v>
      </c>
      <c r="O73" s="125" cm="1">
        <f t="array" aca="1" ref="O73" ca="1">IF($A73="S",VTOTALBM,IF($A73=0,0,ROUND(SomaAgrupBM,15-13*ORÇAMENTO!$AF$11)))</f>
        <v>0</v>
      </c>
      <c r="Q73" s="337"/>
      <c r="R73" s="338"/>
      <c r="T73" s="117" t="str">
        <f t="shared" ref="T73:T140" ca="1" si="12">IF($W73&gt;0,$D73,"")</f>
        <v/>
      </c>
      <c r="U73" s="163" t="str">
        <f t="shared" ref="U73:U140" ca="1" si="13">IF($W73&gt;0,$E73,"")</f>
        <v/>
      </c>
      <c r="V73" s="164" t="str" cm="1">
        <f t="array" aca="1" ref="V73" ca="1">IF(AND($W73&gt;0,RegimeExecucao="Unitário"),$F73,"")</f>
        <v/>
      </c>
      <c r="W73" s="454" cm="1">
        <f t="array" aca="1" ref="W73" ca="1">IF($Y73&gt;0,CHOOSE(MATCH(RegimeExecucao,{"Unitário","Global"},0),IF($A73="S",$Y73/$X73,""),($Y73/$X73)*100),0)</f>
        <v>0</v>
      </c>
      <c r="X73" s="339" t="str" cm="1">
        <f t="array" aca="1" ref="X73" ca="1">IF($Y73&gt;0,CHOOSE(MATCH(RegimeExecucao,{"Unitário","Global"},0),IF($A73="S",ROUND($H73,ORÇAMENTO!$AF$10),""),ROUND($I73,ORÇAMENTO!$AF$11)),"")</f>
        <v/>
      </c>
      <c r="Y73" s="339">
        <f t="shared" ref="Y73:Y140" ca="1" si="14">AO73-O73</f>
        <v>0</v>
      </c>
      <c r="Z73" s="473"/>
      <c r="AB73" s="337"/>
      <c r="AC73" s="437"/>
      <c r="AD73" s="437"/>
      <c r="AE73" s="437"/>
      <c r="AF73" s="437"/>
      <c r="AG73" s="437"/>
      <c r="AH73" s="437"/>
      <c r="AI73" s="437"/>
      <c r="AJ73" s="437"/>
      <c r="AK73" s="437"/>
      <c r="AL73" s="437"/>
      <c r="AM73" s="338"/>
      <c r="AO73" s="670" cm="1">
        <f t="array" aca="1" ref="AO73" ca="1">IF($A73="S",IF(BM!$I73=0,0,CHOOSE(MATCH(RegimeExecucao,{"Global","Unitário"},0),ROUND(ROUND(BM.MEDAcumulado,15-13*BM!$A$9)/100*BM!$I73,15-13*ORÇAMENTO!$AF$11),ROUND(ROUND(BM.MEDAcumulado,15-13*BM!$A$9)*ROUND(BM!$H73,15-13*ORÇAMENTO!$AF$10),15-13*ORÇAMENTO!$AF$11))),IF($A73=0,0,ROUND(SomaAgrupBM,15-13*ORÇAMENTO!$AF$11)))</f>
        <v>0</v>
      </c>
    </row>
    <row r="74" spans="1:41" s="680" customFormat="1" ht="25.5" x14ac:dyDescent="0.2">
      <c r="A74" s="680" t="str">
        <f ca="1">ORÇAMENTO!C74</f>
        <v>S</v>
      </c>
      <c r="B74" s="680">
        <f ca="1">ORÇAMENTO!D74</f>
        <v>0</v>
      </c>
      <c r="C74" s="684" t="str">
        <f ca="1">IF(OR($I74&gt;0,$A74=1,$A74=2,$A74=3,$A74=4),"F","")</f>
        <v>F</v>
      </c>
      <c r="D74" s="687" t="str">
        <f ca="1">ORÇAMENTO!O74</f>
        <v>1.9.10.</v>
      </c>
      <c r="E74" s="699" t="str">
        <f ca="1">ORÇAMENTO.Descricao</f>
        <v>MONTAGEM DE CONEXÕES DE FERRO FUNDIDO, COM FLANGES, DIAM.= 200 MM. INC_05/2020</v>
      </c>
      <c r="F74" s="700" cm="1">
        <f t="array" aca="1" ref="F74" ca="1">IF(RegimeExecucao="Global","",ORÇAMENTO.Unidade)</f>
        <v>0</v>
      </c>
      <c r="G74" s="692" cm="1">
        <f t="array" aca="1" ref="G74" ca="1">IF(RegimeExecucao="Global","",ORÇAMENTO!T74)</f>
        <v>75</v>
      </c>
      <c r="H74" s="692" cm="1">
        <f t="array" aca="1" ref="H74" ca="1">IF(RegimeExecucao="Global","",ORÇAMENTO!W74)</f>
        <v>26.24</v>
      </c>
      <c r="I74" s="695">
        <f ca="1">ORÇAMENTO!X74</f>
        <v>1968</v>
      </c>
      <c r="J74" s="707" cm="1">
        <f t="array" aca="1" ref="J74" ca="1">IF($A74="S",IF(CAIXA.Modo,BM.AFAnterior,BM.MEDAnterior),IF(AND(RegimeExecucao="Global",$I74&gt;0,COUNTIF($AB$13:$AM$13,BM.medicao-1)&gt;0),M74/$I74*100,0))</f>
        <v>0</v>
      </c>
      <c r="K74" s="692">
        <f ca="1">L74-J74</f>
        <v>0</v>
      </c>
      <c r="L74" s="708" cm="1">
        <f t="array" aca="1" ref="L74" ca="1">IF($A74="S",IF(CAIXA.Modo,BM.AFAcumulado,BM.MEDAcumulado),IF(AND(RegimeExecucao="Global",$I74&gt;0,COUNTIF($AB$13:$AM$13,BM.medicao)&gt;0),O74/$I74*100,0))</f>
        <v>0</v>
      </c>
      <c r="M74" s="709" cm="1">
        <f t="array" aca="1" ref="M74" ca="1">IF($A74="S",VTOTALBM,IF($A74=0,0,ROUND(SomaAgrupBM,15-13*ORÇAMENTO!$AF$11)))</f>
        <v>0</v>
      </c>
      <c r="N74" s="710">
        <f ca="1">O74-M74</f>
        <v>0</v>
      </c>
      <c r="O74" s="695" cm="1">
        <f t="array" aca="1" ref="O74" ca="1">IF($A74="S",VTOTALBM,IF($A74=0,0,ROUND(SomaAgrupBM,15-13*ORÇAMENTO!$AF$11)))</f>
        <v>0</v>
      </c>
      <c r="Q74" s="711"/>
      <c r="R74" s="712"/>
      <c r="T74" s="687" t="str">
        <f ca="1">IF($W74&gt;0,$D74,"")</f>
        <v/>
      </c>
      <c r="U74" s="699" t="str">
        <f ca="1">IF($W74&gt;0,$E74,"")</f>
        <v/>
      </c>
      <c r="V74" s="700" t="str" cm="1">
        <f t="array" aca="1" ref="V74" ca="1">IF(AND($W74&gt;0,RegimeExecucao="Unitário"),$F74,"")</f>
        <v/>
      </c>
      <c r="W74" s="719" cm="1">
        <f t="array" aca="1" ref="W74" ca="1">IF($Y74&gt;0,CHOOSE(MATCH(RegimeExecucao,{"Unitário","Global"},0),IF($A74="S",$Y74/$X74,""),($Y74/$X74)*100),0)</f>
        <v>0</v>
      </c>
      <c r="X74" s="713" t="str" cm="1">
        <f t="array" aca="1" ref="X74" ca="1">IF($Y74&gt;0,CHOOSE(MATCH(RegimeExecucao,{"Unitário","Global"},0),IF($A74="S",ROUND($H74,ORÇAMENTO!$AF$10),""),ROUND($I74,ORÇAMENTO!$AF$11)),"")</f>
        <v/>
      </c>
      <c r="Y74" s="713">
        <f ca="1">AO74-O74</f>
        <v>0</v>
      </c>
      <c r="Z74" s="722"/>
      <c r="AB74" s="711"/>
      <c r="AC74" s="717"/>
      <c r="AD74" s="717"/>
      <c r="AE74" s="717"/>
      <c r="AF74" s="717"/>
      <c r="AG74" s="717"/>
      <c r="AH74" s="717"/>
      <c r="AI74" s="717"/>
      <c r="AJ74" s="717"/>
      <c r="AK74" s="717"/>
      <c r="AL74" s="717"/>
      <c r="AM74" s="712"/>
      <c r="AO74" s="680" cm="1">
        <f t="array" aca="1" ref="AO74" ca="1">IF($A74="S",IF(BM!$I74=0,0,CHOOSE(MATCH(RegimeExecucao,{"Global","Unitário"},0),ROUND(ROUND(BM.MEDAcumulado,15-13*BM!$A$9)/100*BM!$I74,15-13*ORÇAMENTO!$AF$11),ROUND(ROUND(BM.MEDAcumulado,15-13*BM!$A$9)*ROUND(BM!$H74,15-13*ORÇAMENTO!$AF$10),15-13*ORÇAMENTO!$AF$11))),IF($A74=0,0,ROUND(SomaAgrupBM,15-13*ORÇAMENTO!$AF$11)))</f>
        <v>0</v>
      </c>
    </row>
    <row r="75" spans="1:41" s="673" customFormat="1" ht="25.5" x14ac:dyDescent="0.2">
      <c r="A75" s="673">
        <f ca="1">ORÇAMENTO!C75</f>
        <v>2</v>
      </c>
      <c r="B75" s="673">
        <f ca="1">ORÇAMENTO!D75</f>
        <v>8</v>
      </c>
      <c r="C75" s="114" t="str">
        <f ca="1">IF(OR($I75&gt;0,$A75=1,$A75=2,$A75=3,$A75=4),"F","")</f>
        <v>F</v>
      </c>
      <c r="D75" s="117" t="str">
        <f ca="1">ORÇAMENTO!O75</f>
        <v>1.10.</v>
      </c>
      <c r="E75" s="163" t="str">
        <f>ORÇAMENTO.Descricao</f>
        <v>ASSENTANDO E MOVIMENTAÇÃO DE TERRA - Adutora de Água Tratada</v>
      </c>
      <c r="F75" s="164" t="str" cm="1">
        <f t="array" aca="1" ref="F75" ca="1">IF(RegimeExecucao="Global","",ORÇAMENTO.Unidade)</f>
        <v>-</v>
      </c>
      <c r="G75" s="122" cm="1">
        <f t="array" aca="1" ref="G75" ca="1">IF(RegimeExecucao="Global","",ORÇAMENTO!T75)</f>
        <v>0</v>
      </c>
      <c r="H75" s="122" cm="1">
        <f t="array" aca="1" ref="H75" ca="1">IF(RegimeExecucao="Global","",ORÇAMENTO!W75)</f>
        <v>0</v>
      </c>
      <c r="I75" s="125">
        <f ca="1">ORÇAMENTO!X75</f>
        <v>653944.93000000005</v>
      </c>
      <c r="J75" s="333" cm="1">
        <f t="array" aca="1" ref="J75" ca="1">IF($A75="S",IF(CAIXA.Modo,BM.AFAnterior,BM.MEDAnterior),IF(AND(RegimeExecucao="Global",$I75&gt;0,COUNTIF($AB$13:$AM$13,BM.medicao-1)&gt;0),M75/$I75*100,0))</f>
        <v>0</v>
      </c>
      <c r="K75" s="122">
        <f ca="1">L75-J75</f>
        <v>0</v>
      </c>
      <c r="L75" s="334" cm="1">
        <f t="array" aca="1" ref="L75" ca="1">IF($A75="S",IF(CAIXA.Modo,BM.AFAcumulado,BM.MEDAcumulado),IF(AND(RegimeExecucao="Global",$I75&gt;0,COUNTIF($AB$13:$AM$13,BM.medicao)&gt;0),O75/$I75*100,0))</f>
        <v>0</v>
      </c>
      <c r="M75" s="335" cm="1">
        <f t="array" aca="1" ref="M75" ca="1">IF($A75="S",VTOTALBM,IF($A75=0,0,ROUND(SomaAgrupBM,15-13*ORÇAMENTO!$AF$11)))</f>
        <v>0</v>
      </c>
      <c r="N75" s="336">
        <f ca="1">O75-M75</f>
        <v>0</v>
      </c>
      <c r="O75" s="125" cm="1">
        <f t="array" aca="1" ref="O75" ca="1">IF($A75="S",VTOTALBM,IF($A75=0,0,ROUND(SomaAgrupBM,15-13*ORÇAMENTO!$AF$11)))</f>
        <v>0</v>
      </c>
      <c r="Q75" s="337"/>
      <c r="R75" s="338"/>
      <c r="T75" s="117" t="str">
        <f ca="1">IF($W75&gt;0,$D75,"")</f>
        <v/>
      </c>
      <c r="U75" s="163" t="str">
        <f ca="1">IF($W75&gt;0,$E75,"")</f>
        <v/>
      </c>
      <c r="V75" s="164" t="str" cm="1">
        <f t="array" aca="1" ref="V75" ca="1">IF(AND($W75&gt;0,RegimeExecucao="Unitário"),$F75,"")</f>
        <v/>
      </c>
      <c r="W75" s="454" cm="1">
        <f t="array" aca="1" ref="W75" ca="1">IF($Y75&gt;0,CHOOSE(MATCH(RegimeExecucao,{"Unitário","Global"},0),IF($A75="S",$Y75/$X75,""),($Y75/$X75)*100),0)</f>
        <v>0</v>
      </c>
      <c r="X75" s="339" t="str" cm="1">
        <f t="array" aca="1" ref="X75" ca="1">IF($Y75&gt;0,CHOOSE(MATCH(RegimeExecucao,{"Unitário","Global"},0),IF($A75="S",ROUND($H75,ORÇAMENTO!$AF$10),""),ROUND($I75,ORÇAMENTO!$AF$11)),"")</f>
        <v/>
      </c>
      <c r="Y75" s="339">
        <f ca="1">AO75-O75</f>
        <v>0</v>
      </c>
      <c r="Z75" s="473"/>
      <c r="AB75" s="337"/>
      <c r="AC75" s="437"/>
      <c r="AD75" s="437"/>
      <c r="AE75" s="437"/>
      <c r="AF75" s="437"/>
      <c r="AG75" s="437"/>
      <c r="AH75" s="437"/>
      <c r="AI75" s="437"/>
      <c r="AJ75" s="437"/>
      <c r="AK75" s="437"/>
      <c r="AL75" s="437"/>
      <c r="AM75" s="338"/>
      <c r="AO75" s="673" cm="1">
        <f t="array" aca="1" ref="AO75" ca="1">IF($A75="S",IF(BM!$I75=0,0,CHOOSE(MATCH(RegimeExecucao,{"Global","Unitário"},0),ROUND(ROUND(BM.MEDAcumulado,15-13*BM!$A$9)/100*BM!$I75,15-13*ORÇAMENTO!$AF$11),ROUND(ROUND(BM.MEDAcumulado,15-13*BM!$A$9)*ROUND(BM!$H75,15-13*ORÇAMENTO!$AF$10),15-13*ORÇAMENTO!$AF$11))),IF($A75=0,0,ROUND(SomaAgrupBM,15-13*ORÇAMENTO!$AF$11)))</f>
        <v>0</v>
      </c>
    </row>
    <row r="76" spans="1:41" s="670" customFormat="1" ht="63.75" x14ac:dyDescent="0.2">
      <c r="A76" s="670" t="str">
        <f ca="1">ORÇAMENTO!C76</f>
        <v>S</v>
      </c>
      <c r="B76" s="670">
        <f ca="1">ORÇAMENTO!D76</f>
        <v>0</v>
      </c>
      <c r="C76" s="114" t="str">
        <f t="shared" ca="1" si="8"/>
        <v>F</v>
      </c>
      <c r="D76" s="117" t="str">
        <f ca="1">ORÇAMENTO!O76</f>
        <v>1.10.1.</v>
      </c>
      <c r="E76" s="163" t="str">
        <f t="shared" ca="1" si="9"/>
        <v>ESCAVAÇÃO MECANIZADA DE VALA COM PROF. MAIOR QUE 1,5 M ATÉ 3,0 M (MÉDIA MONTANTE E JUSANTE/UMA COMPOSIÇÃO POR TRECHO), RETROESCAV. (0,26 M3), LARGURA DE 0,8 M A 1,5 M, EM SOLO DE 1A CATEGORIA, EM LOCAIS COM ALTO NÍVEL DE INTERFERÊNCIA. AF_09/2024</v>
      </c>
      <c r="F76" s="164" t="str" cm="1">
        <f t="array" aca="1" ref="F76" ca="1">IF(RegimeExecucao="Global","",ORÇAMENTO.Unidade)</f>
        <v>M3</v>
      </c>
      <c r="G76" s="122" cm="1">
        <f t="array" aca="1" ref="G76" ca="1">IF(RegimeExecucao="Global","",ORÇAMENTO!T76)</f>
        <v>5424</v>
      </c>
      <c r="H76" s="122" cm="1">
        <f t="array" aca="1" ref="H76" ca="1">IF(RegimeExecucao="Global","",ORÇAMENTO!W76)</f>
        <v>16.55</v>
      </c>
      <c r="I76" s="125">
        <f ca="1">ORÇAMENTO!X76</f>
        <v>89767.2</v>
      </c>
      <c r="J76" s="333" cm="1">
        <f t="array" aca="1" ref="J76" ca="1">IF($A76="S",IF(CAIXA.Modo,BM.AFAnterior,BM.MEDAnterior),IF(AND(RegimeExecucao="Global",$I76&gt;0,COUNTIF($AB$13:$AM$13,BM.medicao-1)&gt;0),M76/$I76*100,0))</f>
        <v>0</v>
      </c>
      <c r="K76" s="122">
        <f t="shared" ca="1" si="10"/>
        <v>0</v>
      </c>
      <c r="L76" s="334" cm="1">
        <f t="array" aca="1" ref="L76" ca="1">IF($A76="S",IF(CAIXA.Modo,BM.AFAcumulado,BM.MEDAcumulado),IF(AND(RegimeExecucao="Global",$I76&gt;0,COUNTIF($AB$13:$AM$13,BM.medicao)&gt;0),O76/$I76*100,0))</f>
        <v>0</v>
      </c>
      <c r="M76" s="335" cm="1">
        <f t="array" aca="1" ref="M76" ca="1">IF($A76="S",VTOTALBM,IF($A76=0,0,ROUND(SomaAgrupBM,15-13*ORÇAMENTO!$AF$11)))</f>
        <v>0</v>
      </c>
      <c r="N76" s="336">
        <f t="shared" ca="1" si="11"/>
        <v>0</v>
      </c>
      <c r="O76" s="125" cm="1">
        <f t="array" aca="1" ref="O76" ca="1">IF($A76="S",VTOTALBM,IF($A76=0,0,ROUND(SomaAgrupBM,15-13*ORÇAMENTO!$AF$11)))</f>
        <v>0</v>
      </c>
      <c r="Q76" s="337"/>
      <c r="R76" s="338"/>
      <c r="T76" s="117" t="str">
        <f t="shared" ca="1" si="12"/>
        <v/>
      </c>
      <c r="U76" s="163" t="str">
        <f t="shared" ca="1" si="13"/>
        <v/>
      </c>
      <c r="V76" s="164" t="str" cm="1">
        <f t="array" aca="1" ref="V76" ca="1">IF(AND($W76&gt;0,RegimeExecucao="Unitário"),$F76,"")</f>
        <v/>
      </c>
      <c r="W76" s="454" cm="1">
        <f t="array" aca="1" ref="W76" ca="1">IF($Y76&gt;0,CHOOSE(MATCH(RegimeExecucao,{"Unitário","Global"},0),IF($A76="S",$Y76/$X76,""),($Y76/$X76)*100),0)</f>
        <v>0</v>
      </c>
      <c r="X76" s="339" t="str" cm="1">
        <f t="array" aca="1" ref="X76" ca="1">IF($Y76&gt;0,CHOOSE(MATCH(RegimeExecucao,{"Unitário","Global"},0),IF($A76="S",ROUND($H76,ORÇAMENTO!$AF$10),""),ROUND($I76,ORÇAMENTO!$AF$11)),"")</f>
        <v/>
      </c>
      <c r="Y76" s="339">
        <f t="shared" ca="1" si="14"/>
        <v>0</v>
      </c>
      <c r="Z76" s="473"/>
      <c r="AB76" s="337"/>
      <c r="AC76" s="437"/>
      <c r="AD76" s="437"/>
      <c r="AE76" s="437"/>
      <c r="AF76" s="437"/>
      <c r="AG76" s="437"/>
      <c r="AH76" s="437"/>
      <c r="AI76" s="437"/>
      <c r="AJ76" s="437"/>
      <c r="AK76" s="437"/>
      <c r="AL76" s="437"/>
      <c r="AM76" s="338"/>
      <c r="AO76" s="670" cm="1">
        <f t="array" aca="1" ref="AO76" ca="1">IF($A76="S",IF(BM!$I76=0,0,CHOOSE(MATCH(RegimeExecucao,{"Global","Unitário"},0),ROUND(ROUND(BM.MEDAcumulado,15-13*BM!$A$9)/100*BM!$I76,15-13*ORÇAMENTO!$AF$11),ROUND(ROUND(BM.MEDAcumulado,15-13*BM!$A$9)*ROUND(BM!$H76,15-13*ORÇAMENTO!$AF$10),15-13*ORÇAMENTO!$AF$11))),IF($A76=0,0,ROUND(SomaAgrupBM,15-13*ORÇAMENTO!$AF$11)))</f>
        <v>0</v>
      </c>
    </row>
    <row r="77" spans="1:41" s="670" customFormat="1" ht="38.25" x14ac:dyDescent="0.2">
      <c r="A77" s="670" t="str">
        <f ca="1">ORÇAMENTO!C77</f>
        <v>S</v>
      </c>
      <c r="B77" s="670">
        <f ca="1">ORÇAMENTO!D77</f>
        <v>0</v>
      </c>
      <c r="C77" s="114" t="str">
        <f t="shared" ca="1" si="8"/>
        <v>F</v>
      </c>
      <c r="D77" s="117" t="str">
        <f ca="1">ORÇAMENTO!O77</f>
        <v>1.10.2.</v>
      </c>
      <c r="E77" s="163" t="str">
        <f t="shared" ca="1" si="9"/>
        <v>PREPARO DE FUNDO DE VALA COM LARGURA MENOR QUE 1,5 M (ACERTO DO SOLO NATURAL), EM LOCAL COM NÍVEL BAIXO DE INTERFERÊNCIA. AF_01/2026</v>
      </c>
      <c r="F77" s="164" t="str" cm="1">
        <f t="array" aca="1" ref="F77" ca="1">IF(RegimeExecucao="Global","",ORÇAMENTO.Unidade)</f>
        <v>M2</v>
      </c>
      <c r="G77" s="122" cm="1">
        <f t="array" aca="1" ref="G77" ca="1">IF(RegimeExecucao="Global","",ORÇAMENTO!T77)</f>
        <v>3390</v>
      </c>
      <c r="H77" s="122" cm="1">
        <f t="array" aca="1" ref="H77" ca="1">IF(RegimeExecucao="Global","",ORÇAMENTO!W77)</f>
        <v>10.91</v>
      </c>
      <c r="I77" s="125">
        <f ca="1">ORÇAMENTO!X77</f>
        <v>36984.9</v>
      </c>
      <c r="J77" s="333" cm="1">
        <f t="array" aca="1" ref="J77" ca="1">IF($A77="S",IF(CAIXA.Modo,BM.AFAnterior,BM.MEDAnterior),IF(AND(RegimeExecucao="Global",$I77&gt;0,COUNTIF($AB$13:$AM$13,BM.medicao-1)&gt;0),M77/$I77*100,0))</f>
        <v>0</v>
      </c>
      <c r="K77" s="122">
        <f t="shared" ca="1" si="10"/>
        <v>0</v>
      </c>
      <c r="L77" s="334" cm="1">
        <f t="array" aca="1" ref="L77" ca="1">IF($A77="S",IF(CAIXA.Modo,BM.AFAcumulado,BM.MEDAcumulado),IF(AND(RegimeExecucao="Global",$I77&gt;0,COUNTIF($AB$13:$AM$13,BM.medicao)&gt;0),O77/$I77*100,0))</f>
        <v>0</v>
      </c>
      <c r="M77" s="335" cm="1">
        <f t="array" aca="1" ref="M77" ca="1">IF($A77="S",VTOTALBM,IF($A77=0,0,ROUND(SomaAgrupBM,15-13*ORÇAMENTO!$AF$11)))</f>
        <v>0</v>
      </c>
      <c r="N77" s="336">
        <f t="shared" ca="1" si="11"/>
        <v>0</v>
      </c>
      <c r="O77" s="125" cm="1">
        <f t="array" aca="1" ref="O77" ca="1">IF($A77="S",VTOTALBM,IF($A77=0,0,ROUND(SomaAgrupBM,15-13*ORÇAMENTO!$AF$11)))</f>
        <v>0</v>
      </c>
      <c r="Q77" s="337"/>
      <c r="R77" s="338"/>
      <c r="T77" s="117" t="str">
        <f t="shared" ca="1" si="12"/>
        <v/>
      </c>
      <c r="U77" s="163" t="str">
        <f t="shared" ca="1" si="13"/>
        <v/>
      </c>
      <c r="V77" s="164" t="str" cm="1">
        <f t="array" aca="1" ref="V77" ca="1">IF(AND($W77&gt;0,RegimeExecucao="Unitário"),$F77,"")</f>
        <v/>
      </c>
      <c r="W77" s="454" cm="1">
        <f t="array" aca="1" ref="W77" ca="1">IF($Y77&gt;0,CHOOSE(MATCH(RegimeExecucao,{"Unitário","Global"},0),IF($A77="S",$Y77/$X77,""),($Y77/$X77)*100),0)</f>
        <v>0</v>
      </c>
      <c r="X77" s="339" t="str" cm="1">
        <f t="array" aca="1" ref="X77" ca="1">IF($Y77&gt;0,CHOOSE(MATCH(RegimeExecucao,{"Unitário","Global"},0),IF($A77="S",ROUND($H77,ORÇAMENTO!$AF$10),""),ROUND($I77,ORÇAMENTO!$AF$11)),"")</f>
        <v/>
      </c>
      <c r="Y77" s="339">
        <f t="shared" ca="1" si="14"/>
        <v>0</v>
      </c>
      <c r="Z77" s="473"/>
      <c r="AB77" s="337"/>
      <c r="AC77" s="437"/>
      <c r="AD77" s="437"/>
      <c r="AE77" s="437"/>
      <c r="AF77" s="437"/>
      <c r="AG77" s="437"/>
      <c r="AH77" s="437"/>
      <c r="AI77" s="437"/>
      <c r="AJ77" s="437"/>
      <c r="AK77" s="437"/>
      <c r="AL77" s="437"/>
      <c r="AM77" s="338"/>
      <c r="AO77" s="670" cm="1">
        <f t="array" aca="1" ref="AO77" ca="1">IF($A77="S",IF(BM!$I77=0,0,CHOOSE(MATCH(RegimeExecucao,{"Global","Unitário"},0),ROUND(ROUND(BM.MEDAcumulado,15-13*BM!$A$9)/100*BM!$I77,15-13*ORÇAMENTO!$AF$11),ROUND(ROUND(BM.MEDAcumulado,15-13*BM!$A$9)*ROUND(BM!$H77,15-13*ORÇAMENTO!$AF$10),15-13*ORÇAMENTO!$AF$11))),IF($A77=0,0,ROUND(SomaAgrupBM,15-13*ORÇAMENTO!$AF$11)))</f>
        <v>0</v>
      </c>
    </row>
    <row r="78" spans="1:41" s="670" customFormat="1" ht="63.75" x14ac:dyDescent="0.2">
      <c r="A78" s="670" t="str">
        <f ca="1">ORÇAMENTO!C78</f>
        <v>S</v>
      </c>
      <c r="B78" s="670">
        <f ca="1">ORÇAMENTO!D78</f>
        <v>0</v>
      </c>
      <c r="C78" s="114" t="str">
        <f t="shared" ca="1" si="8"/>
        <v>F</v>
      </c>
      <c r="D78" s="117" t="str">
        <f ca="1">ORÇAMENTO!O78</f>
        <v>1.10.3.</v>
      </c>
      <c r="E78" s="163" t="str">
        <f t="shared" ca="1" si="9"/>
        <v>REATERRO MECANIZADO DE VALA COM RETROESCAVADEIRA (CAPACIDADE DA CAÇAMBA DA RETRO: 0,26 M³/POTÊNCIA: 88 HP), LARGURA ATÉ 0,8 M, PROFUNDIDADE ATÉ 1,5 M, COM SOLO (SEM SUBSTITUIÇÃO) DE 1ª CATEGORIA, COM COMPACTADOR DE SOLOS DE PERCUSSÃO. AF_08/2023</v>
      </c>
      <c r="F78" s="164" t="str" cm="1">
        <f t="array" aca="1" ref="F78" ca="1">IF(RegimeExecucao="Global","",ORÇAMENTO.Unidade)</f>
        <v>M3</v>
      </c>
      <c r="G78" s="122" cm="1">
        <f t="array" aca="1" ref="G78" ca="1">IF(RegimeExecucao="Global","",ORÇAMENTO!T78)</f>
        <v>5424</v>
      </c>
      <c r="H78" s="122" cm="1">
        <f t="array" aca="1" ref="H78" ca="1">IF(RegimeExecucao="Global","",ORÇAMENTO!W78)</f>
        <v>34.53</v>
      </c>
      <c r="I78" s="125">
        <f ca="1">ORÇAMENTO!X78</f>
        <v>187290.72</v>
      </c>
      <c r="J78" s="333" cm="1">
        <f t="array" aca="1" ref="J78" ca="1">IF($A78="S",IF(CAIXA.Modo,BM.AFAnterior,BM.MEDAnterior),IF(AND(RegimeExecucao="Global",$I78&gt;0,COUNTIF($AB$13:$AM$13,BM.medicao-1)&gt;0),M78/$I78*100,0))</f>
        <v>0</v>
      </c>
      <c r="K78" s="122">
        <f t="shared" ca="1" si="10"/>
        <v>0</v>
      </c>
      <c r="L78" s="334" cm="1">
        <f t="array" aca="1" ref="L78" ca="1">IF($A78="S",IF(CAIXA.Modo,BM.AFAcumulado,BM.MEDAcumulado),IF(AND(RegimeExecucao="Global",$I78&gt;0,COUNTIF($AB$13:$AM$13,BM.medicao)&gt;0),O78/$I78*100,0))</f>
        <v>0</v>
      </c>
      <c r="M78" s="335" cm="1">
        <f t="array" aca="1" ref="M78" ca="1">IF($A78="S",VTOTALBM,IF($A78=0,0,ROUND(SomaAgrupBM,15-13*ORÇAMENTO!$AF$11)))</f>
        <v>0</v>
      </c>
      <c r="N78" s="336">
        <f t="shared" ca="1" si="11"/>
        <v>0</v>
      </c>
      <c r="O78" s="125" cm="1">
        <f t="array" aca="1" ref="O78" ca="1">IF($A78="S",VTOTALBM,IF($A78=0,0,ROUND(SomaAgrupBM,15-13*ORÇAMENTO!$AF$11)))</f>
        <v>0</v>
      </c>
      <c r="Q78" s="337"/>
      <c r="R78" s="338"/>
      <c r="T78" s="117" t="str">
        <f t="shared" ca="1" si="12"/>
        <v/>
      </c>
      <c r="U78" s="163" t="str">
        <f t="shared" ca="1" si="13"/>
        <v/>
      </c>
      <c r="V78" s="164" t="str" cm="1">
        <f t="array" aca="1" ref="V78" ca="1">IF(AND($W78&gt;0,RegimeExecucao="Unitário"),$F78,"")</f>
        <v/>
      </c>
      <c r="W78" s="454" cm="1">
        <f t="array" aca="1" ref="W78" ca="1">IF($Y78&gt;0,CHOOSE(MATCH(RegimeExecucao,{"Unitário","Global"},0),IF($A78="S",$Y78/$X78,""),($Y78/$X78)*100),0)</f>
        <v>0</v>
      </c>
      <c r="X78" s="339" t="str" cm="1">
        <f t="array" aca="1" ref="X78" ca="1">IF($Y78&gt;0,CHOOSE(MATCH(RegimeExecucao,{"Unitário","Global"},0),IF($A78="S",ROUND($H78,ORÇAMENTO!$AF$10),""),ROUND($I78,ORÇAMENTO!$AF$11)),"")</f>
        <v/>
      </c>
      <c r="Y78" s="339">
        <f t="shared" ca="1" si="14"/>
        <v>0</v>
      </c>
      <c r="Z78" s="473"/>
      <c r="AB78" s="337"/>
      <c r="AC78" s="437"/>
      <c r="AD78" s="437"/>
      <c r="AE78" s="437"/>
      <c r="AF78" s="437"/>
      <c r="AG78" s="437"/>
      <c r="AH78" s="437"/>
      <c r="AI78" s="437"/>
      <c r="AJ78" s="437"/>
      <c r="AK78" s="437"/>
      <c r="AL78" s="437"/>
      <c r="AM78" s="338"/>
      <c r="AO78" s="670" cm="1">
        <f t="array" aca="1" ref="AO78" ca="1">IF($A78="S",IF(BM!$I78=0,0,CHOOSE(MATCH(RegimeExecucao,{"Global","Unitário"},0),ROUND(ROUND(BM.MEDAcumulado,15-13*BM!$A$9)/100*BM!$I78,15-13*ORÇAMENTO!$AF$11),ROUND(ROUND(BM.MEDAcumulado,15-13*BM!$A$9)*ROUND(BM!$H78,15-13*ORÇAMENTO!$AF$10),15-13*ORÇAMENTO!$AF$11))),IF($A78=0,0,ROUND(SomaAgrupBM,15-13*ORÇAMENTO!$AF$11)))</f>
        <v>0</v>
      </c>
    </row>
    <row r="79" spans="1:41" s="670" customFormat="1" ht="51" x14ac:dyDescent="0.2">
      <c r="A79" s="670" t="str">
        <f ca="1">ORÇAMENTO!C79</f>
        <v>S</v>
      </c>
      <c r="B79" s="670">
        <f ca="1">ORÇAMENTO!D79</f>
        <v>0</v>
      </c>
      <c r="C79" s="114" t="str">
        <f t="shared" ca="1" si="8"/>
        <v>F</v>
      </c>
      <c r="D79" s="117" t="str">
        <f ca="1">ORÇAMENTO!O79</f>
        <v>1.10.4.</v>
      </c>
      <c r="E79" s="163" t="str">
        <f t="shared" ca="1" si="9"/>
        <v>ASSENTAMENTO DE TUBO DE PVC DEFOFO OU PRFV OU RPVC PARA REDE DE ÁGUA, DN 200 MM, JUNTA ELÁSTICA INTEGRADA, INSTALADO EM LOCAL COM NÍVEL ALTO DE INTERFERÊNCIAS (NÃO INCLUI FORNECIMENTO). AF_05/2024</v>
      </c>
      <c r="F79" s="164" t="str" cm="1">
        <f t="array" aca="1" ref="F79" ca="1">IF(RegimeExecucao="Global","",ORÇAMENTO.Unidade)</f>
        <v>M</v>
      </c>
      <c r="G79" s="122" cm="1">
        <f t="array" aca="1" ref="G79" ca="1">IF(RegimeExecucao="Global","",ORÇAMENTO!T79)</f>
        <v>3390</v>
      </c>
      <c r="H79" s="122" cm="1">
        <f t="array" aca="1" ref="H79" ca="1">IF(RegimeExecucao="Global","",ORÇAMENTO!W79)</f>
        <v>14.1</v>
      </c>
      <c r="I79" s="125">
        <f ca="1">ORÇAMENTO!X79</f>
        <v>47799</v>
      </c>
      <c r="J79" s="333" cm="1">
        <f t="array" aca="1" ref="J79" ca="1">IF($A79="S",IF(CAIXA.Modo,BM.AFAnterior,BM.MEDAnterior),IF(AND(RegimeExecucao="Global",$I79&gt;0,COUNTIF($AB$13:$AM$13,BM.medicao-1)&gt;0),M79/$I79*100,0))</f>
        <v>0</v>
      </c>
      <c r="K79" s="122">
        <f t="shared" ca="1" si="10"/>
        <v>0</v>
      </c>
      <c r="L79" s="334" cm="1">
        <f t="array" aca="1" ref="L79" ca="1">IF($A79="S",IF(CAIXA.Modo,BM.AFAcumulado,BM.MEDAcumulado),IF(AND(RegimeExecucao="Global",$I79&gt;0,COUNTIF($AB$13:$AM$13,BM.medicao)&gt;0),O79/$I79*100,0))</f>
        <v>0</v>
      </c>
      <c r="M79" s="335" cm="1">
        <f t="array" aca="1" ref="M79" ca="1">IF($A79="S",VTOTALBM,IF($A79=0,0,ROUND(SomaAgrupBM,15-13*ORÇAMENTO!$AF$11)))</f>
        <v>0</v>
      </c>
      <c r="N79" s="336">
        <f t="shared" ca="1" si="11"/>
        <v>0</v>
      </c>
      <c r="O79" s="125" cm="1">
        <f t="array" aca="1" ref="O79" ca="1">IF($A79="S",VTOTALBM,IF($A79=0,0,ROUND(SomaAgrupBM,15-13*ORÇAMENTO!$AF$11)))</f>
        <v>0</v>
      </c>
      <c r="Q79" s="337"/>
      <c r="R79" s="338"/>
      <c r="T79" s="117" t="str">
        <f t="shared" ca="1" si="12"/>
        <v/>
      </c>
      <c r="U79" s="163" t="str">
        <f t="shared" ca="1" si="13"/>
        <v/>
      </c>
      <c r="V79" s="164" t="str" cm="1">
        <f t="array" aca="1" ref="V79" ca="1">IF(AND($W79&gt;0,RegimeExecucao="Unitário"),$F79,"")</f>
        <v/>
      </c>
      <c r="W79" s="454" cm="1">
        <f t="array" aca="1" ref="W79" ca="1">IF($Y79&gt;0,CHOOSE(MATCH(RegimeExecucao,{"Unitário","Global"},0),IF($A79="S",$Y79/$X79,""),($Y79/$X79)*100),0)</f>
        <v>0</v>
      </c>
      <c r="X79" s="339" t="str" cm="1">
        <f t="array" aca="1" ref="X79" ca="1">IF($Y79&gt;0,CHOOSE(MATCH(RegimeExecucao,{"Unitário","Global"},0),IF($A79="S",ROUND($H79,ORÇAMENTO!$AF$10),""),ROUND($I79,ORÇAMENTO!$AF$11)),"")</f>
        <v/>
      </c>
      <c r="Y79" s="339">
        <f t="shared" ca="1" si="14"/>
        <v>0</v>
      </c>
      <c r="Z79" s="473"/>
      <c r="AB79" s="337"/>
      <c r="AC79" s="437"/>
      <c r="AD79" s="437"/>
      <c r="AE79" s="437"/>
      <c r="AF79" s="437"/>
      <c r="AG79" s="437"/>
      <c r="AH79" s="437"/>
      <c r="AI79" s="437"/>
      <c r="AJ79" s="437"/>
      <c r="AK79" s="437"/>
      <c r="AL79" s="437"/>
      <c r="AM79" s="338"/>
      <c r="AO79" s="670" cm="1">
        <f t="array" aca="1" ref="AO79" ca="1">IF($A79="S",IF(BM!$I79=0,0,CHOOSE(MATCH(RegimeExecucao,{"Global","Unitário"},0),ROUND(ROUND(BM.MEDAcumulado,15-13*BM!$A$9)/100*BM!$I79,15-13*ORÇAMENTO!$AF$11),ROUND(ROUND(BM.MEDAcumulado,15-13*BM!$A$9)*ROUND(BM!$H79,15-13*ORÇAMENTO!$AF$10),15-13*ORÇAMENTO!$AF$11))),IF($A79=0,0,ROUND(SomaAgrupBM,15-13*ORÇAMENTO!$AF$11)))</f>
        <v>0</v>
      </c>
    </row>
    <row r="80" spans="1:41" s="673" customFormat="1" ht="51" x14ac:dyDescent="0.2">
      <c r="A80" s="673" t="str">
        <f ca="1">ORÇAMENTO!C80</f>
        <v>S</v>
      </c>
      <c r="B80" s="673">
        <f ca="1">ORÇAMENTO!D80</f>
        <v>0</v>
      </c>
      <c r="C80" s="114" t="str">
        <f ca="1">IF(OR($I80&gt;0,$A80=1,$A80=2,$A80=3,$A80=4),"F","")</f>
        <v>F</v>
      </c>
      <c r="D80" s="117" t="str">
        <f ca="1">ORÇAMENTO!O80</f>
        <v>1.10.5.</v>
      </c>
      <c r="E80" s="163" t="str">
        <f ca="1">ORÇAMENTO.Descricao</f>
        <v>EXECUÇÃO E APLICAÇÃO DE CONCRETO BETUMINOSO USINADO A QUENTE (CBUQ), MASSA COMERCIAL, INCLUINDO FORNECIMENTO E TRANSPORTE DOS AGREGADOS E MATERIAL BETUMINOSO, EXCLUSIVE TRANSPORTE DA MASSA ASFÁLTICA ATÉ A PISTA</v>
      </c>
      <c r="F80" s="164" t="str" cm="1">
        <f t="array" aca="1" ref="F80" ca="1">IF(RegimeExecucao="Global","",ORÇAMENTO.Unidade)</f>
        <v>m3</v>
      </c>
      <c r="G80" s="122" cm="1">
        <f t="array" aca="1" ref="G80" ca="1">IF(RegimeExecucao="Global","",ORÇAMENTO!T80)</f>
        <v>54.14</v>
      </c>
      <c r="H80" s="122" cm="1">
        <f t="array" aca="1" ref="H80" ca="1">IF(RegimeExecucao="Global","",ORÇAMENTO!W80)</f>
        <v>2232.15</v>
      </c>
      <c r="I80" s="125">
        <f ca="1">ORÇAMENTO!X80</f>
        <v>120848.6</v>
      </c>
      <c r="J80" s="333" cm="1">
        <f t="array" aca="1" ref="J80" ca="1">IF($A80="S",IF(CAIXA.Modo,BM.AFAnterior,BM.MEDAnterior),IF(AND(RegimeExecucao="Global",$I80&gt;0,COUNTIF($AB$13:$AM$13,BM.medicao-1)&gt;0),M80/$I80*100,0))</f>
        <v>0</v>
      </c>
      <c r="K80" s="122">
        <f ca="1">L80-J80</f>
        <v>0</v>
      </c>
      <c r="L80" s="334" cm="1">
        <f t="array" aca="1" ref="L80" ca="1">IF($A80="S",IF(CAIXA.Modo,BM.AFAcumulado,BM.MEDAcumulado),IF(AND(RegimeExecucao="Global",$I80&gt;0,COUNTIF($AB$13:$AM$13,BM.medicao)&gt;0),O80/$I80*100,0))</f>
        <v>0</v>
      </c>
      <c r="M80" s="335" cm="1">
        <f t="array" aca="1" ref="M80" ca="1">IF($A80="S",VTOTALBM,IF($A80=0,0,ROUND(SomaAgrupBM,15-13*ORÇAMENTO!$AF$11)))</f>
        <v>0</v>
      </c>
      <c r="N80" s="336">
        <f ca="1">O80-M80</f>
        <v>0</v>
      </c>
      <c r="O80" s="125" cm="1">
        <f t="array" aca="1" ref="O80" ca="1">IF($A80="S",VTOTALBM,IF($A80=0,0,ROUND(SomaAgrupBM,15-13*ORÇAMENTO!$AF$11)))</f>
        <v>0</v>
      </c>
      <c r="Q80" s="337"/>
      <c r="R80" s="338"/>
      <c r="T80" s="117" t="str">
        <f ca="1">IF($W80&gt;0,$D80,"")</f>
        <v/>
      </c>
      <c r="U80" s="163" t="str">
        <f ca="1">IF($W80&gt;0,$E80,"")</f>
        <v/>
      </c>
      <c r="V80" s="164" t="str" cm="1">
        <f t="array" aca="1" ref="V80" ca="1">IF(AND($W80&gt;0,RegimeExecucao="Unitário"),$F80,"")</f>
        <v/>
      </c>
      <c r="W80" s="454" cm="1">
        <f t="array" aca="1" ref="W80" ca="1">IF($Y80&gt;0,CHOOSE(MATCH(RegimeExecucao,{"Unitário","Global"},0),IF($A80="S",$Y80/$X80,""),($Y80/$X80)*100),0)</f>
        <v>0</v>
      </c>
      <c r="X80" s="339" t="str" cm="1">
        <f t="array" aca="1" ref="X80" ca="1">IF($Y80&gt;0,CHOOSE(MATCH(RegimeExecucao,{"Unitário","Global"},0),IF($A80="S",ROUND($H80,ORÇAMENTO!$AF$10),""),ROUND($I80,ORÇAMENTO!$AF$11)),"")</f>
        <v/>
      </c>
      <c r="Y80" s="339">
        <f ca="1">AO80-O80</f>
        <v>0</v>
      </c>
      <c r="Z80" s="473"/>
      <c r="AB80" s="337"/>
      <c r="AC80" s="437"/>
      <c r="AD80" s="437"/>
      <c r="AE80" s="437"/>
      <c r="AF80" s="437"/>
      <c r="AG80" s="437"/>
      <c r="AH80" s="437"/>
      <c r="AI80" s="437"/>
      <c r="AJ80" s="437"/>
      <c r="AK80" s="437"/>
      <c r="AL80" s="437"/>
      <c r="AM80" s="338"/>
      <c r="AO80" s="673" cm="1">
        <f t="array" aca="1" ref="AO80" ca="1">IF($A80="S",IF(BM!$I80=0,0,CHOOSE(MATCH(RegimeExecucao,{"Global","Unitário"},0),ROUND(ROUND(BM.MEDAcumulado,15-13*BM!$A$9)/100*BM!$I80,15-13*ORÇAMENTO!$AF$11),ROUND(ROUND(BM.MEDAcumulado,15-13*BM!$A$9)*ROUND(BM!$H80,15-13*ORÇAMENTO!$AF$10),15-13*ORÇAMENTO!$AF$11))),IF($A80=0,0,ROUND(SomaAgrupBM,15-13*ORÇAMENTO!$AF$11)))</f>
        <v>0</v>
      </c>
    </row>
    <row r="81" spans="1:41" s="673" customFormat="1" ht="25.5" x14ac:dyDescent="0.2">
      <c r="A81" s="673" t="str">
        <f ca="1">ORÇAMENTO!C81</f>
        <v>S</v>
      </c>
      <c r="B81" s="673">
        <f ca="1">ORÇAMENTO!D81</f>
        <v>0</v>
      </c>
      <c r="C81" s="114" t="str">
        <f ca="1">IF(OR($I81&gt;0,$A81=1,$A81=2,$A81=3,$A81=4),"F","")</f>
        <v>F</v>
      </c>
      <c r="D81" s="117" t="str">
        <f ca="1">ORÇAMENTO!O81</f>
        <v>1.10.6.</v>
      </c>
      <c r="E81" s="163" t="str">
        <f ca="1">ORÇAMENTO.Descricao</f>
        <v>ESCORAMENTO DE VALA, TIPO CONTÍNUO, COM PROFUNDIDADE DE 0 A 1,5 M, LARGURA MENOR QUE 1,5 M. AF_01/2026</v>
      </c>
      <c r="F81" s="164" t="str" cm="1">
        <f t="array" aca="1" ref="F81" ca="1">IF(RegimeExecucao="Global","",ORÇAMENTO.Unidade)</f>
        <v>M2</v>
      </c>
      <c r="G81" s="122" cm="1">
        <f t="array" aca="1" ref="G81" ca="1">IF(RegimeExecucao="Global","",ORÇAMENTO!T81)</f>
        <v>989</v>
      </c>
      <c r="H81" s="122" cm="1">
        <f t="array" aca="1" ref="H81" ca="1">IF(RegimeExecucao="Global","",ORÇAMENTO!W81)</f>
        <v>108.55</v>
      </c>
      <c r="I81" s="125">
        <f ca="1">ORÇAMENTO!X81</f>
        <v>107355.95</v>
      </c>
      <c r="J81" s="333" cm="1">
        <f t="array" aca="1" ref="J81" ca="1">IF($A81="S",IF(CAIXA.Modo,BM.AFAnterior,BM.MEDAnterior),IF(AND(RegimeExecucao="Global",$I81&gt;0,COUNTIF($AB$13:$AM$13,BM.medicao-1)&gt;0),M81/$I81*100,0))</f>
        <v>0</v>
      </c>
      <c r="K81" s="122">
        <f ca="1">L81-J81</f>
        <v>0</v>
      </c>
      <c r="L81" s="334" cm="1">
        <f t="array" aca="1" ref="L81" ca="1">IF($A81="S",IF(CAIXA.Modo,BM.AFAcumulado,BM.MEDAcumulado),IF(AND(RegimeExecucao="Global",$I81&gt;0,COUNTIF($AB$13:$AM$13,BM.medicao)&gt;0),O81/$I81*100,0))</f>
        <v>0</v>
      </c>
      <c r="M81" s="335" cm="1">
        <f t="array" aca="1" ref="M81" ca="1">IF($A81="S",VTOTALBM,IF($A81=0,0,ROUND(SomaAgrupBM,15-13*ORÇAMENTO!$AF$11)))</f>
        <v>0</v>
      </c>
      <c r="N81" s="336">
        <f ca="1">O81-M81</f>
        <v>0</v>
      </c>
      <c r="O81" s="125" cm="1">
        <f t="array" aca="1" ref="O81" ca="1">IF($A81="S",VTOTALBM,IF($A81=0,0,ROUND(SomaAgrupBM,15-13*ORÇAMENTO!$AF$11)))</f>
        <v>0</v>
      </c>
      <c r="Q81" s="337"/>
      <c r="R81" s="338"/>
      <c r="T81" s="117" t="str">
        <f ca="1">IF($W81&gt;0,$D81,"")</f>
        <v/>
      </c>
      <c r="U81" s="163" t="str">
        <f ca="1">IF($W81&gt;0,$E81,"")</f>
        <v/>
      </c>
      <c r="V81" s="164" t="str" cm="1">
        <f t="array" aca="1" ref="V81" ca="1">IF(AND($W81&gt;0,RegimeExecucao="Unitário"),$F81,"")</f>
        <v/>
      </c>
      <c r="W81" s="454" cm="1">
        <f t="array" aca="1" ref="W81" ca="1">IF($Y81&gt;0,CHOOSE(MATCH(RegimeExecucao,{"Unitário","Global"},0),IF($A81="S",$Y81/$X81,""),($Y81/$X81)*100),0)</f>
        <v>0</v>
      </c>
      <c r="X81" s="339" t="str" cm="1">
        <f t="array" aca="1" ref="X81" ca="1">IF($Y81&gt;0,CHOOSE(MATCH(RegimeExecucao,{"Unitário","Global"},0),IF($A81="S",ROUND($H81,ORÇAMENTO!$AF$10),""),ROUND($I81,ORÇAMENTO!$AF$11)),"")</f>
        <v/>
      </c>
      <c r="Y81" s="339">
        <f ca="1">AO81-O81</f>
        <v>0</v>
      </c>
      <c r="Z81" s="473"/>
      <c r="AB81" s="337"/>
      <c r="AC81" s="437"/>
      <c r="AD81" s="437"/>
      <c r="AE81" s="437"/>
      <c r="AF81" s="437"/>
      <c r="AG81" s="437"/>
      <c r="AH81" s="437"/>
      <c r="AI81" s="437"/>
      <c r="AJ81" s="437"/>
      <c r="AK81" s="437"/>
      <c r="AL81" s="437"/>
      <c r="AM81" s="338"/>
      <c r="AO81" s="673" cm="1">
        <f t="array" aca="1" ref="AO81" ca="1">IF($A81="S",IF(BM!$I81=0,0,CHOOSE(MATCH(RegimeExecucao,{"Global","Unitário"},0),ROUND(ROUND(BM.MEDAcumulado,15-13*BM!$A$9)/100*BM!$I81,15-13*ORÇAMENTO!$AF$11),ROUND(ROUND(BM.MEDAcumulado,15-13*BM!$A$9)*ROUND(BM!$H81,15-13*ORÇAMENTO!$AF$10),15-13*ORÇAMENTO!$AF$11))),IF($A81=0,0,ROUND(SomaAgrupBM,15-13*ORÇAMENTO!$AF$11)))</f>
        <v>0</v>
      </c>
    </row>
    <row r="82" spans="1:41" s="673" customFormat="1" x14ac:dyDescent="0.2">
      <c r="A82" s="673" t="str">
        <f ca="1">ORÇAMENTO!C82</f>
        <v>S</v>
      </c>
      <c r="B82" s="673">
        <f ca="1">ORÇAMENTO!D82</f>
        <v>0</v>
      </c>
      <c r="C82" s="114" t="str">
        <f ca="1">IF(OR($I82&gt;0,$A82=1,$A82=2,$A82=3,$A82=4),"F","")</f>
        <v>F</v>
      </c>
      <c r="D82" s="117" t="str">
        <f ca="1">ORÇAMENTO!O82</f>
        <v>1.10.7.</v>
      </c>
      <c r="E82" s="163" t="str">
        <f ca="1">ORÇAMENTO.Descricao</f>
        <v>TRAVESSIA MÉTODO NÃO DESTRUTIVO P/ TUBO 200</v>
      </c>
      <c r="F82" s="164" t="str" cm="1">
        <f t="array" aca="1" ref="F82" ca="1">IF(RegimeExecucao="Global","",ORÇAMENTO.Unidade)</f>
        <v>M²</v>
      </c>
      <c r="G82" s="122" cm="1">
        <f t="array" aca="1" ref="G82" ca="1">IF(RegimeExecucao="Global","",ORÇAMENTO!T82)</f>
        <v>18</v>
      </c>
      <c r="H82" s="122" cm="1">
        <f t="array" aca="1" ref="H82" ca="1">IF(RegimeExecucao="Global","",ORÇAMENTO!W82)</f>
        <v>3549.92</v>
      </c>
      <c r="I82" s="125">
        <f ca="1">ORÇAMENTO!X82</f>
        <v>63898.559999999998</v>
      </c>
      <c r="J82" s="333" cm="1">
        <f t="array" aca="1" ref="J82" ca="1">IF($A82="S",IF(CAIXA.Modo,BM.AFAnterior,BM.MEDAnterior),IF(AND(RegimeExecucao="Global",$I82&gt;0,COUNTIF($AB$13:$AM$13,BM.medicao-1)&gt;0),M82/$I82*100,0))</f>
        <v>0</v>
      </c>
      <c r="K82" s="122">
        <f ca="1">L82-J82</f>
        <v>0</v>
      </c>
      <c r="L82" s="334" cm="1">
        <f t="array" aca="1" ref="L82" ca="1">IF($A82="S",IF(CAIXA.Modo,BM.AFAcumulado,BM.MEDAcumulado),IF(AND(RegimeExecucao="Global",$I82&gt;0,COUNTIF($AB$13:$AM$13,BM.medicao)&gt;0),O82/$I82*100,0))</f>
        <v>0</v>
      </c>
      <c r="M82" s="335" cm="1">
        <f t="array" aca="1" ref="M82" ca="1">IF($A82="S",VTOTALBM,IF($A82=0,0,ROUND(SomaAgrupBM,15-13*ORÇAMENTO!$AF$11)))</f>
        <v>0</v>
      </c>
      <c r="N82" s="336">
        <f ca="1">O82-M82</f>
        <v>0</v>
      </c>
      <c r="O82" s="125" cm="1">
        <f t="array" aca="1" ref="O82" ca="1">IF($A82="S",VTOTALBM,IF($A82=0,0,ROUND(SomaAgrupBM,15-13*ORÇAMENTO!$AF$11)))</f>
        <v>0</v>
      </c>
      <c r="Q82" s="337"/>
      <c r="R82" s="338"/>
      <c r="T82" s="117" t="str">
        <f ca="1">IF($W82&gt;0,$D82,"")</f>
        <v/>
      </c>
      <c r="U82" s="163" t="str">
        <f ca="1">IF($W82&gt;0,$E82,"")</f>
        <v/>
      </c>
      <c r="V82" s="164" t="str" cm="1">
        <f t="array" aca="1" ref="V82" ca="1">IF(AND($W82&gt;0,RegimeExecucao="Unitário"),$F82,"")</f>
        <v/>
      </c>
      <c r="W82" s="454" cm="1">
        <f t="array" aca="1" ref="W82" ca="1">IF($Y82&gt;0,CHOOSE(MATCH(RegimeExecucao,{"Unitário","Global"},0),IF($A82="S",$Y82/$X82,""),($Y82/$X82)*100),0)</f>
        <v>0</v>
      </c>
      <c r="X82" s="339" t="str" cm="1">
        <f t="array" aca="1" ref="X82" ca="1">IF($Y82&gt;0,CHOOSE(MATCH(RegimeExecucao,{"Unitário","Global"},0),IF($A82="S",ROUND($H82,ORÇAMENTO!$AF$10),""),ROUND($I82,ORÇAMENTO!$AF$11)),"")</f>
        <v/>
      </c>
      <c r="Y82" s="339">
        <f ca="1">AO82-O82</f>
        <v>0</v>
      </c>
      <c r="Z82" s="473"/>
      <c r="AB82" s="337"/>
      <c r="AC82" s="437"/>
      <c r="AD82" s="437"/>
      <c r="AE82" s="437"/>
      <c r="AF82" s="437"/>
      <c r="AG82" s="437"/>
      <c r="AH82" s="437"/>
      <c r="AI82" s="437"/>
      <c r="AJ82" s="437"/>
      <c r="AK82" s="437"/>
      <c r="AL82" s="437"/>
      <c r="AM82" s="338"/>
      <c r="AO82" s="673" cm="1">
        <f t="array" aca="1" ref="AO82" ca="1">IF($A82="S",IF(BM!$I82=0,0,CHOOSE(MATCH(RegimeExecucao,{"Global","Unitário"},0),ROUND(ROUND(BM.MEDAcumulado,15-13*BM!$A$9)/100*BM!$I82,15-13*ORÇAMENTO!$AF$11),ROUND(ROUND(BM.MEDAcumulado,15-13*BM!$A$9)*ROUND(BM!$H82,15-13*ORÇAMENTO!$AF$10),15-13*ORÇAMENTO!$AF$11))),IF($A82=0,0,ROUND(SomaAgrupBM,15-13*ORÇAMENTO!$AF$11)))</f>
        <v>0</v>
      </c>
    </row>
    <row r="83" spans="1:41" s="670" customFormat="1" x14ac:dyDescent="0.2">
      <c r="A83" s="670">
        <f ca="1">ORÇAMENTO!C83</f>
        <v>2</v>
      </c>
      <c r="B83" s="670">
        <f ca="1">ORÇAMENTO!D83</f>
        <v>8</v>
      </c>
      <c r="C83" s="114" t="str">
        <f t="shared" ca="1" si="8"/>
        <v>F</v>
      </c>
      <c r="D83" s="117" t="str">
        <f ca="1">ORÇAMENTO!O83</f>
        <v>1.11.</v>
      </c>
      <c r="E83" s="163" t="str">
        <f t="shared" si="9"/>
        <v>BLOCOS DE ANCORAGEM - Adutora de Água Tratada</v>
      </c>
      <c r="F83" s="164" t="str" cm="1">
        <f t="array" aca="1" ref="F83" ca="1">IF(RegimeExecucao="Global","",ORÇAMENTO.Unidade)</f>
        <v>-</v>
      </c>
      <c r="G83" s="122" cm="1">
        <f t="array" aca="1" ref="G83" ca="1">IF(RegimeExecucao="Global","",ORÇAMENTO!T83)</f>
        <v>0</v>
      </c>
      <c r="H83" s="122" cm="1">
        <f t="array" aca="1" ref="H83" ca="1">IF(RegimeExecucao="Global","",ORÇAMENTO!W83)</f>
        <v>0</v>
      </c>
      <c r="I83" s="125">
        <f ca="1">ORÇAMENTO!X83</f>
        <v>103363.95</v>
      </c>
      <c r="J83" s="333" cm="1">
        <f t="array" aca="1" ref="J83" ca="1">IF($A83="S",IF(CAIXA.Modo,BM.AFAnterior,BM.MEDAnterior),IF(AND(RegimeExecucao="Global",$I83&gt;0,COUNTIF($AB$13:$AM$13,BM.medicao-1)&gt;0),M83/$I83*100,0))</f>
        <v>0</v>
      </c>
      <c r="K83" s="122">
        <f t="shared" ca="1" si="10"/>
        <v>0</v>
      </c>
      <c r="L83" s="334" cm="1">
        <f t="array" aca="1" ref="L83" ca="1">IF($A83="S",IF(CAIXA.Modo,BM.AFAcumulado,BM.MEDAcumulado),IF(AND(RegimeExecucao="Global",$I83&gt;0,COUNTIF($AB$13:$AM$13,BM.medicao)&gt;0),O83/$I83*100,0))</f>
        <v>0</v>
      </c>
      <c r="M83" s="335" cm="1">
        <f t="array" aca="1" ref="M83" ca="1">IF($A83="S",VTOTALBM,IF($A83=0,0,ROUND(SomaAgrupBM,15-13*ORÇAMENTO!$AF$11)))</f>
        <v>0</v>
      </c>
      <c r="N83" s="336">
        <f t="shared" ca="1" si="11"/>
        <v>0</v>
      </c>
      <c r="O83" s="125" cm="1">
        <f t="array" aca="1" ref="O83" ca="1">IF($A83="S",VTOTALBM,IF($A83=0,0,ROUND(SomaAgrupBM,15-13*ORÇAMENTO!$AF$11)))</f>
        <v>0</v>
      </c>
      <c r="Q83" s="337"/>
      <c r="R83" s="338"/>
      <c r="T83" s="117" t="str">
        <f t="shared" ca="1" si="12"/>
        <v/>
      </c>
      <c r="U83" s="163" t="str">
        <f t="shared" ca="1" si="13"/>
        <v/>
      </c>
      <c r="V83" s="164" t="str" cm="1">
        <f t="array" aca="1" ref="V83" ca="1">IF(AND($W83&gt;0,RegimeExecucao="Unitário"),$F83,"")</f>
        <v/>
      </c>
      <c r="W83" s="454" cm="1">
        <f t="array" aca="1" ref="W83" ca="1">IF($Y83&gt;0,CHOOSE(MATCH(RegimeExecucao,{"Unitário","Global"},0),IF($A83="S",$Y83/$X83,""),($Y83/$X83)*100),0)</f>
        <v>0</v>
      </c>
      <c r="X83" s="339" t="str" cm="1">
        <f t="array" aca="1" ref="X83" ca="1">IF($Y83&gt;0,CHOOSE(MATCH(RegimeExecucao,{"Unitário","Global"},0),IF($A83="S",ROUND($H83,ORÇAMENTO!$AF$10),""),ROUND($I83,ORÇAMENTO!$AF$11)),"")</f>
        <v/>
      </c>
      <c r="Y83" s="339">
        <f t="shared" ca="1" si="14"/>
        <v>0</v>
      </c>
      <c r="Z83" s="473"/>
      <c r="AB83" s="337"/>
      <c r="AC83" s="437"/>
      <c r="AD83" s="437"/>
      <c r="AE83" s="437"/>
      <c r="AF83" s="437"/>
      <c r="AG83" s="437"/>
      <c r="AH83" s="437"/>
      <c r="AI83" s="437"/>
      <c r="AJ83" s="437"/>
      <c r="AK83" s="437"/>
      <c r="AL83" s="437"/>
      <c r="AM83" s="338"/>
      <c r="AO83" s="670" cm="1">
        <f t="array" aca="1" ref="AO83" ca="1">IF($A83="S",IF(BM!$I83=0,0,CHOOSE(MATCH(RegimeExecucao,{"Global","Unitário"},0),ROUND(ROUND(BM.MEDAcumulado,15-13*BM!$A$9)/100*BM!$I83,15-13*ORÇAMENTO!$AF$11),ROUND(ROUND(BM.MEDAcumulado,15-13*BM!$A$9)*ROUND(BM!$H83,15-13*ORÇAMENTO!$AF$10),15-13*ORÇAMENTO!$AF$11))),IF($A83=0,0,ROUND(SomaAgrupBM,15-13*ORÇAMENTO!$AF$11)))</f>
        <v>0</v>
      </c>
    </row>
    <row r="84" spans="1:41" s="670" customFormat="1" ht="38.25" x14ac:dyDescent="0.2">
      <c r="A84" s="670" t="str">
        <f ca="1">ORÇAMENTO!C84</f>
        <v>S</v>
      </c>
      <c r="B84" s="670">
        <f ca="1">ORÇAMENTO!D84</f>
        <v>0</v>
      </c>
      <c r="C84" s="114" t="str">
        <f t="shared" ca="1" si="8"/>
        <v>F</v>
      </c>
      <c r="D84" s="117" t="str">
        <f ca="1">ORÇAMENTO!O84</f>
        <v>1.11.1.</v>
      </c>
      <c r="E84" s="163" t="str">
        <f t="shared" ca="1" si="9"/>
        <v>CONCRETO FCK = 20MPA, TRAÇO 1:2,7:3 (EM MASSA SECA DE CIMENTO/ AREIA MÉDIA/ BRITA 1) - PREPARO MECÂNICO COM BETONEIRA 600 L. AF_05/2021</v>
      </c>
      <c r="F84" s="164" t="str" cm="1">
        <f t="array" aca="1" ref="F84" ca="1">IF(RegimeExecucao="Global","",ORÇAMENTO.Unidade)</f>
        <v>M3</v>
      </c>
      <c r="G84" s="122" cm="1">
        <f t="array" aca="1" ref="G84" ca="1">IF(RegimeExecucao="Global","",ORÇAMENTO!T84)</f>
        <v>17</v>
      </c>
      <c r="H84" s="122" cm="1">
        <f t="array" aca="1" ref="H84" ca="1">IF(RegimeExecucao="Global","",ORÇAMENTO!W84)</f>
        <v>686.14</v>
      </c>
      <c r="I84" s="125">
        <f ca="1">ORÇAMENTO!X84</f>
        <v>11664.38</v>
      </c>
      <c r="J84" s="333" cm="1">
        <f t="array" aca="1" ref="J84" ca="1">IF($A84="S",IF(CAIXA.Modo,BM.AFAnterior,BM.MEDAnterior),IF(AND(RegimeExecucao="Global",$I84&gt;0,COUNTIF($AB$13:$AM$13,BM.medicao-1)&gt;0),M84/$I84*100,0))</f>
        <v>0</v>
      </c>
      <c r="K84" s="122">
        <f t="shared" ca="1" si="10"/>
        <v>0</v>
      </c>
      <c r="L84" s="334" cm="1">
        <f t="array" aca="1" ref="L84" ca="1">IF($A84="S",IF(CAIXA.Modo,BM.AFAcumulado,BM.MEDAcumulado),IF(AND(RegimeExecucao="Global",$I84&gt;0,COUNTIF($AB$13:$AM$13,BM.medicao)&gt;0),O84/$I84*100,0))</f>
        <v>0</v>
      </c>
      <c r="M84" s="335" cm="1">
        <f t="array" aca="1" ref="M84" ca="1">IF($A84="S",VTOTALBM,IF($A84=0,0,ROUND(SomaAgrupBM,15-13*ORÇAMENTO!$AF$11)))</f>
        <v>0</v>
      </c>
      <c r="N84" s="336">
        <f t="shared" ca="1" si="11"/>
        <v>0</v>
      </c>
      <c r="O84" s="125" cm="1">
        <f t="array" aca="1" ref="O84" ca="1">IF($A84="S",VTOTALBM,IF($A84=0,0,ROUND(SomaAgrupBM,15-13*ORÇAMENTO!$AF$11)))</f>
        <v>0</v>
      </c>
      <c r="Q84" s="337"/>
      <c r="R84" s="338"/>
      <c r="T84" s="117" t="str">
        <f t="shared" ca="1" si="12"/>
        <v/>
      </c>
      <c r="U84" s="163" t="str">
        <f t="shared" ca="1" si="13"/>
        <v/>
      </c>
      <c r="V84" s="164" t="str" cm="1">
        <f t="array" aca="1" ref="V84" ca="1">IF(AND($W84&gt;0,RegimeExecucao="Unitário"),$F84,"")</f>
        <v/>
      </c>
      <c r="W84" s="454" cm="1">
        <f t="array" aca="1" ref="W84" ca="1">IF($Y84&gt;0,CHOOSE(MATCH(RegimeExecucao,{"Unitário","Global"},0),IF($A84="S",$Y84/$X84,""),($Y84/$X84)*100),0)</f>
        <v>0</v>
      </c>
      <c r="X84" s="339" t="str" cm="1">
        <f t="array" aca="1" ref="X84" ca="1">IF($Y84&gt;0,CHOOSE(MATCH(RegimeExecucao,{"Unitário","Global"},0),IF($A84="S",ROUND($H84,ORÇAMENTO!$AF$10),""),ROUND($I84,ORÇAMENTO!$AF$11)),"")</f>
        <v/>
      </c>
      <c r="Y84" s="339">
        <f t="shared" ca="1" si="14"/>
        <v>0</v>
      </c>
      <c r="Z84" s="473"/>
      <c r="AB84" s="337"/>
      <c r="AC84" s="437"/>
      <c r="AD84" s="437"/>
      <c r="AE84" s="437"/>
      <c r="AF84" s="437"/>
      <c r="AG84" s="437"/>
      <c r="AH84" s="437"/>
      <c r="AI84" s="437"/>
      <c r="AJ84" s="437"/>
      <c r="AK84" s="437"/>
      <c r="AL84" s="437"/>
      <c r="AM84" s="338"/>
      <c r="AO84" s="670" cm="1">
        <f t="array" aca="1" ref="AO84" ca="1">IF($A84="S",IF(BM!$I84=0,0,CHOOSE(MATCH(RegimeExecucao,{"Global","Unitário"},0),ROUND(ROUND(BM.MEDAcumulado,15-13*BM!$A$9)/100*BM!$I84,15-13*ORÇAMENTO!$AF$11),ROUND(ROUND(BM.MEDAcumulado,15-13*BM!$A$9)*ROUND(BM!$H84,15-13*ORÇAMENTO!$AF$10),15-13*ORÇAMENTO!$AF$11))),IF($A84=0,0,ROUND(SomaAgrupBM,15-13*ORÇAMENTO!$AF$11)))</f>
        <v>0</v>
      </c>
    </row>
    <row r="85" spans="1:41" s="680" customFormat="1" ht="25.5" x14ac:dyDescent="0.2">
      <c r="A85" s="680" t="str">
        <f ca="1">ORÇAMENTO!C85</f>
        <v>S</v>
      </c>
      <c r="B85" s="680">
        <f ca="1">ORÇAMENTO!D85</f>
        <v>0</v>
      </c>
      <c r="C85" s="684" t="str">
        <f ca="1">IF(OR($I85&gt;0,$A85=1,$A85=2,$A85=3,$A85=4),"F","")</f>
        <v>F</v>
      </c>
      <c r="D85" s="687" t="str">
        <f ca="1">ORÇAMENTO!O85</f>
        <v>1.11.2.</v>
      </c>
      <c r="E85" s="699" t="str">
        <f ca="1">ORÇAMENTO.Descricao</f>
        <v>LANÇAMENTO COM USO DE BOMBA, ADENSAMENTO E ACABAMENTO DE CONCRETO EM ESTRUTURAS. AF_02/2022</v>
      </c>
      <c r="F85" s="700" t="str" cm="1">
        <f t="array" aca="1" ref="F85" ca="1">IF(RegimeExecucao="Global","",ORÇAMENTO.Unidade)</f>
        <v>M3</v>
      </c>
      <c r="G85" s="692" cm="1">
        <f t="array" aca="1" ref="G85" ca="1">IF(RegimeExecucao="Global","",ORÇAMENTO!T85)</f>
        <v>17</v>
      </c>
      <c r="H85" s="692" cm="1">
        <f t="array" aca="1" ref="H85" ca="1">IF(RegimeExecucao="Global","",ORÇAMENTO!W85)</f>
        <v>60.2</v>
      </c>
      <c r="I85" s="695">
        <f ca="1">ORÇAMENTO!X85</f>
        <v>1023.4</v>
      </c>
      <c r="J85" s="707" cm="1">
        <f t="array" aca="1" ref="J85" ca="1">IF($A85="S",IF(CAIXA.Modo,BM.AFAnterior,BM.MEDAnterior),IF(AND(RegimeExecucao="Global",$I85&gt;0,COUNTIF($AB$13:$AM$13,BM.medicao-1)&gt;0),M85/$I85*100,0))</f>
        <v>0</v>
      </c>
      <c r="K85" s="692">
        <f ca="1">L85-J85</f>
        <v>0</v>
      </c>
      <c r="L85" s="708" cm="1">
        <f t="array" aca="1" ref="L85" ca="1">IF($A85="S",IF(CAIXA.Modo,BM.AFAcumulado,BM.MEDAcumulado),IF(AND(RegimeExecucao="Global",$I85&gt;0,COUNTIF($AB$13:$AM$13,BM.medicao)&gt;0),O85/$I85*100,0))</f>
        <v>0</v>
      </c>
      <c r="M85" s="709" cm="1">
        <f t="array" aca="1" ref="M85" ca="1">IF($A85="S",VTOTALBM,IF($A85=0,0,ROUND(SomaAgrupBM,15-13*ORÇAMENTO!$AF$11)))</f>
        <v>0</v>
      </c>
      <c r="N85" s="710">
        <f ca="1">O85-M85</f>
        <v>0</v>
      </c>
      <c r="O85" s="695" cm="1">
        <f t="array" aca="1" ref="O85" ca="1">IF($A85="S",VTOTALBM,IF($A85=0,0,ROUND(SomaAgrupBM,15-13*ORÇAMENTO!$AF$11)))</f>
        <v>0</v>
      </c>
      <c r="Q85" s="711"/>
      <c r="R85" s="712"/>
      <c r="T85" s="687" t="str">
        <f ca="1">IF($W85&gt;0,$D85,"")</f>
        <v/>
      </c>
      <c r="U85" s="699" t="str">
        <f ca="1">IF($W85&gt;0,$E85,"")</f>
        <v/>
      </c>
      <c r="V85" s="700" t="str" cm="1">
        <f t="array" aca="1" ref="V85" ca="1">IF(AND($W85&gt;0,RegimeExecucao="Unitário"),$F85,"")</f>
        <v/>
      </c>
      <c r="W85" s="719" cm="1">
        <f t="array" aca="1" ref="W85" ca="1">IF($Y85&gt;0,CHOOSE(MATCH(RegimeExecucao,{"Unitário","Global"},0),IF($A85="S",$Y85/$X85,""),($Y85/$X85)*100),0)</f>
        <v>0</v>
      </c>
      <c r="X85" s="713" t="str" cm="1">
        <f t="array" aca="1" ref="X85" ca="1">IF($Y85&gt;0,CHOOSE(MATCH(RegimeExecucao,{"Unitário","Global"},0),IF($A85="S",ROUND($H85,ORÇAMENTO!$AF$10),""),ROUND($I85,ORÇAMENTO!$AF$11)),"")</f>
        <v/>
      </c>
      <c r="Y85" s="713">
        <f ca="1">AO85-O85</f>
        <v>0</v>
      </c>
      <c r="Z85" s="722"/>
      <c r="AB85" s="711"/>
      <c r="AC85" s="717"/>
      <c r="AD85" s="717"/>
      <c r="AE85" s="717"/>
      <c r="AF85" s="717"/>
      <c r="AG85" s="717"/>
      <c r="AH85" s="717"/>
      <c r="AI85" s="717"/>
      <c r="AJ85" s="717"/>
      <c r="AK85" s="717"/>
      <c r="AL85" s="717"/>
      <c r="AM85" s="712"/>
      <c r="AO85" s="680" cm="1">
        <f t="array" aca="1" ref="AO85" ca="1">IF($A85="S",IF(BM!$I85=0,0,CHOOSE(MATCH(RegimeExecucao,{"Global","Unitário"},0),ROUND(ROUND(BM.MEDAcumulado,15-13*BM!$A$9)/100*BM!$I85,15-13*ORÇAMENTO!$AF$11),ROUND(ROUND(BM.MEDAcumulado,15-13*BM!$A$9)*ROUND(BM!$H85,15-13*ORÇAMENTO!$AF$10),15-13*ORÇAMENTO!$AF$11))),IF($A85=0,0,ROUND(SomaAgrupBM,15-13*ORÇAMENTO!$AF$11)))</f>
        <v>0</v>
      </c>
    </row>
    <row r="86" spans="1:41" s="670" customFormat="1" ht="38.25" x14ac:dyDescent="0.2">
      <c r="A86" s="670" t="str">
        <f ca="1">ORÇAMENTO!C86</f>
        <v>S</v>
      </c>
      <c r="B86" s="670">
        <f ca="1">ORÇAMENTO!D86</f>
        <v>0</v>
      </c>
      <c r="C86" s="114" t="str">
        <f t="shared" ca="1" si="8"/>
        <v>F</v>
      </c>
      <c r="D86" s="117" t="str">
        <f ca="1">ORÇAMENTO!O86</f>
        <v>1.11.3.</v>
      </c>
      <c r="E86" s="163" t="str">
        <f t="shared" ca="1" si="9"/>
        <v>ARMAÇÃO DE ESTRUTURAS DIVERSAS DE CONCRETO ARMADO, EXCETO VIGAS, PILARES, LAJES E FUNDAÇÕES, UTILIZANDO AÇO CA-50 DE 10,0 MM - MONTAGEM. AF_06/2022</v>
      </c>
      <c r="F86" s="164" t="str" cm="1">
        <f t="array" aca="1" ref="F86" ca="1">IF(RegimeExecucao="Global","",ORÇAMENTO.Unidade)</f>
        <v>KG</v>
      </c>
      <c r="G86" s="122" cm="1">
        <f t="array" aca="1" ref="G86" ca="1">IF(RegimeExecucao="Global","",ORÇAMENTO!T86)</f>
        <v>1200</v>
      </c>
      <c r="H86" s="122" cm="1">
        <f t="array" aca="1" ref="H86" ca="1">IF(RegimeExecucao="Global","",ORÇAMENTO!W86)</f>
        <v>14.51</v>
      </c>
      <c r="I86" s="125">
        <f ca="1">ORÇAMENTO!X86</f>
        <v>17412</v>
      </c>
      <c r="J86" s="333" cm="1">
        <f t="array" aca="1" ref="J86" ca="1">IF($A86="S",IF(CAIXA.Modo,BM.AFAnterior,BM.MEDAnterior),IF(AND(RegimeExecucao="Global",$I86&gt;0,COUNTIF($AB$13:$AM$13,BM.medicao-1)&gt;0),M86/$I86*100,0))</f>
        <v>0</v>
      </c>
      <c r="K86" s="122">
        <f t="shared" ca="1" si="10"/>
        <v>0</v>
      </c>
      <c r="L86" s="334" cm="1">
        <f t="array" aca="1" ref="L86" ca="1">IF($A86="S",IF(CAIXA.Modo,BM.AFAcumulado,BM.MEDAcumulado),IF(AND(RegimeExecucao="Global",$I86&gt;0,COUNTIF($AB$13:$AM$13,BM.medicao)&gt;0),O86/$I86*100,0))</f>
        <v>0</v>
      </c>
      <c r="M86" s="335" cm="1">
        <f t="array" aca="1" ref="M86" ca="1">IF($A86="S",VTOTALBM,IF($A86=0,0,ROUND(SomaAgrupBM,15-13*ORÇAMENTO!$AF$11)))</f>
        <v>0</v>
      </c>
      <c r="N86" s="336">
        <f t="shared" ca="1" si="11"/>
        <v>0</v>
      </c>
      <c r="O86" s="125" cm="1">
        <f t="array" aca="1" ref="O86" ca="1">IF($A86="S",VTOTALBM,IF($A86=0,0,ROUND(SomaAgrupBM,15-13*ORÇAMENTO!$AF$11)))</f>
        <v>0</v>
      </c>
      <c r="Q86" s="337"/>
      <c r="R86" s="338"/>
      <c r="T86" s="117" t="str">
        <f t="shared" ca="1" si="12"/>
        <v/>
      </c>
      <c r="U86" s="163" t="str">
        <f t="shared" ca="1" si="13"/>
        <v/>
      </c>
      <c r="V86" s="164" t="str" cm="1">
        <f t="array" aca="1" ref="V86" ca="1">IF(AND($W86&gt;0,RegimeExecucao="Unitário"),$F86,"")</f>
        <v/>
      </c>
      <c r="W86" s="454" cm="1">
        <f t="array" aca="1" ref="W86" ca="1">IF($Y86&gt;0,CHOOSE(MATCH(RegimeExecucao,{"Unitário","Global"},0),IF($A86="S",$Y86/$X86,""),($Y86/$X86)*100),0)</f>
        <v>0</v>
      </c>
      <c r="X86" s="339" t="str" cm="1">
        <f t="array" aca="1" ref="X86" ca="1">IF($Y86&gt;0,CHOOSE(MATCH(RegimeExecucao,{"Unitário","Global"},0),IF($A86="S",ROUND($H86,ORÇAMENTO!$AF$10),""),ROUND($I86,ORÇAMENTO!$AF$11)),"")</f>
        <v/>
      </c>
      <c r="Y86" s="339">
        <f t="shared" ca="1" si="14"/>
        <v>0</v>
      </c>
      <c r="Z86" s="473"/>
      <c r="AB86" s="337"/>
      <c r="AC86" s="437"/>
      <c r="AD86" s="437"/>
      <c r="AE86" s="437"/>
      <c r="AF86" s="437"/>
      <c r="AG86" s="437"/>
      <c r="AH86" s="437"/>
      <c r="AI86" s="437"/>
      <c r="AJ86" s="437"/>
      <c r="AK86" s="437"/>
      <c r="AL86" s="437"/>
      <c r="AM86" s="338"/>
      <c r="AO86" s="670" cm="1">
        <f t="array" aca="1" ref="AO86" ca="1">IF($A86="S",IF(BM!$I86=0,0,CHOOSE(MATCH(RegimeExecucao,{"Global","Unitário"},0),ROUND(ROUND(BM.MEDAcumulado,15-13*BM!$A$9)/100*BM!$I86,15-13*ORÇAMENTO!$AF$11),ROUND(ROUND(BM.MEDAcumulado,15-13*BM!$A$9)*ROUND(BM!$H86,15-13*ORÇAMENTO!$AF$10),15-13*ORÇAMENTO!$AF$11))),IF($A86=0,0,ROUND(SomaAgrupBM,15-13*ORÇAMENTO!$AF$11)))</f>
        <v>0</v>
      </c>
    </row>
    <row r="87" spans="1:41" s="670" customFormat="1" ht="25.5" x14ac:dyDescent="0.2">
      <c r="A87" s="670" t="str">
        <f ca="1">ORÇAMENTO!C87</f>
        <v>S</v>
      </c>
      <c r="B87" s="670">
        <f ca="1">ORÇAMENTO!D87</f>
        <v>0</v>
      </c>
      <c r="C87" s="114" t="str">
        <f t="shared" ca="1" si="8"/>
        <v>F</v>
      </c>
      <c r="D87" s="117" t="str">
        <f ca="1">ORÇAMENTO!O87</f>
        <v>1.11.4.</v>
      </c>
      <c r="E87" s="163" t="str">
        <f t="shared" ca="1" si="9"/>
        <v>FABRICAÇÃO DE FÔRMA PARA VIGAS, EM CHAPA DE MADEIRA COMPENSADA RESINADA, E = 17 MM. AF_09/2020</v>
      </c>
      <c r="F87" s="164" t="str" cm="1">
        <f t="array" aca="1" ref="F87" ca="1">IF(RegimeExecucao="Global","",ORÇAMENTO.Unidade)</f>
        <v>M2</v>
      </c>
      <c r="G87" s="122" cm="1">
        <f t="array" aca="1" ref="G87" ca="1">IF(RegimeExecucao="Global","",ORÇAMENTO!T87)</f>
        <v>112</v>
      </c>
      <c r="H87" s="122" cm="1">
        <f t="array" aca="1" ref="H87" ca="1">IF(RegimeExecucao="Global","",ORÇAMENTO!W87)</f>
        <v>159.74</v>
      </c>
      <c r="I87" s="125">
        <f ca="1">ORÇAMENTO!X87</f>
        <v>17890.88</v>
      </c>
      <c r="J87" s="333" cm="1">
        <f t="array" aca="1" ref="J87" ca="1">IF($A87="S",IF(CAIXA.Modo,BM.AFAnterior,BM.MEDAnterior),IF(AND(RegimeExecucao="Global",$I87&gt;0,COUNTIF($AB$13:$AM$13,BM.medicao-1)&gt;0),M87/$I87*100,0))</f>
        <v>0</v>
      </c>
      <c r="K87" s="122">
        <f t="shared" ca="1" si="10"/>
        <v>0</v>
      </c>
      <c r="L87" s="334" cm="1">
        <f t="array" aca="1" ref="L87" ca="1">IF($A87="S",IF(CAIXA.Modo,BM.AFAcumulado,BM.MEDAcumulado),IF(AND(RegimeExecucao="Global",$I87&gt;0,COUNTIF($AB$13:$AM$13,BM.medicao)&gt;0),O87/$I87*100,0))</f>
        <v>0</v>
      </c>
      <c r="M87" s="335" cm="1">
        <f t="array" aca="1" ref="M87" ca="1">IF($A87="S",VTOTALBM,IF($A87=0,0,ROUND(SomaAgrupBM,15-13*ORÇAMENTO!$AF$11)))</f>
        <v>0</v>
      </c>
      <c r="N87" s="336">
        <f t="shared" ca="1" si="11"/>
        <v>0</v>
      </c>
      <c r="O87" s="125" cm="1">
        <f t="array" aca="1" ref="O87" ca="1">IF($A87="S",VTOTALBM,IF($A87=0,0,ROUND(SomaAgrupBM,15-13*ORÇAMENTO!$AF$11)))</f>
        <v>0</v>
      </c>
      <c r="Q87" s="337"/>
      <c r="R87" s="338"/>
      <c r="T87" s="117" t="str">
        <f t="shared" ca="1" si="12"/>
        <v/>
      </c>
      <c r="U87" s="163" t="str">
        <f t="shared" ca="1" si="13"/>
        <v/>
      </c>
      <c r="V87" s="164" t="str" cm="1">
        <f t="array" aca="1" ref="V87" ca="1">IF(AND($W87&gt;0,RegimeExecucao="Unitário"),$F87,"")</f>
        <v/>
      </c>
      <c r="W87" s="454" cm="1">
        <f t="array" aca="1" ref="W87" ca="1">IF($Y87&gt;0,CHOOSE(MATCH(RegimeExecucao,{"Unitário","Global"},0),IF($A87="S",$Y87/$X87,""),($Y87/$X87)*100),0)</f>
        <v>0</v>
      </c>
      <c r="X87" s="339" t="str" cm="1">
        <f t="array" aca="1" ref="X87" ca="1">IF($Y87&gt;0,CHOOSE(MATCH(RegimeExecucao,{"Unitário","Global"},0),IF($A87="S",ROUND($H87,ORÇAMENTO!$AF$10),""),ROUND($I87,ORÇAMENTO!$AF$11)),"")</f>
        <v/>
      </c>
      <c r="Y87" s="339">
        <f t="shared" ca="1" si="14"/>
        <v>0</v>
      </c>
      <c r="Z87" s="473"/>
      <c r="AB87" s="337"/>
      <c r="AC87" s="437"/>
      <c r="AD87" s="437"/>
      <c r="AE87" s="437"/>
      <c r="AF87" s="437"/>
      <c r="AG87" s="437"/>
      <c r="AH87" s="437"/>
      <c r="AI87" s="437"/>
      <c r="AJ87" s="437"/>
      <c r="AK87" s="437"/>
      <c r="AL87" s="437"/>
      <c r="AM87" s="338"/>
      <c r="AO87" s="670" cm="1">
        <f t="array" aca="1" ref="AO87" ca="1">IF($A87="S",IF(BM!$I87=0,0,CHOOSE(MATCH(RegimeExecucao,{"Global","Unitário"},0),ROUND(ROUND(BM.MEDAcumulado,15-13*BM!$A$9)/100*BM!$I87,15-13*ORÇAMENTO!$AF$11),ROUND(ROUND(BM.MEDAcumulado,15-13*BM!$A$9)*ROUND(BM!$H87,15-13*ORÇAMENTO!$AF$10),15-13*ORÇAMENTO!$AF$11))),IF($A87=0,0,ROUND(SomaAgrupBM,15-13*ORÇAMENTO!$AF$11)))</f>
        <v>0</v>
      </c>
    </row>
    <row r="88" spans="1:41" s="670" customFormat="1" ht="63.75" x14ac:dyDescent="0.2">
      <c r="A88" s="670" t="str">
        <f ca="1">ORÇAMENTO!C88</f>
        <v>S</v>
      </c>
      <c r="B88" s="670">
        <f ca="1">ORÇAMENTO!D88</f>
        <v>0</v>
      </c>
      <c r="C88" s="114" t="str">
        <f t="shared" ca="1" si="8"/>
        <v>F</v>
      </c>
      <c r="D88" s="117" t="str">
        <f ca="1">ORÇAMENTO!O88</f>
        <v>1.11.5.</v>
      </c>
      <c r="E88" s="163" t="str">
        <f t="shared" ca="1" si="9"/>
        <v>ESCAVAÇÃO MECANIZADA DE VALA COM PROF. ATÉ 1,5 M (MÉDIA MONTANTE E JUSANTE/UMA COMPOSIÇÃO POR TRECHO), ESCAVADEIRA (0,8 M3),LARG. ATÉ 1,5 M, EM SOLO DE 2A CATEGORIA, EM LOCAIS COM ALTO NÍVEL DE INTERFERÊNCIA. AF_09/2024</v>
      </c>
      <c r="F88" s="164" t="str" cm="1">
        <f t="array" aca="1" ref="F88" ca="1">IF(RegimeExecucao="Global","",ORÇAMENTO.Unidade)</f>
        <v>M3</v>
      </c>
      <c r="G88" s="122" cm="1">
        <f t="array" aca="1" ref="G88" ca="1">IF(RegimeExecucao="Global","",ORÇAMENTO!T88)</f>
        <v>77.3</v>
      </c>
      <c r="H88" s="122" cm="1">
        <f t="array" aca="1" ref="H88" ca="1">IF(RegimeExecucao="Global","",ORÇAMENTO!W88)</f>
        <v>17.46</v>
      </c>
      <c r="I88" s="125">
        <f ca="1">ORÇAMENTO!X88</f>
        <v>1349.66</v>
      </c>
      <c r="J88" s="333" cm="1">
        <f t="array" aca="1" ref="J88" ca="1">IF($A88="S",IF(CAIXA.Modo,BM.AFAnterior,BM.MEDAnterior),IF(AND(RegimeExecucao="Global",$I88&gt;0,COUNTIF($AB$13:$AM$13,BM.medicao-1)&gt;0),M88/$I88*100,0))</f>
        <v>0</v>
      </c>
      <c r="K88" s="122">
        <f t="shared" ca="1" si="10"/>
        <v>0</v>
      </c>
      <c r="L88" s="334" cm="1">
        <f t="array" aca="1" ref="L88" ca="1">IF($A88="S",IF(CAIXA.Modo,BM.AFAcumulado,BM.MEDAcumulado),IF(AND(RegimeExecucao="Global",$I88&gt;0,COUNTIF($AB$13:$AM$13,BM.medicao)&gt;0),O88/$I88*100,0))</f>
        <v>0</v>
      </c>
      <c r="M88" s="335" cm="1">
        <f t="array" aca="1" ref="M88" ca="1">IF($A88="S",VTOTALBM,IF($A88=0,0,ROUND(SomaAgrupBM,15-13*ORÇAMENTO!$AF$11)))</f>
        <v>0</v>
      </c>
      <c r="N88" s="336">
        <f t="shared" ca="1" si="11"/>
        <v>0</v>
      </c>
      <c r="O88" s="125" cm="1">
        <f t="array" aca="1" ref="O88" ca="1">IF($A88="S",VTOTALBM,IF($A88=0,0,ROUND(SomaAgrupBM,15-13*ORÇAMENTO!$AF$11)))</f>
        <v>0</v>
      </c>
      <c r="Q88" s="337"/>
      <c r="R88" s="338"/>
      <c r="T88" s="117" t="str">
        <f t="shared" ca="1" si="12"/>
        <v/>
      </c>
      <c r="U88" s="163" t="str">
        <f t="shared" ca="1" si="13"/>
        <v/>
      </c>
      <c r="V88" s="164" t="str" cm="1">
        <f t="array" aca="1" ref="V88" ca="1">IF(AND($W88&gt;0,RegimeExecucao="Unitário"),$F88,"")</f>
        <v/>
      </c>
      <c r="W88" s="454" cm="1">
        <f t="array" aca="1" ref="W88" ca="1">IF($Y88&gt;0,CHOOSE(MATCH(RegimeExecucao,{"Unitário","Global"},0),IF($A88="S",$Y88/$X88,""),($Y88/$X88)*100),0)</f>
        <v>0</v>
      </c>
      <c r="X88" s="339" t="str" cm="1">
        <f t="array" aca="1" ref="X88" ca="1">IF($Y88&gt;0,CHOOSE(MATCH(RegimeExecucao,{"Unitário","Global"},0),IF($A88="S",ROUND($H88,ORÇAMENTO!$AF$10),""),ROUND($I88,ORÇAMENTO!$AF$11)),"")</f>
        <v/>
      </c>
      <c r="Y88" s="339">
        <f t="shared" ca="1" si="14"/>
        <v>0</v>
      </c>
      <c r="Z88" s="473"/>
      <c r="AB88" s="337"/>
      <c r="AC88" s="437"/>
      <c r="AD88" s="437"/>
      <c r="AE88" s="437"/>
      <c r="AF88" s="437"/>
      <c r="AG88" s="437"/>
      <c r="AH88" s="437"/>
      <c r="AI88" s="437"/>
      <c r="AJ88" s="437"/>
      <c r="AK88" s="437"/>
      <c r="AL88" s="437"/>
      <c r="AM88" s="338"/>
      <c r="AO88" s="670" cm="1">
        <f t="array" aca="1" ref="AO88" ca="1">IF($A88="S",IF(BM!$I88=0,0,CHOOSE(MATCH(RegimeExecucao,{"Global","Unitário"},0),ROUND(ROUND(BM.MEDAcumulado,15-13*BM!$A$9)/100*BM!$I88,15-13*ORÇAMENTO!$AF$11),ROUND(ROUND(BM.MEDAcumulado,15-13*BM!$A$9)*ROUND(BM!$H88,15-13*ORÇAMENTO!$AF$10),15-13*ORÇAMENTO!$AF$11))),IF($A88=0,0,ROUND(SomaAgrupBM,15-13*ORÇAMENTO!$AF$11)))</f>
        <v>0</v>
      </c>
    </row>
    <row r="89" spans="1:41" s="670" customFormat="1" ht="38.25" x14ac:dyDescent="0.2">
      <c r="A89" s="670" t="str">
        <f ca="1">ORÇAMENTO!C89</f>
        <v>S</v>
      </c>
      <c r="B89" s="670">
        <f ca="1">ORÇAMENTO!D89</f>
        <v>0</v>
      </c>
      <c r="C89" s="114" t="str">
        <f t="shared" ca="1" si="8"/>
        <v>F</v>
      </c>
      <c r="D89" s="117" t="str">
        <f ca="1">ORÇAMENTO!O89</f>
        <v>1.11.6.</v>
      </c>
      <c r="E89" s="163" t="str">
        <f t="shared" ca="1" si="9"/>
        <v>ESTACA BROCA DE CONCRETO, DIÂMETRO DE 30CM, ESCAVAÇÃO MANUAL COM TRADO CONCHA, COM ARMADURA DE ARRANQUE. AF_05/2020</v>
      </c>
      <c r="F89" s="164" t="str" cm="1">
        <f t="array" aca="1" ref="F89" ca="1">IF(RegimeExecucao="Global","",ORÇAMENTO.Unidade)</f>
        <v>M</v>
      </c>
      <c r="G89" s="122" cm="1">
        <f t="array" aca="1" ref="G89" ca="1">IF(RegimeExecucao="Global","",ORÇAMENTO!T89)</f>
        <v>8.6999999999999993</v>
      </c>
      <c r="H89" s="122" cm="1">
        <f t="array" aca="1" ref="H89" ca="1">IF(RegimeExecucao="Global","",ORÇAMENTO!W89)</f>
        <v>164.96</v>
      </c>
      <c r="I89" s="125">
        <f ca="1">ORÇAMENTO!X89</f>
        <v>1435.15</v>
      </c>
      <c r="J89" s="333" cm="1">
        <f t="array" aca="1" ref="J89" ca="1">IF($A89="S",IF(CAIXA.Modo,BM.AFAnterior,BM.MEDAnterior),IF(AND(RegimeExecucao="Global",$I89&gt;0,COUNTIF($AB$13:$AM$13,BM.medicao-1)&gt;0),M89/$I89*100,0))</f>
        <v>0</v>
      </c>
      <c r="K89" s="122">
        <f t="shared" ca="1" si="10"/>
        <v>0</v>
      </c>
      <c r="L89" s="334" cm="1">
        <f t="array" aca="1" ref="L89" ca="1">IF($A89="S",IF(CAIXA.Modo,BM.AFAcumulado,BM.MEDAcumulado),IF(AND(RegimeExecucao="Global",$I89&gt;0,COUNTIF($AB$13:$AM$13,BM.medicao)&gt;0),O89/$I89*100,0))</f>
        <v>0</v>
      </c>
      <c r="M89" s="335" cm="1">
        <f t="array" aca="1" ref="M89" ca="1">IF($A89="S",VTOTALBM,IF($A89=0,0,ROUND(SomaAgrupBM,15-13*ORÇAMENTO!$AF$11)))</f>
        <v>0</v>
      </c>
      <c r="N89" s="336">
        <f t="shared" ca="1" si="11"/>
        <v>0</v>
      </c>
      <c r="O89" s="125" cm="1">
        <f t="array" aca="1" ref="O89" ca="1">IF($A89="S",VTOTALBM,IF($A89=0,0,ROUND(SomaAgrupBM,15-13*ORÇAMENTO!$AF$11)))</f>
        <v>0</v>
      </c>
      <c r="Q89" s="337"/>
      <c r="R89" s="338"/>
      <c r="T89" s="117" t="str">
        <f t="shared" ca="1" si="12"/>
        <v/>
      </c>
      <c r="U89" s="163" t="str">
        <f t="shared" ca="1" si="13"/>
        <v/>
      </c>
      <c r="V89" s="164" t="str" cm="1">
        <f t="array" aca="1" ref="V89" ca="1">IF(AND($W89&gt;0,RegimeExecucao="Unitário"),$F89,"")</f>
        <v/>
      </c>
      <c r="W89" s="454" cm="1">
        <f t="array" aca="1" ref="W89" ca="1">IF($Y89&gt;0,CHOOSE(MATCH(RegimeExecucao,{"Unitário","Global"},0),IF($A89="S",$Y89/$X89,""),($Y89/$X89)*100),0)</f>
        <v>0</v>
      </c>
      <c r="X89" s="339" t="str" cm="1">
        <f t="array" aca="1" ref="X89" ca="1">IF($Y89&gt;0,CHOOSE(MATCH(RegimeExecucao,{"Unitário","Global"},0),IF($A89="S",ROUND($H89,ORÇAMENTO!$AF$10),""),ROUND($I89,ORÇAMENTO!$AF$11)),"")</f>
        <v/>
      </c>
      <c r="Y89" s="339">
        <f t="shared" ca="1" si="14"/>
        <v>0</v>
      </c>
      <c r="Z89" s="473"/>
      <c r="AB89" s="337"/>
      <c r="AC89" s="437"/>
      <c r="AD89" s="437"/>
      <c r="AE89" s="437"/>
      <c r="AF89" s="437"/>
      <c r="AG89" s="437"/>
      <c r="AH89" s="437"/>
      <c r="AI89" s="437"/>
      <c r="AJ89" s="437"/>
      <c r="AK89" s="437"/>
      <c r="AL89" s="437"/>
      <c r="AM89" s="338"/>
      <c r="AO89" s="670" cm="1">
        <f t="array" aca="1" ref="AO89" ca="1">IF($A89="S",IF(BM!$I89=0,0,CHOOSE(MATCH(RegimeExecucao,{"Global","Unitário"},0),ROUND(ROUND(BM.MEDAcumulado,15-13*BM!$A$9)/100*BM!$I89,15-13*ORÇAMENTO!$AF$11),ROUND(ROUND(BM.MEDAcumulado,15-13*BM!$A$9)*ROUND(BM!$H89,15-13*ORÇAMENTO!$AF$10),15-13*ORÇAMENTO!$AF$11))),IF($A89=0,0,ROUND(SomaAgrupBM,15-13*ORÇAMENTO!$AF$11)))</f>
        <v>0</v>
      </c>
    </row>
    <row r="90" spans="1:41" s="670" customFormat="1" ht="38.25" x14ac:dyDescent="0.2">
      <c r="A90" s="670" t="str">
        <f ca="1">ORÇAMENTO!C90</f>
        <v>S</v>
      </c>
      <c r="B90" s="670">
        <f ca="1">ORÇAMENTO!D90</f>
        <v>0</v>
      </c>
      <c r="C90" s="114" t="str">
        <f t="shared" ca="1" si="8"/>
        <v>F</v>
      </c>
      <c r="D90" s="117" t="str">
        <f ca="1">ORÇAMENTO!O90</f>
        <v>1.11.7.</v>
      </c>
      <c r="E90" s="163" t="str">
        <f t="shared" ca="1" si="9"/>
        <v>MONTAGEM E DESMONTAGEM DE FÔRMA DE VIGA, ESCORAMENTO COM PONTALETE DE MADEIRA, PÉ-DIREITO SIMPLES, EM MADEIRA SERRADA, 1 UTILIZAÇÃO. AF_09/2020</v>
      </c>
      <c r="F90" s="164" t="str" cm="1">
        <f t="array" aca="1" ref="F90" ca="1">IF(RegimeExecucao="Global","",ORÇAMENTO.Unidade)</f>
        <v>M2</v>
      </c>
      <c r="G90" s="122" cm="1">
        <f t="array" aca="1" ref="G90" ca="1">IF(RegimeExecucao="Global","",ORÇAMENTO!T90)</f>
        <v>112</v>
      </c>
      <c r="H90" s="122" cm="1">
        <f t="array" aca="1" ref="H90" ca="1">IF(RegimeExecucao="Global","",ORÇAMENTO!W90)</f>
        <v>469.54</v>
      </c>
      <c r="I90" s="125">
        <f ca="1">ORÇAMENTO!X90</f>
        <v>52588.480000000003</v>
      </c>
      <c r="J90" s="333" cm="1">
        <f t="array" aca="1" ref="J90" ca="1">IF($A90="S",IF(CAIXA.Modo,BM.AFAnterior,BM.MEDAnterior),IF(AND(RegimeExecucao="Global",$I90&gt;0,COUNTIF($AB$13:$AM$13,BM.medicao-1)&gt;0),M90/$I90*100,0))</f>
        <v>0</v>
      </c>
      <c r="K90" s="122">
        <f t="shared" ca="1" si="10"/>
        <v>0</v>
      </c>
      <c r="L90" s="334" cm="1">
        <f t="array" aca="1" ref="L90" ca="1">IF($A90="S",IF(CAIXA.Modo,BM.AFAcumulado,BM.MEDAcumulado),IF(AND(RegimeExecucao="Global",$I90&gt;0,COUNTIF($AB$13:$AM$13,BM.medicao)&gt;0),O90/$I90*100,0))</f>
        <v>0</v>
      </c>
      <c r="M90" s="335" cm="1">
        <f t="array" aca="1" ref="M90" ca="1">IF($A90="S",VTOTALBM,IF($A90=0,0,ROUND(SomaAgrupBM,15-13*ORÇAMENTO!$AF$11)))</f>
        <v>0</v>
      </c>
      <c r="N90" s="336">
        <f t="shared" ca="1" si="11"/>
        <v>0</v>
      </c>
      <c r="O90" s="125" cm="1">
        <f t="array" aca="1" ref="O90" ca="1">IF($A90="S",VTOTALBM,IF($A90=0,0,ROUND(SomaAgrupBM,15-13*ORÇAMENTO!$AF$11)))</f>
        <v>0</v>
      </c>
      <c r="Q90" s="337"/>
      <c r="R90" s="338"/>
      <c r="T90" s="117" t="str">
        <f t="shared" ca="1" si="12"/>
        <v/>
      </c>
      <c r="U90" s="163" t="str">
        <f t="shared" ca="1" si="13"/>
        <v/>
      </c>
      <c r="V90" s="164" t="str" cm="1">
        <f t="array" aca="1" ref="V90" ca="1">IF(AND($W90&gt;0,RegimeExecucao="Unitário"),$F90,"")</f>
        <v/>
      </c>
      <c r="W90" s="454" cm="1">
        <f t="array" aca="1" ref="W90" ca="1">IF($Y90&gt;0,CHOOSE(MATCH(RegimeExecucao,{"Unitário","Global"},0),IF($A90="S",$Y90/$X90,""),($Y90/$X90)*100),0)</f>
        <v>0</v>
      </c>
      <c r="X90" s="339" t="str" cm="1">
        <f t="array" aca="1" ref="X90" ca="1">IF($Y90&gt;0,CHOOSE(MATCH(RegimeExecucao,{"Unitário","Global"},0),IF($A90="S",ROUND($H90,ORÇAMENTO!$AF$10),""),ROUND($I90,ORÇAMENTO!$AF$11)),"")</f>
        <v/>
      </c>
      <c r="Y90" s="339">
        <f t="shared" ca="1" si="14"/>
        <v>0</v>
      </c>
      <c r="Z90" s="473"/>
      <c r="AB90" s="337"/>
      <c r="AC90" s="437"/>
      <c r="AD90" s="437"/>
      <c r="AE90" s="437"/>
      <c r="AF90" s="437"/>
      <c r="AG90" s="437"/>
      <c r="AH90" s="437"/>
      <c r="AI90" s="437"/>
      <c r="AJ90" s="437"/>
      <c r="AK90" s="437"/>
      <c r="AL90" s="437"/>
      <c r="AM90" s="338"/>
      <c r="AO90" s="670" cm="1">
        <f t="array" aca="1" ref="AO90" ca="1">IF($A90="S",IF(BM!$I90=0,0,CHOOSE(MATCH(RegimeExecucao,{"Global","Unitário"},0),ROUND(ROUND(BM.MEDAcumulado,15-13*BM!$A$9)/100*BM!$I90,15-13*ORÇAMENTO!$AF$11),ROUND(ROUND(BM.MEDAcumulado,15-13*BM!$A$9)*ROUND(BM!$H90,15-13*ORÇAMENTO!$AF$10),15-13*ORÇAMENTO!$AF$11))),IF($A90=0,0,ROUND(SomaAgrupBM,15-13*ORÇAMENTO!$AF$11)))</f>
        <v>0</v>
      </c>
    </row>
    <row r="91" spans="1:41" s="670" customFormat="1" ht="25.5" x14ac:dyDescent="0.2">
      <c r="A91" s="670">
        <f ca="1">ORÇAMENTO!C91</f>
        <v>2</v>
      </c>
      <c r="B91" s="670">
        <f ca="1">ORÇAMENTO!D91</f>
        <v>7</v>
      </c>
      <c r="C91" s="114" t="str">
        <f t="shared" ca="1" si="8"/>
        <v>F</v>
      </c>
      <c r="D91" s="117" t="str">
        <f ca="1">ORÇAMENTO!O91</f>
        <v>1.12.</v>
      </c>
      <c r="E91" s="163" t="str">
        <f t="shared" si="9"/>
        <v>REMOÇÃO E RECOMPOSIÇÃO DE PAVIMENTAÇÃO - Adutora de Água Tratada</v>
      </c>
      <c r="F91" s="164" t="str" cm="1">
        <f t="array" aca="1" ref="F91" ca="1">IF(RegimeExecucao="Global","",ORÇAMENTO.Unidade)</f>
        <v>-</v>
      </c>
      <c r="G91" s="122" cm="1">
        <f t="array" aca="1" ref="G91" ca="1">IF(RegimeExecucao="Global","",ORÇAMENTO!T91)</f>
        <v>0</v>
      </c>
      <c r="H91" s="122" cm="1">
        <f t="array" aca="1" ref="H91" ca="1">IF(RegimeExecucao="Global","",ORÇAMENTO!W91)</f>
        <v>0</v>
      </c>
      <c r="I91" s="125">
        <f ca="1">ORÇAMENTO!X91</f>
        <v>281457.40999999997</v>
      </c>
      <c r="J91" s="333" cm="1">
        <f t="array" aca="1" ref="J91" ca="1">IF($A91="S",IF(CAIXA.Modo,BM.AFAnterior,BM.MEDAnterior),IF(AND(RegimeExecucao="Global",$I91&gt;0,COUNTIF($AB$13:$AM$13,BM.medicao-1)&gt;0),M91/$I91*100,0))</f>
        <v>0</v>
      </c>
      <c r="K91" s="122">
        <f t="shared" ca="1" si="10"/>
        <v>0</v>
      </c>
      <c r="L91" s="334" cm="1">
        <f t="array" aca="1" ref="L91" ca="1">IF($A91="S",IF(CAIXA.Modo,BM.AFAcumulado,BM.MEDAcumulado),IF(AND(RegimeExecucao="Global",$I91&gt;0,COUNTIF($AB$13:$AM$13,BM.medicao)&gt;0),O91/$I91*100,0))</f>
        <v>0</v>
      </c>
      <c r="M91" s="335" cm="1">
        <f t="array" aca="1" ref="M91" ca="1">IF($A91="S",VTOTALBM,IF($A91=0,0,ROUND(SomaAgrupBM,15-13*ORÇAMENTO!$AF$11)))</f>
        <v>0</v>
      </c>
      <c r="N91" s="336">
        <f t="shared" ca="1" si="11"/>
        <v>0</v>
      </c>
      <c r="O91" s="125" cm="1">
        <f t="array" aca="1" ref="O91" ca="1">IF($A91="S",VTOTALBM,IF($A91=0,0,ROUND(SomaAgrupBM,15-13*ORÇAMENTO!$AF$11)))</f>
        <v>0</v>
      </c>
      <c r="Q91" s="337"/>
      <c r="R91" s="338"/>
      <c r="T91" s="117" t="str">
        <f t="shared" ca="1" si="12"/>
        <v/>
      </c>
      <c r="U91" s="163" t="str">
        <f t="shared" ca="1" si="13"/>
        <v/>
      </c>
      <c r="V91" s="164" t="str" cm="1">
        <f t="array" aca="1" ref="V91" ca="1">IF(AND($W91&gt;0,RegimeExecucao="Unitário"),$F91,"")</f>
        <v/>
      </c>
      <c r="W91" s="454" cm="1">
        <f t="array" aca="1" ref="W91" ca="1">IF($Y91&gt;0,CHOOSE(MATCH(RegimeExecucao,{"Unitário","Global"},0),IF($A91="S",$Y91/$X91,""),($Y91/$X91)*100),0)</f>
        <v>0</v>
      </c>
      <c r="X91" s="339" t="str" cm="1">
        <f t="array" aca="1" ref="X91" ca="1">IF($Y91&gt;0,CHOOSE(MATCH(RegimeExecucao,{"Unitário","Global"},0),IF($A91="S",ROUND($H91,ORÇAMENTO!$AF$10),""),ROUND($I91,ORÇAMENTO!$AF$11)),"")</f>
        <v/>
      </c>
      <c r="Y91" s="339">
        <f t="shared" ca="1" si="14"/>
        <v>0</v>
      </c>
      <c r="Z91" s="473"/>
      <c r="AB91" s="337"/>
      <c r="AC91" s="437"/>
      <c r="AD91" s="437"/>
      <c r="AE91" s="437"/>
      <c r="AF91" s="437"/>
      <c r="AG91" s="437"/>
      <c r="AH91" s="437"/>
      <c r="AI91" s="437"/>
      <c r="AJ91" s="437"/>
      <c r="AK91" s="437"/>
      <c r="AL91" s="437"/>
      <c r="AM91" s="338"/>
      <c r="AO91" s="670" cm="1">
        <f t="array" aca="1" ref="AO91" ca="1">IF($A91="S",IF(BM!$I91=0,0,CHOOSE(MATCH(RegimeExecucao,{"Global","Unitário"},0),ROUND(ROUND(BM.MEDAcumulado,15-13*BM!$A$9)/100*BM!$I91,15-13*ORÇAMENTO!$AF$11),ROUND(ROUND(BM.MEDAcumulado,15-13*BM!$A$9)*ROUND(BM!$H91,15-13*ORÇAMENTO!$AF$10),15-13*ORÇAMENTO!$AF$11))),IF($A91=0,0,ROUND(SomaAgrupBM,15-13*ORÇAMENTO!$AF$11)))</f>
        <v>0</v>
      </c>
    </row>
    <row r="92" spans="1:41" s="670" customFormat="1" ht="51" x14ac:dyDescent="0.2">
      <c r="A92" s="670" t="str">
        <f ca="1">ORÇAMENTO!C92</f>
        <v>S</v>
      </c>
      <c r="B92" s="670">
        <f ca="1">ORÇAMENTO!D92</f>
        <v>0</v>
      </c>
      <c r="C92" s="114" t="str">
        <f t="shared" ca="1" si="8"/>
        <v>F</v>
      </c>
      <c r="D92" s="117" t="str">
        <f ca="1">ORÇAMENTO!O92</f>
        <v>1.12.1.</v>
      </c>
      <c r="E92" s="163" t="str">
        <f t="shared" ca="1" si="9"/>
        <v>CARGA, MANOBRA E DESCARGA DE SOLOS E MATERIAIS GRANULARES EM CAMINHÃO BASCULANTE 14 M³ - CARGA COM PÁ CARREGADEIRA (CAÇAMBA DE 1,7 A 2,8 M³ / 128 HP) E DESCARGA LIVRE (UNIDADE: M3). AF_07/2020</v>
      </c>
      <c r="F92" s="164" t="str" cm="1">
        <f t="array" aca="1" ref="F92" ca="1">IF(RegimeExecucao="Global","",ORÇAMENTO.Unidade)</f>
        <v>M3</v>
      </c>
      <c r="G92" s="122" cm="1">
        <f t="array" aca="1" ref="G92" ca="1">IF(RegimeExecucao="Global","",ORÇAMENTO!T92)</f>
        <v>1881.45</v>
      </c>
      <c r="H92" s="122" cm="1">
        <f t="array" aca="1" ref="H92" ca="1">IF(RegimeExecucao="Global","",ORÇAMENTO!W92)</f>
        <v>11.05</v>
      </c>
      <c r="I92" s="125">
        <f ca="1">ORÇAMENTO!X92</f>
        <v>20790.02</v>
      </c>
      <c r="J92" s="333" cm="1">
        <f t="array" aca="1" ref="J92" ca="1">IF($A92="S",IF(CAIXA.Modo,BM.AFAnterior,BM.MEDAnterior),IF(AND(RegimeExecucao="Global",$I92&gt;0,COUNTIF($AB$13:$AM$13,BM.medicao-1)&gt;0),M92/$I92*100,0))</f>
        <v>0</v>
      </c>
      <c r="K92" s="122">
        <f t="shared" ca="1" si="10"/>
        <v>0</v>
      </c>
      <c r="L92" s="334" cm="1">
        <f t="array" aca="1" ref="L92" ca="1">IF($A92="S",IF(CAIXA.Modo,BM.AFAcumulado,BM.MEDAcumulado),IF(AND(RegimeExecucao="Global",$I92&gt;0,COUNTIF($AB$13:$AM$13,BM.medicao)&gt;0),O92/$I92*100,0))</f>
        <v>0</v>
      </c>
      <c r="M92" s="335" cm="1">
        <f t="array" aca="1" ref="M92" ca="1">IF($A92="S",VTOTALBM,IF($A92=0,0,ROUND(SomaAgrupBM,15-13*ORÇAMENTO!$AF$11)))</f>
        <v>0</v>
      </c>
      <c r="N92" s="336">
        <f t="shared" ca="1" si="11"/>
        <v>0</v>
      </c>
      <c r="O92" s="125" cm="1">
        <f t="array" aca="1" ref="O92" ca="1">IF($A92="S",VTOTALBM,IF($A92=0,0,ROUND(SomaAgrupBM,15-13*ORÇAMENTO!$AF$11)))</f>
        <v>0</v>
      </c>
      <c r="Q92" s="337"/>
      <c r="R92" s="338"/>
      <c r="T92" s="117" t="str">
        <f t="shared" ca="1" si="12"/>
        <v/>
      </c>
      <c r="U92" s="163" t="str">
        <f t="shared" ca="1" si="13"/>
        <v/>
      </c>
      <c r="V92" s="164" t="str" cm="1">
        <f t="array" aca="1" ref="V92" ca="1">IF(AND($W92&gt;0,RegimeExecucao="Unitário"),$F92,"")</f>
        <v/>
      </c>
      <c r="W92" s="454" cm="1">
        <f t="array" aca="1" ref="W92" ca="1">IF($Y92&gt;0,CHOOSE(MATCH(RegimeExecucao,{"Unitário","Global"},0),IF($A92="S",$Y92/$X92,""),($Y92/$X92)*100),0)</f>
        <v>0</v>
      </c>
      <c r="X92" s="339" t="str" cm="1">
        <f t="array" aca="1" ref="X92" ca="1">IF($Y92&gt;0,CHOOSE(MATCH(RegimeExecucao,{"Unitário","Global"},0),IF($A92="S",ROUND($H92,ORÇAMENTO!$AF$10),""),ROUND($I92,ORÇAMENTO!$AF$11)),"")</f>
        <v/>
      </c>
      <c r="Y92" s="339">
        <f t="shared" ca="1" si="14"/>
        <v>0</v>
      </c>
      <c r="Z92" s="473"/>
      <c r="AB92" s="337"/>
      <c r="AC92" s="437"/>
      <c r="AD92" s="437"/>
      <c r="AE92" s="437"/>
      <c r="AF92" s="437"/>
      <c r="AG92" s="437"/>
      <c r="AH92" s="437"/>
      <c r="AI92" s="437"/>
      <c r="AJ92" s="437"/>
      <c r="AK92" s="437"/>
      <c r="AL92" s="437"/>
      <c r="AM92" s="338"/>
      <c r="AO92" s="670" cm="1">
        <f t="array" aca="1" ref="AO92" ca="1">IF($A92="S",IF(BM!$I92=0,0,CHOOSE(MATCH(RegimeExecucao,{"Global","Unitário"},0),ROUND(ROUND(BM.MEDAcumulado,15-13*BM!$A$9)/100*BM!$I92,15-13*ORÇAMENTO!$AF$11),ROUND(ROUND(BM.MEDAcumulado,15-13*BM!$A$9)*ROUND(BM!$H92,15-13*ORÇAMENTO!$AF$10),15-13*ORÇAMENTO!$AF$11))),IF($A92=0,0,ROUND(SomaAgrupBM,15-13*ORÇAMENTO!$AF$11)))</f>
        <v>0</v>
      </c>
    </row>
    <row r="93" spans="1:41" s="670" customFormat="1" ht="38.25" x14ac:dyDescent="0.2">
      <c r="A93" s="670" t="str">
        <f ca="1">ORÇAMENTO!C93</f>
        <v>S</v>
      </c>
      <c r="B93" s="670">
        <f ca="1">ORÇAMENTO!D93</f>
        <v>0</v>
      </c>
      <c r="C93" s="114" t="str">
        <f t="shared" ca="1" si="8"/>
        <v>F</v>
      </c>
      <c r="D93" s="117" t="str">
        <f ca="1">ORÇAMENTO!O93</f>
        <v>1.12.2.</v>
      </c>
      <c r="E93" s="163" t="str">
        <f t="shared" ca="1" si="9"/>
        <v>TRANSPORTE COM CAMINHÃO BASCULANTE DE 10 M³, EM VIA URBANA PAVIMENTADA, ADICIONAL PARA DMT EXCEDENTE A 30 KM (UNIDADE: M3XKM). AF_07/2020</v>
      </c>
      <c r="F93" s="164" t="str" cm="1">
        <f t="array" aca="1" ref="F93" ca="1">IF(RegimeExecucao="Global","",ORÇAMENTO.Unidade)</f>
        <v>M3XKM</v>
      </c>
      <c r="G93" s="122" cm="1">
        <f t="array" aca="1" ref="G93" ca="1">IF(RegimeExecucao="Global","",ORÇAMENTO!T93)</f>
        <v>824.07</v>
      </c>
      <c r="H93" s="122" cm="1">
        <f t="array" aca="1" ref="H93" ca="1">IF(RegimeExecucao="Global","",ORÇAMENTO!W93)</f>
        <v>1.25</v>
      </c>
      <c r="I93" s="125">
        <f ca="1">ORÇAMENTO!X93</f>
        <v>1030.0899999999999</v>
      </c>
      <c r="J93" s="333" cm="1">
        <f t="array" aca="1" ref="J93" ca="1">IF($A93="S",IF(CAIXA.Modo,BM.AFAnterior,BM.MEDAnterior),IF(AND(RegimeExecucao="Global",$I93&gt;0,COUNTIF($AB$13:$AM$13,BM.medicao-1)&gt;0),M93/$I93*100,0))</f>
        <v>0</v>
      </c>
      <c r="K93" s="122">
        <f t="shared" ca="1" si="10"/>
        <v>0</v>
      </c>
      <c r="L93" s="334" cm="1">
        <f t="array" aca="1" ref="L93" ca="1">IF($A93="S",IF(CAIXA.Modo,BM.AFAcumulado,BM.MEDAcumulado),IF(AND(RegimeExecucao="Global",$I93&gt;0,COUNTIF($AB$13:$AM$13,BM.medicao)&gt;0),O93/$I93*100,0))</f>
        <v>0</v>
      </c>
      <c r="M93" s="335" cm="1">
        <f t="array" aca="1" ref="M93" ca="1">IF($A93="S",VTOTALBM,IF($A93=0,0,ROUND(SomaAgrupBM,15-13*ORÇAMENTO!$AF$11)))</f>
        <v>0</v>
      </c>
      <c r="N93" s="336">
        <f t="shared" ca="1" si="11"/>
        <v>0</v>
      </c>
      <c r="O93" s="125" cm="1">
        <f t="array" aca="1" ref="O93" ca="1">IF($A93="S",VTOTALBM,IF($A93=0,0,ROUND(SomaAgrupBM,15-13*ORÇAMENTO!$AF$11)))</f>
        <v>0</v>
      </c>
      <c r="Q93" s="337"/>
      <c r="R93" s="338"/>
      <c r="T93" s="117" t="str">
        <f t="shared" ca="1" si="12"/>
        <v/>
      </c>
      <c r="U93" s="163" t="str">
        <f t="shared" ca="1" si="13"/>
        <v/>
      </c>
      <c r="V93" s="164" t="str" cm="1">
        <f t="array" aca="1" ref="V93" ca="1">IF(AND($W93&gt;0,RegimeExecucao="Unitário"),$F93,"")</f>
        <v/>
      </c>
      <c r="W93" s="454" cm="1">
        <f t="array" aca="1" ref="W93" ca="1">IF($Y93&gt;0,CHOOSE(MATCH(RegimeExecucao,{"Unitário","Global"},0),IF($A93="S",$Y93/$X93,""),($Y93/$X93)*100),0)</f>
        <v>0</v>
      </c>
      <c r="X93" s="339" t="str" cm="1">
        <f t="array" aca="1" ref="X93" ca="1">IF($Y93&gt;0,CHOOSE(MATCH(RegimeExecucao,{"Unitário","Global"},0),IF($A93="S",ROUND($H93,ORÇAMENTO!$AF$10),""),ROUND($I93,ORÇAMENTO!$AF$11)),"")</f>
        <v/>
      </c>
      <c r="Y93" s="339">
        <f t="shared" ca="1" si="14"/>
        <v>0</v>
      </c>
      <c r="Z93" s="473"/>
      <c r="AB93" s="337"/>
      <c r="AC93" s="437"/>
      <c r="AD93" s="437"/>
      <c r="AE93" s="437"/>
      <c r="AF93" s="437"/>
      <c r="AG93" s="437"/>
      <c r="AH93" s="437"/>
      <c r="AI93" s="437"/>
      <c r="AJ93" s="437"/>
      <c r="AK93" s="437"/>
      <c r="AL93" s="437"/>
      <c r="AM93" s="338"/>
      <c r="AO93" s="670" cm="1">
        <f t="array" aca="1" ref="AO93" ca="1">IF($A93="S",IF(BM!$I93=0,0,CHOOSE(MATCH(RegimeExecucao,{"Global","Unitário"},0),ROUND(ROUND(BM.MEDAcumulado,15-13*BM!$A$9)/100*BM!$I93,15-13*ORÇAMENTO!$AF$11),ROUND(ROUND(BM.MEDAcumulado,15-13*BM!$A$9)*ROUND(BM!$H93,15-13*ORÇAMENTO!$AF$10),15-13*ORÇAMENTO!$AF$11))),IF($A93=0,0,ROUND(SomaAgrupBM,15-13*ORÇAMENTO!$AF$11)))</f>
        <v>0</v>
      </c>
    </row>
    <row r="94" spans="1:41" s="670" customFormat="1" ht="25.5" x14ac:dyDescent="0.2">
      <c r="A94" s="670" t="str">
        <f ca="1">ORÇAMENTO!C94</f>
        <v>S</v>
      </c>
      <c r="B94" s="670">
        <f ca="1">ORÇAMENTO!D94</f>
        <v>0</v>
      </c>
      <c r="C94" s="114" t="str">
        <f t="shared" ca="1" si="8"/>
        <v>F</v>
      </c>
      <c r="D94" s="117" t="str">
        <f ca="1">ORÇAMENTO!O94</f>
        <v>1.12.3.</v>
      </c>
      <c r="E94" s="163" t="str">
        <f t="shared" ca="1" si="9"/>
        <v>ESPALHAMENTO DE MATERIAL COM TRATOR DE ESTEIRAS. AF_09/2024</v>
      </c>
      <c r="F94" s="164" t="str" cm="1">
        <f t="array" aca="1" ref="F94" ca="1">IF(RegimeExecucao="Global","",ORÇAMENTO.Unidade)</f>
        <v>M3</v>
      </c>
      <c r="G94" s="122" cm="1">
        <f t="array" aca="1" ref="G94" ca="1">IF(RegimeExecucao="Global","",ORÇAMENTO!T94)</f>
        <v>824.07</v>
      </c>
      <c r="H94" s="122" cm="1">
        <f t="array" aca="1" ref="H94" ca="1">IF(RegimeExecucao="Global","",ORÇAMENTO!W94)</f>
        <v>1.87</v>
      </c>
      <c r="I94" s="125">
        <f ca="1">ORÇAMENTO!X94</f>
        <v>1541.01</v>
      </c>
      <c r="J94" s="333" cm="1">
        <f t="array" aca="1" ref="J94" ca="1">IF($A94="S",IF(CAIXA.Modo,BM.AFAnterior,BM.MEDAnterior),IF(AND(RegimeExecucao="Global",$I94&gt;0,COUNTIF($AB$13:$AM$13,BM.medicao-1)&gt;0),M94/$I94*100,0))</f>
        <v>0</v>
      </c>
      <c r="K94" s="122">
        <f t="shared" ca="1" si="10"/>
        <v>0</v>
      </c>
      <c r="L94" s="334" cm="1">
        <f t="array" aca="1" ref="L94" ca="1">IF($A94="S",IF(CAIXA.Modo,BM.AFAcumulado,BM.MEDAcumulado),IF(AND(RegimeExecucao="Global",$I94&gt;0,COUNTIF($AB$13:$AM$13,BM.medicao)&gt;0),O94/$I94*100,0))</f>
        <v>0</v>
      </c>
      <c r="M94" s="335" cm="1">
        <f t="array" aca="1" ref="M94" ca="1">IF($A94="S",VTOTALBM,IF($A94=0,0,ROUND(SomaAgrupBM,15-13*ORÇAMENTO!$AF$11)))</f>
        <v>0</v>
      </c>
      <c r="N94" s="336">
        <f t="shared" ca="1" si="11"/>
        <v>0</v>
      </c>
      <c r="O94" s="125" cm="1">
        <f t="array" aca="1" ref="O94" ca="1">IF($A94="S",VTOTALBM,IF($A94=0,0,ROUND(SomaAgrupBM,15-13*ORÇAMENTO!$AF$11)))</f>
        <v>0</v>
      </c>
      <c r="Q94" s="337"/>
      <c r="R94" s="338"/>
      <c r="T94" s="117" t="str">
        <f t="shared" ca="1" si="12"/>
        <v/>
      </c>
      <c r="U94" s="163" t="str">
        <f t="shared" ca="1" si="13"/>
        <v/>
      </c>
      <c r="V94" s="164" t="str" cm="1">
        <f t="array" aca="1" ref="V94" ca="1">IF(AND($W94&gt;0,RegimeExecucao="Unitário"),$F94,"")</f>
        <v/>
      </c>
      <c r="W94" s="454" cm="1">
        <f t="array" aca="1" ref="W94" ca="1">IF($Y94&gt;0,CHOOSE(MATCH(RegimeExecucao,{"Unitário","Global"},0),IF($A94="S",$Y94/$X94,""),($Y94/$X94)*100),0)</f>
        <v>0</v>
      </c>
      <c r="X94" s="339" t="str" cm="1">
        <f t="array" aca="1" ref="X94" ca="1">IF($Y94&gt;0,CHOOSE(MATCH(RegimeExecucao,{"Unitário","Global"},0),IF($A94="S",ROUND($H94,ORÇAMENTO!$AF$10),""),ROUND($I94,ORÇAMENTO!$AF$11)),"")</f>
        <v/>
      </c>
      <c r="Y94" s="339">
        <f t="shared" ca="1" si="14"/>
        <v>0</v>
      </c>
      <c r="Z94" s="473"/>
      <c r="AB94" s="337"/>
      <c r="AC94" s="437"/>
      <c r="AD94" s="437"/>
      <c r="AE94" s="437"/>
      <c r="AF94" s="437"/>
      <c r="AG94" s="437"/>
      <c r="AH94" s="437"/>
      <c r="AI94" s="437"/>
      <c r="AJ94" s="437"/>
      <c r="AK94" s="437"/>
      <c r="AL94" s="437"/>
      <c r="AM94" s="338"/>
      <c r="AO94" s="670" cm="1">
        <f t="array" aca="1" ref="AO94" ca="1">IF($A94="S",IF(BM!$I94=0,0,CHOOSE(MATCH(RegimeExecucao,{"Global","Unitário"},0),ROUND(ROUND(BM.MEDAcumulado,15-13*BM!$A$9)/100*BM!$I94,15-13*ORÇAMENTO!$AF$11),ROUND(ROUND(BM.MEDAcumulado,15-13*BM!$A$9)*ROUND(BM!$H94,15-13*ORÇAMENTO!$AF$10),15-13*ORÇAMENTO!$AF$11))),IF($A94=0,0,ROUND(SomaAgrupBM,15-13*ORÇAMENTO!$AF$11)))</f>
        <v>0</v>
      </c>
    </row>
    <row r="95" spans="1:41" s="670" customFormat="1" ht="38.25" x14ac:dyDescent="0.2">
      <c r="A95" s="670" t="str">
        <f ca="1">ORÇAMENTO!C95</f>
        <v>S</v>
      </c>
      <c r="B95" s="670">
        <f ca="1">ORÇAMENTO!D95</f>
        <v>0</v>
      </c>
      <c r="C95" s="114" t="str">
        <f t="shared" ca="1" si="8"/>
        <v>F</v>
      </c>
      <c r="D95" s="117" t="str">
        <f ca="1">ORÇAMENTO!O95</f>
        <v>1.12.4.</v>
      </c>
      <c r="E95" s="163" t="str">
        <f t="shared" ca="1" si="9"/>
        <v>RECOMPOSIÇÃO DE BASE E OU SUB-BASE PARA FECHAMENTO DE VALAS DE SOLO COM CIMENTO (TEOR DE 6%) - INCLUSO RETIRADA E COLOCAÇÃO DO MATERIAL. AF_12/2020</v>
      </c>
      <c r="F95" s="164" t="str" cm="1">
        <f t="array" aca="1" ref="F95" ca="1">IF(RegimeExecucao="Global","",ORÇAMENTO.Unidade)</f>
        <v>M3</v>
      </c>
      <c r="G95" s="122" cm="1">
        <f t="array" aca="1" ref="G95" ca="1">IF(RegimeExecucao="Global","",ORÇAMENTO!T95)</f>
        <v>1220.4000000000001</v>
      </c>
      <c r="H95" s="122" cm="1">
        <f t="array" aca="1" ref="H95" ca="1">IF(RegimeExecucao="Global","",ORÇAMENTO!W95)</f>
        <v>166.61</v>
      </c>
      <c r="I95" s="125">
        <f ca="1">ORÇAMENTO!X95</f>
        <v>203330.84</v>
      </c>
      <c r="J95" s="333" cm="1">
        <f t="array" aca="1" ref="J95" ca="1">IF($A95="S",IF(CAIXA.Modo,BM.AFAnterior,BM.MEDAnterior),IF(AND(RegimeExecucao="Global",$I95&gt;0,COUNTIF($AB$13:$AM$13,BM.medicao-1)&gt;0),M95/$I95*100,0))</f>
        <v>0</v>
      </c>
      <c r="K95" s="122">
        <f t="shared" ca="1" si="10"/>
        <v>0</v>
      </c>
      <c r="L95" s="334" cm="1">
        <f t="array" aca="1" ref="L95" ca="1">IF($A95="S",IF(CAIXA.Modo,BM.AFAcumulado,BM.MEDAcumulado),IF(AND(RegimeExecucao="Global",$I95&gt;0,COUNTIF($AB$13:$AM$13,BM.medicao)&gt;0),O95/$I95*100,0))</f>
        <v>0</v>
      </c>
      <c r="M95" s="335" cm="1">
        <f t="array" aca="1" ref="M95" ca="1">IF($A95="S",VTOTALBM,IF($A95=0,0,ROUND(SomaAgrupBM,15-13*ORÇAMENTO!$AF$11)))</f>
        <v>0</v>
      </c>
      <c r="N95" s="336">
        <f t="shared" ca="1" si="11"/>
        <v>0</v>
      </c>
      <c r="O95" s="125" cm="1">
        <f t="array" aca="1" ref="O95" ca="1">IF($A95="S",VTOTALBM,IF($A95=0,0,ROUND(SomaAgrupBM,15-13*ORÇAMENTO!$AF$11)))</f>
        <v>0</v>
      </c>
      <c r="Q95" s="337"/>
      <c r="R95" s="338"/>
      <c r="T95" s="117" t="str">
        <f t="shared" ca="1" si="12"/>
        <v/>
      </c>
      <c r="U95" s="163" t="str">
        <f t="shared" ca="1" si="13"/>
        <v/>
      </c>
      <c r="V95" s="164" t="str" cm="1">
        <f t="array" aca="1" ref="V95" ca="1">IF(AND($W95&gt;0,RegimeExecucao="Unitário"),$F95,"")</f>
        <v/>
      </c>
      <c r="W95" s="454" cm="1">
        <f t="array" aca="1" ref="W95" ca="1">IF($Y95&gt;0,CHOOSE(MATCH(RegimeExecucao,{"Unitário","Global"},0),IF($A95="S",$Y95/$X95,""),($Y95/$X95)*100),0)</f>
        <v>0</v>
      </c>
      <c r="X95" s="339" t="str" cm="1">
        <f t="array" aca="1" ref="X95" ca="1">IF($Y95&gt;0,CHOOSE(MATCH(RegimeExecucao,{"Unitário","Global"},0),IF($A95="S",ROUND($H95,ORÇAMENTO!$AF$10),""),ROUND($I95,ORÇAMENTO!$AF$11)),"")</f>
        <v/>
      </c>
      <c r="Y95" s="339">
        <f t="shared" ca="1" si="14"/>
        <v>0</v>
      </c>
      <c r="Z95" s="473"/>
      <c r="AB95" s="337"/>
      <c r="AC95" s="437"/>
      <c r="AD95" s="437"/>
      <c r="AE95" s="437"/>
      <c r="AF95" s="437"/>
      <c r="AG95" s="437"/>
      <c r="AH95" s="437"/>
      <c r="AI95" s="437"/>
      <c r="AJ95" s="437"/>
      <c r="AK95" s="437"/>
      <c r="AL95" s="437"/>
      <c r="AM95" s="338"/>
      <c r="AO95" s="670" cm="1">
        <f t="array" aca="1" ref="AO95" ca="1">IF($A95="S",IF(BM!$I95=0,0,CHOOSE(MATCH(RegimeExecucao,{"Global","Unitário"},0),ROUND(ROUND(BM.MEDAcumulado,15-13*BM!$A$9)/100*BM!$I95,15-13*ORÇAMENTO!$AF$11),ROUND(ROUND(BM.MEDAcumulado,15-13*BM!$A$9)*ROUND(BM!$H95,15-13*ORÇAMENTO!$AF$10),15-13*ORÇAMENTO!$AF$11))),IF($A95=0,0,ROUND(SomaAgrupBM,15-13*ORÇAMENTO!$AF$11)))</f>
        <v>0</v>
      </c>
    </row>
    <row r="96" spans="1:41" s="670" customFormat="1" x14ac:dyDescent="0.2">
      <c r="A96" s="670" t="str">
        <f ca="1">ORÇAMENTO!C96</f>
        <v>S</v>
      </c>
      <c r="B96" s="670">
        <f ca="1">ORÇAMENTO!D96</f>
        <v>0</v>
      </c>
      <c r="C96" s="114" t="str">
        <f t="shared" ca="1" si="8"/>
        <v>F</v>
      </c>
      <c r="D96" s="117" t="str">
        <f ca="1">ORÇAMENTO!O96</f>
        <v>1.12.5.</v>
      </c>
      <c r="E96" s="163" t="str">
        <f t="shared" ca="1" si="9"/>
        <v>PINTURA DE LIGAÇÃO COM RR-1C</v>
      </c>
      <c r="F96" s="164" t="str" cm="1">
        <f t="array" aca="1" ref="F96" ca="1">IF(RegimeExecucao="Global","",ORÇAMENTO.Unidade)</f>
        <v>M2</v>
      </c>
      <c r="G96" s="122" cm="1">
        <f t="array" aca="1" ref="G96" ca="1">IF(RegimeExecucao="Global","",ORÇAMENTO!T96)</f>
        <v>15255</v>
      </c>
      <c r="H96" s="122" cm="1">
        <f t="array" aca="1" ref="H96" ca="1">IF(RegimeExecucao="Global","",ORÇAMENTO!W96)</f>
        <v>2.83</v>
      </c>
      <c r="I96" s="125">
        <f ca="1">ORÇAMENTO!X96</f>
        <v>43171.65</v>
      </c>
      <c r="J96" s="333" cm="1">
        <f t="array" aca="1" ref="J96" ca="1">IF($A96="S",IF(CAIXA.Modo,BM.AFAnterior,BM.MEDAnterior),IF(AND(RegimeExecucao="Global",$I96&gt;0,COUNTIF($AB$13:$AM$13,BM.medicao-1)&gt;0),M96/$I96*100,0))</f>
        <v>0</v>
      </c>
      <c r="K96" s="122">
        <f t="shared" ca="1" si="10"/>
        <v>0</v>
      </c>
      <c r="L96" s="334" cm="1">
        <f t="array" aca="1" ref="L96" ca="1">IF($A96="S",IF(CAIXA.Modo,BM.AFAcumulado,BM.MEDAcumulado),IF(AND(RegimeExecucao="Global",$I96&gt;0,COUNTIF($AB$13:$AM$13,BM.medicao)&gt;0),O96/$I96*100,0))</f>
        <v>0</v>
      </c>
      <c r="M96" s="335" cm="1">
        <f t="array" aca="1" ref="M96" ca="1">IF($A96="S",VTOTALBM,IF($A96=0,0,ROUND(SomaAgrupBM,15-13*ORÇAMENTO!$AF$11)))</f>
        <v>0</v>
      </c>
      <c r="N96" s="336">
        <f t="shared" ca="1" si="11"/>
        <v>0</v>
      </c>
      <c r="O96" s="125" cm="1">
        <f t="array" aca="1" ref="O96" ca="1">IF($A96="S",VTOTALBM,IF($A96=0,0,ROUND(SomaAgrupBM,15-13*ORÇAMENTO!$AF$11)))</f>
        <v>0</v>
      </c>
      <c r="Q96" s="337"/>
      <c r="R96" s="338"/>
      <c r="T96" s="117" t="str">
        <f t="shared" ca="1" si="12"/>
        <v/>
      </c>
      <c r="U96" s="163" t="str">
        <f t="shared" ca="1" si="13"/>
        <v/>
      </c>
      <c r="V96" s="164" t="str" cm="1">
        <f t="array" aca="1" ref="V96" ca="1">IF(AND($W96&gt;0,RegimeExecucao="Unitário"),$F96,"")</f>
        <v/>
      </c>
      <c r="W96" s="454" cm="1">
        <f t="array" aca="1" ref="W96" ca="1">IF($Y96&gt;0,CHOOSE(MATCH(RegimeExecucao,{"Unitário","Global"},0),IF($A96="S",$Y96/$X96,""),($Y96/$X96)*100),0)</f>
        <v>0</v>
      </c>
      <c r="X96" s="339" t="str" cm="1">
        <f t="array" aca="1" ref="X96" ca="1">IF($Y96&gt;0,CHOOSE(MATCH(RegimeExecucao,{"Unitário","Global"},0),IF($A96="S",ROUND($H96,ORÇAMENTO!$AF$10),""),ROUND($I96,ORÇAMENTO!$AF$11)),"")</f>
        <v/>
      </c>
      <c r="Y96" s="339">
        <f t="shared" ca="1" si="14"/>
        <v>0</v>
      </c>
      <c r="Z96" s="473"/>
      <c r="AB96" s="337"/>
      <c r="AC96" s="437"/>
      <c r="AD96" s="437"/>
      <c r="AE96" s="437"/>
      <c r="AF96" s="437"/>
      <c r="AG96" s="437"/>
      <c r="AH96" s="437"/>
      <c r="AI96" s="437"/>
      <c r="AJ96" s="437"/>
      <c r="AK96" s="437"/>
      <c r="AL96" s="437"/>
      <c r="AM96" s="338"/>
      <c r="AO96" s="670" cm="1">
        <f t="array" aca="1" ref="AO96" ca="1">IF($A96="S",IF(BM!$I96=0,0,CHOOSE(MATCH(RegimeExecucao,{"Global","Unitário"},0),ROUND(ROUND(BM.MEDAcumulado,15-13*BM!$A$9)/100*BM!$I96,15-13*ORÇAMENTO!$AF$11),ROUND(ROUND(BM.MEDAcumulado,15-13*BM!$A$9)*ROUND(BM!$H96,15-13*ORÇAMENTO!$AF$10),15-13*ORÇAMENTO!$AF$11))),IF($A96=0,0,ROUND(SomaAgrupBM,15-13*ORÇAMENTO!$AF$11)))</f>
        <v>0</v>
      </c>
    </row>
    <row r="97" spans="1:41" s="670" customFormat="1" x14ac:dyDescent="0.2">
      <c r="A97" s="670" t="str">
        <f ca="1">ORÇAMENTO!C97</f>
        <v>S</v>
      </c>
      <c r="B97" s="670">
        <f ca="1">ORÇAMENTO!D97</f>
        <v>0</v>
      </c>
      <c r="C97" s="114" t="str">
        <f t="shared" ca="1" si="8"/>
        <v>F</v>
      </c>
      <c r="D97" s="117" t="str">
        <f ca="1">ORÇAMENTO!O97</f>
        <v>1.12.6.</v>
      </c>
      <c r="E97" s="163" t="str">
        <f t="shared" ca="1" si="9"/>
        <v>Imprimação com asfalto diluído</v>
      </c>
      <c r="F97" s="164" t="str" cm="1">
        <f t="array" aca="1" ref="F97" ca="1">IF(RegimeExecucao="Global","",ORÇAMENTO.Unidade)</f>
        <v>M2</v>
      </c>
      <c r="G97" s="122" cm="1">
        <f t="array" aca="1" ref="G97" ca="1">IF(RegimeExecucao="Global","",ORÇAMENTO!T97)</f>
        <v>15255</v>
      </c>
      <c r="H97" s="122" cm="1">
        <f t="array" aca="1" ref="H97" ca="1">IF(RegimeExecucao="Global","",ORÇAMENTO!W97)</f>
        <v>0.76</v>
      </c>
      <c r="I97" s="125">
        <f ca="1">ORÇAMENTO!X97</f>
        <v>11593.8</v>
      </c>
      <c r="J97" s="333" cm="1">
        <f t="array" aca="1" ref="J97" ca="1">IF($A97="S",IF(CAIXA.Modo,BM.AFAnterior,BM.MEDAnterior),IF(AND(RegimeExecucao="Global",$I97&gt;0,COUNTIF($AB$13:$AM$13,BM.medicao-1)&gt;0),M97/$I97*100,0))</f>
        <v>0</v>
      </c>
      <c r="K97" s="122">
        <f t="shared" ca="1" si="10"/>
        <v>0</v>
      </c>
      <c r="L97" s="334" cm="1">
        <f t="array" aca="1" ref="L97" ca="1">IF($A97="S",IF(CAIXA.Modo,BM.AFAcumulado,BM.MEDAcumulado),IF(AND(RegimeExecucao="Global",$I97&gt;0,COUNTIF($AB$13:$AM$13,BM.medicao)&gt;0),O97/$I97*100,0))</f>
        <v>0</v>
      </c>
      <c r="M97" s="335" cm="1">
        <f t="array" aca="1" ref="M97" ca="1">IF($A97="S",VTOTALBM,IF($A97=0,0,ROUND(SomaAgrupBM,15-13*ORÇAMENTO!$AF$11)))</f>
        <v>0</v>
      </c>
      <c r="N97" s="336">
        <f t="shared" ca="1" si="11"/>
        <v>0</v>
      </c>
      <c r="O97" s="125" cm="1">
        <f t="array" aca="1" ref="O97" ca="1">IF($A97="S",VTOTALBM,IF($A97=0,0,ROUND(SomaAgrupBM,15-13*ORÇAMENTO!$AF$11)))</f>
        <v>0</v>
      </c>
      <c r="Q97" s="337"/>
      <c r="R97" s="338"/>
      <c r="T97" s="117" t="str">
        <f t="shared" ca="1" si="12"/>
        <v/>
      </c>
      <c r="U97" s="163" t="str">
        <f t="shared" ca="1" si="13"/>
        <v/>
      </c>
      <c r="V97" s="164" t="str" cm="1">
        <f t="array" aca="1" ref="V97" ca="1">IF(AND($W97&gt;0,RegimeExecucao="Unitário"),$F97,"")</f>
        <v/>
      </c>
      <c r="W97" s="454" cm="1">
        <f t="array" aca="1" ref="W97" ca="1">IF($Y97&gt;0,CHOOSE(MATCH(RegimeExecucao,{"Unitário","Global"},0),IF($A97="S",$Y97/$X97,""),($Y97/$X97)*100),0)</f>
        <v>0</v>
      </c>
      <c r="X97" s="339" t="str" cm="1">
        <f t="array" aca="1" ref="X97" ca="1">IF($Y97&gt;0,CHOOSE(MATCH(RegimeExecucao,{"Unitário","Global"},0),IF($A97="S",ROUND($H97,ORÇAMENTO!$AF$10),""),ROUND($I97,ORÇAMENTO!$AF$11)),"")</f>
        <v/>
      </c>
      <c r="Y97" s="339">
        <f t="shared" ca="1" si="14"/>
        <v>0</v>
      </c>
      <c r="Z97" s="473"/>
      <c r="AB97" s="337"/>
      <c r="AC97" s="437"/>
      <c r="AD97" s="437"/>
      <c r="AE97" s="437"/>
      <c r="AF97" s="437"/>
      <c r="AG97" s="437"/>
      <c r="AH97" s="437"/>
      <c r="AI97" s="437"/>
      <c r="AJ97" s="437"/>
      <c r="AK97" s="437"/>
      <c r="AL97" s="437"/>
      <c r="AM97" s="338"/>
      <c r="AO97" s="670" cm="1">
        <f t="array" aca="1" ref="AO97" ca="1">IF($A97="S",IF(BM!$I97=0,0,CHOOSE(MATCH(RegimeExecucao,{"Global","Unitário"},0),ROUND(ROUND(BM.MEDAcumulado,15-13*BM!$A$9)/100*BM!$I97,15-13*ORÇAMENTO!$AF$11),ROUND(ROUND(BM.MEDAcumulado,15-13*BM!$A$9)*ROUND(BM!$H97,15-13*ORÇAMENTO!$AF$10),15-13*ORÇAMENTO!$AF$11))),IF($A97=0,0,ROUND(SomaAgrupBM,15-13*ORÇAMENTO!$AF$11)))</f>
        <v>0</v>
      </c>
    </row>
    <row r="98" spans="1:41" s="670" customFormat="1" x14ac:dyDescent="0.2">
      <c r="A98" s="670">
        <f ca="1">ORÇAMENTO!C98</f>
        <v>2</v>
      </c>
      <c r="B98" s="670">
        <f ca="1">ORÇAMENTO!D98</f>
        <v>7</v>
      </c>
      <c r="C98" s="114" t="str">
        <f t="shared" ca="1" si="8"/>
        <v>F</v>
      </c>
      <c r="D98" s="117" t="str">
        <f ca="1">ORÇAMENTO!O98</f>
        <v>1.13.</v>
      </c>
      <c r="E98" s="163" t="str">
        <f t="shared" si="9"/>
        <v>MOVIMENTAÇÃO DE TERRA - Estação Elevatória de Água Tratada</v>
      </c>
      <c r="F98" s="164" t="str" cm="1">
        <f t="array" aca="1" ref="F98" ca="1">IF(RegimeExecucao="Global","",ORÇAMENTO.Unidade)</f>
        <v>-</v>
      </c>
      <c r="G98" s="122" cm="1">
        <f t="array" aca="1" ref="G98" ca="1">IF(RegimeExecucao="Global","",ORÇAMENTO!T98)</f>
        <v>0</v>
      </c>
      <c r="H98" s="122" cm="1">
        <f t="array" aca="1" ref="H98" ca="1">IF(RegimeExecucao="Global","",ORÇAMENTO!W98)</f>
        <v>0</v>
      </c>
      <c r="I98" s="125">
        <f ca="1">ORÇAMENTO!X98</f>
        <v>47354.25</v>
      </c>
      <c r="J98" s="333" cm="1">
        <f t="array" aca="1" ref="J98" ca="1">IF($A98="S",IF(CAIXA.Modo,BM.AFAnterior,BM.MEDAnterior),IF(AND(RegimeExecucao="Global",$I98&gt;0,COUNTIF($AB$13:$AM$13,BM.medicao-1)&gt;0),M98/$I98*100,0))</f>
        <v>0</v>
      </c>
      <c r="K98" s="122">
        <f t="shared" ca="1" si="10"/>
        <v>0</v>
      </c>
      <c r="L98" s="334" cm="1">
        <f t="array" aca="1" ref="L98" ca="1">IF($A98="S",IF(CAIXA.Modo,BM.AFAcumulado,BM.MEDAcumulado),IF(AND(RegimeExecucao="Global",$I98&gt;0,COUNTIF($AB$13:$AM$13,BM.medicao)&gt;0),O98/$I98*100,0))</f>
        <v>0</v>
      </c>
      <c r="M98" s="335" cm="1">
        <f t="array" aca="1" ref="M98" ca="1">IF($A98="S",VTOTALBM,IF($A98=0,0,ROUND(SomaAgrupBM,15-13*ORÇAMENTO!$AF$11)))</f>
        <v>0</v>
      </c>
      <c r="N98" s="336">
        <f t="shared" ca="1" si="11"/>
        <v>0</v>
      </c>
      <c r="O98" s="125" cm="1">
        <f t="array" aca="1" ref="O98" ca="1">IF($A98="S",VTOTALBM,IF($A98=0,0,ROUND(SomaAgrupBM,15-13*ORÇAMENTO!$AF$11)))</f>
        <v>0</v>
      </c>
      <c r="Q98" s="337"/>
      <c r="R98" s="338"/>
      <c r="T98" s="117" t="str">
        <f t="shared" ca="1" si="12"/>
        <v/>
      </c>
      <c r="U98" s="163" t="str">
        <f t="shared" ca="1" si="13"/>
        <v/>
      </c>
      <c r="V98" s="164" t="str" cm="1">
        <f t="array" aca="1" ref="V98" ca="1">IF(AND($W98&gt;0,RegimeExecucao="Unitário"),$F98,"")</f>
        <v/>
      </c>
      <c r="W98" s="454" cm="1">
        <f t="array" aca="1" ref="W98" ca="1">IF($Y98&gt;0,CHOOSE(MATCH(RegimeExecucao,{"Unitário","Global"},0),IF($A98="S",$Y98/$X98,""),($Y98/$X98)*100),0)</f>
        <v>0</v>
      </c>
      <c r="X98" s="339" t="str" cm="1">
        <f t="array" aca="1" ref="X98" ca="1">IF($Y98&gt;0,CHOOSE(MATCH(RegimeExecucao,{"Unitário","Global"},0),IF($A98="S",ROUND($H98,ORÇAMENTO!$AF$10),""),ROUND($I98,ORÇAMENTO!$AF$11)),"")</f>
        <v/>
      </c>
      <c r="Y98" s="339">
        <f t="shared" ca="1" si="14"/>
        <v>0</v>
      </c>
      <c r="Z98" s="473"/>
      <c r="AB98" s="337"/>
      <c r="AC98" s="437"/>
      <c r="AD98" s="437"/>
      <c r="AE98" s="437"/>
      <c r="AF98" s="437"/>
      <c r="AG98" s="437"/>
      <c r="AH98" s="437"/>
      <c r="AI98" s="437"/>
      <c r="AJ98" s="437"/>
      <c r="AK98" s="437"/>
      <c r="AL98" s="437"/>
      <c r="AM98" s="338"/>
      <c r="AO98" s="670" cm="1">
        <f t="array" aca="1" ref="AO98" ca="1">IF($A98="S",IF(BM!$I98=0,0,CHOOSE(MATCH(RegimeExecucao,{"Global","Unitário"},0),ROUND(ROUND(BM.MEDAcumulado,15-13*BM!$A$9)/100*BM!$I98,15-13*ORÇAMENTO!$AF$11),ROUND(ROUND(BM.MEDAcumulado,15-13*BM!$A$9)*ROUND(BM!$H98,15-13*ORÇAMENTO!$AF$10),15-13*ORÇAMENTO!$AF$11))),IF($A98=0,0,ROUND(SomaAgrupBM,15-13*ORÇAMENTO!$AF$11)))</f>
        <v>0</v>
      </c>
    </row>
    <row r="99" spans="1:41" s="670" customFormat="1" ht="25.5" x14ac:dyDescent="0.2">
      <c r="A99" s="670" t="str">
        <f ca="1">ORÇAMENTO!C99</f>
        <v>S</v>
      </c>
      <c r="B99" s="670">
        <f ca="1">ORÇAMENTO!D99</f>
        <v>0</v>
      </c>
      <c r="C99" s="114" t="str">
        <f t="shared" ca="1" si="8"/>
        <v>F</v>
      </c>
      <c r="D99" s="117" t="str">
        <f ca="1">ORÇAMENTO!O99</f>
        <v>1.13.1.</v>
      </c>
      <c r="E99" s="163" t="str">
        <f t="shared" ca="1" si="9"/>
        <v>ESCAVAÇÃO MANUAL PARA BLOCO DE COROAMENTO OU SAPATA (SEM ESCAVAÇÃO PARA COLOCAÇÃO DE FÔRMAS). AF_01/2024</v>
      </c>
      <c r="F99" s="164" t="str" cm="1">
        <f t="array" aca="1" ref="F99" ca="1">IF(RegimeExecucao="Global","",ORÇAMENTO.Unidade)</f>
        <v>M3</v>
      </c>
      <c r="G99" s="122" cm="1">
        <f t="array" aca="1" ref="G99" ca="1">IF(RegimeExecucao="Global","",ORÇAMENTO!T99)</f>
        <v>5.12</v>
      </c>
      <c r="H99" s="122" cm="1">
        <f t="array" aca="1" ref="H99" ca="1">IF(RegimeExecucao="Global","",ORÇAMENTO!W99)</f>
        <v>207.17</v>
      </c>
      <c r="I99" s="125">
        <f ca="1">ORÇAMENTO!X99</f>
        <v>1060.71</v>
      </c>
      <c r="J99" s="333" cm="1">
        <f t="array" aca="1" ref="J99" ca="1">IF($A99="S",IF(CAIXA.Modo,BM.AFAnterior,BM.MEDAnterior),IF(AND(RegimeExecucao="Global",$I99&gt;0,COUNTIF($AB$13:$AM$13,BM.medicao-1)&gt;0),M99/$I99*100,0))</f>
        <v>0</v>
      </c>
      <c r="K99" s="122">
        <f t="shared" ca="1" si="10"/>
        <v>0</v>
      </c>
      <c r="L99" s="334" cm="1">
        <f t="array" aca="1" ref="L99" ca="1">IF($A99="S",IF(CAIXA.Modo,BM.AFAcumulado,BM.MEDAcumulado),IF(AND(RegimeExecucao="Global",$I99&gt;0,COUNTIF($AB$13:$AM$13,BM.medicao)&gt;0),O99/$I99*100,0))</f>
        <v>0</v>
      </c>
      <c r="M99" s="335" cm="1">
        <f t="array" aca="1" ref="M99" ca="1">IF($A99="S",VTOTALBM,IF($A99=0,0,ROUND(SomaAgrupBM,15-13*ORÇAMENTO!$AF$11)))</f>
        <v>0</v>
      </c>
      <c r="N99" s="336">
        <f t="shared" ca="1" si="11"/>
        <v>0</v>
      </c>
      <c r="O99" s="125" cm="1">
        <f t="array" aca="1" ref="O99" ca="1">IF($A99="S",VTOTALBM,IF($A99=0,0,ROUND(SomaAgrupBM,15-13*ORÇAMENTO!$AF$11)))</f>
        <v>0</v>
      </c>
      <c r="Q99" s="337"/>
      <c r="R99" s="338"/>
      <c r="T99" s="117" t="str">
        <f t="shared" ca="1" si="12"/>
        <v/>
      </c>
      <c r="U99" s="163" t="str">
        <f t="shared" ca="1" si="13"/>
        <v/>
      </c>
      <c r="V99" s="164" t="str" cm="1">
        <f t="array" aca="1" ref="V99" ca="1">IF(AND($W99&gt;0,RegimeExecucao="Unitário"),$F99,"")</f>
        <v/>
      </c>
      <c r="W99" s="454" cm="1">
        <f t="array" aca="1" ref="W99" ca="1">IF($Y99&gt;0,CHOOSE(MATCH(RegimeExecucao,{"Unitário","Global"},0),IF($A99="S",$Y99/$X99,""),($Y99/$X99)*100),0)</f>
        <v>0</v>
      </c>
      <c r="X99" s="339" t="str" cm="1">
        <f t="array" aca="1" ref="X99" ca="1">IF($Y99&gt;0,CHOOSE(MATCH(RegimeExecucao,{"Unitário","Global"},0),IF($A99="S",ROUND($H99,ORÇAMENTO!$AF$10),""),ROUND($I99,ORÇAMENTO!$AF$11)),"")</f>
        <v/>
      </c>
      <c r="Y99" s="339">
        <f t="shared" ca="1" si="14"/>
        <v>0</v>
      </c>
      <c r="Z99" s="473"/>
      <c r="AB99" s="337"/>
      <c r="AC99" s="437"/>
      <c r="AD99" s="437"/>
      <c r="AE99" s="437"/>
      <c r="AF99" s="437"/>
      <c r="AG99" s="437"/>
      <c r="AH99" s="437"/>
      <c r="AI99" s="437"/>
      <c r="AJ99" s="437"/>
      <c r="AK99" s="437"/>
      <c r="AL99" s="437"/>
      <c r="AM99" s="338"/>
      <c r="AO99" s="670" cm="1">
        <f t="array" aca="1" ref="AO99" ca="1">IF($A99="S",IF(BM!$I99=0,0,CHOOSE(MATCH(RegimeExecucao,{"Global","Unitário"},0),ROUND(ROUND(BM.MEDAcumulado,15-13*BM!$A$9)/100*BM!$I99,15-13*ORÇAMENTO!$AF$11),ROUND(ROUND(BM.MEDAcumulado,15-13*BM!$A$9)*ROUND(BM!$H99,15-13*ORÇAMENTO!$AF$10),15-13*ORÇAMENTO!$AF$11))),IF($A99=0,0,ROUND(SomaAgrupBM,15-13*ORÇAMENTO!$AF$11)))</f>
        <v>0</v>
      </c>
    </row>
    <row r="100" spans="1:41" s="670" customFormat="1" ht="51" x14ac:dyDescent="0.2">
      <c r="A100" s="670" t="str">
        <f ca="1">ORÇAMENTO!C100</f>
        <v>S</v>
      </c>
      <c r="B100" s="670">
        <f ca="1">ORÇAMENTO!D100</f>
        <v>0</v>
      </c>
      <c r="C100" s="114" t="str">
        <f t="shared" ca="1" si="8"/>
        <v>F</v>
      </c>
      <c r="D100" s="117" t="str">
        <f ca="1">ORÇAMENTO!O100</f>
        <v>1.13.2.</v>
      </c>
      <c r="E100" s="163" t="str">
        <f t="shared" ca="1" si="9"/>
        <v>ESTACA ESCAVADA MECANICAMENTE, SEM FLUIDO ESTABILIZANTE, COM 60CM DE DIÂMETRO, CONCRETO LANÇADO POR CAMINHÃO BETONEIRA (EXCLUSIVE MOBILIZAÇÃO E DESMOBILIZAÇÃO). AF_01/2020</v>
      </c>
      <c r="F100" s="164" t="str" cm="1">
        <f t="array" aca="1" ref="F100" ca="1">IF(RegimeExecucao="Global","",ORÇAMENTO.Unidade)</f>
        <v>M</v>
      </c>
      <c r="G100" s="122" cm="1">
        <f t="array" aca="1" ref="G100" ca="1">IF(RegimeExecucao="Global","",ORÇAMENTO!T100)</f>
        <v>128</v>
      </c>
      <c r="H100" s="122" cm="1">
        <f t="array" aca="1" ref="H100" ca="1">IF(RegimeExecucao="Global","",ORÇAMENTO!W100)</f>
        <v>292.35000000000002</v>
      </c>
      <c r="I100" s="125">
        <f ca="1">ORÇAMENTO!X100</f>
        <v>37420.800000000003</v>
      </c>
      <c r="J100" s="333" cm="1">
        <f t="array" aca="1" ref="J100" ca="1">IF($A100="S",IF(CAIXA.Modo,BM.AFAnterior,BM.MEDAnterior),IF(AND(RegimeExecucao="Global",$I100&gt;0,COUNTIF($AB$13:$AM$13,BM.medicao-1)&gt;0),M100/$I100*100,0))</f>
        <v>0</v>
      </c>
      <c r="K100" s="122">
        <f t="shared" ca="1" si="10"/>
        <v>0</v>
      </c>
      <c r="L100" s="334" cm="1">
        <f t="array" aca="1" ref="L100" ca="1">IF($A100="S",IF(CAIXA.Modo,BM.AFAcumulado,BM.MEDAcumulado),IF(AND(RegimeExecucao="Global",$I100&gt;0,COUNTIF($AB$13:$AM$13,BM.medicao)&gt;0),O100/$I100*100,0))</f>
        <v>0</v>
      </c>
      <c r="M100" s="335" cm="1">
        <f t="array" aca="1" ref="M100" ca="1">IF($A100="S",VTOTALBM,IF($A100=0,0,ROUND(SomaAgrupBM,15-13*ORÇAMENTO!$AF$11)))</f>
        <v>0</v>
      </c>
      <c r="N100" s="336">
        <f t="shared" ca="1" si="11"/>
        <v>0</v>
      </c>
      <c r="O100" s="125" cm="1">
        <f t="array" aca="1" ref="O100" ca="1">IF($A100="S",VTOTALBM,IF($A100=0,0,ROUND(SomaAgrupBM,15-13*ORÇAMENTO!$AF$11)))</f>
        <v>0</v>
      </c>
      <c r="Q100" s="337"/>
      <c r="R100" s="338"/>
      <c r="T100" s="117" t="str">
        <f t="shared" ca="1" si="12"/>
        <v/>
      </c>
      <c r="U100" s="163" t="str">
        <f t="shared" ca="1" si="13"/>
        <v/>
      </c>
      <c r="V100" s="164" t="str" cm="1">
        <f t="array" aca="1" ref="V100" ca="1">IF(AND($W100&gt;0,RegimeExecucao="Unitário"),$F100,"")</f>
        <v/>
      </c>
      <c r="W100" s="454" cm="1">
        <f t="array" aca="1" ref="W100" ca="1">IF($Y100&gt;0,CHOOSE(MATCH(RegimeExecucao,{"Unitário","Global"},0),IF($A100="S",$Y100/$X100,""),($Y100/$X100)*100),0)</f>
        <v>0</v>
      </c>
      <c r="X100" s="339" t="str" cm="1">
        <f t="array" aca="1" ref="X100" ca="1">IF($Y100&gt;0,CHOOSE(MATCH(RegimeExecucao,{"Unitário","Global"},0),IF($A100="S",ROUND($H100,ORÇAMENTO!$AF$10),""),ROUND($I100,ORÇAMENTO!$AF$11)),"")</f>
        <v/>
      </c>
      <c r="Y100" s="339">
        <f t="shared" ca="1" si="14"/>
        <v>0</v>
      </c>
      <c r="Z100" s="473"/>
      <c r="AB100" s="337"/>
      <c r="AC100" s="437"/>
      <c r="AD100" s="437"/>
      <c r="AE100" s="437"/>
      <c r="AF100" s="437"/>
      <c r="AG100" s="437"/>
      <c r="AH100" s="437"/>
      <c r="AI100" s="437"/>
      <c r="AJ100" s="437"/>
      <c r="AK100" s="437"/>
      <c r="AL100" s="437"/>
      <c r="AM100" s="338"/>
      <c r="AO100" s="670" cm="1">
        <f t="array" aca="1" ref="AO100" ca="1">IF($A100="S",IF(BM!$I100=0,0,CHOOSE(MATCH(RegimeExecucao,{"Global","Unitário"},0),ROUND(ROUND(BM.MEDAcumulado,15-13*BM!$A$9)/100*BM!$I100,15-13*ORÇAMENTO!$AF$11),ROUND(ROUND(BM.MEDAcumulado,15-13*BM!$A$9)*ROUND(BM!$H100,15-13*ORÇAMENTO!$AF$10),15-13*ORÇAMENTO!$AF$11))),IF($A100=0,0,ROUND(SomaAgrupBM,15-13*ORÇAMENTO!$AF$11)))</f>
        <v>0</v>
      </c>
    </row>
    <row r="101" spans="1:41" s="670" customFormat="1" ht="38.25" x14ac:dyDescent="0.2">
      <c r="A101" s="670" t="str">
        <f ca="1">ORÇAMENTO!C101</f>
        <v>S</v>
      </c>
      <c r="B101" s="670">
        <f ca="1">ORÇAMENTO!D101</f>
        <v>0</v>
      </c>
      <c r="C101" s="114" t="str">
        <f t="shared" ca="1" si="8"/>
        <v>F</v>
      </c>
      <c r="D101" s="117" t="str">
        <f ca="1">ORÇAMENTO!O101</f>
        <v>1.13.3.</v>
      </c>
      <c r="E101" s="163" t="str">
        <f t="shared" ca="1" si="9"/>
        <v>CONCRETO FCK = 15MPA, TRAÇO 1:3,4:3,4 (EM MASSA SECA DE CIMENTO/ AREIA MÉDIA/ SEIXO ROLADO) - PREPARO MECÂNICO COM BETONEIRA 400 L. AF_05/2021</v>
      </c>
      <c r="F101" s="164" t="str" cm="1">
        <f t="array" aca="1" ref="F101" ca="1">IF(RegimeExecucao="Global","",ORÇAMENTO.Unidade)</f>
        <v>M3</v>
      </c>
      <c r="G101" s="122" cm="1">
        <f t="array" aca="1" ref="G101" ca="1">IF(RegimeExecucao="Global","",ORÇAMENTO!T101)</f>
        <v>3.38</v>
      </c>
      <c r="H101" s="122" cm="1">
        <f t="array" aca="1" ref="H101" ca="1">IF(RegimeExecucao="Global","",ORÇAMENTO!W101)</f>
        <v>887.64</v>
      </c>
      <c r="I101" s="125">
        <f ca="1">ORÇAMENTO!X101</f>
        <v>3000.22</v>
      </c>
      <c r="J101" s="333" cm="1">
        <f t="array" aca="1" ref="J101" ca="1">IF($A101="S",IF(CAIXA.Modo,BM.AFAnterior,BM.MEDAnterior),IF(AND(RegimeExecucao="Global",$I101&gt;0,COUNTIF($AB$13:$AM$13,BM.medicao-1)&gt;0),M101/$I101*100,0))</f>
        <v>0</v>
      </c>
      <c r="K101" s="122">
        <f t="shared" ca="1" si="10"/>
        <v>0</v>
      </c>
      <c r="L101" s="334" cm="1">
        <f t="array" aca="1" ref="L101" ca="1">IF($A101="S",IF(CAIXA.Modo,BM.AFAcumulado,BM.MEDAcumulado),IF(AND(RegimeExecucao="Global",$I101&gt;0,COUNTIF($AB$13:$AM$13,BM.medicao)&gt;0),O101/$I101*100,0))</f>
        <v>0</v>
      </c>
      <c r="M101" s="335" cm="1">
        <f t="array" aca="1" ref="M101" ca="1">IF($A101="S",VTOTALBM,IF($A101=0,0,ROUND(SomaAgrupBM,15-13*ORÇAMENTO!$AF$11)))</f>
        <v>0</v>
      </c>
      <c r="N101" s="336">
        <f t="shared" ca="1" si="11"/>
        <v>0</v>
      </c>
      <c r="O101" s="125" cm="1">
        <f t="array" aca="1" ref="O101" ca="1">IF($A101="S",VTOTALBM,IF($A101=0,0,ROUND(SomaAgrupBM,15-13*ORÇAMENTO!$AF$11)))</f>
        <v>0</v>
      </c>
      <c r="Q101" s="337"/>
      <c r="R101" s="338"/>
      <c r="T101" s="117" t="str">
        <f t="shared" ca="1" si="12"/>
        <v/>
      </c>
      <c r="U101" s="163" t="str">
        <f t="shared" ca="1" si="13"/>
        <v/>
      </c>
      <c r="V101" s="164" t="str" cm="1">
        <f t="array" aca="1" ref="V101" ca="1">IF(AND($W101&gt;0,RegimeExecucao="Unitário"),$F101,"")</f>
        <v/>
      </c>
      <c r="W101" s="454" cm="1">
        <f t="array" aca="1" ref="W101" ca="1">IF($Y101&gt;0,CHOOSE(MATCH(RegimeExecucao,{"Unitário","Global"},0),IF($A101="S",$Y101/$X101,""),($Y101/$X101)*100),0)</f>
        <v>0</v>
      </c>
      <c r="X101" s="339" t="str" cm="1">
        <f t="array" aca="1" ref="X101" ca="1">IF($Y101&gt;0,CHOOSE(MATCH(RegimeExecucao,{"Unitário","Global"},0),IF($A101="S",ROUND($H101,ORÇAMENTO!$AF$10),""),ROUND($I101,ORÇAMENTO!$AF$11)),"")</f>
        <v/>
      </c>
      <c r="Y101" s="339">
        <f t="shared" ca="1" si="14"/>
        <v>0</v>
      </c>
      <c r="Z101" s="473"/>
      <c r="AB101" s="337"/>
      <c r="AC101" s="437"/>
      <c r="AD101" s="437"/>
      <c r="AE101" s="437"/>
      <c r="AF101" s="437"/>
      <c r="AG101" s="437"/>
      <c r="AH101" s="437"/>
      <c r="AI101" s="437"/>
      <c r="AJ101" s="437"/>
      <c r="AK101" s="437"/>
      <c r="AL101" s="437"/>
      <c r="AM101" s="338"/>
      <c r="AO101" s="670" cm="1">
        <f t="array" aca="1" ref="AO101" ca="1">IF($A101="S",IF(BM!$I101=0,0,CHOOSE(MATCH(RegimeExecucao,{"Global","Unitário"},0),ROUND(ROUND(BM.MEDAcumulado,15-13*BM!$A$9)/100*BM!$I101,15-13*ORÇAMENTO!$AF$11),ROUND(ROUND(BM.MEDAcumulado,15-13*BM!$A$9)*ROUND(BM!$H101,15-13*ORÇAMENTO!$AF$10),15-13*ORÇAMENTO!$AF$11))),IF($A101=0,0,ROUND(SomaAgrupBM,15-13*ORÇAMENTO!$AF$11)))</f>
        <v>0</v>
      </c>
    </row>
    <row r="102" spans="1:41" s="670" customFormat="1" ht="38.25" x14ac:dyDescent="0.2">
      <c r="A102" s="670" t="str">
        <f ca="1">ORÇAMENTO!C102</f>
        <v>S</v>
      </c>
      <c r="B102" s="670">
        <f ca="1">ORÇAMENTO!D102</f>
        <v>0</v>
      </c>
      <c r="C102" s="114" t="str">
        <f t="shared" ca="1" si="8"/>
        <v>F</v>
      </c>
      <c r="D102" s="117" t="str">
        <f ca="1">ORÇAMENTO!O102</f>
        <v>1.13.4.</v>
      </c>
      <c r="E102" s="163" t="str">
        <f t="shared" ca="1" si="9"/>
        <v>CONCRETO MAGRO PARA LASTRO, TRAÇO 1:4,5:4,5 (EM MASSA SECA DE CIMENTO/ AREIA MÉDIA/ SEIXO ROLADO) - PREPARO MECÂNICO COM BETONEIRA 400 L. AF_05/2021</v>
      </c>
      <c r="F102" s="164" t="str" cm="1">
        <f t="array" aca="1" ref="F102" ca="1">IF(RegimeExecucao="Global","",ORÇAMENTO.Unidade)</f>
        <v>M3</v>
      </c>
      <c r="G102" s="122" cm="1">
        <f t="array" aca="1" ref="G102" ca="1">IF(RegimeExecucao="Global","",ORÇAMENTO!T102)</f>
        <v>1.5</v>
      </c>
      <c r="H102" s="122" cm="1">
        <f t="array" aca="1" ref="H102" ca="1">IF(RegimeExecucao="Global","",ORÇAMENTO!W102)</f>
        <v>840.51</v>
      </c>
      <c r="I102" s="125">
        <f ca="1">ORÇAMENTO!X102</f>
        <v>1260.77</v>
      </c>
      <c r="J102" s="333" cm="1">
        <f t="array" aca="1" ref="J102" ca="1">IF($A102="S",IF(CAIXA.Modo,BM.AFAnterior,BM.MEDAnterior),IF(AND(RegimeExecucao="Global",$I102&gt;0,COUNTIF($AB$13:$AM$13,BM.medicao-1)&gt;0),M102/$I102*100,0))</f>
        <v>0</v>
      </c>
      <c r="K102" s="122">
        <f t="shared" ca="1" si="10"/>
        <v>0</v>
      </c>
      <c r="L102" s="334" cm="1">
        <f t="array" aca="1" ref="L102" ca="1">IF($A102="S",IF(CAIXA.Modo,BM.AFAcumulado,BM.MEDAcumulado),IF(AND(RegimeExecucao="Global",$I102&gt;0,COUNTIF($AB$13:$AM$13,BM.medicao)&gt;0),O102/$I102*100,0))</f>
        <v>0</v>
      </c>
      <c r="M102" s="335" cm="1">
        <f t="array" aca="1" ref="M102" ca="1">IF($A102="S",VTOTALBM,IF($A102=0,0,ROUND(SomaAgrupBM,15-13*ORÇAMENTO!$AF$11)))</f>
        <v>0</v>
      </c>
      <c r="N102" s="336">
        <f t="shared" ca="1" si="11"/>
        <v>0</v>
      </c>
      <c r="O102" s="125" cm="1">
        <f t="array" aca="1" ref="O102" ca="1">IF($A102="S",VTOTALBM,IF($A102=0,0,ROUND(SomaAgrupBM,15-13*ORÇAMENTO!$AF$11)))</f>
        <v>0</v>
      </c>
      <c r="Q102" s="337"/>
      <c r="R102" s="338"/>
      <c r="T102" s="117" t="str">
        <f t="shared" ca="1" si="12"/>
        <v/>
      </c>
      <c r="U102" s="163" t="str">
        <f t="shared" ca="1" si="13"/>
        <v/>
      </c>
      <c r="V102" s="164" t="str" cm="1">
        <f t="array" aca="1" ref="V102" ca="1">IF(AND($W102&gt;0,RegimeExecucao="Unitário"),$F102,"")</f>
        <v/>
      </c>
      <c r="W102" s="454" cm="1">
        <f t="array" aca="1" ref="W102" ca="1">IF($Y102&gt;0,CHOOSE(MATCH(RegimeExecucao,{"Unitário","Global"},0),IF($A102="S",$Y102/$X102,""),($Y102/$X102)*100),0)</f>
        <v>0</v>
      </c>
      <c r="X102" s="339" t="str" cm="1">
        <f t="array" aca="1" ref="X102" ca="1">IF($Y102&gt;0,CHOOSE(MATCH(RegimeExecucao,{"Unitário","Global"},0),IF($A102="S",ROUND($H102,ORÇAMENTO!$AF$10),""),ROUND($I102,ORÇAMENTO!$AF$11)),"")</f>
        <v/>
      </c>
      <c r="Y102" s="339">
        <f t="shared" ca="1" si="14"/>
        <v>0</v>
      </c>
      <c r="Z102" s="473"/>
      <c r="AB102" s="337"/>
      <c r="AC102" s="437"/>
      <c r="AD102" s="437"/>
      <c r="AE102" s="437"/>
      <c r="AF102" s="437"/>
      <c r="AG102" s="437"/>
      <c r="AH102" s="437"/>
      <c r="AI102" s="437"/>
      <c r="AJ102" s="437"/>
      <c r="AK102" s="437"/>
      <c r="AL102" s="437"/>
      <c r="AM102" s="338"/>
      <c r="AO102" s="670" cm="1">
        <f t="array" aca="1" ref="AO102" ca="1">IF($A102="S",IF(BM!$I102=0,0,CHOOSE(MATCH(RegimeExecucao,{"Global","Unitário"},0),ROUND(ROUND(BM.MEDAcumulado,15-13*BM!$A$9)/100*BM!$I102,15-13*ORÇAMENTO!$AF$11),ROUND(ROUND(BM.MEDAcumulado,15-13*BM!$A$9)*ROUND(BM!$H102,15-13*ORÇAMENTO!$AF$10),15-13*ORÇAMENTO!$AF$11))),IF($A102=0,0,ROUND(SomaAgrupBM,15-13*ORÇAMENTO!$AF$11)))</f>
        <v>0</v>
      </c>
    </row>
    <row r="103" spans="1:41" s="670" customFormat="1" x14ac:dyDescent="0.2">
      <c r="A103" s="670" t="str">
        <f ca="1">ORÇAMENTO!C103</f>
        <v>S</v>
      </c>
      <c r="B103" s="670">
        <f ca="1">ORÇAMENTO!D103</f>
        <v>0</v>
      </c>
      <c r="C103" s="114" t="str">
        <f t="shared" ca="1" si="8"/>
        <v>F</v>
      </c>
      <c r="D103" s="117" t="str">
        <f ca="1">ORÇAMENTO!O103</f>
        <v>1.13.5.</v>
      </c>
      <c r="E103" s="163" t="str">
        <f t="shared" ca="1" si="9"/>
        <v>CORTE E DOBRA DE AÇO CA-25, DIÂMETRO DE 20,0 MM. AF_06/2022</v>
      </c>
      <c r="F103" s="164" t="str" cm="1">
        <f t="array" aca="1" ref="F103" ca="1">IF(RegimeExecucao="Global","",ORÇAMENTO.Unidade)</f>
        <v>KG</v>
      </c>
      <c r="G103" s="122" cm="1">
        <f t="array" aca="1" ref="G103" ca="1">IF(RegimeExecucao="Global","",ORÇAMENTO!T103)</f>
        <v>195</v>
      </c>
      <c r="H103" s="122" cm="1">
        <f t="array" aca="1" ref="H103" ca="1">IF(RegimeExecucao="Global","",ORÇAMENTO!W103)</f>
        <v>10.51</v>
      </c>
      <c r="I103" s="125">
        <f ca="1">ORÇAMENTO!X103</f>
        <v>2049.4499999999998</v>
      </c>
      <c r="J103" s="333" cm="1">
        <f t="array" aca="1" ref="J103" ca="1">IF($A103="S",IF(CAIXA.Modo,BM.AFAnterior,BM.MEDAnterior),IF(AND(RegimeExecucao="Global",$I103&gt;0,COUNTIF($AB$13:$AM$13,BM.medicao-1)&gt;0),M103/$I103*100,0))</f>
        <v>0</v>
      </c>
      <c r="K103" s="122">
        <f t="shared" ca="1" si="10"/>
        <v>0</v>
      </c>
      <c r="L103" s="334" cm="1">
        <f t="array" aca="1" ref="L103" ca="1">IF($A103="S",IF(CAIXA.Modo,BM.AFAcumulado,BM.MEDAcumulado),IF(AND(RegimeExecucao="Global",$I103&gt;0,COUNTIF($AB$13:$AM$13,BM.medicao)&gt;0),O103/$I103*100,0))</f>
        <v>0</v>
      </c>
      <c r="M103" s="335" cm="1">
        <f t="array" aca="1" ref="M103" ca="1">IF($A103="S",VTOTALBM,IF($A103=0,0,ROUND(SomaAgrupBM,15-13*ORÇAMENTO!$AF$11)))</f>
        <v>0</v>
      </c>
      <c r="N103" s="336">
        <f t="shared" ca="1" si="11"/>
        <v>0</v>
      </c>
      <c r="O103" s="125" cm="1">
        <f t="array" aca="1" ref="O103" ca="1">IF($A103="S",VTOTALBM,IF($A103=0,0,ROUND(SomaAgrupBM,15-13*ORÇAMENTO!$AF$11)))</f>
        <v>0</v>
      </c>
      <c r="Q103" s="337"/>
      <c r="R103" s="338"/>
      <c r="T103" s="117" t="str">
        <f t="shared" ca="1" si="12"/>
        <v/>
      </c>
      <c r="U103" s="163" t="str">
        <f t="shared" ca="1" si="13"/>
        <v/>
      </c>
      <c r="V103" s="164" t="str" cm="1">
        <f t="array" aca="1" ref="V103" ca="1">IF(AND($W103&gt;0,RegimeExecucao="Unitário"),$F103,"")</f>
        <v/>
      </c>
      <c r="W103" s="454" cm="1">
        <f t="array" aca="1" ref="W103" ca="1">IF($Y103&gt;0,CHOOSE(MATCH(RegimeExecucao,{"Unitário","Global"},0),IF($A103="S",$Y103/$X103,""),($Y103/$X103)*100),0)</f>
        <v>0</v>
      </c>
      <c r="X103" s="339" t="str" cm="1">
        <f t="array" aca="1" ref="X103" ca="1">IF($Y103&gt;0,CHOOSE(MATCH(RegimeExecucao,{"Unitário","Global"},0),IF($A103="S",ROUND($H103,ORÇAMENTO!$AF$10),""),ROUND($I103,ORÇAMENTO!$AF$11)),"")</f>
        <v/>
      </c>
      <c r="Y103" s="339">
        <f t="shared" ca="1" si="14"/>
        <v>0</v>
      </c>
      <c r="Z103" s="473"/>
      <c r="AB103" s="337"/>
      <c r="AC103" s="437"/>
      <c r="AD103" s="437"/>
      <c r="AE103" s="437"/>
      <c r="AF103" s="437"/>
      <c r="AG103" s="437"/>
      <c r="AH103" s="437"/>
      <c r="AI103" s="437"/>
      <c r="AJ103" s="437"/>
      <c r="AK103" s="437"/>
      <c r="AL103" s="437"/>
      <c r="AM103" s="338"/>
      <c r="AO103" s="670" cm="1">
        <f t="array" aca="1" ref="AO103" ca="1">IF($A103="S",IF(BM!$I103=0,0,CHOOSE(MATCH(RegimeExecucao,{"Global","Unitário"},0),ROUND(ROUND(BM.MEDAcumulado,15-13*BM!$A$9)/100*BM!$I103,15-13*ORÇAMENTO!$AF$11),ROUND(ROUND(BM.MEDAcumulado,15-13*BM!$A$9)*ROUND(BM!$H103,15-13*ORÇAMENTO!$AF$10),15-13*ORÇAMENTO!$AF$11))),IF($A103=0,0,ROUND(SomaAgrupBM,15-13*ORÇAMENTO!$AF$11)))</f>
        <v>0</v>
      </c>
    </row>
    <row r="104" spans="1:41" s="680" customFormat="1" ht="25.5" x14ac:dyDescent="0.2">
      <c r="A104" s="680" t="str">
        <f ca="1">ORÇAMENTO!C104</f>
        <v>S</v>
      </c>
      <c r="B104" s="680">
        <f ca="1">ORÇAMENTO!D104</f>
        <v>0</v>
      </c>
      <c r="C104" s="684" t="str">
        <f ca="1">IF(OR($I104&gt;0,$A104=1,$A104=2,$A104=3,$A104=4),"F","")</f>
        <v>F</v>
      </c>
      <c r="D104" s="687" t="str">
        <f ca="1">ORÇAMENTO!O104</f>
        <v>1.13.6.</v>
      </c>
      <c r="E104" s="699" t="str">
        <f ca="1">ORÇAMENTO.Descricao</f>
        <v>ARMAÇÃO DE BLOCO, SAPATA ISOLADA E SAPATA CORRIDA UTILIZANDO AÇO CA-50 DE 20 MM - MONTAGEM. AF_01/2024</v>
      </c>
      <c r="F104" s="700" t="str" cm="1">
        <f t="array" aca="1" ref="F104" ca="1">IF(RegimeExecucao="Global","",ORÇAMENTO.Unidade)</f>
        <v>KG</v>
      </c>
      <c r="G104" s="692" cm="1">
        <f t="array" aca="1" ref="G104" ca="1">IF(RegimeExecucao="Global","",ORÇAMENTO!T104)</f>
        <v>195</v>
      </c>
      <c r="H104" s="692" cm="1">
        <f t="array" aca="1" ref="H104" ca="1">IF(RegimeExecucao="Global","",ORÇAMENTO!W104)</f>
        <v>13.14</v>
      </c>
      <c r="I104" s="695">
        <f ca="1">ORÇAMENTO!X104</f>
        <v>2562.3000000000002</v>
      </c>
      <c r="J104" s="707" cm="1">
        <f t="array" aca="1" ref="J104" ca="1">IF($A104="S",IF(CAIXA.Modo,BM.AFAnterior,BM.MEDAnterior),IF(AND(RegimeExecucao="Global",$I104&gt;0,COUNTIF($AB$13:$AM$13,BM.medicao-1)&gt;0),M104/$I104*100,0))</f>
        <v>0</v>
      </c>
      <c r="K104" s="692">
        <f ca="1">L104-J104</f>
        <v>0</v>
      </c>
      <c r="L104" s="708" cm="1">
        <f t="array" aca="1" ref="L104" ca="1">IF($A104="S",IF(CAIXA.Modo,BM.AFAcumulado,BM.MEDAcumulado),IF(AND(RegimeExecucao="Global",$I104&gt;0,COUNTIF($AB$13:$AM$13,BM.medicao)&gt;0),O104/$I104*100,0))</f>
        <v>0</v>
      </c>
      <c r="M104" s="709" cm="1">
        <f t="array" aca="1" ref="M104" ca="1">IF($A104="S",VTOTALBM,IF($A104=0,0,ROUND(SomaAgrupBM,15-13*ORÇAMENTO!$AF$11)))</f>
        <v>0</v>
      </c>
      <c r="N104" s="710">
        <f ca="1">O104-M104</f>
        <v>0</v>
      </c>
      <c r="O104" s="695" cm="1">
        <f t="array" aca="1" ref="O104" ca="1">IF($A104="S",VTOTALBM,IF($A104=0,0,ROUND(SomaAgrupBM,15-13*ORÇAMENTO!$AF$11)))</f>
        <v>0</v>
      </c>
      <c r="Q104" s="711"/>
      <c r="R104" s="712"/>
      <c r="T104" s="687" t="str">
        <f ca="1">IF($W104&gt;0,$D104,"")</f>
        <v/>
      </c>
      <c r="U104" s="699" t="str">
        <f ca="1">IF($W104&gt;0,$E104,"")</f>
        <v/>
      </c>
      <c r="V104" s="700" t="str" cm="1">
        <f t="array" aca="1" ref="V104" ca="1">IF(AND($W104&gt;0,RegimeExecucao="Unitário"),$F104,"")</f>
        <v/>
      </c>
      <c r="W104" s="719" cm="1">
        <f t="array" aca="1" ref="W104" ca="1">IF($Y104&gt;0,CHOOSE(MATCH(RegimeExecucao,{"Unitário","Global"},0),IF($A104="S",$Y104/$X104,""),($Y104/$X104)*100),0)</f>
        <v>0</v>
      </c>
      <c r="X104" s="713" t="str" cm="1">
        <f t="array" aca="1" ref="X104" ca="1">IF($Y104&gt;0,CHOOSE(MATCH(RegimeExecucao,{"Unitário","Global"},0),IF($A104="S",ROUND($H104,ORÇAMENTO!$AF$10),""),ROUND($I104,ORÇAMENTO!$AF$11)),"")</f>
        <v/>
      </c>
      <c r="Y104" s="713">
        <f ca="1">AO104-O104</f>
        <v>0</v>
      </c>
      <c r="Z104" s="722"/>
      <c r="AB104" s="711"/>
      <c r="AC104" s="717"/>
      <c r="AD104" s="717"/>
      <c r="AE104" s="717"/>
      <c r="AF104" s="717"/>
      <c r="AG104" s="717"/>
      <c r="AH104" s="717"/>
      <c r="AI104" s="717"/>
      <c r="AJ104" s="717"/>
      <c r="AK104" s="717"/>
      <c r="AL104" s="717"/>
      <c r="AM104" s="712"/>
      <c r="AO104" s="680" cm="1">
        <f t="array" aca="1" ref="AO104" ca="1">IF($A104="S",IF(BM!$I104=0,0,CHOOSE(MATCH(RegimeExecucao,{"Global","Unitário"},0),ROUND(ROUND(BM.MEDAcumulado,15-13*BM!$A$9)/100*BM!$I104,15-13*ORÇAMENTO!$AF$11),ROUND(ROUND(BM.MEDAcumulado,15-13*BM!$A$9)*ROUND(BM!$H104,15-13*ORÇAMENTO!$AF$10),15-13*ORÇAMENTO!$AF$11))),IF($A104=0,0,ROUND(SomaAgrupBM,15-13*ORÇAMENTO!$AF$11)))</f>
        <v>0</v>
      </c>
    </row>
    <row r="105" spans="1:41" s="670" customFormat="1" x14ac:dyDescent="0.2">
      <c r="A105" s="670">
        <f ca="1">ORÇAMENTO!C105</f>
        <v>2</v>
      </c>
      <c r="B105" s="670">
        <f ca="1">ORÇAMENTO!D105</f>
        <v>4</v>
      </c>
      <c r="C105" s="114" t="str">
        <f t="shared" ca="1" si="8"/>
        <v>F</v>
      </c>
      <c r="D105" s="117" t="str">
        <f ca="1">ORÇAMENTO!O105</f>
        <v>1.14.</v>
      </c>
      <c r="E105" s="163" t="str">
        <f t="shared" si="9"/>
        <v>ESTRUTURA DE CONCRETO - Estação Elevatória de Água Tratada</v>
      </c>
      <c r="F105" s="164" t="str" cm="1">
        <f t="array" aca="1" ref="F105" ca="1">IF(RegimeExecucao="Global","",ORÇAMENTO.Unidade)</f>
        <v>-</v>
      </c>
      <c r="G105" s="122" cm="1">
        <f t="array" aca="1" ref="G105" ca="1">IF(RegimeExecucao="Global","",ORÇAMENTO!T105)</f>
        <v>0</v>
      </c>
      <c r="H105" s="122" cm="1">
        <f t="array" aca="1" ref="H105" ca="1">IF(RegimeExecucao="Global","",ORÇAMENTO!W105)</f>
        <v>0</v>
      </c>
      <c r="I105" s="125">
        <f ca="1">ORÇAMENTO!X105</f>
        <v>21144.84</v>
      </c>
      <c r="J105" s="333" cm="1">
        <f t="array" aca="1" ref="J105" ca="1">IF($A105="S",IF(CAIXA.Modo,BM.AFAnterior,BM.MEDAnterior),IF(AND(RegimeExecucao="Global",$I105&gt;0,COUNTIF($AB$13:$AM$13,BM.medicao-1)&gt;0),M105/$I105*100,0))</f>
        <v>0</v>
      </c>
      <c r="K105" s="122">
        <f t="shared" ca="1" si="10"/>
        <v>0</v>
      </c>
      <c r="L105" s="334" cm="1">
        <f t="array" aca="1" ref="L105" ca="1">IF($A105="S",IF(CAIXA.Modo,BM.AFAcumulado,BM.MEDAcumulado),IF(AND(RegimeExecucao="Global",$I105&gt;0,COUNTIF($AB$13:$AM$13,BM.medicao)&gt;0),O105/$I105*100,0))</f>
        <v>0</v>
      </c>
      <c r="M105" s="335" cm="1">
        <f t="array" aca="1" ref="M105" ca="1">IF($A105="S",VTOTALBM,IF($A105=0,0,ROUND(SomaAgrupBM,15-13*ORÇAMENTO!$AF$11)))</f>
        <v>0</v>
      </c>
      <c r="N105" s="336">
        <f t="shared" ca="1" si="11"/>
        <v>0</v>
      </c>
      <c r="O105" s="125" cm="1">
        <f t="array" aca="1" ref="O105" ca="1">IF($A105="S",VTOTALBM,IF($A105=0,0,ROUND(SomaAgrupBM,15-13*ORÇAMENTO!$AF$11)))</f>
        <v>0</v>
      </c>
      <c r="Q105" s="337"/>
      <c r="R105" s="338"/>
      <c r="T105" s="117" t="str">
        <f t="shared" ca="1" si="12"/>
        <v/>
      </c>
      <c r="U105" s="163" t="str">
        <f t="shared" ca="1" si="13"/>
        <v/>
      </c>
      <c r="V105" s="164" t="str" cm="1">
        <f t="array" aca="1" ref="V105" ca="1">IF(AND($W105&gt;0,RegimeExecucao="Unitário"),$F105,"")</f>
        <v/>
      </c>
      <c r="W105" s="454" cm="1">
        <f t="array" aca="1" ref="W105" ca="1">IF($Y105&gt;0,CHOOSE(MATCH(RegimeExecucao,{"Unitário","Global"},0),IF($A105="S",$Y105/$X105,""),($Y105/$X105)*100),0)</f>
        <v>0</v>
      </c>
      <c r="X105" s="339" t="str" cm="1">
        <f t="array" aca="1" ref="X105" ca="1">IF($Y105&gt;0,CHOOSE(MATCH(RegimeExecucao,{"Unitário","Global"},0),IF($A105="S",ROUND($H105,ORÇAMENTO!$AF$10),""),ROUND($I105,ORÇAMENTO!$AF$11)),"")</f>
        <v/>
      </c>
      <c r="Y105" s="339">
        <f t="shared" ca="1" si="14"/>
        <v>0</v>
      </c>
      <c r="Z105" s="473"/>
      <c r="AB105" s="337"/>
      <c r="AC105" s="437"/>
      <c r="AD105" s="437"/>
      <c r="AE105" s="437"/>
      <c r="AF105" s="437"/>
      <c r="AG105" s="437"/>
      <c r="AH105" s="437"/>
      <c r="AI105" s="437"/>
      <c r="AJ105" s="437"/>
      <c r="AK105" s="437"/>
      <c r="AL105" s="437"/>
      <c r="AM105" s="338"/>
      <c r="AO105" s="670" cm="1">
        <f t="array" aca="1" ref="AO105" ca="1">IF($A105="S",IF(BM!$I105=0,0,CHOOSE(MATCH(RegimeExecucao,{"Global","Unitário"},0),ROUND(ROUND(BM.MEDAcumulado,15-13*BM!$A$9)/100*BM!$I105,15-13*ORÇAMENTO!$AF$11),ROUND(ROUND(BM.MEDAcumulado,15-13*BM!$A$9)*ROUND(BM!$H105,15-13*ORÇAMENTO!$AF$10),15-13*ORÇAMENTO!$AF$11))),IF($A105=0,0,ROUND(SomaAgrupBM,15-13*ORÇAMENTO!$AF$11)))</f>
        <v>0</v>
      </c>
    </row>
    <row r="106" spans="1:41" s="670" customFormat="1" ht="38.25" x14ac:dyDescent="0.2">
      <c r="A106" s="670" t="str">
        <f ca="1">ORÇAMENTO!C106</f>
        <v>S</v>
      </c>
      <c r="B106" s="670">
        <f ca="1">ORÇAMENTO!D106</f>
        <v>0</v>
      </c>
      <c r="C106" s="114" t="str">
        <f t="shared" ca="1" si="8"/>
        <v>F</v>
      </c>
      <c r="D106" s="117" t="str">
        <f ca="1">ORÇAMENTO!O106</f>
        <v>1.14.1.</v>
      </c>
      <c r="E106" s="163" t="str">
        <f t="shared" ca="1" si="9"/>
        <v>CONCRETO FCK = 20MPA, TRAÇO 1:2,7:3 (EM MASSA SECA DE CIMENTO/ AREIA MÉDIA/ BRITA 1) - PREPARO MECÂNICO COM BETONEIRA 600 L. AF_05/2021</v>
      </c>
      <c r="F106" s="164" t="str" cm="1">
        <f t="array" aca="1" ref="F106" ca="1">IF(RegimeExecucao="Global","",ORÇAMENTO.Unidade)</f>
        <v>M3</v>
      </c>
      <c r="G106" s="122" cm="1">
        <f t="array" aca="1" ref="G106" ca="1">IF(RegimeExecucao="Global","",ORÇAMENTO!T106)</f>
        <v>6</v>
      </c>
      <c r="H106" s="122" cm="1">
        <f t="array" aca="1" ref="H106" ca="1">IF(RegimeExecucao="Global","",ORÇAMENTO!W106)</f>
        <v>686.14</v>
      </c>
      <c r="I106" s="125">
        <f ca="1">ORÇAMENTO!X106</f>
        <v>4116.84</v>
      </c>
      <c r="J106" s="333" cm="1">
        <f t="array" aca="1" ref="J106" ca="1">IF($A106="S",IF(CAIXA.Modo,BM.AFAnterior,BM.MEDAnterior),IF(AND(RegimeExecucao="Global",$I106&gt;0,COUNTIF($AB$13:$AM$13,BM.medicao-1)&gt;0),M106/$I106*100,0))</f>
        <v>0</v>
      </c>
      <c r="K106" s="122">
        <f t="shared" ca="1" si="10"/>
        <v>0</v>
      </c>
      <c r="L106" s="334" cm="1">
        <f t="array" aca="1" ref="L106" ca="1">IF($A106="S",IF(CAIXA.Modo,BM.AFAcumulado,BM.MEDAcumulado),IF(AND(RegimeExecucao="Global",$I106&gt;0,COUNTIF($AB$13:$AM$13,BM.medicao)&gt;0),O106/$I106*100,0))</f>
        <v>0</v>
      </c>
      <c r="M106" s="335" cm="1">
        <f t="array" aca="1" ref="M106" ca="1">IF($A106="S",VTOTALBM,IF($A106=0,0,ROUND(SomaAgrupBM,15-13*ORÇAMENTO!$AF$11)))</f>
        <v>0</v>
      </c>
      <c r="N106" s="336">
        <f t="shared" ca="1" si="11"/>
        <v>0</v>
      </c>
      <c r="O106" s="125" cm="1">
        <f t="array" aca="1" ref="O106" ca="1">IF($A106="S",VTOTALBM,IF($A106=0,0,ROUND(SomaAgrupBM,15-13*ORÇAMENTO!$AF$11)))</f>
        <v>0</v>
      </c>
      <c r="Q106" s="337"/>
      <c r="R106" s="338"/>
      <c r="T106" s="117" t="str">
        <f t="shared" ca="1" si="12"/>
        <v/>
      </c>
      <c r="U106" s="163" t="str">
        <f t="shared" ca="1" si="13"/>
        <v/>
      </c>
      <c r="V106" s="164" t="str" cm="1">
        <f t="array" aca="1" ref="V106" ca="1">IF(AND($W106&gt;0,RegimeExecucao="Unitário"),$F106,"")</f>
        <v/>
      </c>
      <c r="W106" s="454" cm="1">
        <f t="array" aca="1" ref="W106" ca="1">IF($Y106&gt;0,CHOOSE(MATCH(RegimeExecucao,{"Unitário","Global"},0),IF($A106="S",$Y106/$X106,""),($Y106/$X106)*100),0)</f>
        <v>0</v>
      </c>
      <c r="X106" s="339" t="str" cm="1">
        <f t="array" aca="1" ref="X106" ca="1">IF($Y106&gt;0,CHOOSE(MATCH(RegimeExecucao,{"Unitário","Global"},0),IF($A106="S",ROUND($H106,ORÇAMENTO!$AF$10),""),ROUND($I106,ORÇAMENTO!$AF$11)),"")</f>
        <v/>
      </c>
      <c r="Y106" s="339">
        <f t="shared" ca="1" si="14"/>
        <v>0</v>
      </c>
      <c r="Z106" s="473"/>
      <c r="AB106" s="337"/>
      <c r="AC106" s="437"/>
      <c r="AD106" s="437"/>
      <c r="AE106" s="437"/>
      <c r="AF106" s="437"/>
      <c r="AG106" s="437"/>
      <c r="AH106" s="437"/>
      <c r="AI106" s="437"/>
      <c r="AJ106" s="437"/>
      <c r="AK106" s="437"/>
      <c r="AL106" s="437"/>
      <c r="AM106" s="338"/>
      <c r="AO106" s="670" cm="1">
        <f t="array" aca="1" ref="AO106" ca="1">IF($A106="S",IF(BM!$I106=0,0,CHOOSE(MATCH(RegimeExecucao,{"Global","Unitário"},0),ROUND(ROUND(BM.MEDAcumulado,15-13*BM!$A$9)/100*BM!$I106,15-13*ORÇAMENTO!$AF$11),ROUND(ROUND(BM.MEDAcumulado,15-13*BM!$A$9)*ROUND(BM!$H106,15-13*ORÇAMENTO!$AF$10),15-13*ORÇAMENTO!$AF$11))),IF($A106=0,0,ROUND(SomaAgrupBM,15-13*ORÇAMENTO!$AF$11)))</f>
        <v>0</v>
      </c>
    </row>
    <row r="107" spans="1:41" s="670" customFormat="1" x14ac:dyDescent="0.2">
      <c r="A107" s="670" t="str">
        <f ca="1">ORÇAMENTO!C107</f>
        <v>S</v>
      </c>
      <c r="B107" s="670">
        <f ca="1">ORÇAMENTO!D107</f>
        <v>0</v>
      </c>
      <c r="C107" s="114" t="str">
        <f t="shared" ca="1" si="8"/>
        <v>F</v>
      </c>
      <c r="D107" s="117" t="str">
        <f ca="1">ORÇAMENTO!O107</f>
        <v>1.14.2.</v>
      </c>
      <c r="E107" s="163" t="str">
        <f t="shared" ca="1" si="9"/>
        <v>CORTE E DOBRA DE AÇO CA-25, DIÂMETRO DE 20,0 MM. AF_06/2022</v>
      </c>
      <c r="F107" s="164" t="str" cm="1">
        <f t="array" aca="1" ref="F107" ca="1">IF(RegimeExecucao="Global","",ORÇAMENTO.Unidade)</f>
        <v>KG</v>
      </c>
      <c r="G107" s="122" cm="1">
        <f t="array" aca="1" ref="G107" ca="1">IF(RegimeExecucao="Global","",ORÇAMENTO!T107)</f>
        <v>720</v>
      </c>
      <c r="H107" s="122" cm="1">
        <f t="array" aca="1" ref="H107" ca="1">IF(RegimeExecucao="Global","",ORÇAMENTO!W107)</f>
        <v>10.51</v>
      </c>
      <c r="I107" s="125">
        <f ca="1">ORÇAMENTO!X107</f>
        <v>7567.2</v>
      </c>
      <c r="J107" s="333" cm="1">
        <f t="array" aca="1" ref="J107" ca="1">IF($A107="S",IF(CAIXA.Modo,BM.AFAnterior,BM.MEDAnterior),IF(AND(RegimeExecucao="Global",$I107&gt;0,COUNTIF($AB$13:$AM$13,BM.medicao-1)&gt;0),M107/$I107*100,0))</f>
        <v>0</v>
      </c>
      <c r="K107" s="122">
        <f t="shared" ca="1" si="10"/>
        <v>0</v>
      </c>
      <c r="L107" s="334" cm="1">
        <f t="array" aca="1" ref="L107" ca="1">IF($A107="S",IF(CAIXA.Modo,BM.AFAcumulado,BM.MEDAcumulado),IF(AND(RegimeExecucao="Global",$I107&gt;0,COUNTIF($AB$13:$AM$13,BM.medicao)&gt;0),O107/$I107*100,0))</f>
        <v>0</v>
      </c>
      <c r="M107" s="335" cm="1">
        <f t="array" aca="1" ref="M107" ca="1">IF($A107="S",VTOTALBM,IF($A107=0,0,ROUND(SomaAgrupBM,15-13*ORÇAMENTO!$AF$11)))</f>
        <v>0</v>
      </c>
      <c r="N107" s="336">
        <f t="shared" ca="1" si="11"/>
        <v>0</v>
      </c>
      <c r="O107" s="125" cm="1">
        <f t="array" aca="1" ref="O107" ca="1">IF($A107="S",VTOTALBM,IF($A107=0,0,ROUND(SomaAgrupBM,15-13*ORÇAMENTO!$AF$11)))</f>
        <v>0</v>
      </c>
      <c r="Q107" s="337"/>
      <c r="R107" s="338"/>
      <c r="T107" s="117" t="str">
        <f t="shared" ca="1" si="12"/>
        <v/>
      </c>
      <c r="U107" s="163" t="str">
        <f t="shared" ca="1" si="13"/>
        <v/>
      </c>
      <c r="V107" s="164" t="str" cm="1">
        <f t="array" aca="1" ref="V107" ca="1">IF(AND($W107&gt;0,RegimeExecucao="Unitário"),$F107,"")</f>
        <v/>
      </c>
      <c r="W107" s="454" cm="1">
        <f t="array" aca="1" ref="W107" ca="1">IF($Y107&gt;0,CHOOSE(MATCH(RegimeExecucao,{"Unitário","Global"},0),IF($A107="S",$Y107/$X107,""),($Y107/$X107)*100),0)</f>
        <v>0</v>
      </c>
      <c r="X107" s="339" t="str" cm="1">
        <f t="array" aca="1" ref="X107" ca="1">IF($Y107&gt;0,CHOOSE(MATCH(RegimeExecucao,{"Unitário","Global"},0),IF($A107="S",ROUND($H107,ORÇAMENTO!$AF$10),""),ROUND($I107,ORÇAMENTO!$AF$11)),"")</f>
        <v/>
      </c>
      <c r="Y107" s="339">
        <f t="shared" ca="1" si="14"/>
        <v>0</v>
      </c>
      <c r="Z107" s="473"/>
      <c r="AB107" s="337"/>
      <c r="AC107" s="437"/>
      <c r="AD107" s="437"/>
      <c r="AE107" s="437"/>
      <c r="AF107" s="437"/>
      <c r="AG107" s="437"/>
      <c r="AH107" s="437"/>
      <c r="AI107" s="437"/>
      <c r="AJ107" s="437"/>
      <c r="AK107" s="437"/>
      <c r="AL107" s="437"/>
      <c r="AM107" s="338"/>
      <c r="AO107" s="670" cm="1">
        <f t="array" aca="1" ref="AO107" ca="1">IF($A107="S",IF(BM!$I107=0,0,CHOOSE(MATCH(RegimeExecucao,{"Global","Unitário"},0),ROUND(ROUND(BM.MEDAcumulado,15-13*BM!$A$9)/100*BM!$I107,15-13*ORÇAMENTO!$AF$11),ROUND(ROUND(BM.MEDAcumulado,15-13*BM!$A$9)*ROUND(BM!$H107,15-13*ORÇAMENTO!$AF$10),15-13*ORÇAMENTO!$AF$11))),IF($A107=0,0,ROUND(SomaAgrupBM,15-13*ORÇAMENTO!$AF$11)))</f>
        <v>0</v>
      </c>
    </row>
    <row r="108" spans="1:41" s="680" customFormat="1" ht="25.5" x14ac:dyDescent="0.2">
      <c r="A108" s="680" t="str">
        <f ca="1">ORÇAMENTO!C108</f>
        <v>S</v>
      </c>
      <c r="B108" s="680">
        <f ca="1">ORÇAMENTO!D108</f>
        <v>0</v>
      </c>
      <c r="C108" s="684" t="str">
        <f ca="1">IF(OR($I108&gt;0,$A108=1,$A108=2,$A108=3,$A108=4),"F","")</f>
        <v>F</v>
      </c>
      <c r="D108" s="687" t="str">
        <f ca="1">ORÇAMENTO!O108</f>
        <v>1.14.3.</v>
      </c>
      <c r="E108" s="699" t="str">
        <f ca="1">ORÇAMENTO.Descricao</f>
        <v>ARMAÇÃO DE BLOCO, SAPATA ISOLADA E SAPATA CORRIDA UTILIZANDO AÇO CA-50 DE 20 MM - MONTAGEM. AF_01/2024</v>
      </c>
      <c r="F108" s="700" t="str" cm="1">
        <f t="array" aca="1" ref="F108" ca="1">IF(RegimeExecucao="Global","",ORÇAMENTO.Unidade)</f>
        <v>KG</v>
      </c>
      <c r="G108" s="692" cm="1">
        <f t="array" aca="1" ref="G108" ca="1">IF(RegimeExecucao="Global","",ORÇAMENTO!T108)</f>
        <v>720</v>
      </c>
      <c r="H108" s="692" cm="1">
        <f t="array" aca="1" ref="H108" ca="1">IF(RegimeExecucao="Global","",ORÇAMENTO!W108)</f>
        <v>13.14</v>
      </c>
      <c r="I108" s="695">
        <f ca="1">ORÇAMENTO!X108</f>
        <v>9460.7999999999993</v>
      </c>
      <c r="J108" s="707" cm="1">
        <f t="array" aca="1" ref="J108" ca="1">IF($A108="S",IF(CAIXA.Modo,BM.AFAnterior,BM.MEDAnterior),IF(AND(RegimeExecucao="Global",$I108&gt;0,COUNTIF($AB$13:$AM$13,BM.medicao-1)&gt;0),M108/$I108*100,0))</f>
        <v>0</v>
      </c>
      <c r="K108" s="692">
        <f ca="1">L108-J108</f>
        <v>0</v>
      </c>
      <c r="L108" s="708" cm="1">
        <f t="array" aca="1" ref="L108" ca="1">IF($A108="S",IF(CAIXA.Modo,BM.AFAcumulado,BM.MEDAcumulado),IF(AND(RegimeExecucao="Global",$I108&gt;0,COUNTIF($AB$13:$AM$13,BM.medicao)&gt;0),O108/$I108*100,0))</f>
        <v>0</v>
      </c>
      <c r="M108" s="709" cm="1">
        <f t="array" aca="1" ref="M108" ca="1">IF($A108="S",VTOTALBM,IF($A108=0,0,ROUND(SomaAgrupBM,15-13*ORÇAMENTO!$AF$11)))</f>
        <v>0</v>
      </c>
      <c r="N108" s="710">
        <f ca="1">O108-M108</f>
        <v>0</v>
      </c>
      <c r="O108" s="695" cm="1">
        <f t="array" aca="1" ref="O108" ca="1">IF($A108="S",VTOTALBM,IF($A108=0,0,ROUND(SomaAgrupBM,15-13*ORÇAMENTO!$AF$11)))</f>
        <v>0</v>
      </c>
      <c r="Q108" s="711"/>
      <c r="R108" s="712"/>
      <c r="T108" s="687" t="str">
        <f ca="1">IF($W108&gt;0,$D108,"")</f>
        <v/>
      </c>
      <c r="U108" s="699" t="str">
        <f ca="1">IF($W108&gt;0,$E108,"")</f>
        <v/>
      </c>
      <c r="V108" s="700" t="str" cm="1">
        <f t="array" aca="1" ref="V108" ca="1">IF(AND($W108&gt;0,RegimeExecucao="Unitário"),$F108,"")</f>
        <v/>
      </c>
      <c r="W108" s="719" cm="1">
        <f t="array" aca="1" ref="W108" ca="1">IF($Y108&gt;0,CHOOSE(MATCH(RegimeExecucao,{"Unitário","Global"},0),IF($A108="S",$Y108/$X108,""),($Y108/$X108)*100),0)</f>
        <v>0</v>
      </c>
      <c r="X108" s="713" t="str" cm="1">
        <f t="array" aca="1" ref="X108" ca="1">IF($Y108&gt;0,CHOOSE(MATCH(RegimeExecucao,{"Unitário","Global"},0),IF($A108="S",ROUND($H108,ORÇAMENTO!$AF$10),""),ROUND($I108,ORÇAMENTO!$AF$11)),"")</f>
        <v/>
      </c>
      <c r="Y108" s="713">
        <f ca="1">AO108-O108</f>
        <v>0</v>
      </c>
      <c r="Z108" s="722"/>
      <c r="AB108" s="711"/>
      <c r="AC108" s="717"/>
      <c r="AD108" s="717"/>
      <c r="AE108" s="717"/>
      <c r="AF108" s="717"/>
      <c r="AG108" s="717"/>
      <c r="AH108" s="717"/>
      <c r="AI108" s="717"/>
      <c r="AJ108" s="717"/>
      <c r="AK108" s="717"/>
      <c r="AL108" s="717"/>
      <c r="AM108" s="712"/>
      <c r="AO108" s="680" cm="1">
        <f t="array" aca="1" ref="AO108" ca="1">IF($A108="S",IF(BM!$I108=0,0,CHOOSE(MATCH(RegimeExecucao,{"Global","Unitário"},0),ROUND(ROUND(BM.MEDAcumulado,15-13*BM!$A$9)/100*BM!$I108,15-13*ORÇAMENTO!$AF$11),ROUND(ROUND(BM.MEDAcumulado,15-13*BM!$A$9)*ROUND(BM!$H108,15-13*ORÇAMENTO!$AF$10),15-13*ORÇAMENTO!$AF$11))),IF($A108=0,0,ROUND(SomaAgrupBM,15-13*ORÇAMENTO!$AF$11)))</f>
        <v>0</v>
      </c>
    </row>
    <row r="109" spans="1:41" s="670" customFormat="1" x14ac:dyDescent="0.2">
      <c r="A109" s="670">
        <f ca="1">ORÇAMENTO!C109</f>
        <v>2</v>
      </c>
      <c r="B109" s="670">
        <f ca="1">ORÇAMENTO!D109</f>
        <v>2</v>
      </c>
      <c r="C109" s="114" t="str">
        <f t="shared" ca="1" si="8"/>
        <v>F</v>
      </c>
      <c r="D109" s="117" t="str">
        <f ca="1">ORÇAMENTO!O109</f>
        <v>1.15.</v>
      </c>
      <c r="E109" s="163" t="str">
        <f t="shared" si="9"/>
        <v>ALVENARIAIS E DIVISÕES - Estação Elevatória de Água Tratada</v>
      </c>
      <c r="F109" s="164" t="str" cm="1">
        <f t="array" aca="1" ref="F109" ca="1">IF(RegimeExecucao="Global","",ORÇAMENTO.Unidade)</f>
        <v>-</v>
      </c>
      <c r="G109" s="122" cm="1">
        <f t="array" aca="1" ref="G109" ca="1">IF(RegimeExecucao="Global","",ORÇAMENTO!T109)</f>
        <v>0</v>
      </c>
      <c r="H109" s="122" cm="1">
        <f t="array" aca="1" ref="H109" ca="1">IF(RegimeExecucao="Global","",ORÇAMENTO!W109)</f>
        <v>0</v>
      </c>
      <c r="I109" s="125">
        <f ca="1">ORÇAMENTO!X109</f>
        <v>30663.74</v>
      </c>
      <c r="J109" s="333" cm="1">
        <f t="array" aca="1" ref="J109" ca="1">IF($A109="S",IF(CAIXA.Modo,BM.AFAnterior,BM.MEDAnterior),IF(AND(RegimeExecucao="Global",$I109&gt;0,COUNTIF($AB$13:$AM$13,BM.medicao-1)&gt;0),M109/$I109*100,0))</f>
        <v>0</v>
      </c>
      <c r="K109" s="122">
        <f t="shared" ca="1" si="10"/>
        <v>0</v>
      </c>
      <c r="L109" s="334" cm="1">
        <f t="array" aca="1" ref="L109" ca="1">IF($A109="S",IF(CAIXA.Modo,BM.AFAcumulado,BM.MEDAcumulado),IF(AND(RegimeExecucao="Global",$I109&gt;0,COUNTIF($AB$13:$AM$13,BM.medicao)&gt;0),O109/$I109*100,0))</f>
        <v>0</v>
      </c>
      <c r="M109" s="335" cm="1">
        <f t="array" aca="1" ref="M109" ca="1">IF($A109="S",VTOTALBM,IF($A109=0,0,ROUND(SomaAgrupBM,15-13*ORÇAMENTO!$AF$11)))</f>
        <v>0</v>
      </c>
      <c r="N109" s="336">
        <f t="shared" ca="1" si="11"/>
        <v>0</v>
      </c>
      <c r="O109" s="125" cm="1">
        <f t="array" aca="1" ref="O109" ca="1">IF($A109="S",VTOTALBM,IF($A109=0,0,ROUND(SomaAgrupBM,15-13*ORÇAMENTO!$AF$11)))</f>
        <v>0</v>
      </c>
      <c r="Q109" s="337"/>
      <c r="R109" s="338"/>
      <c r="T109" s="117" t="str">
        <f t="shared" ca="1" si="12"/>
        <v/>
      </c>
      <c r="U109" s="163" t="str">
        <f t="shared" ca="1" si="13"/>
        <v/>
      </c>
      <c r="V109" s="164" t="str" cm="1">
        <f t="array" aca="1" ref="V109" ca="1">IF(AND($W109&gt;0,RegimeExecucao="Unitário"),$F109,"")</f>
        <v/>
      </c>
      <c r="W109" s="454" cm="1">
        <f t="array" aca="1" ref="W109" ca="1">IF($Y109&gt;0,CHOOSE(MATCH(RegimeExecucao,{"Unitário","Global"},0),IF($A109="S",$Y109/$X109,""),($Y109/$X109)*100),0)</f>
        <v>0</v>
      </c>
      <c r="X109" s="339" t="str" cm="1">
        <f t="array" aca="1" ref="X109" ca="1">IF($Y109&gt;0,CHOOSE(MATCH(RegimeExecucao,{"Unitário","Global"},0),IF($A109="S",ROUND($H109,ORÇAMENTO!$AF$10),""),ROUND($I109,ORÇAMENTO!$AF$11)),"")</f>
        <v/>
      </c>
      <c r="Y109" s="339">
        <f t="shared" ca="1" si="14"/>
        <v>0</v>
      </c>
      <c r="Z109" s="473"/>
      <c r="AB109" s="337"/>
      <c r="AC109" s="437"/>
      <c r="AD109" s="437"/>
      <c r="AE109" s="437"/>
      <c r="AF109" s="437"/>
      <c r="AG109" s="437"/>
      <c r="AH109" s="437"/>
      <c r="AI109" s="437"/>
      <c r="AJ109" s="437"/>
      <c r="AK109" s="437"/>
      <c r="AL109" s="437"/>
      <c r="AM109" s="338"/>
      <c r="AO109" s="670" cm="1">
        <f t="array" aca="1" ref="AO109" ca="1">IF($A109="S",IF(BM!$I109=0,0,CHOOSE(MATCH(RegimeExecucao,{"Global","Unitário"},0),ROUND(ROUND(BM.MEDAcumulado,15-13*BM!$A$9)/100*BM!$I109,15-13*ORÇAMENTO!$AF$11),ROUND(ROUND(BM.MEDAcumulado,15-13*BM!$A$9)*ROUND(BM!$H109,15-13*ORÇAMENTO!$AF$10),15-13*ORÇAMENTO!$AF$11))),IF($A109=0,0,ROUND(SomaAgrupBM,15-13*ORÇAMENTO!$AF$11)))</f>
        <v>0</v>
      </c>
    </row>
    <row r="110" spans="1:41" s="670" customFormat="1" ht="38.25" x14ac:dyDescent="0.2">
      <c r="A110" s="670" t="str">
        <f ca="1">ORÇAMENTO!C110</f>
        <v>S</v>
      </c>
      <c r="B110" s="670">
        <f ca="1">ORÇAMENTO!D110</f>
        <v>0</v>
      </c>
      <c r="C110" s="114" t="str">
        <f t="shared" ca="1" si="8"/>
        <v>F</v>
      </c>
      <c r="D110" s="117" t="str">
        <f ca="1">ORÇAMENTO!O110</f>
        <v>1.15.1.</v>
      </c>
      <c r="E110" s="163" t="str">
        <f t="shared" ca="1" si="9"/>
        <v>ALVENARIA DE VEDAÇÃO COM TIJOLO MACIÇO REQUEIMADO, ESP. 20CM, PARA REVESTIMENTO, INCLUSIVE ARGAMASSA PARA ASSENTAMENTO</v>
      </c>
      <c r="F110" s="164" t="str" cm="1">
        <f t="array" aca="1" ref="F110" ca="1">IF(RegimeExecucao="Global","",ORÇAMENTO.Unidade)</f>
        <v>m2</v>
      </c>
      <c r="G110" s="122" cm="1">
        <f t="array" aca="1" ref="G110" ca="1">IF(RegimeExecucao="Global","",ORÇAMENTO!T110)</f>
        <v>94</v>
      </c>
      <c r="H110" s="122" cm="1">
        <f t="array" aca="1" ref="H110" ca="1">IF(RegimeExecucao="Global","",ORÇAMENTO!W110)</f>
        <v>326.20999999999998</v>
      </c>
      <c r="I110" s="125">
        <f ca="1">ORÇAMENTO!X110</f>
        <v>30663.74</v>
      </c>
      <c r="J110" s="333" cm="1">
        <f t="array" aca="1" ref="J110" ca="1">IF($A110="S",IF(CAIXA.Modo,BM.AFAnterior,BM.MEDAnterior),IF(AND(RegimeExecucao="Global",$I110&gt;0,COUNTIF($AB$13:$AM$13,BM.medicao-1)&gt;0),M110/$I110*100,0))</f>
        <v>0</v>
      </c>
      <c r="K110" s="122">
        <f t="shared" ca="1" si="10"/>
        <v>0</v>
      </c>
      <c r="L110" s="334" cm="1">
        <f t="array" aca="1" ref="L110" ca="1">IF($A110="S",IF(CAIXA.Modo,BM.AFAcumulado,BM.MEDAcumulado),IF(AND(RegimeExecucao="Global",$I110&gt;0,COUNTIF($AB$13:$AM$13,BM.medicao)&gt;0),O110/$I110*100,0))</f>
        <v>0</v>
      </c>
      <c r="M110" s="335" cm="1">
        <f t="array" aca="1" ref="M110" ca="1">IF($A110="S",VTOTALBM,IF($A110=0,0,ROUND(SomaAgrupBM,15-13*ORÇAMENTO!$AF$11)))</f>
        <v>0</v>
      </c>
      <c r="N110" s="336">
        <f t="shared" ca="1" si="11"/>
        <v>0</v>
      </c>
      <c r="O110" s="125" cm="1">
        <f t="array" aca="1" ref="O110" ca="1">IF($A110="S",VTOTALBM,IF($A110=0,0,ROUND(SomaAgrupBM,15-13*ORÇAMENTO!$AF$11)))</f>
        <v>0</v>
      </c>
      <c r="Q110" s="337"/>
      <c r="R110" s="338"/>
      <c r="T110" s="117" t="str">
        <f t="shared" ca="1" si="12"/>
        <v/>
      </c>
      <c r="U110" s="163" t="str">
        <f t="shared" ca="1" si="13"/>
        <v/>
      </c>
      <c r="V110" s="164" t="str" cm="1">
        <f t="array" aca="1" ref="V110" ca="1">IF(AND($W110&gt;0,RegimeExecucao="Unitário"),$F110,"")</f>
        <v/>
      </c>
      <c r="W110" s="454" cm="1">
        <f t="array" aca="1" ref="W110" ca="1">IF($Y110&gt;0,CHOOSE(MATCH(RegimeExecucao,{"Unitário","Global"},0),IF($A110="S",$Y110/$X110,""),($Y110/$X110)*100),0)</f>
        <v>0</v>
      </c>
      <c r="X110" s="339" t="str" cm="1">
        <f t="array" aca="1" ref="X110" ca="1">IF($Y110&gt;0,CHOOSE(MATCH(RegimeExecucao,{"Unitário","Global"},0),IF($A110="S",ROUND($H110,ORÇAMENTO!$AF$10),""),ROUND($I110,ORÇAMENTO!$AF$11)),"")</f>
        <v/>
      </c>
      <c r="Y110" s="339">
        <f t="shared" ca="1" si="14"/>
        <v>0</v>
      </c>
      <c r="Z110" s="473"/>
      <c r="AB110" s="337"/>
      <c r="AC110" s="437"/>
      <c r="AD110" s="437"/>
      <c r="AE110" s="437"/>
      <c r="AF110" s="437"/>
      <c r="AG110" s="437"/>
      <c r="AH110" s="437"/>
      <c r="AI110" s="437"/>
      <c r="AJ110" s="437"/>
      <c r="AK110" s="437"/>
      <c r="AL110" s="437"/>
      <c r="AM110" s="338"/>
      <c r="AO110" s="670" cm="1">
        <f t="array" aca="1" ref="AO110" ca="1">IF($A110="S",IF(BM!$I110=0,0,CHOOSE(MATCH(RegimeExecucao,{"Global","Unitário"},0),ROUND(ROUND(BM.MEDAcumulado,15-13*BM!$A$9)/100*BM!$I110,15-13*ORÇAMENTO!$AF$11),ROUND(ROUND(BM.MEDAcumulado,15-13*BM!$A$9)*ROUND(BM!$H110,15-13*ORÇAMENTO!$AF$10),15-13*ORÇAMENTO!$AF$11))),IF($A110=0,0,ROUND(SomaAgrupBM,15-13*ORÇAMENTO!$AF$11)))</f>
        <v>0</v>
      </c>
    </row>
    <row r="111" spans="1:41" s="670" customFormat="1" x14ac:dyDescent="0.2">
      <c r="A111" s="670">
        <f ca="1">ORÇAMENTO!C111</f>
        <v>2</v>
      </c>
      <c r="B111" s="670">
        <f ca="1">ORÇAMENTO!D111</f>
        <v>3</v>
      </c>
      <c r="C111" s="114" t="str">
        <f t="shared" ca="1" si="8"/>
        <v>F</v>
      </c>
      <c r="D111" s="117" t="str">
        <f ca="1">ORÇAMENTO!O111</f>
        <v>1.16.</v>
      </c>
      <c r="E111" s="163" t="str">
        <f t="shared" si="9"/>
        <v>COBERTURA - Estação Elevatória de Água Tratada</v>
      </c>
      <c r="F111" s="164" t="str" cm="1">
        <f t="array" aca="1" ref="F111" ca="1">IF(RegimeExecucao="Global","",ORÇAMENTO.Unidade)</f>
        <v>-</v>
      </c>
      <c r="G111" s="122" cm="1">
        <f t="array" aca="1" ref="G111" ca="1">IF(RegimeExecucao="Global","",ORÇAMENTO!T111)</f>
        <v>0</v>
      </c>
      <c r="H111" s="122" cm="1">
        <f t="array" aca="1" ref="H111" ca="1">IF(RegimeExecucao="Global","",ORÇAMENTO!W111)</f>
        <v>0</v>
      </c>
      <c r="I111" s="125">
        <f ca="1">ORÇAMENTO!X111</f>
        <v>22241.98</v>
      </c>
      <c r="J111" s="333" cm="1">
        <f t="array" aca="1" ref="J111" ca="1">IF($A111="S",IF(CAIXA.Modo,BM.AFAnterior,BM.MEDAnterior),IF(AND(RegimeExecucao="Global",$I111&gt;0,COUNTIF($AB$13:$AM$13,BM.medicao-1)&gt;0),M111/$I111*100,0))</f>
        <v>0</v>
      </c>
      <c r="K111" s="122">
        <f t="shared" ca="1" si="10"/>
        <v>0</v>
      </c>
      <c r="L111" s="334" cm="1">
        <f t="array" aca="1" ref="L111" ca="1">IF($A111="S",IF(CAIXA.Modo,BM.AFAcumulado,BM.MEDAcumulado),IF(AND(RegimeExecucao="Global",$I111&gt;0,COUNTIF($AB$13:$AM$13,BM.medicao)&gt;0),O111/$I111*100,0))</f>
        <v>0</v>
      </c>
      <c r="M111" s="335" cm="1">
        <f t="array" aca="1" ref="M111" ca="1">IF($A111="S",VTOTALBM,IF($A111=0,0,ROUND(SomaAgrupBM,15-13*ORÇAMENTO!$AF$11)))</f>
        <v>0</v>
      </c>
      <c r="N111" s="336">
        <f t="shared" ca="1" si="11"/>
        <v>0</v>
      </c>
      <c r="O111" s="125" cm="1">
        <f t="array" aca="1" ref="O111" ca="1">IF($A111="S",VTOTALBM,IF($A111=0,0,ROUND(SomaAgrupBM,15-13*ORÇAMENTO!$AF$11)))</f>
        <v>0</v>
      </c>
      <c r="Q111" s="337"/>
      <c r="R111" s="338"/>
      <c r="T111" s="117" t="str">
        <f t="shared" ca="1" si="12"/>
        <v/>
      </c>
      <c r="U111" s="163" t="str">
        <f t="shared" ca="1" si="13"/>
        <v/>
      </c>
      <c r="V111" s="164" t="str" cm="1">
        <f t="array" aca="1" ref="V111" ca="1">IF(AND($W111&gt;0,RegimeExecucao="Unitário"),$F111,"")</f>
        <v/>
      </c>
      <c r="W111" s="454" cm="1">
        <f t="array" aca="1" ref="W111" ca="1">IF($Y111&gt;0,CHOOSE(MATCH(RegimeExecucao,{"Unitário","Global"},0),IF($A111="S",$Y111/$X111,""),($Y111/$X111)*100),0)</f>
        <v>0</v>
      </c>
      <c r="X111" s="339" t="str" cm="1">
        <f t="array" aca="1" ref="X111" ca="1">IF($Y111&gt;0,CHOOSE(MATCH(RegimeExecucao,{"Unitário","Global"},0),IF($A111="S",ROUND($H111,ORÇAMENTO!$AF$10),""),ROUND($I111,ORÇAMENTO!$AF$11)),"")</f>
        <v/>
      </c>
      <c r="Y111" s="339">
        <f t="shared" ca="1" si="14"/>
        <v>0</v>
      </c>
      <c r="Z111" s="473"/>
      <c r="AB111" s="337"/>
      <c r="AC111" s="437"/>
      <c r="AD111" s="437"/>
      <c r="AE111" s="437"/>
      <c r="AF111" s="437"/>
      <c r="AG111" s="437"/>
      <c r="AH111" s="437"/>
      <c r="AI111" s="437"/>
      <c r="AJ111" s="437"/>
      <c r="AK111" s="437"/>
      <c r="AL111" s="437"/>
      <c r="AM111" s="338"/>
      <c r="AO111" s="670" cm="1">
        <f t="array" aca="1" ref="AO111" ca="1">IF($A111="S",IF(BM!$I111=0,0,CHOOSE(MATCH(RegimeExecucao,{"Global","Unitário"},0),ROUND(ROUND(BM.MEDAcumulado,15-13*BM!$A$9)/100*BM!$I111,15-13*ORÇAMENTO!$AF$11),ROUND(ROUND(BM.MEDAcumulado,15-13*BM!$A$9)*ROUND(BM!$H111,15-13*ORÇAMENTO!$AF$10),15-13*ORÇAMENTO!$AF$11))),IF($A111=0,0,ROUND(SomaAgrupBM,15-13*ORÇAMENTO!$AF$11)))</f>
        <v>0</v>
      </c>
    </row>
    <row r="112" spans="1:41" s="670" customFormat="1" ht="63.75" x14ac:dyDescent="0.2">
      <c r="A112" s="670" t="str">
        <f ca="1">ORÇAMENTO!C112</f>
        <v>S</v>
      </c>
      <c r="B112" s="670">
        <f ca="1">ORÇAMENTO!D112</f>
        <v>0</v>
      </c>
      <c r="C112" s="114" t="str">
        <f t="shared" ca="1" si="8"/>
        <v>F</v>
      </c>
      <c r="D112" s="117" t="str">
        <f ca="1">ORÇAMENTO!O112</f>
        <v>1.16.1.</v>
      </c>
      <c r="E112" s="163" t="str">
        <f t="shared" ca="1" si="9"/>
        <v>COBERTURA EM TELHA DE FIBROCIMENTO,TIPO CALHA ESTRUTURAL, LARGURA 49CM, (CANALETE 49/KALHETA), COM RECOBRIMENTO TRANSVERSAL E LONGITUDINAL, EXCLUSIVE CUMEEIRA E ENGRADAMENTO, INCLUSIVE ACESSÓRIOS DE FIXAÇÃO E IÇAMENTO MANUAL VERTICAL</v>
      </c>
      <c r="F112" s="164" t="str" cm="1">
        <f t="array" aca="1" ref="F112" ca="1">IF(RegimeExecucao="Global","",ORÇAMENTO.Unidade)</f>
        <v>m2</v>
      </c>
      <c r="G112" s="122" cm="1">
        <f t="array" aca="1" ref="G112" ca="1">IF(RegimeExecucao="Global","",ORÇAMENTO!T112)</f>
        <v>74.5</v>
      </c>
      <c r="H112" s="122" cm="1">
        <f t="array" aca="1" ref="H112" ca="1">IF(RegimeExecucao="Global","",ORÇAMENTO!W112)</f>
        <v>254.93</v>
      </c>
      <c r="I112" s="125">
        <f ca="1">ORÇAMENTO!X112</f>
        <v>18992.29</v>
      </c>
      <c r="J112" s="333" cm="1">
        <f t="array" aca="1" ref="J112" ca="1">IF($A112="S",IF(CAIXA.Modo,BM.AFAnterior,BM.MEDAnterior),IF(AND(RegimeExecucao="Global",$I112&gt;0,COUNTIF($AB$13:$AM$13,BM.medicao-1)&gt;0),M112/$I112*100,0))</f>
        <v>0</v>
      </c>
      <c r="K112" s="122">
        <f t="shared" ca="1" si="10"/>
        <v>0</v>
      </c>
      <c r="L112" s="334" cm="1">
        <f t="array" aca="1" ref="L112" ca="1">IF($A112="S",IF(CAIXA.Modo,BM.AFAcumulado,BM.MEDAcumulado),IF(AND(RegimeExecucao="Global",$I112&gt;0,COUNTIF($AB$13:$AM$13,BM.medicao)&gt;0),O112/$I112*100,0))</f>
        <v>0</v>
      </c>
      <c r="M112" s="335" cm="1">
        <f t="array" aca="1" ref="M112" ca="1">IF($A112="S",VTOTALBM,IF($A112=0,0,ROUND(SomaAgrupBM,15-13*ORÇAMENTO!$AF$11)))</f>
        <v>0</v>
      </c>
      <c r="N112" s="336">
        <f t="shared" ca="1" si="11"/>
        <v>0</v>
      </c>
      <c r="O112" s="125" cm="1">
        <f t="array" aca="1" ref="O112" ca="1">IF($A112="S",VTOTALBM,IF($A112=0,0,ROUND(SomaAgrupBM,15-13*ORÇAMENTO!$AF$11)))</f>
        <v>0</v>
      </c>
      <c r="Q112" s="337"/>
      <c r="R112" s="338"/>
      <c r="T112" s="117" t="str">
        <f t="shared" ca="1" si="12"/>
        <v/>
      </c>
      <c r="U112" s="163" t="str">
        <f t="shared" ca="1" si="13"/>
        <v/>
      </c>
      <c r="V112" s="164" t="str" cm="1">
        <f t="array" aca="1" ref="V112" ca="1">IF(AND($W112&gt;0,RegimeExecucao="Unitário"),$F112,"")</f>
        <v/>
      </c>
      <c r="W112" s="454" cm="1">
        <f t="array" aca="1" ref="W112" ca="1">IF($Y112&gt;0,CHOOSE(MATCH(RegimeExecucao,{"Unitário","Global"},0),IF($A112="S",$Y112/$X112,""),($Y112/$X112)*100),0)</f>
        <v>0</v>
      </c>
      <c r="X112" s="339" t="str" cm="1">
        <f t="array" aca="1" ref="X112" ca="1">IF($Y112&gt;0,CHOOSE(MATCH(RegimeExecucao,{"Unitário","Global"},0),IF($A112="S",ROUND($H112,ORÇAMENTO!$AF$10),""),ROUND($I112,ORÇAMENTO!$AF$11)),"")</f>
        <v/>
      </c>
      <c r="Y112" s="339">
        <f t="shared" ca="1" si="14"/>
        <v>0</v>
      </c>
      <c r="Z112" s="473"/>
      <c r="AB112" s="337"/>
      <c r="AC112" s="437"/>
      <c r="AD112" s="437"/>
      <c r="AE112" s="437"/>
      <c r="AF112" s="437"/>
      <c r="AG112" s="437"/>
      <c r="AH112" s="437"/>
      <c r="AI112" s="437"/>
      <c r="AJ112" s="437"/>
      <c r="AK112" s="437"/>
      <c r="AL112" s="437"/>
      <c r="AM112" s="338"/>
      <c r="AO112" s="670" cm="1">
        <f t="array" aca="1" ref="AO112" ca="1">IF($A112="S",IF(BM!$I112=0,0,CHOOSE(MATCH(RegimeExecucao,{"Global","Unitário"},0),ROUND(ROUND(BM.MEDAcumulado,15-13*BM!$A$9)/100*BM!$I112,15-13*ORÇAMENTO!$AF$11),ROUND(ROUND(BM.MEDAcumulado,15-13*BM!$A$9)*ROUND(BM!$H112,15-13*ORÇAMENTO!$AF$10),15-13*ORÇAMENTO!$AF$11))),IF($A112=0,0,ROUND(SomaAgrupBM,15-13*ORÇAMENTO!$AF$11)))</f>
        <v>0</v>
      </c>
    </row>
    <row r="113" spans="1:41" s="670" customFormat="1" ht="51" x14ac:dyDescent="0.2">
      <c r="A113" s="670" t="str">
        <f ca="1">ORÇAMENTO!C113</f>
        <v>S</v>
      </c>
      <c r="B113" s="670">
        <f ca="1">ORÇAMENTO!D113</f>
        <v>0</v>
      </c>
      <c r="C113" s="114" t="str">
        <f t="shared" ca="1" si="8"/>
        <v>F</v>
      </c>
      <c r="D113" s="117" t="str">
        <f ca="1">ORÇAMENTO!O113</f>
        <v>1.16.2.</v>
      </c>
      <c r="E113" s="163" t="str">
        <f t="shared" ca="1" si="9"/>
        <v>TRAMA DE MADEIRA COMPOSTA POR TERÇAS PARA TELHADOS DE ATÉ 2 ÁGUAS PARA TELHA ONDULADA DE FIBROCIMENTO, METÁLICA, PLÁSTICA OU TERMOACÚSTICA, INCLUSO TRANSPORTE VERTICAL. AF_10/2025</v>
      </c>
      <c r="F113" s="164" t="str" cm="1">
        <f t="array" aca="1" ref="F113" ca="1">IF(RegimeExecucao="Global","",ORÇAMENTO.Unidade)</f>
        <v>M2</v>
      </c>
      <c r="G113" s="122" cm="1">
        <f t="array" aca="1" ref="G113" ca="1">IF(RegimeExecucao="Global","",ORÇAMENTO!T113)</f>
        <v>74.5</v>
      </c>
      <c r="H113" s="122" cm="1">
        <f t="array" aca="1" ref="H113" ca="1">IF(RegimeExecucao="Global","",ORÇAMENTO!W113)</f>
        <v>43.62</v>
      </c>
      <c r="I113" s="125">
        <f ca="1">ORÇAMENTO!X113</f>
        <v>3249.69</v>
      </c>
      <c r="J113" s="333" cm="1">
        <f t="array" aca="1" ref="J113" ca="1">IF($A113="S",IF(CAIXA.Modo,BM.AFAnterior,BM.MEDAnterior),IF(AND(RegimeExecucao="Global",$I113&gt;0,COUNTIF($AB$13:$AM$13,BM.medicao-1)&gt;0),M113/$I113*100,0))</f>
        <v>0</v>
      </c>
      <c r="K113" s="122">
        <f t="shared" ca="1" si="10"/>
        <v>0</v>
      </c>
      <c r="L113" s="334" cm="1">
        <f t="array" aca="1" ref="L113" ca="1">IF($A113="S",IF(CAIXA.Modo,BM.AFAcumulado,BM.MEDAcumulado),IF(AND(RegimeExecucao="Global",$I113&gt;0,COUNTIF($AB$13:$AM$13,BM.medicao)&gt;0),O113/$I113*100,0))</f>
        <v>0</v>
      </c>
      <c r="M113" s="335" cm="1">
        <f t="array" aca="1" ref="M113" ca="1">IF($A113="S",VTOTALBM,IF($A113=0,0,ROUND(SomaAgrupBM,15-13*ORÇAMENTO!$AF$11)))</f>
        <v>0</v>
      </c>
      <c r="N113" s="336">
        <f t="shared" ca="1" si="11"/>
        <v>0</v>
      </c>
      <c r="O113" s="125" cm="1">
        <f t="array" aca="1" ref="O113" ca="1">IF($A113="S",VTOTALBM,IF($A113=0,0,ROUND(SomaAgrupBM,15-13*ORÇAMENTO!$AF$11)))</f>
        <v>0</v>
      </c>
      <c r="Q113" s="337"/>
      <c r="R113" s="338"/>
      <c r="T113" s="117" t="str">
        <f t="shared" ca="1" si="12"/>
        <v/>
      </c>
      <c r="U113" s="163" t="str">
        <f t="shared" ca="1" si="13"/>
        <v/>
      </c>
      <c r="V113" s="164" t="str" cm="1">
        <f t="array" aca="1" ref="V113" ca="1">IF(AND($W113&gt;0,RegimeExecucao="Unitário"),$F113,"")</f>
        <v/>
      </c>
      <c r="W113" s="454" cm="1">
        <f t="array" aca="1" ref="W113" ca="1">IF($Y113&gt;0,CHOOSE(MATCH(RegimeExecucao,{"Unitário","Global"},0),IF($A113="S",$Y113/$X113,""),($Y113/$X113)*100),0)</f>
        <v>0</v>
      </c>
      <c r="X113" s="339" t="str" cm="1">
        <f t="array" aca="1" ref="X113" ca="1">IF($Y113&gt;0,CHOOSE(MATCH(RegimeExecucao,{"Unitário","Global"},0),IF($A113="S",ROUND($H113,ORÇAMENTO!$AF$10),""),ROUND($I113,ORÇAMENTO!$AF$11)),"")</f>
        <v/>
      </c>
      <c r="Y113" s="339">
        <f t="shared" ca="1" si="14"/>
        <v>0</v>
      </c>
      <c r="Z113" s="473"/>
      <c r="AB113" s="337"/>
      <c r="AC113" s="437"/>
      <c r="AD113" s="437"/>
      <c r="AE113" s="437"/>
      <c r="AF113" s="437"/>
      <c r="AG113" s="437"/>
      <c r="AH113" s="437"/>
      <c r="AI113" s="437"/>
      <c r="AJ113" s="437"/>
      <c r="AK113" s="437"/>
      <c r="AL113" s="437"/>
      <c r="AM113" s="338"/>
      <c r="AO113" s="670" cm="1">
        <f t="array" aca="1" ref="AO113" ca="1">IF($A113="S",IF(BM!$I113=0,0,CHOOSE(MATCH(RegimeExecucao,{"Global","Unitário"},0),ROUND(ROUND(BM.MEDAcumulado,15-13*BM!$A$9)/100*BM!$I113,15-13*ORÇAMENTO!$AF$11),ROUND(ROUND(BM.MEDAcumulado,15-13*BM!$A$9)*ROUND(BM!$H113,15-13*ORÇAMENTO!$AF$10),15-13*ORÇAMENTO!$AF$11))),IF($A113=0,0,ROUND(SomaAgrupBM,15-13*ORÇAMENTO!$AF$11)))</f>
        <v>0</v>
      </c>
    </row>
    <row r="114" spans="1:41" s="670" customFormat="1" x14ac:dyDescent="0.2">
      <c r="A114" s="670">
        <f ca="1">ORÇAMENTO!C114</f>
        <v>2</v>
      </c>
      <c r="B114" s="670">
        <f ca="1">ORÇAMENTO!D114</f>
        <v>27</v>
      </c>
      <c r="C114" s="114" t="str">
        <f t="shared" ca="1" si="8"/>
        <v>F</v>
      </c>
      <c r="D114" s="117" t="str">
        <f ca="1">ORÇAMENTO!O114</f>
        <v>1.17.</v>
      </c>
      <c r="E114" s="163" t="str">
        <f t="shared" si="9"/>
        <v>INSTALAÇÕES ELETRICAS - Estação Elevatória de Água Tratada</v>
      </c>
      <c r="F114" s="164" t="str" cm="1">
        <f t="array" aca="1" ref="F114" ca="1">IF(RegimeExecucao="Global","",ORÇAMENTO.Unidade)</f>
        <v>-</v>
      </c>
      <c r="G114" s="122" cm="1">
        <f t="array" aca="1" ref="G114" ca="1">IF(RegimeExecucao="Global","",ORÇAMENTO!T114)</f>
        <v>0</v>
      </c>
      <c r="H114" s="122" cm="1">
        <f t="array" aca="1" ref="H114" ca="1">IF(RegimeExecucao="Global","",ORÇAMENTO!W114)</f>
        <v>0</v>
      </c>
      <c r="I114" s="125">
        <f ca="1">ORÇAMENTO!X114</f>
        <v>136074.57</v>
      </c>
      <c r="J114" s="333" cm="1">
        <f t="array" aca="1" ref="J114" ca="1">IF($A114="S",IF(CAIXA.Modo,BM.AFAnterior,BM.MEDAnterior),IF(AND(RegimeExecucao="Global",$I114&gt;0,COUNTIF($AB$13:$AM$13,BM.medicao-1)&gt;0),M114/$I114*100,0))</f>
        <v>0</v>
      </c>
      <c r="K114" s="122">
        <f t="shared" ca="1" si="10"/>
        <v>0</v>
      </c>
      <c r="L114" s="334" cm="1">
        <f t="array" aca="1" ref="L114" ca="1">IF($A114="S",IF(CAIXA.Modo,BM.AFAcumulado,BM.MEDAcumulado),IF(AND(RegimeExecucao="Global",$I114&gt;0,COUNTIF($AB$13:$AM$13,BM.medicao)&gt;0),O114/$I114*100,0))</f>
        <v>0</v>
      </c>
      <c r="M114" s="335" cm="1">
        <f t="array" aca="1" ref="M114" ca="1">IF($A114="S",VTOTALBM,IF($A114=0,0,ROUND(SomaAgrupBM,15-13*ORÇAMENTO!$AF$11)))</f>
        <v>0</v>
      </c>
      <c r="N114" s="336">
        <f t="shared" ca="1" si="11"/>
        <v>0</v>
      </c>
      <c r="O114" s="125" cm="1">
        <f t="array" aca="1" ref="O114" ca="1">IF($A114="S",VTOTALBM,IF($A114=0,0,ROUND(SomaAgrupBM,15-13*ORÇAMENTO!$AF$11)))</f>
        <v>0</v>
      </c>
      <c r="Q114" s="337"/>
      <c r="R114" s="338"/>
      <c r="T114" s="117" t="str">
        <f t="shared" ca="1" si="12"/>
        <v/>
      </c>
      <c r="U114" s="163" t="str">
        <f t="shared" ca="1" si="13"/>
        <v/>
      </c>
      <c r="V114" s="164" t="str" cm="1">
        <f t="array" aca="1" ref="V114" ca="1">IF(AND($W114&gt;0,RegimeExecucao="Unitário"),$F114,"")</f>
        <v/>
      </c>
      <c r="W114" s="454" cm="1">
        <f t="array" aca="1" ref="W114" ca="1">IF($Y114&gt;0,CHOOSE(MATCH(RegimeExecucao,{"Unitário","Global"},0),IF($A114="S",$Y114/$X114,""),($Y114/$X114)*100),0)</f>
        <v>0</v>
      </c>
      <c r="X114" s="339" t="str" cm="1">
        <f t="array" aca="1" ref="X114" ca="1">IF($Y114&gt;0,CHOOSE(MATCH(RegimeExecucao,{"Unitário","Global"},0),IF($A114="S",ROUND($H114,ORÇAMENTO!$AF$10),""),ROUND($I114,ORÇAMENTO!$AF$11)),"")</f>
        <v/>
      </c>
      <c r="Y114" s="339">
        <f t="shared" ca="1" si="14"/>
        <v>0</v>
      </c>
      <c r="Z114" s="473"/>
      <c r="AB114" s="337"/>
      <c r="AC114" s="437"/>
      <c r="AD114" s="437"/>
      <c r="AE114" s="437"/>
      <c r="AF114" s="437"/>
      <c r="AG114" s="437"/>
      <c r="AH114" s="437"/>
      <c r="AI114" s="437"/>
      <c r="AJ114" s="437"/>
      <c r="AK114" s="437"/>
      <c r="AL114" s="437"/>
      <c r="AM114" s="338"/>
      <c r="AO114" s="670" cm="1">
        <f t="array" aca="1" ref="AO114" ca="1">IF($A114="S",IF(BM!$I114=0,0,CHOOSE(MATCH(RegimeExecucao,{"Global","Unitário"},0),ROUND(ROUND(BM.MEDAcumulado,15-13*BM!$A$9)/100*BM!$I114,15-13*ORÇAMENTO!$AF$11),ROUND(ROUND(BM.MEDAcumulado,15-13*BM!$A$9)*ROUND(BM!$H114,15-13*ORÇAMENTO!$AF$10),15-13*ORÇAMENTO!$AF$11))),IF($A114=0,0,ROUND(SomaAgrupBM,15-13*ORÇAMENTO!$AF$11)))</f>
        <v>0</v>
      </c>
    </row>
    <row r="115" spans="1:41" s="670" customFormat="1" ht="51" x14ac:dyDescent="0.2">
      <c r="A115" s="670" t="str">
        <f ca="1">ORÇAMENTO!C115</f>
        <v>S</v>
      </c>
      <c r="B115" s="670">
        <f ca="1">ORÇAMENTO!D115</f>
        <v>0</v>
      </c>
      <c r="C115" s="114" t="str">
        <f t="shared" ca="1" si="8"/>
        <v>F</v>
      </c>
      <c r="D115" s="117" t="str">
        <f ca="1">ORÇAMENTO!O115</f>
        <v>1.17.1.</v>
      </c>
      <c r="E115" s="163" t="str">
        <f t="shared" ca="1" si="9"/>
        <v>ELETRODUTO DE AÇO GALVANIZADO MÉDIO, DIÂMETRO DE 32MM (1.1/4"), INSTALAÇÃO APARENTE OU SOBRE FORRO COM ABRAÇADEIRA METÁLICA DE CUNHA, TIPO "D", INCLUSIVE ACESSÓRIOS PARA FIXAÇÃO E CONEXÕES</v>
      </c>
      <c r="F115" s="164" t="str" cm="1">
        <f t="array" aca="1" ref="F115" ca="1">IF(RegimeExecucao="Global","",ORÇAMENTO.Unidade)</f>
        <v>m</v>
      </c>
      <c r="G115" s="122" cm="1">
        <f t="array" aca="1" ref="G115" ca="1">IF(RegimeExecucao="Global","",ORÇAMENTO!T115)</f>
        <v>4</v>
      </c>
      <c r="H115" s="122" cm="1">
        <f t="array" aca="1" ref="H115" ca="1">IF(RegimeExecucao="Global","",ORÇAMENTO!W115)</f>
        <v>58.23</v>
      </c>
      <c r="I115" s="125">
        <f ca="1">ORÇAMENTO!X115</f>
        <v>232.92</v>
      </c>
      <c r="J115" s="333" cm="1">
        <f t="array" aca="1" ref="J115" ca="1">IF($A115="S",IF(CAIXA.Modo,BM.AFAnterior,BM.MEDAnterior),IF(AND(RegimeExecucao="Global",$I115&gt;0,COUNTIF($AB$13:$AM$13,BM.medicao-1)&gt;0),M115/$I115*100,0))</f>
        <v>0</v>
      </c>
      <c r="K115" s="122">
        <f t="shared" ca="1" si="10"/>
        <v>0</v>
      </c>
      <c r="L115" s="334" cm="1">
        <f t="array" aca="1" ref="L115" ca="1">IF($A115="S",IF(CAIXA.Modo,BM.AFAcumulado,BM.MEDAcumulado),IF(AND(RegimeExecucao="Global",$I115&gt;0,COUNTIF($AB$13:$AM$13,BM.medicao)&gt;0),O115/$I115*100,0))</f>
        <v>0</v>
      </c>
      <c r="M115" s="335" cm="1">
        <f t="array" aca="1" ref="M115" ca="1">IF($A115="S",VTOTALBM,IF($A115=0,0,ROUND(SomaAgrupBM,15-13*ORÇAMENTO!$AF$11)))</f>
        <v>0</v>
      </c>
      <c r="N115" s="336">
        <f t="shared" ca="1" si="11"/>
        <v>0</v>
      </c>
      <c r="O115" s="125" cm="1">
        <f t="array" aca="1" ref="O115" ca="1">IF($A115="S",VTOTALBM,IF($A115=0,0,ROUND(SomaAgrupBM,15-13*ORÇAMENTO!$AF$11)))</f>
        <v>0</v>
      </c>
      <c r="Q115" s="337"/>
      <c r="R115" s="338"/>
      <c r="T115" s="117" t="str">
        <f t="shared" ca="1" si="12"/>
        <v/>
      </c>
      <c r="U115" s="163" t="str">
        <f t="shared" ca="1" si="13"/>
        <v/>
      </c>
      <c r="V115" s="164" t="str" cm="1">
        <f t="array" aca="1" ref="V115" ca="1">IF(AND($W115&gt;0,RegimeExecucao="Unitário"),$F115,"")</f>
        <v/>
      </c>
      <c r="W115" s="454" cm="1">
        <f t="array" aca="1" ref="W115" ca="1">IF($Y115&gt;0,CHOOSE(MATCH(RegimeExecucao,{"Unitário","Global"},0),IF($A115="S",$Y115/$X115,""),($Y115/$X115)*100),0)</f>
        <v>0</v>
      </c>
      <c r="X115" s="339" t="str" cm="1">
        <f t="array" aca="1" ref="X115" ca="1">IF($Y115&gt;0,CHOOSE(MATCH(RegimeExecucao,{"Unitário","Global"},0),IF($A115="S",ROUND($H115,ORÇAMENTO!$AF$10),""),ROUND($I115,ORÇAMENTO!$AF$11)),"")</f>
        <v/>
      </c>
      <c r="Y115" s="339">
        <f t="shared" ca="1" si="14"/>
        <v>0</v>
      </c>
      <c r="Z115" s="473"/>
      <c r="AB115" s="337"/>
      <c r="AC115" s="437"/>
      <c r="AD115" s="437"/>
      <c r="AE115" s="437"/>
      <c r="AF115" s="437"/>
      <c r="AG115" s="437"/>
      <c r="AH115" s="437"/>
      <c r="AI115" s="437"/>
      <c r="AJ115" s="437"/>
      <c r="AK115" s="437"/>
      <c r="AL115" s="437"/>
      <c r="AM115" s="338"/>
      <c r="AO115" s="670" cm="1">
        <f t="array" aca="1" ref="AO115" ca="1">IF($A115="S",IF(BM!$I115=0,0,CHOOSE(MATCH(RegimeExecucao,{"Global","Unitário"},0),ROUND(ROUND(BM.MEDAcumulado,15-13*BM!$A$9)/100*BM!$I115,15-13*ORÇAMENTO!$AF$11),ROUND(ROUND(BM.MEDAcumulado,15-13*BM!$A$9)*ROUND(BM!$H115,15-13*ORÇAMENTO!$AF$10),15-13*ORÇAMENTO!$AF$11))),IF($A115=0,0,ROUND(SomaAgrupBM,15-13*ORÇAMENTO!$AF$11)))</f>
        <v>0</v>
      </c>
    </row>
    <row r="116" spans="1:41" s="670" customFormat="1" ht="51" x14ac:dyDescent="0.2">
      <c r="A116" s="670" t="str">
        <f ca="1">ORÇAMENTO!C116</f>
        <v>S</v>
      </c>
      <c r="B116" s="670">
        <f ca="1">ORÇAMENTO!D116</f>
        <v>0</v>
      </c>
      <c r="C116" s="114" t="str">
        <f t="shared" ca="1" si="8"/>
        <v>F</v>
      </c>
      <c r="D116" s="117" t="str">
        <f ca="1">ORÇAMENTO!O116</f>
        <v>1.17.2.</v>
      </c>
      <c r="E116" s="163" t="str">
        <f t="shared" ca="1" si="9"/>
        <v>ELETRODUTO DE AÇO GALVANIZADO MÉDIO, DIÂMETRO DE 50MM (2"), INSTALAÇÃO APARENTE OU SOBRE FORRO COM ABRAÇADEIRA METÁLICA DE CUNHA, TIPO "D", INCLUSIVE ACESSÓRIOS PARA FIXAÇÃO E CONEXÕES</v>
      </c>
      <c r="F116" s="164" t="str" cm="1">
        <f t="array" aca="1" ref="F116" ca="1">IF(RegimeExecucao="Global","",ORÇAMENTO.Unidade)</f>
        <v>m</v>
      </c>
      <c r="G116" s="122" cm="1">
        <f t="array" aca="1" ref="G116" ca="1">IF(RegimeExecucao="Global","",ORÇAMENTO!T116)</f>
        <v>5</v>
      </c>
      <c r="H116" s="122" cm="1">
        <f t="array" aca="1" ref="H116" ca="1">IF(RegimeExecucao="Global","",ORÇAMENTO!W116)</f>
        <v>55.4</v>
      </c>
      <c r="I116" s="125">
        <f ca="1">ORÇAMENTO!X116</f>
        <v>277</v>
      </c>
      <c r="J116" s="333" cm="1">
        <f t="array" aca="1" ref="J116" ca="1">IF($A116="S",IF(CAIXA.Modo,BM.AFAnterior,BM.MEDAnterior),IF(AND(RegimeExecucao="Global",$I116&gt;0,COUNTIF($AB$13:$AM$13,BM.medicao-1)&gt;0),M116/$I116*100,0))</f>
        <v>0</v>
      </c>
      <c r="K116" s="122">
        <f t="shared" ca="1" si="10"/>
        <v>0</v>
      </c>
      <c r="L116" s="334" cm="1">
        <f t="array" aca="1" ref="L116" ca="1">IF($A116="S",IF(CAIXA.Modo,BM.AFAcumulado,BM.MEDAcumulado),IF(AND(RegimeExecucao="Global",$I116&gt;0,COUNTIF($AB$13:$AM$13,BM.medicao)&gt;0),O116/$I116*100,0))</f>
        <v>0</v>
      </c>
      <c r="M116" s="335" cm="1">
        <f t="array" aca="1" ref="M116" ca="1">IF($A116="S",VTOTALBM,IF($A116=0,0,ROUND(SomaAgrupBM,15-13*ORÇAMENTO!$AF$11)))</f>
        <v>0</v>
      </c>
      <c r="N116" s="336">
        <f t="shared" ca="1" si="11"/>
        <v>0</v>
      </c>
      <c r="O116" s="125" cm="1">
        <f t="array" aca="1" ref="O116" ca="1">IF($A116="S",VTOTALBM,IF($A116=0,0,ROUND(SomaAgrupBM,15-13*ORÇAMENTO!$AF$11)))</f>
        <v>0</v>
      </c>
      <c r="Q116" s="337"/>
      <c r="R116" s="338"/>
      <c r="T116" s="117" t="str">
        <f t="shared" ca="1" si="12"/>
        <v/>
      </c>
      <c r="U116" s="163" t="str">
        <f t="shared" ca="1" si="13"/>
        <v/>
      </c>
      <c r="V116" s="164" t="str" cm="1">
        <f t="array" aca="1" ref="V116" ca="1">IF(AND($W116&gt;0,RegimeExecucao="Unitário"),$F116,"")</f>
        <v/>
      </c>
      <c r="W116" s="454" cm="1">
        <f t="array" aca="1" ref="W116" ca="1">IF($Y116&gt;0,CHOOSE(MATCH(RegimeExecucao,{"Unitário","Global"},0),IF($A116="S",$Y116/$X116,""),($Y116/$X116)*100),0)</f>
        <v>0</v>
      </c>
      <c r="X116" s="339" t="str" cm="1">
        <f t="array" aca="1" ref="X116" ca="1">IF($Y116&gt;0,CHOOSE(MATCH(RegimeExecucao,{"Unitário","Global"},0),IF($A116="S",ROUND($H116,ORÇAMENTO!$AF$10),""),ROUND($I116,ORÇAMENTO!$AF$11)),"")</f>
        <v/>
      </c>
      <c r="Y116" s="339">
        <f t="shared" ca="1" si="14"/>
        <v>0</v>
      </c>
      <c r="Z116" s="473"/>
      <c r="AB116" s="337"/>
      <c r="AC116" s="437"/>
      <c r="AD116" s="437"/>
      <c r="AE116" s="437"/>
      <c r="AF116" s="437"/>
      <c r="AG116" s="437"/>
      <c r="AH116" s="437"/>
      <c r="AI116" s="437"/>
      <c r="AJ116" s="437"/>
      <c r="AK116" s="437"/>
      <c r="AL116" s="437"/>
      <c r="AM116" s="338"/>
      <c r="AO116" s="670" cm="1">
        <f t="array" aca="1" ref="AO116" ca="1">IF($A116="S",IF(BM!$I116=0,0,CHOOSE(MATCH(RegimeExecucao,{"Global","Unitário"},0),ROUND(ROUND(BM.MEDAcumulado,15-13*BM!$A$9)/100*BM!$I116,15-13*ORÇAMENTO!$AF$11),ROUND(ROUND(BM.MEDAcumulado,15-13*BM!$A$9)*ROUND(BM!$H116,15-13*ORÇAMENTO!$AF$10),15-13*ORÇAMENTO!$AF$11))),IF($A116=0,0,ROUND(SomaAgrupBM,15-13*ORÇAMENTO!$AF$11)))</f>
        <v>0</v>
      </c>
    </row>
    <row r="117" spans="1:41" s="670" customFormat="1" ht="25.5" x14ac:dyDescent="0.2">
      <c r="A117" s="670" t="str">
        <f ca="1">ORÇAMENTO!C117</f>
        <v>S</v>
      </c>
      <c r="B117" s="670">
        <f ca="1">ORÇAMENTO!D117</f>
        <v>0</v>
      </c>
      <c r="C117" s="114" t="str">
        <f t="shared" ca="1" si="8"/>
        <v>F</v>
      </c>
      <c r="D117" s="117" t="str">
        <f ca="1">ORÇAMENTO!O117</f>
        <v>1.17.3.</v>
      </c>
      <c r="E117" s="163" t="str">
        <f t="shared" ca="1" si="9"/>
        <v>CAIXA DE PASSAGEM EM ALUMÍNIO COM TAMPA E VEDAÇÃO 20X20CM</v>
      </c>
      <c r="F117" s="164" t="str" cm="1">
        <f t="array" aca="1" ref="F117" ca="1">IF(RegimeExecucao="Global","",ORÇAMENTO.Unidade)</f>
        <v>UNIDADE</v>
      </c>
      <c r="G117" s="122" cm="1">
        <f t="array" aca="1" ref="G117" ca="1">IF(RegimeExecucao="Global","",ORÇAMENTO!T117)</f>
        <v>32</v>
      </c>
      <c r="H117" s="122" cm="1">
        <f t="array" aca="1" ref="H117" ca="1">IF(RegimeExecucao="Global","",ORÇAMENTO!W117)</f>
        <v>144.41</v>
      </c>
      <c r="I117" s="125">
        <f ca="1">ORÇAMENTO!X117</f>
        <v>4621.12</v>
      </c>
      <c r="J117" s="333" cm="1">
        <f t="array" aca="1" ref="J117" ca="1">IF($A117="S",IF(CAIXA.Modo,BM.AFAnterior,BM.MEDAnterior),IF(AND(RegimeExecucao="Global",$I117&gt;0,COUNTIF($AB$13:$AM$13,BM.medicao-1)&gt;0),M117/$I117*100,0))</f>
        <v>0</v>
      </c>
      <c r="K117" s="122">
        <f t="shared" ca="1" si="10"/>
        <v>0</v>
      </c>
      <c r="L117" s="334" cm="1">
        <f t="array" aca="1" ref="L117" ca="1">IF($A117="S",IF(CAIXA.Modo,BM.AFAcumulado,BM.MEDAcumulado),IF(AND(RegimeExecucao="Global",$I117&gt;0,COUNTIF($AB$13:$AM$13,BM.medicao)&gt;0),O117/$I117*100,0))</f>
        <v>0</v>
      </c>
      <c r="M117" s="335" cm="1">
        <f t="array" aca="1" ref="M117" ca="1">IF($A117="S",VTOTALBM,IF($A117=0,0,ROUND(SomaAgrupBM,15-13*ORÇAMENTO!$AF$11)))</f>
        <v>0</v>
      </c>
      <c r="N117" s="336">
        <f t="shared" ca="1" si="11"/>
        <v>0</v>
      </c>
      <c r="O117" s="125" cm="1">
        <f t="array" aca="1" ref="O117" ca="1">IF($A117="S",VTOTALBM,IF($A117=0,0,ROUND(SomaAgrupBM,15-13*ORÇAMENTO!$AF$11)))</f>
        <v>0</v>
      </c>
      <c r="Q117" s="337"/>
      <c r="R117" s="338"/>
      <c r="T117" s="117" t="str">
        <f t="shared" ca="1" si="12"/>
        <v/>
      </c>
      <c r="U117" s="163" t="str">
        <f t="shared" ca="1" si="13"/>
        <v/>
      </c>
      <c r="V117" s="164" t="str" cm="1">
        <f t="array" aca="1" ref="V117" ca="1">IF(AND($W117&gt;0,RegimeExecucao="Unitário"),$F117,"")</f>
        <v/>
      </c>
      <c r="W117" s="454" cm="1">
        <f t="array" aca="1" ref="W117" ca="1">IF($Y117&gt;0,CHOOSE(MATCH(RegimeExecucao,{"Unitário","Global"},0),IF($A117="S",$Y117/$X117,""),($Y117/$X117)*100),0)</f>
        <v>0</v>
      </c>
      <c r="X117" s="339" t="str" cm="1">
        <f t="array" aca="1" ref="X117" ca="1">IF($Y117&gt;0,CHOOSE(MATCH(RegimeExecucao,{"Unitário","Global"},0),IF($A117="S",ROUND($H117,ORÇAMENTO!$AF$10),""),ROUND($I117,ORÇAMENTO!$AF$11)),"")</f>
        <v/>
      </c>
      <c r="Y117" s="339">
        <f t="shared" ca="1" si="14"/>
        <v>0</v>
      </c>
      <c r="Z117" s="473"/>
      <c r="AB117" s="337"/>
      <c r="AC117" s="437"/>
      <c r="AD117" s="437"/>
      <c r="AE117" s="437"/>
      <c r="AF117" s="437"/>
      <c r="AG117" s="437"/>
      <c r="AH117" s="437"/>
      <c r="AI117" s="437"/>
      <c r="AJ117" s="437"/>
      <c r="AK117" s="437"/>
      <c r="AL117" s="437"/>
      <c r="AM117" s="338"/>
      <c r="AO117" s="670" cm="1">
        <f t="array" aca="1" ref="AO117" ca="1">IF($A117="S",IF(BM!$I117=0,0,CHOOSE(MATCH(RegimeExecucao,{"Global","Unitário"},0),ROUND(ROUND(BM.MEDAcumulado,15-13*BM!$A$9)/100*BM!$I117,15-13*ORÇAMENTO!$AF$11),ROUND(ROUND(BM.MEDAcumulado,15-13*BM!$A$9)*ROUND(BM!$H117,15-13*ORÇAMENTO!$AF$10),15-13*ORÇAMENTO!$AF$11))),IF($A117=0,0,ROUND(SomaAgrupBM,15-13*ORÇAMENTO!$AF$11)))</f>
        <v>0</v>
      </c>
    </row>
    <row r="118" spans="1:41" s="670" customFormat="1" ht="38.25" x14ac:dyDescent="0.2">
      <c r="A118" s="670" t="str">
        <f ca="1">ORÇAMENTO!C118</f>
        <v>S</v>
      </c>
      <c r="B118" s="670">
        <f ca="1">ORÇAMENTO!D118</f>
        <v>0</v>
      </c>
      <c r="C118" s="114" t="str">
        <f t="shared" ca="1" si="8"/>
        <v>F</v>
      </c>
      <c r="D118" s="117" t="str">
        <f ca="1">ORÇAMENTO!O118</f>
        <v>1.17.4.</v>
      </c>
      <c r="E118" s="163" t="str">
        <f t="shared" ca="1" si="9"/>
        <v>DUTO CORRUGADO HELICOIDAL, EM POLIETILENO DE ALTA DENSIDADE (PEAD), DIÂMETRO DE 1.1/4", PARA CABO SUBTERRÂNEO, EXCLUSIVE ESCAVAÇÃO</v>
      </c>
      <c r="F118" s="164" t="str" cm="1">
        <f t="array" aca="1" ref="F118" ca="1">IF(RegimeExecucao="Global","",ORÇAMENTO.Unidade)</f>
        <v>m</v>
      </c>
      <c r="G118" s="122" cm="1">
        <f t="array" aca="1" ref="G118" ca="1">IF(RegimeExecucao="Global","",ORÇAMENTO!T118)</f>
        <v>65</v>
      </c>
      <c r="H118" s="122" cm="1">
        <f t="array" aca="1" ref="H118" ca="1">IF(RegimeExecucao="Global","",ORÇAMENTO!W118)</f>
        <v>8.9499999999999993</v>
      </c>
      <c r="I118" s="125">
        <f ca="1">ORÇAMENTO!X118</f>
        <v>581.75</v>
      </c>
      <c r="J118" s="333" cm="1">
        <f t="array" aca="1" ref="J118" ca="1">IF($A118="S",IF(CAIXA.Modo,BM.AFAnterior,BM.MEDAnterior),IF(AND(RegimeExecucao="Global",$I118&gt;0,COUNTIF($AB$13:$AM$13,BM.medicao-1)&gt;0),M118/$I118*100,0))</f>
        <v>0</v>
      </c>
      <c r="K118" s="122">
        <f t="shared" ca="1" si="10"/>
        <v>0</v>
      </c>
      <c r="L118" s="334" cm="1">
        <f t="array" aca="1" ref="L118" ca="1">IF($A118="S",IF(CAIXA.Modo,BM.AFAcumulado,BM.MEDAcumulado),IF(AND(RegimeExecucao="Global",$I118&gt;0,COUNTIF($AB$13:$AM$13,BM.medicao)&gt;0),O118/$I118*100,0))</f>
        <v>0</v>
      </c>
      <c r="M118" s="335" cm="1">
        <f t="array" aca="1" ref="M118" ca="1">IF($A118="S",VTOTALBM,IF($A118=0,0,ROUND(SomaAgrupBM,15-13*ORÇAMENTO!$AF$11)))</f>
        <v>0</v>
      </c>
      <c r="N118" s="336">
        <f t="shared" ca="1" si="11"/>
        <v>0</v>
      </c>
      <c r="O118" s="125" cm="1">
        <f t="array" aca="1" ref="O118" ca="1">IF($A118="S",VTOTALBM,IF($A118=0,0,ROUND(SomaAgrupBM,15-13*ORÇAMENTO!$AF$11)))</f>
        <v>0</v>
      </c>
      <c r="Q118" s="337"/>
      <c r="R118" s="338"/>
      <c r="T118" s="117" t="str">
        <f t="shared" ca="1" si="12"/>
        <v/>
      </c>
      <c r="U118" s="163" t="str">
        <f t="shared" ca="1" si="13"/>
        <v/>
      </c>
      <c r="V118" s="164" t="str" cm="1">
        <f t="array" aca="1" ref="V118" ca="1">IF(AND($W118&gt;0,RegimeExecucao="Unitário"),$F118,"")</f>
        <v/>
      </c>
      <c r="W118" s="454" cm="1">
        <f t="array" aca="1" ref="W118" ca="1">IF($Y118&gt;0,CHOOSE(MATCH(RegimeExecucao,{"Unitário","Global"},0),IF($A118="S",$Y118/$X118,""),($Y118/$X118)*100),0)</f>
        <v>0</v>
      </c>
      <c r="X118" s="339" t="str" cm="1">
        <f t="array" aca="1" ref="X118" ca="1">IF($Y118&gt;0,CHOOSE(MATCH(RegimeExecucao,{"Unitário","Global"},0),IF($A118="S",ROUND($H118,ORÇAMENTO!$AF$10),""),ROUND($I118,ORÇAMENTO!$AF$11)),"")</f>
        <v/>
      </c>
      <c r="Y118" s="339">
        <f t="shared" ca="1" si="14"/>
        <v>0</v>
      </c>
      <c r="Z118" s="473"/>
      <c r="AB118" s="337"/>
      <c r="AC118" s="437"/>
      <c r="AD118" s="437"/>
      <c r="AE118" s="437"/>
      <c r="AF118" s="437"/>
      <c r="AG118" s="437"/>
      <c r="AH118" s="437"/>
      <c r="AI118" s="437"/>
      <c r="AJ118" s="437"/>
      <c r="AK118" s="437"/>
      <c r="AL118" s="437"/>
      <c r="AM118" s="338"/>
      <c r="AO118" s="670" cm="1">
        <f t="array" aca="1" ref="AO118" ca="1">IF($A118="S",IF(BM!$I118=0,0,CHOOSE(MATCH(RegimeExecucao,{"Global","Unitário"},0),ROUND(ROUND(BM.MEDAcumulado,15-13*BM!$A$9)/100*BM!$I118,15-13*ORÇAMENTO!$AF$11),ROUND(ROUND(BM.MEDAcumulado,15-13*BM!$A$9)*ROUND(BM!$H118,15-13*ORÇAMENTO!$AF$10),15-13*ORÇAMENTO!$AF$11))),IF($A118=0,0,ROUND(SomaAgrupBM,15-13*ORÇAMENTO!$AF$11)))</f>
        <v>0</v>
      </c>
    </row>
    <row r="119" spans="1:41" s="670" customFormat="1" ht="38.25" x14ac:dyDescent="0.2">
      <c r="A119" s="670" t="str">
        <f ca="1">ORÇAMENTO!C119</f>
        <v>S</v>
      </c>
      <c r="B119" s="670">
        <f ca="1">ORÇAMENTO!D119</f>
        <v>0</v>
      </c>
      <c r="C119" s="114" t="str">
        <f t="shared" ca="1" si="8"/>
        <v>F</v>
      </c>
      <c r="D119" s="117" t="str">
        <f ca="1">ORÇAMENTO!O119</f>
        <v>1.17.5.</v>
      </c>
      <c r="E119" s="163" t="str">
        <f t="shared" ca="1" si="9"/>
        <v>ELETRODUTO FLEXÍVEL CORRUGADO, PEAD, DN 50 (1 1/2"), PARA REDE ENTERRADA DE DISTRIBUIÇÃO DE ENERGIA ELÉTRICA - FORNECIMENTO E INSTALAÇÃO. AF_12/2021</v>
      </c>
      <c r="F119" s="164" t="str" cm="1">
        <f t="array" aca="1" ref="F119" ca="1">IF(RegimeExecucao="Global","",ORÇAMENTO.Unidade)</f>
        <v>M</v>
      </c>
      <c r="G119" s="122" cm="1">
        <f t="array" aca="1" ref="G119" ca="1">IF(RegimeExecucao="Global","",ORÇAMENTO!T119)</f>
        <v>8</v>
      </c>
      <c r="H119" s="122" cm="1">
        <f t="array" aca="1" ref="H119" ca="1">IF(RegimeExecucao="Global","",ORÇAMENTO!W119)</f>
        <v>9.83</v>
      </c>
      <c r="I119" s="125">
        <f ca="1">ORÇAMENTO!X119</f>
        <v>78.64</v>
      </c>
      <c r="J119" s="333" cm="1">
        <f t="array" aca="1" ref="J119" ca="1">IF($A119="S",IF(CAIXA.Modo,BM.AFAnterior,BM.MEDAnterior),IF(AND(RegimeExecucao="Global",$I119&gt;0,COUNTIF($AB$13:$AM$13,BM.medicao-1)&gt;0),M119/$I119*100,0))</f>
        <v>0</v>
      </c>
      <c r="K119" s="122">
        <f t="shared" ca="1" si="10"/>
        <v>0</v>
      </c>
      <c r="L119" s="334" cm="1">
        <f t="array" aca="1" ref="L119" ca="1">IF($A119="S",IF(CAIXA.Modo,BM.AFAcumulado,BM.MEDAcumulado),IF(AND(RegimeExecucao="Global",$I119&gt;0,COUNTIF($AB$13:$AM$13,BM.medicao)&gt;0),O119/$I119*100,0))</f>
        <v>0</v>
      </c>
      <c r="M119" s="335" cm="1">
        <f t="array" aca="1" ref="M119" ca="1">IF($A119="S",VTOTALBM,IF($A119=0,0,ROUND(SomaAgrupBM,15-13*ORÇAMENTO!$AF$11)))</f>
        <v>0</v>
      </c>
      <c r="N119" s="336">
        <f t="shared" ca="1" si="11"/>
        <v>0</v>
      </c>
      <c r="O119" s="125" cm="1">
        <f t="array" aca="1" ref="O119" ca="1">IF($A119="S",VTOTALBM,IF($A119=0,0,ROUND(SomaAgrupBM,15-13*ORÇAMENTO!$AF$11)))</f>
        <v>0</v>
      </c>
      <c r="Q119" s="337"/>
      <c r="R119" s="338"/>
      <c r="T119" s="117" t="str">
        <f t="shared" ca="1" si="12"/>
        <v/>
      </c>
      <c r="U119" s="163" t="str">
        <f t="shared" ca="1" si="13"/>
        <v/>
      </c>
      <c r="V119" s="164" t="str" cm="1">
        <f t="array" aca="1" ref="V119" ca="1">IF(AND($W119&gt;0,RegimeExecucao="Unitário"),$F119,"")</f>
        <v/>
      </c>
      <c r="W119" s="454" cm="1">
        <f t="array" aca="1" ref="W119" ca="1">IF($Y119&gt;0,CHOOSE(MATCH(RegimeExecucao,{"Unitário","Global"},0),IF($A119="S",$Y119/$X119,""),($Y119/$X119)*100),0)</f>
        <v>0</v>
      </c>
      <c r="X119" s="339" t="str" cm="1">
        <f t="array" aca="1" ref="X119" ca="1">IF($Y119&gt;0,CHOOSE(MATCH(RegimeExecucao,{"Unitário","Global"},0),IF($A119="S",ROUND($H119,ORÇAMENTO!$AF$10),""),ROUND($I119,ORÇAMENTO!$AF$11)),"")</f>
        <v/>
      </c>
      <c r="Y119" s="339">
        <f t="shared" ca="1" si="14"/>
        <v>0</v>
      </c>
      <c r="Z119" s="473"/>
      <c r="AB119" s="337"/>
      <c r="AC119" s="437"/>
      <c r="AD119" s="437"/>
      <c r="AE119" s="437"/>
      <c r="AF119" s="437"/>
      <c r="AG119" s="437"/>
      <c r="AH119" s="437"/>
      <c r="AI119" s="437"/>
      <c r="AJ119" s="437"/>
      <c r="AK119" s="437"/>
      <c r="AL119" s="437"/>
      <c r="AM119" s="338"/>
      <c r="AO119" s="670" cm="1">
        <f t="array" aca="1" ref="AO119" ca="1">IF($A119="S",IF(BM!$I119=0,0,CHOOSE(MATCH(RegimeExecucao,{"Global","Unitário"},0),ROUND(ROUND(BM.MEDAcumulado,15-13*BM!$A$9)/100*BM!$I119,15-13*ORÇAMENTO!$AF$11),ROUND(ROUND(BM.MEDAcumulado,15-13*BM!$A$9)*ROUND(BM!$H119,15-13*ORÇAMENTO!$AF$10),15-13*ORÇAMENTO!$AF$11))),IF($A119=0,0,ROUND(SomaAgrupBM,15-13*ORÇAMENTO!$AF$11)))</f>
        <v>0</v>
      </c>
    </row>
    <row r="120" spans="1:41" s="670" customFormat="1" ht="38.25" x14ac:dyDescent="0.2">
      <c r="A120" s="670" t="str">
        <f ca="1">ORÇAMENTO!C120</f>
        <v>S</v>
      </c>
      <c r="B120" s="670">
        <f ca="1">ORÇAMENTO!D120</f>
        <v>0</v>
      </c>
      <c r="C120" s="114" t="str">
        <f t="shared" ca="1" si="8"/>
        <v>F</v>
      </c>
      <c r="D120" s="117" t="str">
        <f ca="1">ORÇAMENTO!O120</f>
        <v>1.17.6.</v>
      </c>
      <c r="E120" s="163" t="str">
        <f t="shared" ca="1" si="9"/>
        <v>ELETRODUTO FLEXÍVEL CORRUGADO, PEAD, DN 63 (2"), PARA REDE ENTERRADA DE DISTRIBUIÇÃO DE ENERGIA ELÉTRICA - FORNECIMENTO E INSTALAÇÃO. AF_12/2021</v>
      </c>
      <c r="F120" s="164" t="str" cm="1">
        <f t="array" aca="1" ref="F120" ca="1">IF(RegimeExecucao="Global","",ORÇAMENTO.Unidade)</f>
        <v>M</v>
      </c>
      <c r="G120" s="122" cm="1">
        <f t="array" aca="1" ref="G120" ca="1">IF(RegimeExecucao="Global","",ORÇAMENTO!T120)</f>
        <v>250</v>
      </c>
      <c r="H120" s="122" cm="1">
        <f t="array" aca="1" ref="H120" ca="1">IF(RegimeExecucao="Global","",ORÇAMENTO!W120)</f>
        <v>13.96</v>
      </c>
      <c r="I120" s="125">
        <f ca="1">ORÇAMENTO!X120</f>
        <v>3490</v>
      </c>
      <c r="J120" s="333" cm="1">
        <f t="array" aca="1" ref="J120" ca="1">IF($A120="S",IF(CAIXA.Modo,BM.AFAnterior,BM.MEDAnterior),IF(AND(RegimeExecucao="Global",$I120&gt;0,COUNTIF($AB$13:$AM$13,BM.medicao-1)&gt;0),M120/$I120*100,0))</f>
        <v>0</v>
      </c>
      <c r="K120" s="122">
        <f t="shared" ca="1" si="10"/>
        <v>0</v>
      </c>
      <c r="L120" s="334" cm="1">
        <f t="array" aca="1" ref="L120" ca="1">IF($A120="S",IF(CAIXA.Modo,BM.AFAcumulado,BM.MEDAcumulado),IF(AND(RegimeExecucao="Global",$I120&gt;0,COUNTIF($AB$13:$AM$13,BM.medicao)&gt;0),O120/$I120*100,0))</f>
        <v>0</v>
      </c>
      <c r="M120" s="335" cm="1">
        <f t="array" aca="1" ref="M120" ca="1">IF($A120="S",VTOTALBM,IF($A120=0,0,ROUND(SomaAgrupBM,15-13*ORÇAMENTO!$AF$11)))</f>
        <v>0</v>
      </c>
      <c r="N120" s="336">
        <f t="shared" ca="1" si="11"/>
        <v>0</v>
      </c>
      <c r="O120" s="125" cm="1">
        <f t="array" aca="1" ref="O120" ca="1">IF($A120="S",VTOTALBM,IF($A120=0,0,ROUND(SomaAgrupBM,15-13*ORÇAMENTO!$AF$11)))</f>
        <v>0</v>
      </c>
      <c r="Q120" s="337"/>
      <c r="R120" s="338"/>
      <c r="T120" s="117" t="str">
        <f t="shared" ca="1" si="12"/>
        <v/>
      </c>
      <c r="U120" s="163" t="str">
        <f t="shared" ca="1" si="13"/>
        <v/>
      </c>
      <c r="V120" s="164" t="str" cm="1">
        <f t="array" aca="1" ref="V120" ca="1">IF(AND($W120&gt;0,RegimeExecucao="Unitário"),$F120,"")</f>
        <v/>
      </c>
      <c r="W120" s="454" cm="1">
        <f t="array" aca="1" ref="W120" ca="1">IF($Y120&gt;0,CHOOSE(MATCH(RegimeExecucao,{"Unitário","Global"},0),IF($A120="S",$Y120/$X120,""),($Y120/$X120)*100),0)</f>
        <v>0</v>
      </c>
      <c r="X120" s="339" t="str" cm="1">
        <f t="array" aca="1" ref="X120" ca="1">IF($Y120&gt;0,CHOOSE(MATCH(RegimeExecucao,{"Unitário","Global"},0),IF($A120="S",ROUND($H120,ORÇAMENTO!$AF$10),""),ROUND($I120,ORÇAMENTO!$AF$11)),"")</f>
        <v/>
      </c>
      <c r="Y120" s="339">
        <f t="shared" ca="1" si="14"/>
        <v>0</v>
      </c>
      <c r="Z120" s="473"/>
      <c r="AB120" s="337"/>
      <c r="AC120" s="437"/>
      <c r="AD120" s="437"/>
      <c r="AE120" s="437"/>
      <c r="AF120" s="437"/>
      <c r="AG120" s="437"/>
      <c r="AH120" s="437"/>
      <c r="AI120" s="437"/>
      <c r="AJ120" s="437"/>
      <c r="AK120" s="437"/>
      <c r="AL120" s="437"/>
      <c r="AM120" s="338"/>
      <c r="AO120" s="670" cm="1">
        <f t="array" aca="1" ref="AO120" ca="1">IF($A120="S",IF(BM!$I120=0,0,CHOOSE(MATCH(RegimeExecucao,{"Global","Unitário"},0),ROUND(ROUND(BM.MEDAcumulado,15-13*BM!$A$9)/100*BM!$I120,15-13*ORÇAMENTO!$AF$11),ROUND(ROUND(BM.MEDAcumulado,15-13*BM!$A$9)*ROUND(BM!$H120,15-13*ORÇAMENTO!$AF$10),15-13*ORÇAMENTO!$AF$11))),IF($A120=0,0,ROUND(SomaAgrupBM,15-13*ORÇAMENTO!$AF$11)))</f>
        <v>0</v>
      </c>
    </row>
    <row r="121" spans="1:41" s="670" customFormat="1" ht="38.25" x14ac:dyDescent="0.2">
      <c r="A121" s="670" t="str">
        <f ca="1">ORÇAMENTO!C121</f>
        <v>S</v>
      </c>
      <c r="B121" s="670">
        <f ca="1">ORÇAMENTO!D121</f>
        <v>0</v>
      </c>
      <c r="C121" s="114" t="str">
        <f t="shared" ca="1" si="8"/>
        <v>F</v>
      </c>
      <c r="D121" s="117" t="str">
        <f ca="1">ORÇAMENTO!O121</f>
        <v>1.17.7.</v>
      </c>
      <c r="E121" s="163" t="str">
        <f t="shared" ca="1" si="9"/>
        <v>ELETRODUTO FLEXÍVEL CORRUGADO, PEAD, DN 90 (3"), PARA REDE ENTERRADA DE DISTRIBUIÇÃO DE ENERGIA ELÉTRICA - FORNECIMENTO E INSTALAÇÃO. AF_12/2021</v>
      </c>
      <c r="F121" s="164" t="str" cm="1">
        <f t="array" aca="1" ref="F121" ca="1">IF(RegimeExecucao="Global","",ORÇAMENTO.Unidade)</f>
        <v>M</v>
      </c>
      <c r="G121" s="122" cm="1">
        <f t="array" aca="1" ref="G121" ca="1">IF(RegimeExecucao="Global","",ORÇAMENTO!T121)</f>
        <v>55</v>
      </c>
      <c r="H121" s="122" cm="1">
        <f t="array" aca="1" ref="H121" ca="1">IF(RegimeExecucao="Global","",ORÇAMENTO!W121)</f>
        <v>21.01</v>
      </c>
      <c r="I121" s="125">
        <f ca="1">ORÇAMENTO!X121</f>
        <v>1155.55</v>
      </c>
      <c r="J121" s="333" cm="1">
        <f t="array" aca="1" ref="J121" ca="1">IF($A121="S",IF(CAIXA.Modo,BM.AFAnterior,BM.MEDAnterior),IF(AND(RegimeExecucao="Global",$I121&gt;0,COUNTIF($AB$13:$AM$13,BM.medicao-1)&gt;0),M121/$I121*100,0))</f>
        <v>0</v>
      </c>
      <c r="K121" s="122">
        <f t="shared" ca="1" si="10"/>
        <v>0</v>
      </c>
      <c r="L121" s="334" cm="1">
        <f t="array" aca="1" ref="L121" ca="1">IF($A121="S",IF(CAIXA.Modo,BM.AFAcumulado,BM.MEDAcumulado),IF(AND(RegimeExecucao="Global",$I121&gt;0,COUNTIF($AB$13:$AM$13,BM.medicao)&gt;0),O121/$I121*100,0))</f>
        <v>0</v>
      </c>
      <c r="M121" s="335" cm="1">
        <f t="array" aca="1" ref="M121" ca="1">IF($A121="S",VTOTALBM,IF($A121=0,0,ROUND(SomaAgrupBM,15-13*ORÇAMENTO!$AF$11)))</f>
        <v>0</v>
      </c>
      <c r="N121" s="336">
        <f t="shared" ca="1" si="11"/>
        <v>0</v>
      </c>
      <c r="O121" s="125" cm="1">
        <f t="array" aca="1" ref="O121" ca="1">IF($A121="S",VTOTALBM,IF($A121=0,0,ROUND(SomaAgrupBM,15-13*ORÇAMENTO!$AF$11)))</f>
        <v>0</v>
      </c>
      <c r="Q121" s="337"/>
      <c r="R121" s="338"/>
      <c r="T121" s="117" t="str">
        <f t="shared" ca="1" si="12"/>
        <v/>
      </c>
      <c r="U121" s="163" t="str">
        <f t="shared" ca="1" si="13"/>
        <v/>
      </c>
      <c r="V121" s="164" t="str" cm="1">
        <f t="array" aca="1" ref="V121" ca="1">IF(AND($W121&gt;0,RegimeExecucao="Unitário"),$F121,"")</f>
        <v/>
      </c>
      <c r="W121" s="454" cm="1">
        <f t="array" aca="1" ref="W121" ca="1">IF($Y121&gt;0,CHOOSE(MATCH(RegimeExecucao,{"Unitário","Global"},0),IF($A121="S",$Y121/$X121,""),($Y121/$X121)*100),0)</f>
        <v>0</v>
      </c>
      <c r="X121" s="339" t="str" cm="1">
        <f t="array" aca="1" ref="X121" ca="1">IF($Y121&gt;0,CHOOSE(MATCH(RegimeExecucao,{"Unitário","Global"},0),IF($A121="S",ROUND($H121,ORÇAMENTO!$AF$10),""),ROUND($I121,ORÇAMENTO!$AF$11)),"")</f>
        <v/>
      </c>
      <c r="Y121" s="339">
        <f t="shared" ca="1" si="14"/>
        <v>0</v>
      </c>
      <c r="Z121" s="473"/>
      <c r="AB121" s="337"/>
      <c r="AC121" s="437"/>
      <c r="AD121" s="437"/>
      <c r="AE121" s="437"/>
      <c r="AF121" s="437"/>
      <c r="AG121" s="437"/>
      <c r="AH121" s="437"/>
      <c r="AI121" s="437"/>
      <c r="AJ121" s="437"/>
      <c r="AK121" s="437"/>
      <c r="AL121" s="437"/>
      <c r="AM121" s="338"/>
      <c r="AO121" s="670" cm="1">
        <f t="array" aca="1" ref="AO121" ca="1">IF($A121="S",IF(BM!$I121=0,0,CHOOSE(MATCH(RegimeExecucao,{"Global","Unitário"},0),ROUND(ROUND(BM.MEDAcumulado,15-13*BM!$A$9)/100*BM!$I121,15-13*ORÇAMENTO!$AF$11),ROUND(ROUND(BM.MEDAcumulado,15-13*BM!$A$9)*ROUND(BM!$H121,15-13*ORÇAMENTO!$AF$10),15-13*ORÇAMENTO!$AF$11))),IF($A121=0,0,ROUND(SomaAgrupBM,15-13*ORÇAMENTO!$AF$11)))</f>
        <v>0</v>
      </c>
    </row>
    <row r="122" spans="1:41" s="670" customFormat="1" ht="25.5" x14ac:dyDescent="0.2">
      <c r="A122" s="670" t="str">
        <f ca="1">ORÇAMENTO!C122</f>
        <v>S</v>
      </c>
      <c r="B122" s="670">
        <f ca="1">ORÇAMENTO!D122</f>
        <v>0</v>
      </c>
      <c r="C122" s="114" t="str">
        <f t="shared" ca="1" si="8"/>
        <v>F</v>
      </c>
      <c r="D122" s="117" t="str">
        <f ca="1">ORÇAMENTO!O122</f>
        <v>1.17.8.</v>
      </c>
      <c r="E122" s="163" t="str">
        <f t="shared" ca="1" si="9"/>
        <v>LUMINÁRIA DE LED PARA ILUMINAÇÃO PÚBLICA, DE 138 W ATÉ 180 W - FORNECIMENTO E INSTALAÇÃO. AF_02/2025_PS</v>
      </c>
      <c r="F122" s="164" t="str" cm="1">
        <f t="array" aca="1" ref="F122" ca="1">IF(RegimeExecucao="Global","",ORÇAMENTO.Unidade)</f>
        <v>UN</v>
      </c>
      <c r="G122" s="122" cm="1">
        <f t="array" aca="1" ref="G122" ca="1">IF(RegimeExecucao="Global","",ORÇAMENTO!T122)</f>
        <v>5</v>
      </c>
      <c r="H122" s="122" cm="1">
        <f t="array" aca="1" ref="H122" ca="1">IF(RegimeExecucao="Global","",ORÇAMENTO!W122)</f>
        <v>618.04999999999995</v>
      </c>
      <c r="I122" s="125">
        <f ca="1">ORÇAMENTO!X122</f>
        <v>3090.25</v>
      </c>
      <c r="J122" s="333" cm="1">
        <f t="array" aca="1" ref="J122" ca="1">IF($A122="S",IF(CAIXA.Modo,BM.AFAnterior,BM.MEDAnterior),IF(AND(RegimeExecucao="Global",$I122&gt;0,COUNTIF($AB$13:$AM$13,BM.medicao-1)&gt;0),M122/$I122*100,0))</f>
        <v>0</v>
      </c>
      <c r="K122" s="122">
        <f t="shared" ca="1" si="10"/>
        <v>0</v>
      </c>
      <c r="L122" s="334" cm="1">
        <f t="array" aca="1" ref="L122" ca="1">IF($A122="S",IF(CAIXA.Modo,BM.AFAcumulado,BM.MEDAcumulado),IF(AND(RegimeExecucao="Global",$I122&gt;0,COUNTIF($AB$13:$AM$13,BM.medicao)&gt;0),O122/$I122*100,0))</f>
        <v>0</v>
      </c>
      <c r="M122" s="335" cm="1">
        <f t="array" aca="1" ref="M122" ca="1">IF($A122="S",VTOTALBM,IF($A122=0,0,ROUND(SomaAgrupBM,15-13*ORÇAMENTO!$AF$11)))</f>
        <v>0</v>
      </c>
      <c r="N122" s="336">
        <f t="shared" ca="1" si="11"/>
        <v>0</v>
      </c>
      <c r="O122" s="125" cm="1">
        <f t="array" aca="1" ref="O122" ca="1">IF($A122="S",VTOTALBM,IF($A122=0,0,ROUND(SomaAgrupBM,15-13*ORÇAMENTO!$AF$11)))</f>
        <v>0</v>
      </c>
      <c r="Q122" s="337"/>
      <c r="R122" s="338"/>
      <c r="T122" s="117" t="str">
        <f t="shared" ca="1" si="12"/>
        <v/>
      </c>
      <c r="U122" s="163" t="str">
        <f t="shared" ca="1" si="13"/>
        <v/>
      </c>
      <c r="V122" s="164" t="str" cm="1">
        <f t="array" aca="1" ref="V122" ca="1">IF(AND($W122&gt;0,RegimeExecucao="Unitário"),$F122,"")</f>
        <v/>
      </c>
      <c r="W122" s="454" cm="1">
        <f t="array" aca="1" ref="W122" ca="1">IF($Y122&gt;0,CHOOSE(MATCH(RegimeExecucao,{"Unitário","Global"},0),IF($A122="S",$Y122/$X122,""),($Y122/$X122)*100),0)</f>
        <v>0</v>
      </c>
      <c r="X122" s="339" t="str" cm="1">
        <f t="array" aca="1" ref="X122" ca="1">IF($Y122&gt;0,CHOOSE(MATCH(RegimeExecucao,{"Unitário","Global"},0),IF($A122="S",ROUND($H122,ORÇAMENTO!$AF$10),""),ROUND($I122,ORÇAMENTO!$AF$11)),"")</f>
        <v/>
      </c>
      <c r="Y122" s="339">
        <f t="shared" ca="1" si="14"/>
        <v>0</v>
      </c>
      <c r="Z122" s="473"/>
      <c r="AB122" s="337"/>
      <c r="AC122" s="437"/>
      <c r="AD122" s="437"/>
      <c r="AE122" s="437"/>
      <c r="AF122" s="437"/>
      <c r="AG122" s="437"/>
      <c r="AH122" s="437"/>
      <c r="AI122" s="437"/>
      <c r="AJ122" s="437"/>
      <c r="AK122" s="437"/>
      <c r="AL122" s="437"/>
      <c r="AM122" s="338"/>
      <c r="AO122" s="670" cm="1">
        <f t="array" aca="1" ref="AO122" ca="1">IF($A122="S",IF(BM!$I122=0,0,CHOOSE(MATCH(RegimeExecucao,{"Global","Unitário"},0),ROUND(ROUND(BM.MEDAcumulado,15-13*BM!$A$9)/100*BM!$I122,15-13*ORÇAMENTO!$AF$11),ROUND(ROUND(BM.MEDAcumulado,15-13*BM!$A$9)*ROUND(BM!$H122,15-13*ORÇAMENTO!$AF$10),15-13*ORÇAMENTO!$AF$11))),IF($A122=0,0,ROUND(SomaAgrupBM,15-13*ORÇAMENTO!$AF$11)))</f>
        <v>0</v>
      </c>
    </row>
    <row r="123" spans="1:41" s="670" customFormat="1" ht="38.25" x14ac:dyDescent="0.2">
      <c r="A123" s="670" t="str">
        <f ca="1">ORÇAMENTO!C123</f>
        <v>S</v>
      </c>
      <c r="B123" s="670">
        <f ca="1">ORÇAMENTO!D123</f>
        <v>0</v>
      </c>
      <c r="C123" s="114" t="str">
        <f t="shared" ca="1" si="8"/>
        <v>F</v>
      </c>
      <c r="D123" s="117" t="str">
        <f ca="1">ORÇAMENTO!O123</f>
        <v>1.17.9.</v>
      </c>
      <c r="E123" s="163" t="str">
        <f t="shared" ca="1" si="9"/>
        <v>POSTE DE AÇO CÔNICO CONTÍNUO CURVO DUPLO, ENGASTAMENTO SIMPLES COM 1 M DE SOLO, H=9M - FORNECIMENTO E INSTALAÇÃO. AF_04/2025</v>
      </c>
      <c r="F123" s="164" t="str" cm="1">
        <f t="array" aca="1" ref="F123" ca="1">IF(RegimeExecucao="Global","",ORÇAMENTO.Unidade)</f>
        <v>UN</v>
      </c>
      <c r="G123" s="122" cm="1">
        <f t="array" aca="1" ref="G123" ca="1">IF(RegimeExecucao="Global","",ORÇAMENTO!T123)</f>
        <v>5</v>
      </c>
      <c r="H123" s="122" cm="1">
        <f t="array" aca="1" ref="H123" ca="1">IF(RegimeExecucao="Global","",ORÇAMENTO!W123)</f>
        <v>3036.38</v>
      </c>
      <c r="I123" s="125">
        <f ca="1">ORÇAMENTO!X123</f>
        <v>15181.9</v>
      </c>
      <c r="J123" s="333" cm="1">
        <f t="array" aca="1" ref="J123" ca="1">IF($A123="S",IF(CAIXA.Modo,BM.AFAnterior,BM.MEDAnterior),IF(AND(RegimeExecucao="Global",$I123&gt;0,COUNTIF($AB$13:$AM$13,BM.medicao-1)&gt;0),M123/$I123*100,0))</f>
        <v>0</v>
      </c>
      <c r="K123" s="122">
        <f t="shared" ca="1" si="10"/>
        <v>0</v>
      </c>
      <c r="L123" s="334" cm="1">
        <f t="array" aca="1" ref="L123" ca="1">IF($A123="S",IF(CAIXA.Modo,BM.AFAcumulado,BM.MEDAcumulado),IF(AND(RegimeExecucao="Global",$I123&gt;0,COUNTIF($AB$13:$AM$13,BM.medicao)&gt;0),O123/$I123*100,0))</f>
        <v>0</v>
      </c>
      <c r="M123" s="335" cm="1">
        <f t="array" aca="1" ref="M123" ca="1">IF($A123="S",VTOTALBM,IF($A123=0,0,ROUND(SomaAgrupBM,15-13*ORÇAMENTO!$AF$11)))</f>
        <v>0</v>
      </c>
      <c r="N123" s="336">
        <f t="shared" ca="1" si="11"/>
        <v>0</v>
      </c>
      <c r="O123" s="125" cm="1">
        <f t="array" aca="1" ref="O123" ca="1">IF($A123="S",VTOTALBM,IF($A123=0,0,ROUND(SomaAgrupBM,15-13*ORÇAMENTO!$AF$11)))</f>
        <v>0</v>
      </c>
      <c r="Q123" s="337"/>
      <c r="R123" s="338"/>
      <c r="T123" s="117" t="str">
        <f t="shared" ca="1" si="12"/>
        <v/>
      </c>
      <c r="U123" s="163" t="str">
        <f t="shared" ca="1" si="13"/>
        <v/>
      </c>
      <c r="V123" s="164" t="str" cm="1">
        <f t="array" aca="1" ref="V123" ca="1">IF(AND($W123&gt;0,RegimeExecucao="Unitário"),$F123,"")</f>
        <v/>
      </c>
      <c r="W123" s="454" cm="1">
        <f t="array" aca="1" ref="W123" ca="1">IF($Y123&gt;0,CHOOSE(MATCH(RegimeExecucao,{"Unitário","Global"},0),IF($A123="S",$Y123/$X123,""),($Y123/$X123)*100),0)</f>
        <v>0</v>
      </c>
      <c r="X123" s="339" t="str" cm="1">
        <f t="array" aca="1" ref="X123" ca="1">IF($Y123&gt;0,CHOOSE(MATCH(RegimeExecucao,{"Unitário","Global"},0),IF($A123="S",ROUND($H123,ORÇAMENTO!$AF$10),""),ROUND($I123,ORÇAMENTO!$AF$11)),"")</f>
        <v/>
      </c>
      <c r="Y123" s="339">
        <f t="shared" ca="1" si="14"/>
        <v>0</v>
      </c>
      <c r="Z123" s="473"/>
      <c r="AB123" s="337"/>
      <c r="AC123" s="437"/>
      <c r="AD123" s="437"/>
      <c r="AE123" s="437"/>
      <c r="AF123" s="437"/>
      <c r="AG123" s="437"/>
      <c r="AH123" s="437"/>
      <c r="AI123" s="437"/>
      <c r="AJ123" s="437"/>
      <c r="AK123" s="437"/>
      <c r="AL123" s="437"/>
      <c r="AM123" s="338"/>
      <c r="AO123" s="670" cm="1">
        <f t="array" aca="1" ref="AO123" ca="1">IF($A123="S",IF(BM!$I123=0,0,CHOOSE(MATCH(RegimeExecucao,{"Global","Unitário"},0),ROUND(ROUND(BM.MEDAcumulado,15-13*BM!$A$9)/100*BM!$I123,15-13*ORÇAMENTO!$AF$11),ROUND(ROUND(BM.MEDAcumulado,15-13*BM!$A$9)*ROUND(BM!$H123,15-13*ORÇAMENTO!$AF$10),15-13*ORÇAMENTO!$AF$11))),IF($A123=0,0,ROUND(SomaAgrupBM,15-13*ORÇAMENTO!$AF$11)))</f>
        <v>0</v>
      </c>
    </row>
    <row r="124" spans="1:41" s="670" customFormat="1" x14ac:dyDescent="0.2">
      <c r="A124" s="670" t="str">
        <f ca="1">ORÇAMENTO!C124</f>
        <v>S</v>
      </c>
      <c r="B124" s="670">
        <f ca="1">ORÇAMENTO!D124</f>
        <v>0</v>
      </c>
      <c r="C124" s="114" t="str">
        <f t="shared" ca="1" si="8"/>
        <v>F</v>
      </c>
      <c r="D124" s="117" t="str">
        <f ca="1">ORÇAMENTO!O124</f>
        <v>1.17.10.</v>
      </c>
      <c r="E124" s="163" t="str">
        <f t="shared" ca="1" si="9"/>
        <v>RELÉ FOTOELÉTRICO 50/60 HZ, 110/220 V, 1200 VA, COMPLETO</v>
      </c>
      <c r="F124" s="164" t="str" cm="1">
        <f t="array" aca="1" ref="F124" ca="1">IF(RegimeExecucao="Global","",ORÇAMENTO.Unidade)</f>
        <v>UNIDADE</v>
      </c>
      <c r="G124" s="122" cm="1">
        <f t="array" aca="1" ref="G124" ca="1">IF(RegimeExecucao="Global","",ORÇAMENTO!T124)</f>
        <v>2</v>
      </c>
      <c r="H124" s="122" cm="1">
        <f t="array" aca="1" ref="H124" ca="1">IF(RegimeExecucao="Global","",ORÇAMENTO!W124)</f>
        <v>130.41999999999999</v>
      </c>
      <c r="I124" s="125">
        <f ca="1">ORÇAMENTO!X124</f>
        <v>260.83999999999997</v>
      </c>
      <c r="J124" s="333" cm="1">
        <f t="array" aca="1" ref="J124" ca="1">IF($A124="S",IF(CAIXA.Modo,BM.AFAnterior,BM.MEDAnterior),IF(AND(RegimeExecucao="Global",$I124&gt;0,COUNTIF($AB$13:$AM$13,BM.medicao-1)&gt;0),M124/$I124*100,0))</f>
        <v>0</v>
      </c>
      <c r="K124" s="122">
        <f t="shared" ca="1" si="10"/>
        <v>0</v>
      </c>
      <c r="L124" s="334" cm="1">
        <f t="array" aca="1" ref="L124" ca="1">IF($A124="S",IF(CAIXA.Modo,BM.AFAcumulado,BM.MEDAcumulado),IF(AND(RegimeExecucao="Global",$I124&gt;0,COUNTIF($AB$13:$AM$13,BM.medicao)&gt;0),O124/$I124*100,0))</f>
        <v>0</v>
      </c>
      <c r="M124" s="335" cm="1">
        <f t="array" aca="1" ref="M124" ca="1">IF($A124="S",VTOTALBM,IF($A124=0,0,ROUND(SomaAgrupBM,15-13*ORÇAMENTO!$AF$11)))</f>
        <v>0</v>
      </c>
      <c r="N124" s="336">
        <f t="shared" ca="1" si="11"/>
        <v>0</v>
      </c>
      <c r="O124" s="125" cm="1">
        <f t="array" aca="1" ref="O124" ca="1">IF($A124="S",VTOTALBM,IF($A124=0,0,ROUND(SomaAgrupBM,15-13*ORÇAMENTO!$AF$11)))</f>
        <v>0</v>
      </c>
      <c r="Q124" s="337"/>
      <c r="R124" s="338"/>
      <c r="T124" s="117" t="str">
        <f t="shared" ca="1" si="12"/>
        <v/>
      </c>
      <c r="U124" s="163" t="str">
        <f t="shared" ca="1" si="13"/>
        <v/>
      </c>
      <c r="V124" s="164" t="str" cm="1">
        <f t="array" aca="1" ref="V124" ca="1">IF(AND($W124&gt;0,RegimeExecucao="Unitário"),$F124,"")</f>
        <v/>
      </c>
      <c r="W124" s="454" cm="1">
        <f t="array" aca="1" ref="W124" ca="1">IF($Y124&gt;0,CHOOSE(MATCH(RegimeExecucao,{"Unitário","Global"},0),IF($A124="S",$Y124/$X124,""),($Y124/$X124)*100),0)</f>
        <v>0</v>
      </c>
      <c r="X124" s="339" t="str" cm="1">
        <f t="array" aca="1" ref="X124" ca="1">IF($Y124&gt;0,CHOOSE(MATCH(RegimeExecucao,{"Unitário","Global"},0),IF($A124="S",ROUND($H124,ORÇAMENTO!$AF$10),""),ROUND($I124,ORÇAMENTO!$AF$11)),"")</f>
        <v/>
      </c>
      <c r="Y124" s="339">
        <f t="shared" ca="1" si="14"/>
        <v>0</v>
      </c>
      <c r="Z124" s="473"/>
      <c r="AB124" s="337"/>
      <c r="AC124" s="437"/>
      <c r="AD124" s="437"/>
      <c r="AE124" s="437"/>
      <c r="AF124" s="437"/>
      <c r="AG124" s="437"/>
      <c r="AH124" s="437"/>
      <c r="AI124" s="437"/>
      <c r="AJ124" s="437"/>
      <c r="AK124" s="437"/>
      <c r="AL124" s="437"/>
      <c r="AM124" s="338"/>
      <c r="AO124" s="670" cm="1">
        <f t="array" aca="1" ref="AO124" ca="1">IF($A124="S",IF(BM!$I124=0,0,CHOOSE(MATCH(RegimeExecucao,{"Global","Unitário"},0),ROUND(ROUND(BM.MEDAcumulado,15-13*BM!$A$9)/100*BM!$I124,15-13*ORÇAMENTO!$AF$11),ROUND(ROUND(BM.MEDAcumulado,15-13*BM!$A$9)*ROUND(BM!$H124,15-13*ORÇAMENTO!$AF$10),15-13*ORÇAMENTO!$AF$11))),IF($A124=0,0,ROUND(SomaAgrupBM,15-13*ORÇAMENTO!$AF$11)))</f>
        <v>0</v>
      </c>
    </row>
    <row r="125" spans="1:41" s="670" customFormat="1" ht="38.25" x14ac:dyDescent="0.2">
      <c r="A125" s="670" t="str">
        <f ca="1">ORÇAMENTO!C125</f>
        <v>S</v>
      </c>
      <c r="B125" s="670">
        <f ca="1">ORÇAMENTO!D125</f>
        <v>0</v>
      </c>
      <c r="C125" s="114" t="str">
        <f t="shared" ca="1" si="8"/>
        <v>F</v>
      </c>
      <c r="D125" s="117" t="str">
        <f ca="1">ORÇAMENTO!O125</f>
        <v>1.17.11.</v>
      </c>
      <c r="E125" s="163" t="str">
        <f t="shared" ca="1" si="9"/>
        <v>CABO DE COBRE FLEXÍVEL ISOLADO, 2,5 MM², ANTI-CHAMA 0,6/1,0 KV, PARA CIRCUITOS TERMINAIS - FORNECIMENTO E INSTALAÇÃO. AF_03/2023</v>
      </c>
      <c r="F125" s="164" t="str" cm="1">
        <f t="array" aca="1" ref="F125" ca="1">IF(RegimeExecucao="Global","",ORÇAMENTO.Unidade)</f>
        <v>M</v>
      </c>
      <c r="G125" s="122" cm="1">
        <f t="array" aca="1" ref="G125" ca="1">IF(RegimeExecucao="Global","",ORÇAMENTO!T125)</f>
        <v>200</v>
      </c>
      <c r="H125" s="122" cm="1">
        <f t="array" aca="1" ref="H125" ca="1">IF(RegimeExecucao="Global","",ORÇAMENTO!W125)</f>
        <v>6.76</v>
      </c>
      <c r="I125" s="125">
        <f ca="1">ORÇAMENTO!X125</f>
        <v>1352</v>
      </c>
      <c r="J125" s="333" cm="1">
        <f t="array" aca="1" ref="J125" ca="1">IF($A125="S",IF(CAIXA.Modo,BM.AFAnterior,BM.MEDAnterior),IF(AND(RegimeExecucao="Global",$I125&gt;0,COUNTIF($AB$13:$AM$13,BM.medicao-1)&gt;0),M125/$I125*100,0))</f>
        <v>0</v>
      </c>
      <c r="K125" s="122">
        <f t="shared" ca="1" si="10"/>
        <v>0</v>
      </c>
      <c r="L125" s="334" cm="1">
        <f t="array" aca="1" ref="L125" ca="1">IF($A125="S",IF(CAIXA.Modo,BM.AFAcumulado,BM.MEDAcumulado),IF(AND(RegimeExecucao="Global",$I125&gt;0,COUNTIF($AB$13:$AM$13,BM.medicao)&gt;0),O125/$I125*100,0))</f>
        <v>0</v>
      </c>
      <c r="M125" s="335" cm="1">
        <f t="array" aca="1" ref="M125" ca="1">IF($A125="S",VTOTALBM,IF($A125=0,0,ROUND(SomaAgrupBM,15-13*ORÇAMENTO!$AF$11)))</f>
        <v>0</v>
      </c>
      <c r="N125" s="336">
        <f t="shared" ca="1" si="11"/>
        <v>0</v>
      </c>
      <c r="O125" s="125" cm="1">
        <f t="array" aca="1" ref="O125" ca="1">IF($A125="S",VTOTALBM,IF($A125=0,0,ROUND(SomaAgrupBM,15-13*ORÇAMENTO!$AF$11)))</f>
        <v>0</v>
      </c>
      <c r="Q125" s="337"/>
      <c r="R125" s="338"/>
      <c r="T125" s="117" t="str">
        <f t="shared" ca="1" si="12"/>
        <v/>
      </c>
      <c r="U125" s="163" t="str">
        <f t="shared" ca="1" si="13"/>
        <v/>
      </c>
      <c r="V125" s="164" t="str" cm="1">
        <f t="array" aca="1" ref="V125" ca="1">IF(AND($W125&gt;0,RegimeExecucao="Unitário"),$F125,"")</f>
        <v/>
      </c>
      <c r="W125" s="454" cm="1">
        <f t="array" aca="1" ref="W125" ca="1">IF($Y125&gt;0,CHOOSE(MATCH(RegimeExecucao,{"Unitário","Global"},0),IF($A125="S",$Y125/$X125,""),($Y125/$X125)*100),0)</f>
        <v>0</v>
      </c>
      <c r="X125" s="339" t="str" cm="1">
        <f t="array" aca="1" ref="X125" ca="1">IF($Y125&gt;0,CHOOSE(MATCH(RegimeExecucao,{"Unitário","Global"},0),IF($A125="S",ROUND($H125,ORÇAMENTO!$AF$10),""),ROUND($I125,ORÇAMENTO!$AF$11)),"")</f>
        <v/>
      </c>
      <c r="Y125" s="339">
        <f t="shared" ca="1" si="14"/>
        <v>0</v>
      </c>
      <c r="Z125" s="473"/>
      <c r="AB125" s="337"/>
      <c r="AC125" s="437"/>
      <c r="AD125" s="437"/>
      <c r="AE125" s="437"/>
      <c r="AF125" s="437"/>
      <c r="AG125" s="437"/>
      <c r="AH125" s="437"/>
      <c r="AI125" s="437"/>
      <c r="AJ125" s="437"/>
      <c r="AK125" s="437"/>
      <c r="AL125" s="437"/>
      <c r="AM125" s="338"/>
      <c r="AO125" s="670" cm="1">
        <f t="array" aca="1" ref="AO125" ca="1">IF($A125="S",IF(BM!$I125=0,0,CHOOSE(MATCH(RegimeExecucao,{"Global","Unitário"},0),ROUND(ROUND(BM.MEDAcumulado,15-13*BM!$A$9)/100*BM!$I125,15-13*ORÇAMENTO!$AF$11),ROUND(ROUND(BM.MEDAcumulado,15-13*BM!$A$9)*ROUND(BM!$H125,15-13*ORÇAMENTO!$AF$10),15-13*ORÇAMENTO!$AF$11))),IF($A125=0,0,ROUND(SomaAgrupBM,15-13*ORÇAMENTO!$AF$11)))</f>
        <v>0</v>
      </c>
    </row>
    <row r="126" spans="1:41" s="670" customFormat="1" ht="38.25" x14ac:dyDescent="0.2">
      <c r="A126" s="670" t="str">
        <f ca="1">ORÇAMENTO!C126</f>
        <v>S</v>
      </c>
      <c r="B126" s="670">
        <f ca="1">ORÇAMENTO!D126</f>
        <v>0</v>
      </c>
      <c r="C126" s="114" t="str">
        <f t="shared" ca="1" si="8"/>
        <v>F</v>
      </c>
      <c r="D126" s="117" t="str">
        <f ca="1">ORÇAMENTO!O126</f>
        <v>1.17.12.</v>
      </c>
      <c r="E126" s="163" t="str">
        <f t="shared" ca="1" si="9"/>
        <v>CABO DE COBRE FLEXÍVEL ISOLADO, 10 MM², 0,6/1,0 KV, PARA REDE AÉREA DE DISTRIBUIÇÃO DE ENERGIA ELÉTRICA DE BAIXA TENSÃO - FORNECIMENTO E INSTALAÇÃO. AF_12/2025</v>
      </c>
      <c r="F126" s="164" t="str" cm="1">
        <f t="array" aca="1" ref="F126" ca="1">IF(RegimeExecucao="Global","",ORÇAMENTO.Unidade)</f>
        <v>M</v>
      </c>
      <c r="G126" s="122" cm="1">
        <f t="array" aca="1" ref="G126" ca="1">IF(RegimeExecucao="Global","",ORÇAMENTO!T126)</f>
        <v>52</v>
      </c>
      <c r="H126" s="122" cm="1">
        <f t="array" aca="1" ref="H126" ca="1">IF(RegimeExecucao="Global","",ORÇAMENTO!W126)</f>
        <v>13.89</v>
      </c>
      <c r="I126" s="125">
        <f ca="1">ORÇAMENTO!X126</f>
        <v>722.28</v>
      </c>
      <c r="J126" s="333" cm="1">
        <f t="array" aca="1" ref="J126" ca="1">IF($A126="S",IF(CAIXA.Modo,BM.AFAnterior,BM.MEDAnterior),IF(AND(RegimeExecucao="Global",$I126&gt;0,COUNTIF($AB$13:$AM$13,BM.medicao-1)&gt;0),M126/$I126*100,0))</f>
        <v>0</v>
      </c>
      <c r="K126" s="122">
        <f t="shared" ca="1" si="10"/>
        <v>0</v>
      </c>
      <c r="L126" s="334" cm="1">
        <f t="array" aca="1" ref="L126" ca="1">IF($A126="S",IF(CAIXA.Modo,BM.AFAcumulado,BM.MEDAcumulado),IF(AND(RegimeExecucao="Global",$I126&gt;0,COUNTIF($AB$13:$AM$13,BM.medicao)&gt;0),O126/$I126*100,0))</f>
        <v>0</v>
      </c>
      <c r="M126" s="335" cm="1">
        <f t="array" aca="1" ref="M126" ca="1">IF($A126="S",VTOTALBM,IF($A126=0,0,ROUND(SomaAgrupBM,15-13*ORÇAMENTO!$AF$11)))</f>
        <v>0</v>
      </c>
      <c r="N126" s="336">
        <f t="shared" ca="1" si="11"/>
        <v>0</v>
      </c>
      <c r="O126" s="125" cm="1">
        <f t="array" aca="1" ref="O126" ca="1">IF($A126="S",VTOTALBM,IF($A126=0,0,ROUND(SomaAgrupBM,15-13*ORÇAMENTO!$AF$11)))</f>
        <v>0</v>
      </c>
      <c r="Q126" s="337"/>
      <c r="R126" s="338"/>
      <c r="T126" s="117" t="str">
        <f t="shared" ca="1" si="12"/>
        <v/>
      </c>
      <c r="U126" s="163" t="str">
        <f t="shared" ca="1" si="13"/>
        <v/>
      </c>
      <c r="V126" s="164" t="str" cm="1">
        <f t="array" aca="1" ref="V126" ca="1">IF(AND($W126&gt;0,RegimeExecucao="Unitário"),$F126,"")</f>
        <v/>
      </c>
      <c r="W126" s="454" cm="1">
        <f t="array" aca="1" ref="W126" ca="1">IF($Y126&gt;0,CHOOSE(MATCH(RegimeExecucao,{"Unitário","Global"},0),IF($A126="S",$Y126/$X126,""),($Y126/$X126)*100),0)</f>
        <v>0</v>
      </c>
      <c r="X126" s="339" t="str" cm="1">
        <f t="array" aca="1" ref="X126" ca="1">IF($Y126&gt;0,CHOOSE(MATCH(RegimeExecucao,{"Unitário","Global"},0),IF($A126="S",ROUND($H126,ORÇAMENTO!$AF$10),""),ROUND($I126,ORÇAMENTO!$AF$11)),"")</f>
        <v/>
      </c>
      <c r="Y126" s="339">
        <f t="shared" ca="1" si="14"/>
        <v>0</v>
      </c>
      <c r="Z126" s="473"/>
      <c r="AB126" s="337"/>
      <c r="AC126" s="437"/>
      <c r="AD126" s="437"/>
      <c r="AE126" s="437"/>
      <c r="AF126" s="437"/>
      <c r="AG126" s="437"/>
      <c r="AH126" s="437"/>
      <c r="AI126" s="437"/>
      <c r="AJ126" s="437"/>
      <c r="AK126" s="437"/>
      <c r="AL126" s="437"/>
      <c r="AM126" s="338"/>
      <c r="AO126" s="670" cm="1">
        <f t="array" aca="1" ref="AO126" ca="1">IF($A126="S",IF(BM!$I126=0,0,CHOOSE(MATCH(RegimeExecucao,{"Global","Unitário"},0),ROUND(ROUND(BM.MEDAcumulado,15-13*BM!$A$9)/100*BM!$I126,15-13*ORÇAMENTO!$AF$11),ROUND(ROUND(BM.MEDAcumulado,15-13*BM!$A$9)*ROUND(BM!$H126,15-13*ORÇAMENTO!$AF$10),15-13*ORÇAMENTO!$AF$11))),IF($A126=0,0,ROUND(SomaAgrupBM,15-13*ORÇAMENTO!$AF$11)))</f>
        <v>0</v>
      </c>
    </row>
    <row r="127" spans="1:41" s="670" customFormat="1" ht="38.25" x14ac:dyDescent="0.2">
      <c r="A127" s="670" t="str">
        <f ca="1">ORÇAMENTO!C127</f>
        <v>S</v>
      </c>
      <c r="B127" s="670">
        <f ca="1">ORÇAMENTO!D127</f>
        <v>0</v>
      </c>
      <c r="C127" s="114" t="str">
        <f t="shared" ca="1" si="8"/>
        <v>F</v>
      </c>
      <c r="D127" s="117" t="str">
        <f ca="1">ORÇAMENTO!O127</f>
        <v>1.17.13.</v>
      </c>
      <c r="E127" s="163" t="str">
        <f t="shared" ca="1" si="9"/>
        <v>CABO DE COBRE FLEXÍVEL ISOLADO, 16 MM², ANTI-CHAMA 0,6/1,0 KV, PARA CIRCUITOS TERMINAIS - FORNECIMENTO E INSTALAÇÃO. AF_03/2023</v>
      </c>
      <c r="F127" s="164" t="str" cm="1">
        <f t="array" aca="1" ref="F127" ca="1">IF(RegimeExecucao="Global","",ORÇAMENTO.Unidade)</f>
        <v>M</v>
      </c>
      <c r="G127" s="122" cm="1">
        <f t="array" aca="1" ref="G127" ca="1">IF(RegimeExecucao="Global","",ORÇAMENTO!T127)</f>
        <v>230</v>
      </c>
      <c r="H127" s="122" cm="1">
        <f t="array" aca="1" ref="H127" ca="1">IF(RegimeExecucao="Global","",ORÇAMENTO!W127)</f>
        <v>35.04</v>
      </c>
      <c r="I127" s="125">
        <f ca="1">ORÇAMENTO!X127</f>
        <v>8059.2</v>
      </c>
      <c r="J127" s="333" cm="1">
        <f t="array" aca="1" ref="J127" ca="1">IF($A127="S",IF(CAIXA.Modo,BM.AFAnterior,BM.MEDAnterior),IF(AND(RegimeExecucao="Global",$I127&gt;0,COUNTIF($AB$13:$AM$13,BM.medicao-1)&gt;0),M127/$I127*100,0))</f>
        <v>0</v>
      </c>
      <c r="K127" s="122">
        <f t="shared" ca="1" si="10"/>
        <v>0</v>
      </c>
      <c r="L127" s="334" cm="1">
        <f t="array" aca="1" ref="L127" ca="1">IF($A127="S",IF(CAIXA.Modo,BM.AFAcumulado,BM.MEDAcumulado),IF(AND(RegimeExecucao="Global",$I127&gt;0,COUNTIF($AB$13:$AM$13,BM.medicao)&gt;0),O127/$I127*100,0))</f>
        <v>0</v>
      </c>
      <c r="M127" s="335" cm="1">
        <f t="array" aca="1" ref="M127" ca="1">IF($A127="S",VTOTALBM,IF($A127=0,0,ROUND(SomaAgrupBM,15-13*ORÇAMENTO!$AF$11)))</f>
        <v>0</v>
      </c>
      <c r="N127" s="336">
        <f t="shared" ca="1" si="11"/>
        <v>0</v>
      </c>
      <c r="O127" s="125" cm="1">
        <f t="array" aca="1" ref="O127" ca="1">IF($A127="S",VTOTALBM,IF($A127=0,0,ROUND(SomaAgrupBM,15-13*ORÇAMENTO!$AF$11)))</f>
        <v>0</v>
      </c>
      <c r="Q127" s="337"/>
      <c r="R127" s="338"/>
      <c r="T127" s="117" t="str">
        <f t="shared" ca="1" si="12"/>
        <v/>
      </c>
      <c r="U127" s="163" t="str">
        <f t="shared" ca="1" si="13"/>
        <v/>
      </c>
      <c r="V127" s="164" t="str" cm="1">
        <f t="array" aca="1" ref="V127" ca="1">IF(AND($W127&gt;0,RegimeExecucao="Unitário"),$F127,"")</f>
        <v/>
      </c>
      <c r="W127" s="454" cm="1">
        <f t="array" aca="1" ref="W127" ca="1">IF($Y127&gt;0,CHOOSE(MATCH(RegimeExecucao,{"Unitário","Global"},0),IF($A127="S",$Y127/$X127,""),($Y127/$X127)*100),0)</f>
        <v>0</v>
      </c>
      <c r="X127" s="339" t="str" cm="1">
        <f t="array" aca="1" ref="X127" ca="1">IF($Y127&gt;0,CHOOSE(MATCH(RegimeExecucao,{"Unitário","Global"},0),IF($A127="S",ROUND($H127,ORÇAMENTO!$AF$10),""),ROUND($I127,ORÇAMENTO!$AF$11)),"")</f>
        <v/>
      </c>
      <c r="Y127" s="339">
        <f t="shared" ca="1" si="14"/>
        <v>0</v>
      </c>
      <c r="Z127" s="473"/>
      <c r="AB127" s="337"/>
      <c r="AC127" s="437"/>
      <c r="AD127" s="437"/>
      <c r="AE127" s="437"/>
      <c r="AF127" s="437"/>
      <c r="AG127" s="437"/>
      <c r="AH127" s="437"/>
      <c r="AI127" s="437"/>
      <c r="AJ127" s="437"/>
      <c r="AK127" s="437"/>
      <c r="AL127" s="437"/>
      <c r="AM127" s="338"/>
      <c r="AO127" s="670" cm="1">
        <f t="array" aca="1" ref="AO127" ca="1">IF($A127="S",IF(BM!$I127=0,0,CHOOSE(MATCH(RegimeExecucao,{"Global","Unitário"},0),ROUND(ROUND(BM.MEDAcumulado,15-13*BM!$A$9)/100*BM!$I127,15-13*ORÇAMENTO!$AF$11),ROUND(ROUND(BM.MEDAcumulado,15-13*BM!$A$9)*ROUND(BM!$H127,15-13*ORÇAMENTO!$AF$10),15-13*ORÇAMENTO!$AF$11))),IF($A127=0,0,ROUND(SomaAgrupBM,15-13*ORÇAMENTO!$AF$11)))</f>
        <v>0</v>
      </c>
    </row>
    <row r="128" spans="1:41" s="670" customFormat="1" ht="38.25" x14ac:dyDescent="0.2">
      <c r="A128" s="670" t="str">
        <f ca="1">ORÇAMENTO!C128</f>
        <v>S</v>
      </c>
      <c r="B128" s="670">
        <f ca="1">ORÇAMENTO!D128</f>
        <v>0</v>
      </c>
      <c r="C128" s="114" t="str">
        <f t="shared" ca="1" si="8"/>
        <v>F</v>
      </c>
      <c r="D128" s="117" t="str">
        <f ca="1">ORÇAMENTO!O128</f>
        <v>1.17.14.</v>
      </c>
      <c r="E128" s="163" t="str">
        <f t="shared" ca="1" si="9"/>
        <v>CABO DE COBRE FLEXÍVEL ISOLADO, 25 MM², ANTI-CHAMA 0,6/1,0 KV, PARA REDE ENTERRADA DE DISTRIBUIÇÃO DE ENERGIA ELÉTRICA - FORNECIMENTO E INSTALAÇÃO. AF_12/2021</v>
      </c>
      <c r="F128" s="164" t="str" cm="1">
        <f t="array" aca="1" ref="F128" ca="1">IF(RegimeExecucao="Global","",ORÇAMENTO.Unidade)</f>
        <v>M</v>
      </c>
      <c r="G128" s="122" cm="1">
        <f t="array" aca="1" ref="G128" ca="1">IF(RegimeExecucao="Global","",ORÇAMENTO!T128)</f>
        <v>21</v>
      </c>
      <c r="H128" s="122" cm="1">
        <f t="array" aca="1" ref="H128" ca="1">IF(RegimeExecucao="Global","",ORÇAMENTO!W128)</f>
        <v>37.92</v>
      </c>
      <c r="I128" s="125">
        <f ca="1">ORÇAMENTO!X128</f>
        <v>796.32</v>
      </c>
      <c r="J128" s="333" cm="1">
        <f t="array" aca="1" ref="J128" ca="1">IF($A128="S",IF(CAIXA.Modo,BM.AFAnterior,BM.MEDAnterior),IF(AND(RegimeExecucao="Global",$I128&gt;0,COUNTIF($AB$13:$AM$13,BM.medicao-1)&gt;0),M128/$I128*100,0))</f>
        <v>0</v>
      </c>
      <c r="K128" s="122">
        <f t="shared" ca="1" si="10"/>
        <v>0</v>
      </c>
      <c r="L128" s="334" cm="1">
        <f t="array" aca="1" ref="L128" ca="1">IF($A128="S",IF(CAIXA.Modo,BM.AFAcumulado,BM.MEDAcumulado),IF(AND(RegimeExecucao="Global",$I128&gt;0,COUNTIF($AB$13:$AM$13,BM.medicao)&gt;0),O128/$I128*100,0))</f>
        <v>0</v>
      </c>
      <c r="M128" s="335" cm="1">
        <f t="array" aca="1" ref="M128" ca="1">IF($A128="S",VTOTALBM,IF($A128=0,0,ROUND(SomaAgrupBM,15-13*ORÇAMENTO!$AF$11)))</f>
        <v>0</v>
      </c>
      <c r="N128" s="336">
        <f t="shared" ca="1" si="11"/>
        <v>0</v>
      </c>
      <c r="O128" s="125" cm="1">
        <f t="array" aca="1" ref="O128" ca="1">IF($A128="S",VTOTALBM,IF($A128=0,0,ROUND(SomaAgrupBM,15-13*ORÇAMENTO!$AF$11)))</f>
        <v>0</v>
      </c>
      <c r="Q128" s="337"/>
      <c r="R128" s="338"/>
      <c r="T128" s="117" t="str">
        <f t="shared" ca="1" si="12"/>
        <v/>
      </c>
      <c r="U128" s="163" t="str">
        <f t="shared" ca="1" si="13"/>
        <v/>
      </c>
      <c r="V128" s="164" t="str" cm="1">
        <f t="array" aca="1" ref="V128" ca="1">IF(AND($W128&gt;0,RegimeExecucao="Unitário"),$F128,"")</f>
        <v/>
      </c>
      <c r="W128" s="454" cm="1">
        <f t="array" aca="1" ref="W128" ca="1">IF($Y128&gt;0,CHOOSE(MATCH(RegimeExecucao,{"Unitário","Global"},0),IF($A128="S",$Y128/$X128,""),($Y128/$X128)*100),0)</f>
        <v>0</v>
      </c>
      <c r="X128" s="339" t="str" cm="1">
        <f t="array" aca="1" ref="X128" ca="1">IF($Y128&gt;0,CHOOSE(MATCH(RegimeExecucao,{"Unitário","Global"},0),IF($A128="S",ROUND($H128,ORÇAMENTO!$AF$10),""),ROUND($I128,ORÇAMENTO!$AF$11)),"")</f>
        <v/>
      </c>
      <c r="Y128" s="339">
        <f t="shared" ca="1" si="14"/>
        <v>0</v>
      </c>
      <c r="Z128" s="473"/>
      <c r="AB128" s="337"/>
      <c r="AC128" s="437"/>
      <c r="AD128" s="437"/>
      <c r="AE128" s="437"/>
      <c r="AF128" s="437"/>
      <c r="AG128" s="437"/>
      <c r="AH128" s="437"/>
      <c r="AI128" s="437"/>
      <c r="AJ128" s="437"/>
      <c r="AK128" s="437"/>
      <c r="AL128" s="437"/>
      <c r="AM128" s="338"/>
      <c r="AO128" s="670" cm="1">
        <f t="array" aca="1" ref="AO128" ca="1">IF($A128="S",IF(BM!$I128=0,0,CHOOSE(MATCH(RegimeExecucao,{"Global","Unitário"},0),ROUND(ROUND(BM.MEDAcumulado,15-13*BM!$A$9)/100*BM!$I128,15-13*ORÇAMENTO!$AF$11),ROUND(ROUND(BM.MEDAcumulado,15-13*BM!$A$9)*ROUND(BM!$H128,15-13*ORÇAMENTO!$AF$10),15-13*ORÇAMENTO!$AF$11))),IF($A128=0,0,ROUND(SomaAgrupBM,15-13*ORÇAMENTO!$AF$11)))</f>
        <v>0</v>
      </c>
    </row>
    <row r="129" spans="1:41" s="670" customFormat="1" ht="38.25" x14ac:dyDescent="0.2">
      <c r="A129" s="670" t="str">
        <f ca="1">ORÇAMENTO!C129</f>
        <v>S</v>
      </c>
      <c r="B129" s="670">
        <f ca="1">ORÇAMENTO!D129</f>
        <v>0</v>
      </c>
      <c r="C129" s="114" t="str">
        <f t="shared" ca="1" si="8"/>
        <v>F</v>
      </c>
      <c r="D129" s="117" t="str">
        <f ca="1">ORÇAMENTO!O129</f>
        <v>1.17.15.</v>
      </c>
      <c r="E129" s="163" t="str">
        <f t="shared" ca="1" si="9"/>
        <v>CABO DE COBRE FLEXÍVEL ISOLADO, 35 MM², ANTI-CHAMA 0,6/1,0 KV, PARA REDE ENTERRADA DE DISTRIBUIÇÃO DE ENERGIA ELÉTRICA - FORNECIMENTO E INSTALAÇÃO. AF_12/2021</v>
      </c>
      <c r="F129" s="164" t="str" cm="1">
        <f t="array" aca="1" ref="F129" ca="1">IF(RegimeExecucao="Global","",ORÇAMENTO.Unidade)</f>
        <v>M</v>
      </c>
      <c r="G129" s="122" cm="1">
        <f t="array" aca="1" ref="G129" ca="1">IF(RegimeExecucao="Global","",ORÇAMENTO!T129)</f>
        <v>975</v>
      </c>
      <c r="H129" s="122" cm="1">
        <f t="array" aca="1" ref="H129" ca="1">IF(RegimeExecucao="Global","",ORÇAMENTO!W129)</f>
        <v>52.32</v>
      </c>
      <c r="I129" s="125">
        <f ca="1">ORÇAMENTO!X129</f>
        <v>51012</v>
      </c>
      <c r="J129" s="333" cm="1">
        <f t="array" aca="1" ref="J129" ca="1">IF($A129="S",IF(CAIXA.Modo,BM.AFAnterior,BM.MEDAnterior),IF(AND(RegimeExecucao="Global",$I129&gt;0,COUNTIF($AB$13:$AM$13,BM.medicao-1)&gt;0),M129/$I129*100,0))</f>
        <v>0</v>
      </c>
      <c r="K129" s="122">
        <f t="shared" ca="1" si="10"/>
        <v>0</v>
      </c>
      <c r="L129" s="334" cm="1">
        <f t="array" aca="1" ref="L129" ca="1">IF($A129="S",IF(CAIXA.Modo,BM.AFAcumulado,BM.MEDAcumulado),IF(AND(RegimeExecucao="Global",$I129&gt;0,COUNTIF($AB$13:$AM$13,BM.medicao)&gt;0),O129/$I129*100,0))</f>
        <v>0</v>
      </c>
      <c r="M129" s="335" cm="1">
        <f t="array" aca="1" ref="M129" ca="1">IF($A129="S",VTOTALBM,IF($A129=0,0,ROUND(SomaAgrupBM,15-13*ORÇAMENTO!$AF$11)))</f>
        <v>0</v>
      </c>
      <c r="N129" s="336">
        <f t="shared" ca="1" si="11"/>
        <v>0</v>
      </c>
      <c r="O129" s="125" cm="1">
        <f t="array" aca="1" ref="O129" ca="1">IF($A129="S",VTOTALBM,IF($A129=0,0,ROUND(SomaAgrupBM,15-13*ORÇAMENTO!$AF$11)))</f>
        <v>0</v>
      </c>
      <c r="Q129" s="337"/>
      <c r="R129" s="338"/>
      <c r="T129" s="117" t="str">
        <f t="shared" ca="1" si="12"/>
        <v/>
      </c>
      <c r="U129" s="163" t="str">
        <f t="shared" ca="1" si="13"/>
        <v/>
      </c>
      <c r="V129" s="164" t="str" cm="1">
        <f t="array" aca="1" ref="V129" ca="1">IF(AND($W129&gt;0,RegimeExecucao="Unitário"),$F129,"")</f>
        <v/>
      </c>
      <c r="W129" s="454" cm="1">
        <f t="array" aca="1" ref="W129" ca="1">IF($Y129&gt;0,CHOOSE(MATCH(RegimeExecucao,{"Unitário","Global"},0),IF($A129="S",$Y129/$X129,""),($Y129/$X129)*100),0)</f>
        <v>0</v>
      </c>
      <c r="X129" s="339" t="str" cm="1">
        <f t="array" aca="1" ref="X129" ca="1">IF($Y129&gt;0,CHOOSE(MATCH(RegimeExecucao,{"Unitário","Global"},0),IF($A129="S",ROUND($H129,ORÇAMENTO!$AF$10),""),ROUND($I129,ORÇAMENTO!$AF$11)),"")</f>
        <v/>
      </c>
      <c r="Y129" s="339">
        <f t="shared" ca="1" si="14"/>
        <v>0</v>
      </c>
      <c r="Z129" s="473"/>
      <c r="AB129" s="337"/>
      <c r="AC129" s="437"/>
      <c r="AD129" s="437"/>
      <c r="AE129" s="437"/>
      <c r="AF129" s="437"/>
      <c r="AG129" s="437"/>
      <c r="AH129" s="437"/>
      <c r="AI129" s="437"/>
      <c r="AJ129" s="437"/>
      <c r="AK129" s="437"/>
      <c r="AL129" s="437"/>
      <c r="AM129" s="338"/>
      <c r="AO129" s="670" cm="1">
        <f t="array" aca="1" ref="AO129" ca="1">IF($A129="S",IF(BM!$I129=0,0,CHOOSE(MATCH(RegimeExecucao,{"Global","Unitário"},0),ROUND(ROUND(BM.MEDAcumulado,15-13*BM!$A$9)/100*BM!$I129,15-13*ORÇAMENTO!$AF$11),ROUND(ROUND(BM.MEDAcumulado,15-13*BM!$A$9)*ROUND(BM!$H129,15-13*ORÇAMENTO!$AF$10),15-13*ORÇAMENTO!$AF$11))),IF($A129=0,0,ROUND(SomaAgrupBM,15-13*ORÇAMENTO!$AF$11)))</f>
        <v>0</v>
      </c>
    </row>
    <row r="130" spans="1:41" s="670" customFormat="1" ht="38.25" x14ac:dyDescent="0.2">
      <c r="A130" s="670" t="str">
        <f ca="1">ORÇAMENTO!C130</f>
        <v>S</v>
      </c>
      <c r="B130" s="670">
        <f ca="1">ORÇAMENTO!D130</f>
        <v>0</v>
      </c>
      <c r="C130" s="114" t="str">
        <f t="shared" ca="1" si="8"/>
        <v>F</v>
      </c>
      <c r="D130" s="117" t="str">
        <f ca="1">ORÇAMENTO!O130</f>
        <v>1.17.16.</v>
      </c>
      <c r="E130" s="163" t="str">
        <f t="shared" ca="1" si="9"/>
        <v>CABO DE COBRE FLEXÍVEL ISOLADO, 50 MM², 0,6/1,0 KV, PARA REDE AÉREA DE DISTRIBUIÇÃO DE ENERGIA ELÉTRICA DE BAIXA TENSÃO - FORNECIMENTO E INSTALAÇÃO. AF_12/2025</v>
      </c>
      <c r="F130" s="164" t="str" cm="1">
        <f t="array" aca="1" ref="F130" ca="1">IF(RegimeExecucao="Global","",ORÇAMENTO.Unidade)</f>
        <v>M</v>
      </c>
      <c r="G130" s="122" cm="1">
        <f t="array" aca="1" ref="G130" ca="1">IF(RegimeExecucao="Global","",ORÇAMENTO!T130)</f>
        <v>63</v>
      </c>
      <c r="H130" s="122" cm="1">
        <f t="array" aca="1" ref="H130" ca="1">IF(RegimeExecucao="Global","",ORÇAMENTO!W130)</f>
        <v>71.239999999999995</v>
      </c>
      <c r="I130" s="125">
        <f ca="1">ORÇAMENTO!X130</f>
        <v>4488.12</v>
      </c>
      <c r="J130" s="333" cm="1">
        <f t="array" aca="1" ref="J130" ca="1">IF($A130="S",IF(CAIXA.Modo,BM.AFAnterior,BM.MEDAnterior),IF(AND(RegimeExecucao="Global",$I130&gt;0,COUNTIF($AB$13:$AM$13,BM.medicao-1)&gt;0),M130/$I130*100,0))</f>
        <v>0</v>
      </c>
      <c r="K130" s="122">
        <f t="shared" ca="1" si="10"/>
        <v>0</v>
      </c>
      <c r="L130" s="334" cm="1">
        <f t="array" aca="1" ref="L130" ca="1">IF($A130="S",IF(CAIXA.Modo,BM.AFAcumulado,BM.MEDAcumulado),IF(AND(RegimeExecucao="Global",$I130&gt;0,COUNTIF($AB$13:$AM$13,BM.medicao)&gt;0),O130/$I130*100,0))</f>
        <v>0</v>
      </c>
      <c r="M130" s="335" cm="1">
        <f t="array" aca="1" ref="M130" ca="1">IF($A130="S",VTOTALBM,IF($A130=0,0,ROUND(SomaAgrupBM,15-13*ORÇAMENTO!$AF$11)))</f>
        <v>0</v>
      </c>
      <c r="N130" s="336">
        <f t="shared" ca="1" si="11"/>
        <v>0</v>
      </c>
      <c r="O130" s="125" cm="1">
        <f t="array" aca="1" ref="O130" ca="1">IF($A130="S",VTOTALBM,IF($A130=0,0,ROUND(SomaAgrupBM,15-13*ORÇAMENTO!$AF$11)))</f>
        <v>0</v>
      </c>
      <c r="Q130" s="337"/>
      <c r="R130" s="338"/>
      <c r="T130" s="117" t="str">
        <f t="shared" ca="1" si="12"/>
        <v/>
      </c>
      <c r="U130" s="163" t="str">
        <f t="shared" ca="1" si="13"/>
        <v/>
      </c>
      <c r="V130" s="164" t="str" cm="1">
        <f t="array" aca="1" ref="V130" ca="1">IF(AND($W130&gt;0,RegimeExecucao="Unitário"),$F130,"")</f>
        <v/>
      </c>
      <c r="W130" s="454" cm="1">
        <f t="array" aca="1" ref="W130" ca="1">IF($Y130&gt;0,CHOOSE(MATCH(RegimeExecucao,{"Unitário","Global"},0),IF($A130="S",$Y130/$X130,""),($Y130/$X130)*100),0)</f>
        <v>0</v>
      </c>
      <c r="X130" s="339" t="str" cm="1">
        <f t="array" aca="1" ref="X130" ca="1">IF($Y130&gt;0,CHOOSE(MATCH(RegimeExecucao,{"Unitário","Global"},0),IF($A130="S",ROUND($H130,ORÇAMENTO!$AF$10),""),ROUND($I130,ORÇAMENTO!$AF$11)),"")</f>
        <v/>
      </c>
      <c r="Y130" s="339">
        <f t="shared" ca="1" si="14"/>
        <v>0</v>
      </c>
      <c r="Z130" s="473"/>
      <c r="AB130" s="337"/>
      <c r="AC130" s="437"/>
      <c r="AD130" s="437"/>
      <c r="AE130" s="437"/>
      <c r="AF130" s="437"/>
      <c r="AG130" s="437"/>
      <c r="AH130" s="437"/>
      <c r="AI130" s="437"/>
      <c r="AJ130" s="437"/>
      <c r="AK130" s="437"/>
      <c r="AL130" s="437"/>
      <c r="AM130" s="338"/>
      <c r="AO130" s="670" cm="1">
        <f t="array" aca="1" ref="AO130" ca="1">IF($A130="S",IF(BM!$I130=0,0,CHOOSE(MATCH(RegimeExecucao,{"Global","Unitário"},0),ROUND(ROUND(BM.MEDAcumulado,15-13*BM!$A$9)/100*BM!$I130,15-13*ORÇAMENTO!$AF$11),ROUND(ROUND(BM.MEDAcumulado,15-13*BM!$A$9)*ROUND(BM!$H130,15-13*ORÇAMENTO!$AF$10),15-13*ORÇAMENTO!$AF$11))),IF($A130=0,0,ROUND(SomaAgrupBM,15-13*ORÇAMENTO!$AF$11)))</f>
        <v>0</v>
      </c>
    </row>
    <row r="131" spans="1:41" s="670" customFormat="1" ht="38.25" x14ac:dyDescent="0.2">
      <c r="A131" s="670" t="str">
        <f ca="1">ORÇAMENTO!C131</f>
        <v>S</v>
      </c>
      <c r="B131" s="670">
        <f ca="1">ORÇAMENTO!D131</f>
        <v>0</v>
      </c>
      <c r="C131" s="114" t="str">
        <f t="shared" ca="1" si="8"/>
        <v>F</v>
      </c>
      <c r="D131" s="117" t="str">
        <f ca="1">ORÇAMENTO!O131</f>
        <v>1.17.17.</v>
      </c>
      <c r="E131" s="163" t="str">
        <f t="shared" ca="1" si="9"/>
        <v>CABO DE COBRE FLEXÍVEL ISOLADO, 70 MM², 0,6/1,0 KV, PARA REDE AÉREA DE DISTRIBUIÇÃO DE ENERGIA ELÉTRICA DE BAIXA TENSÃO - FORNECIMENTO E INSTALAÇÃO. AF_12/2025</v>
      </c>
      <c r="F131" s="164" t="str" cm="1">
        <f t="array" aca="1" ref="F131" ca="1">IF(RegimeExecucao="Global","",ORÇAMENTO.Unidade)</f>
        <v>M</v>
      </c>
      <c r="G131" s="122" cm="1">
        <f t="array" aca="1" ref="G131" ca="1">IF(RegimeExecucao="Global","",ORÇAMENTO!T131)</f>
        <v>220</v>
      </c>
      <c r="H131" s="122" cm="1">
        <f t="array" aca="1" ref="H131" ca="1">IF(RegimeExecucao="Global","",ORÇAMENTO!W131)</f>
        <v>99.61</v>
      </c>
      <c r="I131" s="125">
        <f ca="1">ORÇAMENTO!X131</f>
        <v>21914.2</v>
      </c>
      <c r="J131" s="333" cm="1">
        <f t="array" aca="1" ref="J131" ca="1">IF($A131="S",IF(CAIXA.Modo,BM.AFAnterior,BM.MEDAnterior),IF(AND(RegimeExecucao="Global",$I131&gt;0,COUNTIF($AB$13:$AM$13,BM.medicao-1)&gt;0),M131/$I131*100,0))</f>
        <v>0</v>
      </c>
      <c r="K131" s="122">
        <f t="shared" ca="1" si="10"/>
        <v>0</v>
      </c>
      <c r="L131" s="334" cm="1">
        <f t="array" aca="1" ref="L131" ca="1">IF($A131="S",IF(CAIXA.Modo,BM.AFAcumulado,BM.MEDAcumulado),IF(AND(RegimeExecucao="Global",$I131&gt;0,COUNTIF($AB$13:$AM$13,BM.medicao)&gt;0),O131/$I131*100,0))</f>
        <v>0</v>
      </c>
      <c r="M131" s="335" cm="1">
        <f t="array" aca="1" ref="M131" ca="1">IF($A131="S",VTOTALBM,IF($A131=0,0,ROUND(SomaAgrupBM,15-13*ORÇAMENTO!$AF$11)))</f>
        <v>0</v>
      </c>
      <c r="N131" s="336">
        <f t="shared" ca="1" si="11"/>
        <v>0</v>
      </c>
      <c r="O131" s="125" cm="1">
        <f t="array" aca="1" ref="O131" ca="1">IF($A131="S",VTOTALBM,IF($A131=0,0,ROUND(SomaAgrupBM,15-13*ORÇAMENTO!$AF$11)))</f>
        <v>0</v>
      </c>
      <c r="Q131" s="337"/>
      <c r="R131" s="338"/>
      <c r="T131" s="117" t="str">
        <f t="shared" ca="1" si="12"/>
        <v/>
      </c>
      <c r="U131" s="163" t="str">
        <f t="shared" ca="1" si="13"/>
        <v/>
      </c>
      <c r="V131" s="164" t="str" cm="1">
        <f t="array" aca="1" ref="V131" ca="1">IF(AND($W131&gt;0,RegimeExecucao="Unitário"),$F131,"")</f>
        <v/>
      </c>
      <c r="W131" s="454" cm="1">
        <f t="array" aca="1" ref="W131" ca="1">IF($Y131&gt;0,CHOOSE(MATCH(RegimeExecucao,{"Unitário","Global"},0),IF($A131="S",$Y131/$X131,""),($Y131/$X131)*100),0)</f>
        <v>0</v>
      </c>
      <c r="X131" s="339" t="str" cm="1">
        <f t="array" aca="1" ref="X131" ca="1">IF($Y131&gt;0,CHOOSE(MATCH(RegimeExecucao,{"Unitário","Global"},0),IF($A131="S",ROUND($H131,ORÇAMENTO!$AF$10),""),ROUND($I131,ORÇAMENTO!$AF$11)),"")</f>
        <v/>
      </c>
      <c r="Y131" s="339">
        <f t="shared" ca="1" si="14"/>
        <v>0</v>
      </c>
      <c r="Z131" s="473"/>
      <c r="AB131" s="337"/>
      <c r="AC131" s="437"/>
      <c r="AD131" s="437"/>
      <c r="AE131" s="437"/>
      <c r="AF131" s="437"/>
      <c r="AG131" s="437"/>
      <c r="AH131" s="437"/>
      <c r="AI131" s="437"/>
      <c r="AJ131" s="437"/>
      <c r="AK131" s="437"/>
      <c r="AL131" s="437"/>
      <c r="AM131" s="338"/>
      <c r="AO131" s="670" cm="1">
        <f t="array" aca="1" ref="AO131" ca="1">IF($A131="S",IF(BM!$I131=0,0,CHOOSE(MATCH(RegimeExecucao,{"Global","Unitário"},0),ROUND(ROUND(BM.MEDAcumulado,15-13*BM!$A$9)/100*BM!$I131,15-13*ORÇAMENTO!$AF$11),ROUND(ROUND(BM.MEDAcumulado,15-13*BM!$A$9)*ROUND(BM!$H131,15-13*ORÇAMENTO!$AF$10),15-13*ORÇAMENTO!$AF$11))),IF($A131=0,0,ROUND(SomaAgrupBM,15-13*ORÇAMENTO!$AF$11)))</f>
        <v>0</v>
      </c>
    </row>
    <row r="132" spans="1:41" s="670" customFormat="1" ht="25.5" x14ac:dyDescent="0.2">
      <c r="A132" s="670" t="str">
        <f ca="1">ORÇAMENTO!C132</f>
        <v>S</v>
      </c>
      <c r="B132" s="670">
        <f ca="1">ORÇAMENTO!D132</f>
        <v>0</v>
      </c>
      <c r="C132" s="114" t="str">
        <f t="shared" ca="1" si="8"/>
        <v>F</v>
      </c>
      <c r="D132" s="117" t="str">
        <f ca="1">ORÇAMENTO!O132</f>
        <v>1.17.18.</v>
      </c>
      <c r="E132" s="163" t="str">
        <f t="shared" ca="1" si="9"/>
        <v>PLACA DE MONTAGEM PARA QUADROS EM GERAL, EM CHAPA DE AÇO</v>
      </c>
      <c r="F132" s="164" t="str" cm="1">
        <f t="array" aca="1" ref="F132" ca="1">IF(RegimeExecucao="Global","",ORÇAMENTO.Unidade)</f>
        <v>UNIDADE</v>
      </c>
      <c r="G132" s="122" cm="1">
        <f t="array" aca="1" ref="G132" ca="1">IF(RegimeExecucao="Global","",ORÇAMENTO!T132)</f>
        <v>2</v>
      </c>
      <c r="H132" s="122" cm="1">
        <f t="array" aca="1" ref="H132" ca="1">IF(RegimeExecucao="Global","",ORÇAMENTO!W132)</f>
        <v>553.29</v>
      </c>
      <c r="I132" s="125">
        <f ca="1">ORÇAMENTO!X132</f>
        <v>1106.58</v>
      </c>
      <c r="J132" s="333" cm="1">
        <f t="array" aca="1" ref="J132" ca="1">IF($A132="S",IF(CAIXA.Modo,BM.AFAnterior,BM.MEDAnterior),IF(AND(RegimeExecucao="Global",$I132&gt;0,COUNTIF($AB$13:$AM$13,BM.medicao-1)&gt;0),M132/$I132*100,0))</f>
        <v>0</v>
      </c>
      <c r="K132" s="122">
        <f t="shared" ca="1" si="10"/>
        <v>0</v>
      </c>
      <c r="L132" s="334" cm="1">
        <f t="array" aca="1" ref="L132" ca="1">IF($A132="S",IF(CAIXA.Modo,BM.AFAcumulado,BM.MEDAcumulado),IF(AND(RegimeExecucao="Global",$I132&gt;0,COUNTIF($AB$13:$AM$13,BM.medicao)&gt;0),O132/$I132*100,0))</f>
        <v>0</v>
      </c>
      <c r="M132" s="335" cm="1">
        <f t="array" aca="1" ref="M132" ca="1">IF($A132="S",VTOTALBM,IF($A132=0,0,ROUND(SomaAgrupBM,15-13*ORÇAMENTO!$AF$11)))</f>
        <v>0</v>
      </c>
      <c r="N132" s="336">
        <f t="shared" ca="1" si="11"/>
        <v>0</v>
      </c>
      <c r="O132" s="125" cm="1">
        <f t="array" aca="1" ref="O132" ca="1">IF($A132="S",VTOTALBM,IF($A132=0,0,ROUND(SomaAgrupBM,15-13*ORÇAMENTO!$AF$11)))</f>
        <v>0</v>
      </c>
      <c r="Q132" s="337"/>
      <c r="R132" s="338"/>
      <c r="T132" s="117" t="str">
        <f t="shared" ca="1" si="12"/>
        <v/>
      </c>
      <c r="U132" s="163" t="str">
        <f t="shared" ca="1" si="13"/>
        <v/>
      </c>
      <c r="V132" s="164" t="str" cm="1">
        <f t="array" aca="1" ref="V132" ca="1">IF(AND($W132&gt;0,RegimeExecucao="Unitário"),$F132,"")</f>
        <v/>
      </c>
      <c r="W132" s="454" cm="1">
        <f t="array" aca="1" ref="W132" ca="1">IF($Y132&gt;0,CHOOSE(MATCH(RegimeExecucao,{"Unitário","Global"},0),IF($A132="S",$Y132/$X132,""),($Y132/$X132)*100),0)</f>
        <v>0</v>
      </c>
      <c r="X132" s="339" t="str" cm="1">
        <f t="array" aca="1" ref="X132" ca="1">IF($Y132&gt;0,CHOOSE(MATCH(RegimeExecucao,{"Unitário","Global"},0),IF($A132="S",ROUND($H132,ORÇAMENTO!$AF$10),""),ROUND($I132,ORÇAMENTO!$AF$11)),"")</f>
        <v/>
      </c>
      <c r="Y132" s="339">
        <f t="shared" ca="1" si="14"/>
        <v>0</v>
      </c>
      <c r="Z132" s="473"/>
      <c r="AB132" s="337"/>
      <c r="AC132" s="437"/>
      <c r="AD132" s="437"/>
      <c r="AE132" s="437"/>
      <c r="AF132" s="437"/>
      <c r="AG132" s="437"/>
      <c r="AH132" s="437"/>
      <c r="AI132" s="437"/>
      <c r="AJ132" s="437"/>
      <c r="AK132" s="437"/>
      <c r="AL132" s="437"/>
      <c r="AM132" s="338"/>
      <c r="AO132" s="670" cm="1">
        <f t="array" aca="1" ref="AO132" ca="1">IF($A132="S",IF(BM!$I132=0,0,CHOOSE(MATCH(RegimeExecucao,{"Global","Unitário"},0),ROUND(ROUND(BM.MEDAcumulado,15-13*BM!$A$9)/100*BM!$I132,15-13*ORÇAMENTO!$AF$11),ROUND(ROUND(BM.MEDAcumulado,15-13*BM!$A$9)*ROUND(BM!$H132,15-13*ORÇAMENTO!$AF$10),15-13*ORÇAMENTO!$AF$11))),IF($A132=0,0,ROUND(SomaAgrupBM,15-13*ORÇAMENTO!$AF$11)))</f>
        <v>0</v>
      </c>
    </row>
    <row r="133" spans="1:41" s="670" customFormat="1" x14ac:dyDescent="0.2">
      <c r="A133" s="670" t="str">
        <f ca="1">ORÇAMENTO!C133</f>
        <v>S</v>
      </c>
      <c r="B133" s="670">
        <f ca="1">ORÇAMENTO!D133</f>
        <v>0</v>
      </c>
      <c r="C133" s="114" t="str">
        <f t="shared" ca="1" si="8"/>
        <v>F</v>
      </c>
      <c r="D133" s="117" t="str">
        <f ca="1">ORÇAMENTO!O133</f>
        <v>1.17.19.</v>
      </c>
      <c r="E133" s="163" t="str">
        <f t="shared" ca="1" si="9"/>
        <v>DISPOSITIVO SOFT STARTER PARA MOTOR 50 CV, TRIFÁSICO 220 V</v>
      </c>
      <c r="F133" s="164" t="str" cm="1">
        <f t="array" aca="1" ref="F133" ca="1">IF(RegimeExecucao="Global","",ORÇAMENTO.Unidade)</f>
        <v>UNIDADE</v>
      </c>
      <c r="G133" s="122" cm="1">
        <f t="array" aca="1" ref="G133" ca="1">IF(RegimeExecucao="Global","",ORÇAMENTO!T133)</f>
        <v>2</v>
      </c>
      <c r="H133" s="122" cm="1">
        <f t="array" aca="1" ref="H133" ca="1">IF(RegimeExecucao="Global","",ORÇAMENTO!W133)</f>
        <v>7086.13</v>
      </c>
      <c r="I133" s="125">
        <f ca="1">ORÇAMENTO!X133</f>
        <v>14172.26</v>
      </c>
      <c r="J133" s="333" cm="1">
        <f t="array" aca="1" ref="J133" ca="1">IF($A133="S",IF(CAIXA.Modo,BM.AFAnterior,BM.MEDAnterior),IF(AND(RegimeExecucao="Global",$I133&gt;0,COUNTIF($AB$13:$AM$13,BM.medicao-1)&gt;0),M133/$I133*100,0))</f>
        <v>0</v>
      </c>
      <c r="K133" s="122">
        <f t="shared" ca="1" si="10"/>
        <v>0</v>
      </c>
      <c r="L133" s="334" cm="1">
        <f t="array" aca="1" ref="L133" ca="1">IF($A133="S",IF(CAIXA.Modo,BM.AFAcumulado,BM.MEDAcumulado),IF(AND(RegimeExecucao="Global",$I133&gt;0,COUNTIF($AB$13:$AM$13,BM.medicao)&gt;0),O133/$I133*100,0))</f>
        <v>0</v>
      </c>
      <c r="M133" s="335" cm="1">
        <f t="array" aca="1" ref="M133" ca="1">IF($A133="S",VTOTALBM,IF($A133=0,0,ROUND(SomaAgrupBM,15-13*ORÇAMENTO!$AF$11)))</f>
        <v>0</v>
      </c>
      <c r="N133" s="336">
        <f t="shared" ca="1" si="11"/>
        <v>0</v>
      </c>
      <c r="O133" s="125" cm="1">
        <f t="array" aca="1" ref="O133" ca="1">IF($A133="S",VTOTALBM,IF($A133=0,0,ROUND(SomaAgrupBM,15-13*ORÇAMENTO!$AF$11)))</f>
        <v>0</v>
      </c>
      <c r="Q133" s="337"/>
      <c r="R133" s="338"/>
      <c r="T133" s="117" t="str">
        <f t="shared" ca="1" si="12"/>
        <v/>
      </c>
      <c r="U133" s="163" t="str">
        <f t="shared" ca="1" si="13"/>
        <v/>
      </c>
      <c r="V133" s="164" t="str" cm="1">
        <f t="array" aca="1" ref="V133" ca="1">IF(AND($W133&gt;0,RegimeExecucao="Unitário"),$F133,"")</f>
        <v/>
      </c>
      <c r="W133" s="454" cm="1">
        <f t="array" aca="1" ref="W133" ca="1">IF($Y133&gt;0,CHOOSE(MATCH(RegimeExecucao,{"Unitário","Global"},0),IF($A133="S",$Y133/$X133,""),($Y133/$X133)*100),0)</f>
        <v>0</v>
      </c>
      <c r="X133" s="339" t="str" cm="1">
        <f t="array" aca="1" ref="X133" ca="1">IF($Y133&gt;0,CHOOSE(MATCH(RegimeExecucao,{"Unitário","Global"},0),IF($A133="S",ROUND($H133,ORÇAMENTO!$AF$10),""),ROUND($I133,ORÇAMENTO!$AF$11)),"")</f>
        <v/>
      </c>
      <c r="Y133" s="339">
        <f t="shared" ca="1" si="14"/>
        <v>0</v>
      </c>
      <c r="Z133" s="473"/>
      <c r="AB133" s="337"/>
      <c r="AC133" s="437"/>
      <c r="AD133" s="437"/>
      <c r="AE133" s="437"/>
      <c r="AF133" s="437"/>
      <c r="AG133" s="437"/>
      <c r="AH133" s="437"/>
      <c r="AI133" s="437"/>
      <c r="AJ133" s="437"/>
      <c r="AK133" s="437"/>
      <c r="AL133" s="437"/>
      <c r="AM133" s="338"/>
      <c r="AO133" s="670" cm="1">
        <f t="array" aca="1" ref="AO133" ca="1">IF($A133="S",IF(BM!$I133=0,0,CHOOSE(MATCH(RegimeExecucao,{"Global","Unitário"},0),ROUND(ROUND(BM.MEDAcumulado,15-13*BM!$A$9)/100*BM!$I133,15-13*ORÇAMENTO!$AF$11),ROUND(ROUND(BM.MEDAcumulado,15-13*BM!$A$9)*ROUND(BM!$H133,15-13*ORÇAMENTO!$AF$10),15-13*ORÇAMENTO!$AF$11))),IF($A133=0,0,ROUND(SomaAgrupBM,15-13*ORÇAMENTO!$AF$11)))</f>
        <v>0</v>
      </c>
    </row>
    <row r="134" spans="1:41" s="670" customFormat="1" x14ac:dyDescent="0.2">
      <c r="A134" s="670" t="str">
        <f ca="1">ORÇAMENTO!C134</f>
        <v>S</v>
      </c>
      <c r="B134" s="670">
        <f ca="1">ORÇAMENTO!D134</f>
        <v>0</v>
      </c>
      <c r="C134" s="114" t="str">
        <f t="shared" ca="1" si="8"/>
        <v>F</v>
      </c>
      <c r="D134" s="117" t="str">
        <f ca="1">ORÇAMENTO!O134</f>
        <v>1.17.20.</v>
      </c>
      <c r="E134" s="163" t="str">
        <f t="shared" ca="1" si="9"/>
        <v>FUSÍVEL TIPO NH 2 DE 224 A ATÉ 400 A</v>
      </c>
      <c r="F134" s="164" t="str" cm="1">
        <f t="array" aca="1" ref="F134" ca="1">IF(RegimeExecucao="Global","",ORÇAMENTO.Unidade)</f>
        <v>UNIDADE</v>
      </c>
      <c r="G134" s="122" cm="1">
        <f t="array" aca="1" ref="G134" ca="1">IF(RegimeExecucao="Global","",ORÇAMENTO!T134)</f>
        <v>2</v>
      </c>
      <c r="H134" s="122" cm="1">
        <f t="array" aca="1" ref="H134" ca="1">IF(RegimeExecucao="Global","",ORÇAMENTO!W134)</f>
        <v>149.66</v>
      </c>
      <c r="I134" s="125">
        <f ca="1">ORÇAMENTO!X134</f>
        <v>299.32</v>
      </c>
      <c r="J134" s="333" cm="1">
        <f t="array" aca="1" ref="J134" ca="1">IF($A134="S",IF(CAIXA.Modo,BM.AFAnterior,BM.MEDAnterior),IF(AND(RegimeExecucao="Global",$I134&gt;0,COUNTIF($AB$13:$AM$13,BM.medicao-1)&gt;0),M134/$I134*100,0))</f>
        <v>0</v>
      </c>
      <c r="K134" s="122">
        <f t="shared" ca="1" si="10"/>
        <v>0</v>
      </c>
      <c r="L134" s="334" cm="1">
        <f t="array" aca="1" ref="L134" ca="1">IF($A134="S",IF(CAIXA.Modo,BM.AFAcumulado,BM.MEDAcumulado),IF(AND(RegimeExecucao="Global",$I134&gt;0,COUNTIF($AB$13:$AM$13,BM.medicao)&gt;0),O134/$I134*100,0))</f>
        <v>0</v>
      </c>
      <c r="M134" s="335" cm="1">
        <f t="array" aca="1" ref="M134" ca="1">IF($A134="S",VTOTALBM,IF($A134=0,0,ROUND(SomaAgrupBM,15-13*ORÇAMENTO!$AF$11)))</f>
        <v>0</v>
      </c>
      <c r="N134" s="336">
        <f t="shared" ca="1" si="11"/>
        <v>0</v>
      </c>
      <c r="O134" s="125" cm="1">
        <f t="array" aca="1" ref="O134" ca="1">IF($A134="S",VTOTALBM,IF($A134=0,0,ROUND(SomaAgrupBM,15-13*ORÇAMENTO!$AF$11)))</f>
        <v>0</v>
      </c>
      <c r="Q134" s="337"/>
      <c r="R134" s="338"/>
      <c r="T134" s="117" t="str">
        <f t="shared" ca="1" si="12"/>
        <v/>
      </c>
      <c r="U134" s="163" t="str">
        <f t="shared" ca="1" si="13"/>
        <v/>
      </c>
      <c r="V134" s="164" t="str" cm="1">
        <f t="array" aca="1" ref="V134" ca="1">IF(AND($W134&gt;0,RegimeExecucao="Unitário"),$F134,"")</f>
        <v/>
      </c>
      <c r="W134" s="454" cm="1">
        <f t="array" aca="1" ref="W134" ca="1">IF($Y134&gt;0,CHOOSE(MATCH(RegimeExecucao,{"Unitário","Global"},0),IF($A134="S",$Y134/$X134,""),($Y134/$X134)*100),0)</f>
        <v>0</v>
      </c>
      <c r="X134" s="339" t="str" cm="1">
        <f t="array" aca="1" ref="X134" ca="1">IF($Y134&gt;0,CHOOSE(MATCH(RegimeExecucao,{"Unitário","Global"},0),IF($A134="S",ROUND($H134,ORÇAMENTO!$AF$10),""),ROUND($I134,ORÇAMENTO!$AF$11)),"")</f>
        <v/>
      </c>
      <c r="Y134" s="339">
        <f t="shared" ca="1" si="14"/>
        <v>0</v>
      </c>
      <c r="Z134" s="473"/>
      <c r="AB134" s="337"/>
      <c r="AC134" s="437"/>
      <c r="AD134" s="437"/>
      <c r="AE134" s="437"/>
      <c r="AF134" s="437"/>
      <c r="AG134" s="437"/>
      <c r="AH134" s="437"/>
      <c r="AI134" s="437"/>
      <c r="AJ134" s="437"/>
      <c r="AK134" s="437"/>
      <c r="AL134" s="437"/>
      <c r="AM134" s="338"/>
      <c r="AO134" s="670" cm="1">
        <f t="array" aca="1" ref="AO134" ca="1">IF($A134="S",IF(BM!$I134=0,0,CHOOSE(MATCH(RegimeExecucao,{"Global","Unitário"},0),ROUND(ROUND(BM.MEDAcumulado,15-13*BM!$A$9)/100*BM!$I134,15-13*ORÇAMENTO!$AF$11),ROUND(ROUND(BM.MEDAcumulado,15-13*BM!$A$9)*ROUND(BM!$H134,15-13*ORÇAMENTO!$AF$10),15-13*ORÇAMENTO!$AF$11))),IF($A134=0,0,ROUND(SomaAgrupBM,15-13*ORÇAMENTO!$AF$11)))</f>
        <v>0</v>
      </c>
    </row>
    <row r="135" spans="1:41" s="670" customFormat="1" ht="51" x14ac:dyDescent="0.2">
      <c r="A135" s="670" t="str">
        <f ca="1">ORÇAMENTO!C135</f>
        <v>S</v>
      </c>
      <c r="B135" s="670">
        <f ca="1">ORÇAMENTO!D135</f>
        <v>0</v>
      </c>
      <c r="C135" s="114" t="str">
        <f t="shared" ca="1" si="8"/>
        <v>F</v>
      </c>
      <c r="D135" s="117" t="str">
        <f ca="1">ORÇAMENTO!O135</f>
        <v>1.17.21.</v>
      </c>
      <c r="E135" s="163" t="str">
        <f t="shared" ca="1" si="9"/>
        <v>QUADRO DE DISTRIBUIÇÃO DE ENERGIA EM CHAPA DE AÇO GALVANIZADO, DE EMBUTIR, COM BARRAMENTO TRIFÁSICO, PARA 18 DISJUNTORES DIN 100A - FORNECIMENTO E INSTALAÇÃO. AF_07/2025</v>
      </c>
      <c r="F135" s="164" t="str" cm="1">
        <f t="array" aca="1" ref="F135" ca="1">IF(RegimeExecucao="Global","",ORÇAMENTO.Unidade)</f>
        <v>UN</v>
      </c>
      <c r="G135" s="122" cm="1">
        <f t="array" aca="1" ref="G135" ca="1">IF(RegimeExecucao="Global","",ORÇAMENTO!T135)</f>
        <v>2</v>
      </c>
      <c r="H135" s="122" cm="1">
        <f t="array" aca="1" ref="H135" ca="1">IF(RegimeExecucao="Global","",ORÇAMENTO!W135)</f>
        <v>743.86</v>
      </c>
      <c r="I135" s="125">
        <f ca="1">ORÇAMENTO!X135</f>
        <v>1487.72</v>
      </c>
      <c r="J135" s="333" cm="1">
        <f t="array" aca="1" ref="J135" ca="1">IF($A135="S",IF(CAIXA.Modo,BM.AFAnterior,BM.MEDAnterior),IF(AND(RegimeExecucao="Global",$I135&gt;0,COUNTIF($AB$13:$AM$13,BM.medicao-1)&gt;0),M135/$I135*100,0))</f>
        <v>0</v>
      </c>
      <c r="K135" s="122">
        <f t="shared" ca="1" si="10"/>
        <v>0</v>
      </c>
      <c r="L135" s="334" cm="1">
        <f t="array" aca="1" ref="L135" ca="1">IF($A135="S",IF(CAIXA.Modo,BM.AFAcumulado,BM.MEDAcumulado),IF(AND(RegimeExecucao="Global",$I135&gt;0,COUNTIF($AB$13:$AM$13,BM.medicao)&gt;0),O135/$I135*100,0))</f>
        <v>0</v>
      </c>
      <c r="M135" s="335" cm="1">
        <f t="array" aca="1" ref="M135" ca="1">IF($A135="S",VTOTALBM,IF($A135=0,0,ROUND(SomaAgrupBM,15-13*ORÇAMENTO!$AF$11)))</f>
        <v>0</v>
      </c>
      <c r="N135" s="336">
        <f t="shared" ca="1" si="11"/>
        <v>0</v>
      </c>
      <c r="O135" s="125" cm="1">
        <f t="array" aca="1" ref="O135" ca="1">IF($A135="S",VTOTALBM,IF($A135=0,0,ROUND(SomaAgrupBM,15-13*ORÇAMENTO!$AF$11)))</f>
        <v>0</v>
      </c>
      <c r="Q135" s="337"/>
      <c r="R135" s="338"/>
      <c r="T135" s="117" t="str">
        <f t="shared" ca="1" si="12"/>
        <v/>
      </c>
      <c r="U135" s="163" t="str">
        <f t="shared" ca="1" si="13"/>
        <v/>
      </c>
      <c r="V135" s="164" t="str" cm="1">
        <f t="array" aca="1" ref="V135" ca="1">IF(AND($W135&gt;0,RegimeExecucao="Unitário"),$F135,"")</f>
        <v/>
      </c>
      <c r="W135" s="454" cm="1">
        <f t="array" aca="1" ref="W135" ca="1">IF($Y135&gt;0,CHOOSE(MATCH(RegimeExecucao,{"Unitário","Global"},0),IF($A135="S",$Y135/$X135,""),($Y135/$X135)*100),0)</f>
        <v>0</v>
      </c>
      <c r="X135" s="339" t="str" cm="1">
        <f t="array" aca="1" ref="X135" ca="1">IF($Y135&gt;0,CHOOSE(MATCH(RegimeExecucao,{"Unitário","Global"},0),IF($A135="S",ROUND($H135,ORÇAMENTO!$AF$10),""),ROUND($I135,ORÇAMENTO!$AF$11)),"")</f>
        <v/>
      </c>
      <c r="Y135" s="339">
        <f t="shared" ca="1" si="14"/>
        <v>0</v>
      </c>
      <c r="Z135" s="473"/>
      <c r="AB135" s="337"/>
      <c r="AC135" s="437"/>
      <c r="AD135" s="437"/>
      <c r="AE135" s="437"/>
      <c r="AF135" s="437"/>
      <c r="AG135" s="437"/>
      <c r="AH135" s="437"/>
      <c r="AI135" s="437"/>
      <c r="AJ135" s="437"/>
      <c r="AK135" s="437"/>
      <c r="AL135" s="437"/>
      <c r="AM135" s="338"/>
      <c r="AO135" s="670" cm="1">
        <f t="array" aca="1" ref="AO135" ca="1">IF($A135="S",IF(BM!$I135=0,0,CHOOSE(MATCH(RegimeExecucao,{"Global","Unitário"},0),ROUND(ROUND(BM.MEDAcumulado,15-13*BM!$A$9)/100*BM!$I135,15-13*ORÇAMENTO!$AF$11),ROUND(ROUND(BM.MEDAcumulado,15-13*BM!$A$9)*ROUND(BM!$H135,15-13*ORÇAMENTO!$AF$10),15-13*ORÇAMENTO!$AF$11))),IF($A135=0,0,ROUND(SomaAgrupBM,15-13*ORÇAMENTO!$AF$11)))</f>
        <v>0</v>
      </c>
    </row>
    <row r="136" spans="1:41" s="670" customFormat="1" x14ac:dyDescent="0.2">
      <c r="A136" s="670" t="str">
        <f ca="1">ORÇAMENTO!C136</f>
        <v>S</v>
      </c>
      <c r="B136" s="670">
        <f ca="1">ORÇAMENTO!D136</f>
        <v>0</v>
      </c>
      <c r="C136" s="114" t="str">
        <f t="shared" ca="1" si="8"/>
        <v>F</v>
      </c>
      <c r="D136" s="117" t="str">
        <f ca="1">ORÇAMENTO!O136</f>
        <v>1.17.22.</v>
      </c>
      <c r="E136" s="163" t="str">
        <f t="shared" ca="1" si="9"/>
        <v>DISPOSITIVO DE PROTEÇÃO CONTRA SURTOS 275V - 15KA</v>
      </c>
      <c r="F136" s="164" t="str" cm="1">
        <f t="array" aca="1" ref="F136" ca="1">IF(RegimeExecucao="Global","",ORÇAMENTO.Unidade)</f>
        <v>UNIDADE</v>
      </c>
      <c r="G136" s="122" cm="1">
        <f t="array" aca="1" ref="G136" ca="1">IF(RegimeExecucao="Global","",ORÇAMENTO!T136)</f>
        <v>6</v>
      </c>
      <c r="H136" s="122" cm="1">
        <f t="array" aca="1" ref="H136" ca="1">IF(RegimeExecucao="Global","",ORÇAMENTO!W136)</f>
        <v>82.26</v>
      </c>
      <c r="I136" s="125">
        <f ca="1">ORÇAMENTO!X136</f>
        <v>493.56</v>
      </c>
      <c r="J136" s="333" cm="1">
        <f t="array" aca="1" ref="J136" ca="1">IF($A136="S",IF(CAIXA.Modo,BM.AFAnterior,BM.MEDAnterior),IF(AND(RegimeExecucao="Global",$I136&gt;0,COUNTIF($AB$13:$AM$13,BM.medicao-1)&gt;0),M136/$I136*100,0))</f>
        <v>0</v>
      </c>
      <c r="K136" s="122">
        <f t="shared" ca="1" si="10"/>
        <v>0</v>
      </c>
      <c r="L136" s="334" cm="1">
        <f t="array" aca="1" ref="L136" ca="1">IF($A136="S",IF(CAIXA.Modo,BM.AFAcumulado,BM.MEDAcumulado),IF(AND(RegimeExecucao="Global",$I136&gt;0,COUNTIF($AB$13:$AM$13,BM.medicao)&gt;0),O136/$I136*100,0))</f>
        <v>0</v>
      </c>
      <c r="M136" s="335" cm="1">
        <f t="array" aca="1" ref="M136" ca="1">IF($A136="S",VTOTALBM,IF($A136=0,0,ROUND(SomaAgrupBM,15-13*ORÇAMENTO!$AF$11)))</f>
        <v>0</v>
      </c>
      <c r="N136" s="336">
        <f t="shared" ca="1" si="11"/>
        <v>0</v>
      </c>
      <c r="O136" s="125" cm="1">
        <f t="array" aca="1" ref="O136" ca="1">IF($A136="S",VTOTALBM,IF($A136=0,0,ROUND(SomaAgrupBM,15-13*ORÇAMENTO!$AF$11)))</f>
        <v>0</v>
      </c>
      <c r="Q136" s="337"/>
      <c r="R136" s="338"/>
      <c r="T136" s="117" t="str">
        <f t="shared" ca="1" si="12"/>
        <v/>
      </c>
      <c r="U136" s="163" t="str">
        <f t="shared" ca="1" si="13"/>
        <v/>
      </c>
      <c r="V136" s="164" t="str" cm="1">
        <f t="array" aca="1" ref="V136" ca="1">IF(AND($W136&gt;0,RegimeExecucao="Unitário"),$F136,"")</f>
        <v/>
      </c>
      <c r="W136" s="454" cm="1">
        <f t="array" aca="1" ref="W136" ca="1">IF($Y136&gt;0,CHOOSE(MATCH(RegimeExecucao,{"Unitário","Global"},0),IF($A136="S",$Y136/$X136,""),($Y136/$X136)*100),0)</f>
        <v>0</v>
      </c>
      <c r="X136" s="339" t="str" cm="1">
        <f t="array" aca="1" ref="X136" ca="1">IF($Y136&gt;0,CHOOSE(MATCH(RegimeExecucao,{"Unitário","Global"},0),IF($A136="S",ROUND($H136,ORÇAMENTO!$AF$10),""),ROUND($I136,ORÇAMENTO!$AF$11)),"")</f>
        <v/>
      </c>
      <c r="Y136" s="339">
        <f t="shared" ca="1" si="14"/>
        <v>0</v>
      </c>
      <c r="Z136" s="473"/>
      <c r="AB136" s="337"/>
      <c r="AC136" s="437"/>
      <c r="AD136" s="437"/>
      <c r="AE136" s="437"/>
      <c r="AF136" s="437"/>
      <c r="AG136" s="437"/>
      <c r="AH136" s="437"/>
      <c r="AI136" s="437"/>
      <c r="AJ136" s="437"/>
      <c r="AK136" s="437"/>
      <c r="AL136" s="437"/>
      <c r="AM136" s="338"/>
      <c r="AO136" s="670" cm="1">
        <f t="array" aca="1" ref="AO136" ca="1">IF($A136="S",IF(BM!$I136=0,0,CHOOSE(MATCH(RegimeExecucao,{"Global","Unitário"},0),ROUND(ROUND(BM.MEDAcumulado,15-13*BM!$A$9)/100*BM!$I136,15-13*ORÇAMENTO!$AF$11),ROUND(ROUND(BM.MEDAcumulado,15-13*BM!$A$9)*ROUND(BM!$H136,15-13*ORÇAMENTO!$AF$10),15-13*ORÇAMENTO!$AF$11))),IF($A136=0,0,ROUND(SomaAgrupBM,15-13*ORÇAMENTO!$AF$11)))</f>
        <v>0</v>
      </c>
    </row>
    <row r="137" spans="1:41" s="670" customFormat="1" ht="25.5" x14ac:dyDescent="0.2">
      <c r="A137" s="670" t="str">
        <f ca="1">ORÇAMENTO!C137</f>
        <v>S</v>
      </c>
      <c r="B137" s="670">
        <f ca="1">ORÇAMENTO!D137</f>
        <v>0</v>
      </c>
      <c r="C137" s="114" t="str">
        <f t="shared" ca="1" si="8"/>
        <v>F</v>
      </c>
      <c r="D137" s="117" t="str">
        <f ca="1">ORÇAMENTO!O137</f>
        <v>1.17.23.</v>
      </c>
      <c r="E137" s="163" t="str">
        <f t="shared" ca="1" si="9"/>
        <v>Disjuntor termomagnetico tripolar  63 A, padrão DIN (Europeu - linha branca),curva C</v>
      </c>
      <c r="F137" s="164" t="str" cm="1">
        <f t="array" aca="1" ref="F137" ca="1">IF(RegimeExecucao="Global","",ORÇAMENTO.Unidade)</f>
        <v>UNIDADE</v>
      </c>
      <c r="G137" s="122" cm="1">
        <f t="array" aca="1" ref="G137" ca="1">IF(RegimeExecucao="Global","",ORÇAMENTO!T137)</f>
        <v>1</v>
      </c>
      <c r="H137" s="122" cm="1">
        <f t="array" aca="1" ref="H137" ca="1">IF(RegimeExecucao="Global","",ORÇAMENTO!W137)</f>
        <v>141.87</v>
      </c>
      <c r="I137" s="125">
        <f ca="1">ORÇAMENTO!X137</f>
        <v>141.87</v>
      </c>
      <c r="J137" s="333" cm="1">
        <f t="array" aca="1" ref="J137" ca="1">IF($A137="S",IF(CAIXA.Modo,BM.AFAnterior,BM.MEDAnterior),IF(AND(RegimeExecucao="Global",$I137&gt;0,COUNTIF($AB$13:$AM$13,BM.medicao-1)&gt;0),M137/$I137*100,0))</f>
        <v>0</v>
      </c>
      <c r="K137" s="122">
        <f t="shared" ca="1" si="10"/>
        <v>0</v>
      </c>
      <c r="L137" s="334" cm="1">
        <f t="array" aca="1" ref="L137" ca="1">IF($A137="S",IF(CAIXA.Modo,BM.AFAcumulado,BM.MEDAcumulado),IF(AND(RegimeExecucao="Global",$I137&gt;0,COUNTIF($AB$13:$AM$13,BM.medicao)&gt;0),O137/$I137*100,0))</f>
        <v>0</v>
      </c>
      <c r="M137" s="335" cm="1">
        <f t="array" aca="1" ref="M137" ca="1">IF($A137="S",VTOTALBM,IF($A137=0,0,ROUND(SomaAgrupBM,15-13*ORÇAMENTO!$AF$11)))</f>
        <v>0</v>
      </c>
      <c r="N137" s="336">
        <f t="shared" ca="1" si="11"/>
        <v>0</v>
      </c>
      <c r="O137" s="125" cm="1">
        <f t="array" aca="1" ref="O137" ca="1">IF($A137="S",VTOTALBM,IF($A137=0,0,ROUND(SomaAgrupBM,15-13*ORÇAMENTO!$AF$11)))</f>
        <v>0</v>
      </c>
      <c r="Q137" s="337"/>
      <c r="R137" s="338"/>
      <c r="T137" s="117" t="str">
        <f t="shared" ca="1" si="12"/>
        <v/>
      </c>
      <c r="U137" s="163" t="str">
        <f t="shared" ca="1" si="13"/>
        <v/>
      </c>
      <c r="V137" s="164" t="str" cm="1">
        <f t="array" aca="1" ref="V137" ca="1">IF(AND($W137&gt;0,RegimeExecucao="Unitário"),$F137,"")</f>
        <v/>
      </c>
      <c r="W137" s="454" cm="1">
        <f t="array" aca="1" ref="W137" ca="1">IF($Y137&gt;0,CHOOSE(MATCH(RegimeExecucao,{"Unitário","Global"},0),IF($A137="S",$Y137/$X137,""),($Y137/$X137)*100),0)</f>
        <v>0</v>
      </c>
      <c r="X137" s="339" t="str" cm="1">
        <f t="array" aca="1" ref="X137" ca="1">IF($Y137&gt;0,CHOOSE(MATCH(RegimeExecucao,{"Unitário","Global"},0),IF($A137="S",ROUND($H137,ORÇAMENTO!$AF$10),""),ROUND($I137,ORÇAMENTO!$AF$11)),"")</f>
        <v/>
      </c>
      <c r="Y137" s="339">
        <f t="shared" ca="1" si="14"/>
        <v>0</v>
      </c>
      <c r="Z137" s="473"/>
      <c r="AB137" s="337"/>
      <c r="AC137" s="437"/>
      <c r="AD137" s="437"/>
      <c r="AE137" s="437"/>
      <c r="AF137" s="437"/>
      <c r="AG137" s="437"/>
      <c r="AH137" s="437"/>
      <c r="AI137" s="437"/>
      <c r="AJ137" s="437"/>
      <c r="AK137" s="437"/>
      <c r="AL137" s="437"/>
      <c r="AM137" s="338"/>
      <c r="AO137" s="670" cm="1">
        <f t="array" aca="1" ref="AO137" ca="1">IF($A137="S",IF(BM!$I137=0,0,CHOOSE(MATCH(RegimeExecucao,{"Global","Unitário"},0),ROUND(ROUND(BM.MEDAcumulado,15-13*BM!$A$9)/100*BM!$I137,15-13*ORÇAMENTO!$AF$11),ROUND(ROUND(BM.MEDAcumulado,15-13*BM!$A$9)*ROUND(BM!$H137,15-13*ORÇAMENTO!$AF$10),15-13*ORÇAMENTO!$AF$11))),IF($A137=0,0,ROUND(SomaAgrupBM,15-13*ORÇAMENTO!$AF$11)))</f>
        <v>0</v>
      </c>
    </row>
    <row r="138" spans="1:41" s="670" customFormat="1" ht="25.5" x14ac:dyDescent="0.2">
      <c r="A138" s="670" t="str">
        <f ca="1">ORÇAMENTO!C138</f>
        <v>S</v>
      </c>
      <c r="B138" s="670">
        <f ca="1">ORÇAMENTO!D138</f>
        <v>0</v>
      </c>
      <c r="C138" s="114" t="str">
        <f t="shared" ca="1" si="8"/>
        <v>F</v>
      </c>
      <c r="D138" s="117" t="str">
        <f ca="1">ORÇAMENTO!O138</f>
        <v>1.17.24.</v>
      </c>
      <c r="E138" s="163" t="str">
        <f t="shared" ca="1" si="9"/>
        <v>Disjuntor termomagnetico tripolar 125 A, padrão DIN (Europeu - linha branca),10KA</v>
      </c>
      <c r="F138" s="164" t="str" cm="1">
        <f t="array" aca="1" ref="F138" ca="1">IF(RegimeExecucao="Global","",ORÇAMENTO.Unidade)</f>
        <v>UNIDADE</v>
      </c>
      <c r="G138" s="122" cm="1">
        <f t="array" aca="1" ref="G138" ca="1">IF(RegimeExecucao="Global","",ORÇAMENTO!T138)</f>
        <v>1</v>
      </c>
      <c r="H138" s="122" cm="1">
        <f t="array" aca="1" ref="H138" ca="1">IF(RegimeExecucao="Global","",ORÇAMENTO!W138)</f>
        <v>509.57</v>
      </c>
      <c r="I138" s="125">
        <f ca="1">ORÇAMENTO!X138</f>
        <v>509.57</v>
      </c>
      <c r="J138" s="333" cm="1">
        <f t="array" aca="1" ref="J138" ca="1">IF($A138="S",IF(CAIXA.Modo,BM.AFAnterior,BM.MEDAnterior),IF(AND(RegimeExecucao="Global",$I138&gt;0,COUNTIF($AB$13:$AM$13,BM.medicao-1)&gt;0),M138/$I138*100,0))</f>
        <v>0</v>
      </c>
      <c r="K138" s="122">
        <f t="shared" ca="1" si="10"/>
        <v>0</v>
      </c>
      <c r="L138" s="334" cm="1">
        <f t="array" aca="1" ref="L138" ca="1">IF($A138="S",IF(CAIXA.Modo,BM.AFAcumulado,BM.MEDAcumulado),IF(AND(RegimeExecucao="Global",$I138&gt;0,COUNTIF($AB$13:$AM$13,BM.medicao)&gt;0),O138/$I138*100,0))</f>
        <v>0</v>
      </c>
      <c r="M138" s="335" cm="1">
        <f t="array" aca="1" ref="M138" ca="1">IF($A138="S",VTOTALBM,IF($A138=0,0,ROUND(SomaAgrupBM,15-13*ORÇAMENTO!$AF$11)))</f>
        <v>0</v>
      </c>
      <c r="N138" s="336">
        <f t="shared" ca="1" si="11"/>
        <v>0</v>
      </c>
      <c r="O138" s="125" cm="1">
        <f t="array" aca="1" ref="O138" ca="1">IF($A138="S",VTOTALBM,IF($A138=0,0,ROUND(SomaAgrupBM,15-13*ORÇAMENTO!$AF$11)))</f>
        <v>0</v>
      </c>
      <c r="Q138" s="337"/>
      <c r="R138" s="338"/>
      <c r="T138" s="117" t="str">
        <f t="shared" ca="1" si="12"/>
        <v/>
      </c>
      <c r="U138" s="163" t="str">
        <f t="shared" ca="1" si="13"/>
        <v/>
      </c>
      <c r="V138" s="164" t="str" cm="1">
        <f t="array" aca="1" ref="V138" ca="1">IF(AND($W138&gt;0,RegimeExecucao="Unitário"),$F138,"")</f>
        <v/>
      </c>
      <c r="W138" s="454" cm="1">
        <f t="array" aca="1" ref="W138" ca="1">IF($Y138&gt;0,CHOOSE(MATCH(RegimeExecucao,{"Unitário","Global"},0),IF($A138="S",$Y138/$X138,""),($Y138/$X138)*100),0)</f>
        <v>0</v>
      </c>
      <c r="X138" s="339" t="str" cm="1">
        <f t="array" aca="1" ref="X138" ca="1">IF($Y138&gt;0,CHOOSE(MATCH(RegimeExecucao,{"Unitário","Global"},0),IF($A138="S",ROUND($H138,ORÇAMENTO!$AF$10),""),ROUND($I138,ORÇAMENTO!$AF$11)),"")</f>
        <v/>
      </c>
      <c r="Y138" s="339">
        <f t="shared" ca="1" si="14"/>
        <v>0</v>
      </c>
      <c r="Z138" s="473"/>
      <c r="AB138" s="337"/>
      <c r="AC138" s="437"/>
      <c r="AD138" s="437"/>
      <c r="AE138" s="437"/>
      <c r="AF138" s="437"/>
      <c r="AG138" s="437"/>
      <c r="AH138" s="437"/>
      <c r="AI138" s="437"/>
      <c r="AJ138" s="437"/>
      <c r="AK138" s="437"/>
      <c r="AL138" s="437"/>
      <c r="AM138" s="338"/>
      <c r="AO138" s="670" cm="1">
        <f t="array" aca="1" ref="AO138" ca="1">IF($A138="S",IF(BM!$I138=0,0,CHOOSE(MATCH(RegimeExecucao,{"Global","Unitário"},0),ROUND(ROUND(BM.MEDAcumulado,15-13*BM!$A$9)/100*BM!$I138,15-13*ORÇAMENTO!$AF$11),ROUND(ROUND(BM.MEDAcumulado,15-13*BM!$A$9)*ROUND(BM!$H138,15-13*ORÇAMENTO!$AF$10),15-13*ORÇAMENTO!$AF$11))),IF($A138=0,0,ROUND(SomaAgrupBM,15-13*ORÇAMENTO!$AF$11)))</f>
        <v>0</v>
      </c>
    </row>
    <row r="139" spans="1:41" s="670" customFormat="1" ht="25.5" x14ac:dyDescent="0.2">
      <c r="A139" s="670" t="str">
        <f ca="1">ORÇAMENTO!C139</f>
        <v>S</v>
      </c>
      <c r="B139" s="670">
        <f ca="1">ORÇAMENTO!D139</f>
        <v>0</v>
      </c>
      <c r="C139" s="114" t="str">
        <f t="shared" ca="1" si="8"/>
        <v>F</v>
      </c>
      <c r="D139" s="117" t="str">
        <f ca="1">ORÇAMENTO!O139</f>
        <v>1.17.25.</v>
      </c>
      <c r="E139" s="163" t="str">
        <f t="shared" ca="1" si="9"/>
        <v>Disjuntor termomagnetico tripolar 175 A, padrão DIN (Europeu - linha branca),10KA</v>
      </c>
      <c r="F139" s="164" t="str" cm="1">
        <f t="array" aca="1" ref="F139" ca="1">IF(RegimeExecucao="Global","",ORÇAMENTO.Unidade)</f>
        <v>UNIDADE</v>
      </c>
      <c r="G139" s="122" cm="1">
        <f t="array" aca="1" ref="G139" ca="1">IF(RegimeExecucao="Global","",ORÇAMENTO!T139)</f>
        <v>1</v>
      </c>
      <c r="H139" s="122" cm="1">
        <f t="array" aca="1" ref="H139" ca="1">IF(RegimeExecucao="Global","",ORÇAMENTO!W139)</f>
        <v>257.54000000000002</v>
      </c>
      <c r="I139" s="125">
        <f ca="1">ORÇAMENTO!X139</f>
        <v>257.54000000000002</v>
      </c>
      <c r="J139" s="333" cm="1">
        <f t="array" aca="1" ref="J139" ca="1">IF($A139="S",IF(CAIXA.Modo,BM.AFAnterior,BM.MEDAnterior),IF(AND(RegimeExecucao="Global",$I139&gt;0,COUNTIF($AB$13:$AM$13,BM.medicao-1)&gt;0),M139/$I139*100,0))</f>
        <v>0</v>
      </c>
      <c r="K139" s="122">
        <f t="shared" ca="1" si="10"/>
        <v>0</v>
      </c>
      <c r="L139" s="334" cm="1">
        <f t="array" aca="1" ref="L139" ca="1">IF($A139="S",IF(CAIXA.Modo,BM.AFAcumulado,BM.MEDAcumulado),IF(AND(RegimeExecucao="Global",$I139&gt;0,COUNTIF($AB$13:$AM$13,BM.medicao)&gt;0),O139/$I139*100,0))</f>
        <v>0</v>
      </c>
      <c r="M139" s="335" cm="1">
        <f t="array" aca="1" ref="M139" ca="1">IF($A139="S",VTOTALBM,IF($A139=0,0,ROUND(SomaAgrupBM,15-13*ORÇAMENTO!$AF$11)))</f>
        <v>0</v>
      </c>
      <c r="N139" s="336">
        <f t="shared" ca="1" si="11"/>
        <v>0</v>
      </c>
      <c r="O139" s="125" cm="1">
        <f t="array" aca="1" ref="O139" ca="1">IF($A139="S",VTOTALBM,IF($A139=0,0,ROUND(SomaAgrupBM,15-13*ORÇAMENTO!$AF$11)))</f>
        <v>0</v>
      </c>
      <c r="Q139" s="337"/>
      <c r="R139" s="338"/>
      <c r="T139" s="117" t="str">
        <f t="shared" ca="1" si="12"/>
        <v/>
      </c>
      <c r="U139" s="163" t="str">
        <f t="shared" ca="1" si="13"/>
        <v/>
      </c>
      <c r="V139" s="164" t="str" cm="1">
        <f t="array" aca="1" ref="V139" ca="1">IF(AND($W139&gt;0,RegimeExecucao="Unitário"),$F139,"")</f>
        <v/>
      </c>
      <c r="W139" s="454" cm="1">
        <f t="array" aca="1" ref="W139" ca="1">IF($Y139&gt;0,CHOOSE(MATCH(RegimeExecucao,{"Unitário","Global"},0),IF($A139="S",$Y139/$X139,""),($Y139/$X139)*100),0)</f>
        <v>0</v>
      </c>
      <c r="X139" s="339" t="str" cm="1">
        <f t="array" aca="1" ref="X139" ca="1">IF($Y139&gt;0,CHOOSE(MATCH(RegimeExecucao,{"Unitário","Global"},0),IF($A139="S",ROUND($H139,ORÇAMENTO!$AF$10),""),ROUND($I139,ORÇAMENTO!$AF$11)),"")</f>
        <v/>
      </c>
      <c r="Y139" s="339">
        <f t="shared" ca="1" si="14"/>
        <v>0</v>
      </c>
      <c r="Z139" s="473"/>
      <c r="AB139" s="337"/>
      <c r="AC139" s="437"/>
      <c r="AD139" s="437"/>
      <c r="AE139" s="437"/>
      <c r="AF139" s="437"/>
      <c r="AG139" s="437"/>
      <c r="AH139" s="437"/>
      <c r="AI139" s="437"/>
      <c r="AJ139" s="437"/>
      <c r="AK139" s="437"/>
      <c r="AL139" s="437"/>
      <c r="AM139" s="338"/>
      <c r="AO139" s="670" cm="1">
        <f t="array" aca="1" ref="AO139" ca="1">IF($A139="S",IF(BM!$I139=0,0,CHOOSE(MATCH(RegimeExecucao,{"Global","Unitário"},0),ROUND(ROUND(BM.MEDAcumulado,15-13*BM!$A$9)/100*BM!$I139,15-13*ORÇAMENTO!$AF$11),ROUND(ROUND(BM.MEDAcumulado,15-13*BM!$A$9)*ROUND(BM!$H139,15-13*ORÇAMENTO!$AF$10),15-13*ORÇAMENTO!$AF$11))),IF($A139=0,0,ROUND(SomaAgrupBM,15-13*ORÇAMENTO!$AF$11)))</f>
        <v>0</v>
      </c>
    </row>
    <row r="140" spans="1:41" s="670" customFormat="1" ht="25.5" x14ac:dyDescent="0.2">
      <c r="A140" s="670" t="str">
        <f ca="1">ORÇAMENTO!C140</f>
        <v>S</v>
      </c>
      <c r="B140" s="670">
        <f ca="1">ORÇAMENTO!D140</f>
        <v>0</v>
      </c>
      <c r="C140" s="114" t="str">
        <f t="shared" ca="1" si="8"/>
        <v>F</v>
      </c>
      <c r="D140" s="117" t="str">
        <f ca="1">ORÇAMENTO!O140</f>
        <v>1.17.26.</v>
      </c>
      <c r="E140" s="163" t="str">
        <f t="shared" ca="1" si="9"/>
        <v>Disjuntor tripolar 50 A, padrão DIN (  linha branca ), curva de disparo C, corrente de interrupção 10KA, ref.: Siemens 5SX1 ou similar.</v>
      </c>
      <c r="F140" s="164" t="str" cm="1">
        <f t="array" aca="1" ref="F140" ca="1">IF(RegimeExecucao="Global","",ORÇAMENTO.Unidade)</f>
        <v>UNIDADE</v>
      </c>
      <c r="G140" s="122" cm="1">
        <f t="array" aca="1" ref="G140" ca="1">IF(RegimeExecucao="Global","",ORÇAMENTO!T140)</f>
        <v>1</v>
      </c>
      <c r="H140" s="122" cm="1">
        <f t="array" aca="1" ref="H140" ca="1">IF(RegimeExecucao="Global","",ORÇAMENTO!W140)</f>
        <v>292.06</v>
      </c>
      <c r="I140" s="125">
        <f ca="1">ORÇAMENTO!X140</f>
        <v>292.06</v>
      </c>
      <c r="J140" s="333" cm="1">
        <f t="array" aca="1" ref="J140" ca="1">IF($A140="S",IF(CAIXA.Modo,BM.AFAnterior,BM.MEDAnterior),IF(AND(RegimeExecucao="Global",$I140&gt;0,COUNTIF($AB$13:$AM$13,BM.medicao-1)&gt;0),M140/$I140*100,0))</f>
        <v>0</v>
      </c>
      <c r="K140" s="122">
        <f t="shared" ca="1" si="10"/>
        <v>0</v>
      </c>
      <c r="L140" s="334" cm="1">
        <f t="array" aca="1" ref="L140" ca="1">IF($A140="S",IF(CAIXA.Modo,BM.AFAcumulado,BM.MEDAcumulado),IF(AND(RegimeExecucao="Global",$I140&gt;0,COUNTIF($AB$13:$AM$13,BM.medicao)&gt;0),O140/$I140*100,0))</f>
        <v>0</v>
      </c>
      <c r="M140" s="335" cm="1">
        <f t="array" aca="1" ref="M140" ca="1">IF($A140="S",VTOTALBM,IF($A140=0,0,ROUND(SomaAgrupBM,15-13*ORÇAMENTO!$AF$11)))</f>
        <v>0</v>
      </c>
      <c r="N140" s="336">
        <f t="shared" ca="1" si="11"/>
        <v>0</v>
      </c>
      <c r="O140" s="125" cm="1">
        <f t="array" aca="1" ref="O140" ca="1">IF($A140="S",VTOTALBM,IF($A140=0,0,ROUND(SomaAgrupBM,15-13*ORÇAMENTO!$AF$11)))</f>
        <v>0</v>
      </c>
      <c r="Q140" s="337"/>
      <c r="R140" s="338"/>
      <c r="T140" s="117" t="str">
        <f t="shared" ca="1" si="12"/>
        <v/>
      </c>
      <c r="U140" s="163" t="str">
        <f t="shared" ca="1" si="13"/>
        <v/>
      </c>
      <c r="V140" s="164" t="str" cm="1">
        <f t="array" aca="1" ref="V140" ca="1">IF(AND($W140&gt;0,RegimeExecucao="Unitário"),$F140,"")</f>
        <v/>
      </c>
      <c r="W140" s="454" cm="1">
        <f t="array" aca="1" ref="W140" ca="1">IF($Y140&gt;0,CHOOSE(MATCH(RegimeExecucao,{"Unitário","Global"},0),IF($A140="S",$Y140/$X140,""),($Y140/$X140)*100),0)</f>
        <v>0</v>
      </c>
      <c r="X140" s="339" t="str" cm="1">
        <f t="array" aca="1" ref="X140" ca="1">IF($Y140&gt;0,CHOOSE(MATCH(RegimeExecucao,{"Unitário","Global"},0),IF($A140="S",ROUND($H140,ORÇAMENTO!$AF$10),""),ROUND($I140,ORÇAMENTO!$AF$11)),"")</f>
        <v/>
      </c>
      <c r="Y140" s="339">
        <f t="shared" ca="1" si="14"/>
        <v>0</v>
      </c>
      <c r="Z140" s="473"/>
      <c r="AB140" s="337"/>
      <c r="AC140" s="437"/>
      <c r="AD140" s="437"/>
      <c r="AE140" s="437"/>
      <c r="AF140" s="437"/>
      <c r="AG140" s="437"/>
      <c r="AH140" s="437"/>
      <c r="AI140" s="437"/>
      <c r="AJ140" s="437"/>
      <c r="AK140" s="437"/>
      <c r="AL140" s="437"/>
      <c r="AM140" s="338"/>
      <c r="AO140" s="670" cm="1">
        <f t="array" aca="1" ref="AO140" ca="1">IF($A140="S",IF(BM!$I140=0,0,CHOOSE(MATCH(RegimeExecucao,{"Global","Unitário"},0),ROUND(ROUND(BM.MEDAcumulado,15-13*BM!$A$9)/100*BM!$I140,15-13*ORÇAMENTO!$AF$11),ROUND(ROUND(BM.MEDAcumulado,15-13*BM!$A$9)*ROUND(BM!$H140,15-13*ORÇAMENTO!$AF$10),15-13*ORÇAMENTO!$AF$11))),IF($A140=0,0,ROUND(SomaAgrupBM,15-13*ORÇAMENTO!$AF$11)))</f>
        <v>0</v>
      </c>
    </row>
    <row r="141" spans="1:41" s="670" customFormat="1" x14ac:dyDescent="0.2">
      <c r="A141" s="670">
        <f ca="1">ORÇAMENTO!C141</f>
        <v>2</v>
      </c>
      <c r="B141" s="670">
        <f ca="1">ORÇAMENTO!D141</f>
        <v>4</v>
      </c>
      <c r="C141" s="114" t="str">
        <f t="shared" ref="C141:C189" ca="1" si="15">IF(OR($I141&gt;0,$A141=1,$A141=2,$A141=3,$A141=4),"F","")</f>
        <v>F</v>
      </c>
      <c r="D141" s="117" t="str">
        <f ca="1">ORÇAMENTO!O141</f>
        <v>1.18.</v>
      </c>
      <c r="E141" s="163" t="str">
        <f t="shared" ref="E141:E189" si="16">ORÇAMENTO.Descricao</f>
        <v>ESQUADRIAS - Estação Elevatória de Água Tratada</v>
      </c>
      <c r="F141" s="164" t="str" cm="1">
        <f t="array" aca="1" ref="F141" ca="1">IF(RegimeExecucao="Global","",ORÇAMENTO.Unidade)</f>
        <v>-</v>
      </c>
      <c r="G141" s="122" cm="1">
        <f t="array" aca="1" ref="G141" ca="1">IF(RegimeExecucao="Global","",ORÇAMENTO!T141)</f>
        <v>0</v>
      </c>
      <c r="H141" s="122" cm="1">
        <f t="array" aca="1" ref="H141" ca="1">IF(RegimeExecucao="Global","",ORÇAMENTO!W141)</f>
        <v>0</v>
      </c>
      <c r="I141" s="125">
        <f ca="1">ORÇAMENTO!X141</f>
        <v>2542.14</v>
      </c>
      <c r="J141" s="333" cm="1">
        <f t="array" aca="1" ref="J141" ca="1">IF($A141="S",IF(CAIXA.Modo,BM.AFAnterior,BM.MEDAnterior),IF(AND(RegimeExecucao="Global",$I141&gt;0,COUNTIF($AB$13:$AM$13,BM.medicao-1)&gt;0),M141/$I141*100,0))</f>
        <v>0</v>
      </c>
      <c r="K141" s="122">
        <f t="shared" ref="K141:K189" ca="1" si="17">L141-J141</f>
        <v>0</v>
      </c>
      <c r="L141" s="334" cm="1">
        <f t="array" aca="1" ref="L141" ca="1">IF($A141="S",IF(CAIXA.Modo,BM.AFAcumulado,BM.MEDAcumulado),IF(AND(RegimeExecucao="Global",$I141&gt;0,COUNTIF($AB$13:$AM$13,BM.medicao)&gt;0),O141/$I141*100,0))</f>
        <v>0</v>
      </c>
      <c r="M141" s="335" cm="1">
        <f t="array" aca="1" ref="M141" ca="1">IF($A141="S",VTOTALBM,IF($A141=0,0,ROUND(SomaAgrupBM,15-13*ORÇAMENTO!$AF$11)))</f>
        <v>0</v>
      </c>
      <c r="N141" s="336">
        <f t="shared" ref="N141:N189" ca="1" si="18">O141-M141</f>
        <v>0</v>
      </c>
      <c r="O141" s="125" cm="1">
        <f t="array" aca="1" ref="O141" ca="1">IF($A141="S",VTOTALBM,IF($A141=0,0,ROUND(SomaAgrupBM,15-13*ORÇAMENTO!$AF$11)))</f>
        <v>0</v>
      </c>
      <c r="Q141" s="337"/>
      <c r="R141" s="338"/>
      <c r="T141" s="117" t="str">
        <f t="shared" ref="T141:T189" ca="1" si="19">IF($W141&gt;0,$D141,"")</f>
        <v/>
      </c>
      <c r="U141" s="163" t="str">
        <f t="shared" ref="U141:U189" ca="1" si="20">IF($W141&gt;0,$E141,"")</f>
        <v/>
      </c>
      <c r="V141" s="164" t="str" cm="1">
        <f t="array" aca="1" ref="V141" ca="1">IF(AND($W141&gt;0,RegimeExecucao="Unitário"),$F141,"")</f>
        <v/>
      </c>
      <c r="W141" s="454" cm="1">
        <f t="array" aca="1" ref="W141" ca="1">IF($Y141&gt;0,CHOOSE(MATCH(RegimeExecucao,{"Unitário","Global"},0),IF($A141="S",$Y141/$X141,""),($Y141/$X141)*100),0)</f>
        <v>0</v>
      </c>
      <c r="X141" s="339" t="str" cm="1">
        <f t="array" aca="1" ref="X141" ca="1">IF($Y141&gt;0,CHOOSE(MATCH(RegimeExecucao,{"Unitário","Global"},0),IF($A141="S",ROUND($H141,ORÇAMENTO!$AF$10),""),ROUND($I141,ORÇAMENTO!$AF$11)),"")</f>
        <v/>
      </c>
      <c r="Y141" s="339">
        <f t="shared" ref="Y141:Y189" ca="1" si="21">AO141-O141</f>
        <v>0</v>
      </c>
      <c r="Z141" s="473"/>
      <c r="AB141" s="337"/>
      <c r="AC141" s="437"/>
      <c r="AD141" s="437"/>
      <c r="AE141" s="437"/>
      <c r="AF141" s="437"/>
      <c r="AG141" s="437"/>
      <c r="AH141" s="437"/>
      <c r="AI141" s="437"/>
      <c r="AJ141" s="437"/>
      <c r="AK141" s="437"/>
      <c r="AL141" s="437"/>
      <c r="AM141" s="338"/>
      <c r="AO141" s="670" cm="1">
        <f t="array" aca="1" ref="AO141" ca="1">IF($A141="S",IF(BM!$I141=0,0,CHOOSE(MATCH(RegimeExecucao,{"Global","Unitário"},0),ROUND(ROUND(BM.MEDAcumulado,15-13*BM!$A$9)/100*BM!$I141,15-13*ORÇAMENTO!$AF$11),ROUND(ROUND(BM.MEDAcumulado,15-13*BM!$A$9)*ROUND(BM!$H141,15-13*ORÇAMENTO!$AF$10),15-13*ORÇAMENTO!$AF$11))),IF($A141=0,0,ROUND(SomaAgrupBM,15-13*ORÇAMENTO!$AF$11)))</f>
        <v>0</v>
      </c>
    </row>
    <row r="142" spans="1:41" s="670" customFormat="1" ht="76.5" x14ac:dyDescent="0.2">
      <c r="A142" s="670" t="str">
        <f ca="1">ORÇAMENTO!C142</f>
        <v>S</v>
      </c>
      <c r="B142" s="670">
        <f ca="1">ORÇAMENTO!D142</f>
        <v>0</v>
      </c>
      <c r="C142" s="114" t="str">
        <f t="shared" ca="1" si="15"/>
        <v>F</v>
      </c>
      <c r="D142" s="117" t="str">
        <f ca="1">ORÇAMENTO!O142</f>
        <v>1.18.1.</v>
      </c>
      <c r="E142" s="163" t="str">
        <f t="shared" ca="1" si="16"/>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F142" s="164" t="str" cm="1">
        <f t="array" aca="1" ref="F142" ca="1">IF(RegimeExecucao="Global","",ORÇAMENTO.Unidade)</f>
        <v>M2</v>
      </c>
      <c r="G142" s="122" cm="1">
        <f t="array" aca="1" ref="G142" ca="1">IF(RegimeExecucao="Global","",ORÇAMENTO!T142)</f>
        <v>2</v>
      </c>
      <c r="H142" s="122" cm="1">
        <f t="array" aca="1" ref="H142" ca="1">IF(RegimeExecucao="Global","",ORÇAMENTO!W142)</f>
        <v>395.82</v>
      </c>
      <c r="I142" s="125">
        <f ca="1">ORÇAMENTO!X142</f>
        <v>791.64</v>
      </c>
      <c r="J142" s="333" cm="1">
        <f t="array" aca="1" ref="J142" ca="1">IF($A142="S",IF(CAIXA.Modo,BM.AFAnterior,BM.MEDAnterior),IF(AND(RegimeExecucao="Global",$I142&gt;0,COUNTIF($AB$13:$AM$13,BM.medicao-1)&gt;0),M142/$I142*100,0))</f>
        <v>0</v>
      </c>
      <c r="K142" s="122">
        <f t="shared" ca="1" si="17"/>
        <v>0</v>
      </c>
      <c r="L142" s="334" cm="1">
        <f t="array" aca="1" ref="L142" ca="1">IF($A142="S",IF(CAIXA.Modo,BM.AFAcumulado,BM.MEDAcumulado),IF(AND(RegimeExecucao="Global",$I142&gt;0,COUNTIF($AB$13:$AM$13,BM.medicao)&gt;0),O142/$I142*100,0))</f>
        <v>0</v>
      </c>
      <c r="M142" s="335" cm="1">
        <f t="array" aca="1" ref="M142" ca="1">IF($A142="S",VTOTALBM,IF($A142=0,0,ROUND(SomaAgrupBM,15-13*ORÇAMENTO!$AF$11)))</f>
        <v>0</v>
      </c>
      <c r="N142" s="336">
        <f t="shared" ca="1" si="18"/>
        <v>0</v>
      </c>
      <c r="O142" s="125" cm="1">
        <f t="array" aca="1" ref="O142" ca="1">IF($A142="S",VTOTALBM,IF($A142=0,0,ROUND(SomaAgrupBM,15-13*ORÇAMENTO!$AF$11)))</f>
        <v>0</v>
      </c>
      <c r="Q142" s="337"/>
      <c r="R142" s="338"/>
      <c r="T142" s="117" t="str">
        <f t="shared" ca="1" si="19"/>
        <v/>
      </c>
      <c r="U142" s="163" t="str">
        <f t="shared" ca="1" si="20"/>
        <v/>
      </c>
      <c r="V142" s="164" t="str" cm="1">
        <f t="array" aca="1" ref="V142" ca="1">IF(AND($W142&gt;0,RegimeExecucao="Unitário"),$F142,"")</f>
        <v/>
      </c>
      <c r="W142" s="454" cm="1">
        <f t="array" aca="1" ref="W142" ca="1">IF($Y142&gt;0,CHOOSE(MATCH(RegimeExecucao,{"Unitário","Global"},0),IF($A142="S",$Y142/$X142,""),($Y142/$X142)*100),0)</f>
        <v>0</v>
      </c>
      <c r="X142" s="339" t="str" cm="1">
        <f t="array" aca="1" ref="X142" ca="1">IF($Y142&gt;0,CHOOSE(MATCH(RegimeExecucao,{"Unitário","Global"},0),IF($A142="S",ROUND($H142,ORÇAMENTO!$AF$10),""),ROUND($I142,ORÇAMENTO!$AF$11)),"")</f>
        <v/>
      </c>
      <c r="Y142" s="339">
        <f t="shared" ca="1" si="21"/>
        <v>0</v>
      </c>
      <c r="Z142" s="473"/>
      <c r="AB142" s="337"/>
      <c r="AC142" s="437"/>
      <c r="AD142" s="437"/>
      <c r="AE142" s="437"/>
      <c r="AF142" s="437"/>
      <c r="AG142" s="437"/>
      <c r="AH142" s="437"/>
      <c r="AI142" s="437"/>
      <c r="AJ142" s="437"/>
      <c r="AK142" s="437"/>
      <c r="AL142" s="437"/>
      <c r="AM142" s="338"/>
      <c r="AO142" s="670" cm="1">
        <f t="array" aca="1" ref="AO142" ca="1">IF($A142="S",IF(BM!$I142=0,0,CHOOSE(MATCH(RegimeExecucao,{"Global","Unitário"},0),ROUND(ROUND(BM.MEDAcumulado,15-13*BM!$A$9)/100*BM!$I142,15-13*ORÇAMENTO!$AF$11),ROUND(ROUND(BM.MEDAcumulado,15-13*BM!$A$9)*ROUND(BM!$H142,15-13*ORÇAMENTO!$AF$10),15-13*ORÇAMENTO!$AF$11))),IF($A142=0,0,ROUND(SomaAgrupBM,15-13*ORÇAMENTO!$AF$11)))</f>
        <v>0</v>
      </c>
    </row>
    <row r="143" spans="1:41" s="670" customFormat="1" ht="25.5" x14ac:dyDescent="0.2">
      <c r="A143" s="670" t="str">
        <f ca="1">ORÇAMENTO!C143</f>
        <v>S</v>
      </c>
      <c r="B143" s="670">
        <f ca="1">ORÇAMENTO!D143</f>
        <v>0</v>
      </c>
      <c r="C143" s="114" t="str">
        <f t="shared" ca="1" si="15"/>
        <v>F</v>
      </c>
      <c r="D143" s="117" t="str">
        <f ca="1">ORÇAMENTO!O143</f>
        <v>1.18.2.</v>
      </c>
      <c r="E143" s="163" t="str">
        <f t="shared" ca="1" si="16"/>
        <v>PORTA DE ALUMÍNIO DE ABRIR, P/ VIDRO, C/ GUARNIÇÃO, 87X210CM, FIXAÇÃO COM ARGAMASSA. AF_10/2025</v>
      </c>
      <c r="F143" s="164" t="str" cm="1">
        <f t="array" aca="1" ref="F143" ca="1">IF(RegimeExecucao="Global","",ORÇAMENTO.Unidade)</f>
        <v>UN</v>
      </c>
      <c r="G143" s="122" cm="1">
        <f t="array" aca="1" ref="G143" ca="1">IF(RegimeExecucao="Global","",ORÇAMENTO!T143)</f>
        <v>1</v>
      </c>
      <c r="H143" s="122" cm="1">
        <f t="array" aca="1" ref="H143" ca="1">IF(RegimeExecucao="Global","",ORÇAMENTO!W143)</f>
        <v>1131.75</v>
      </c>
      <c r="I143" s="125">
        <f ca="1">ORÇAMENTO!X143</f>
        <v>1131.75</v>
      </c>
      <c r="J143" s="333" cm="1">
        <f t="array" aca="1" ref="J143" ca="1">IF($A143="S",IF(CAIXA.Modo,BM.AFAnterior,BM.MEDAnterior),IF(AND(RegimeExecucao="Global",$I143&gt;0,COUNTIF($AB$13:$AM$13,BM.medicao-1)&gt;0),M143/$I143*100,0))</f>
        <v>0</v>
      </c>
      <c r="K143" s="122">
        <f t="shared" ca="1" si="17"/>
        <v>0</v>
      </c>
      <c r="L143" s="334" cm="1">
        <f t="array" aca="1" ref="L143" ca="1">IF($A143="S",IF(CAIXA.Modo,BM.AFAcumulado,BM.MEDAcumulado),IF(AND(RegimeExecucao="Global",$I143&gt;0,COUNTIF($AB$13:$AM$13,BM.medicao)&gt;0),O143/$I143*100,0))</f>
        <v>0</v>
      </c>
      <c r="M143" s="335" cm="1">
        <f t="array" aca="1" ref="M143" ca="1">IF($A143="S",VTOTALBM,IF($A143=0,0,ROUND(SomaAgrupBM,15-13*ORÇAMENTO!$AF$11)))</f>
        <v>0</v>
      </c>
      <c r="N143" s="336">
        <f t="shared" ca="1" si="18"/>
        <v>0</v>
      </c>
      <c r="O143" s="125" cm="1">
        <f t="array" aca="1" ref="O143" ca="1">IF($A143="S",VTOTALBM,IF($A143=0,0,ROUND(SomaAgrupBM,15-13*ORÇAMENTO!$AF$11)))</f>
        <v>0</v>
      </c>
      <c r="Q143" s="337"/>
      <c r="R143" s="338"/>
      <c r="T143" s="117" t="str">
        <f t="shared" ca="1" si="19"/>
        <v/>
      </c>
      <c r="U143" s="163" t="str">
        <f t="shared" ca="1" si="20"/>
        <v/>
      </c>
      <c r="V143" s="164" t="str" cm="1">
        <f t="array" aca="1" ref="V143" ca="1">IF(AND($W143&gt;0,RegimeExecucao="Unitário"),$F143,"")</f>
        <v/>
      </c>
      <c r="W143" s="454" cm="1">
        <f t="array" aca="1" ref="W143" ca="1">IF($Y143&gt;0,CHOOSE(MATCH(RegimeExecucao,{"Unitário","Global"},0),IF($A143="S",$Y143/$X143,""),($Y143/$X143)*100),0)</f>
        <v>0</v>
      </c>
      <c r="X143" s="339" t="str" cm="1">
        <f t="array" aca="1" ref="X143" ca="1">IF($Y143&gt;0,CHOOSE(MATCH(RegimeExecucao,{"Unitário","Global"},0),IF($A143="S",ROUND($H143,ORÇAMENTO!$AF$10),""),ROUND($I143,ORÇAMENTO!$AF$11)),"")</f>
        <v/>
      </c>
      <c r="Y143" s="339">
        <f t="shared" ca="1" si="21"/>
        <v>0</v>
      </c>
      <c r="Z143" s="473"/>
      <c r="AB143" s="337"/>
      <c r="AC143" s="437"/>
      <c r="AD143" s="437"/>
      <c r="AE143" s="437"/>
      <c r="AF143" s="437"/>
      <c r="AG143" s="437"/>
      <c r="AH143" s="437"/>
      <c r="AI143" s="437"/>
      <c r="AJ143" s="437"/>
      <c r="AK143" s="437"/>
      <c r="AL143" s="437"/>
      <c r="AM143" s="338"/>
      <c r="AO143" s="670" cm="1">
        <f t="array" aca="1" ref="AO143" ca="1">IF($A143="S",IF(BM!$I143=0,0,CHOOSE(MATCH(RegimeExecucao,{"Global","Unitário"},0),ROUND(ROUND(BM.MEDAcumulado,15-13*BM!$A$9)/100*BM!$I143,15-13*ORÇAMENTO!$AF$11),ROUND(ROUND(BM.MEDAcumulado,15-13*BM!$A$9)*ROUND(BM!$H143,15-13*ORÇAMENTO!$AF$10),15-13*ORÇAMENTO!$AF$11))),IF($A143=0,0,ROUND(SomaAgrupBM,15-13*ORÇAMENTO!$AF$11)))</f>
        <v>0</v>
      </c>
    </row>
    <row r="144" spans="1:41" s="670" customFormat="1" ht="38.25" x14ac:dyDescent="0.2">
      <c r="A144" s="670" t="str">
        <f ca="1">ORÇAMENTO!C144</f>
        <v>S</v>
      </c>
      <c r="B144" s="670">
        <f ca="1">ORÇAMENTO!D144</f>
        <v>0</v>
      </c>
      <c r="C144" s="114" t="str">
        <f t="shared" ca="1" si="15"/>
        <v>F</v>
      </c>
      <c r="D144" s="117" t="str">
        <f ca="1">ORÇAMENTO!O144</f>
        <v>1.18.3.</v>
      </c>
      <c r="E144" s="163" t="str">
        <f t="shared" ca="1" si="16"/>
        <v>PORTA DE CORRER DE ALUMÍNIO, COM DUAS FOLHAS PARA VIDRO, INCLUSO VIDRO LISO INCOLOR, FECHADURA E PUXADOR, SEM ALIZAR. AF_10/2025</v>
      </c>
      <c r="F144" s="164" t="str" cm="1">
        <f t="array" aca="1" ref="F144" ca="1">IF(RegimeExecucao="Global","",ORÇAMENTO.Unidade)</f>
        <v>M2</v>
      </c>
      <c r="G144" s="122" cm="1">
        <f t="array" aca="1" ref="G144" ca="1">IF(RegimeExecucao="Global","",ORÇAMENTO!T144)</f>
        <v>1</v>
      </c>
      <c r="H144" s="122" cm="1">
        <f t="array" aca="1" ref="H144" ca="1">IF(RegimeExecucao="Global","",ORÇAMENTO!W144)</f>
        <v>618.75</v>
      </c>
      <c r="I144" s="125">
        <f ca="1">ORÇAMENTO!X144</f>
        <v>618.75</v>
      </c>
      <c r="J144" s="333" cm="1">
        <f t="array" aca="1" ref="J144" ca="1">IF($A144="S",IF(CAIXA.Modo,BM.AFAnterior,BM.MEDAnterior),IF(AND(RegimeExecucao="Global",$I144&gt;0,COUNTIF($AB$13:$AM$13,BM.medicao-1)&gt;0),M144/$I144*100,0))</f>
        <v>0</v>
      </c>
      <c r="K144" s="122">
        <f t="shared" ca="1" si="17"/>
        <v>0</v>
      </c>
      <c r="L144" s="334" cm="1">
        <f t="array" aca="1" ref="L144" ca="1">IF($A144="S",IF(CAIXA.Modo,BM.AFAcumulado,BM.MEDAcumulado),IF(AND(RegimeExecucao="Global",$I144&gt;0,COUNTIF($AB$13:$AM$13,BM.medicao)&gt;0),O144/$I144*100,0))</f>
        <v>0</v>
      </c>
      <c r="M144" s="335" cm="1">
        <f t="array" aca="1" ref="M144" ca="1">IF($A144="S",VTOTALBM,IF($A144=0,0,ROUND(SomaAgrupBM,15-13*ORÇAMENTO!$AF$11)))</f>
        <v>0</v>
      </c>
      <c r="N144" s="336">
        <f t="shared" ca="1" si="18"/>
        <v>0</v>
      </c>
      <c r="O144" s="125" cm="1">
        <f t="array" aca="1" ref="O144" ca="1">IF($A144="S",VTOTALBM,IF($A144=0,0,ROUND(SomaAgrupBM,15-13*ORÇAMENTO!$AF$11)))</f>
        <v>0</v>
      </c>
      <c r="Q144" s="337"/>
      <c r="R144" s="338"/>
      <c r="T144" s="117" t="str">
        <f t="shared" ca="1" si="19"/>
        <v/>
      </c>
      <c r="U144" s="163" t="str">
        <f t="shared" ca="1" si="20"/>
        <v/>
      </c>
      <c r="V144" s="164" t="str" cm="1">
        <f t="array" aca="1" ref="V144" ca="1">IF(AND($W144&gt;0,RegimeExecucao="Unitário"),$F144,"")</f>
        <v/>
      </c>
      <c r="W144" s="454" cm="1">
        <f t="array" aca="1" ref="W144" ca="1">IF($Y144&gt;0,CHOOSE(MATCH(RegimeExecucao,{"Unitário","Global"},0),IF($A144="S",$Y144/$X144,""),($Y144/$X144)*100),0)</f>
        <v>0</v>
      </c>
      <c r="X144" s="339" t="str" cm="1">
        <f t="array" aca="1" ref="X144" ca="1">IF($Y144&gt;0,CHOOSE(MATCH(RegimeExecucao,{"Unitário","Global"},0),IF($A144="S",ROUND($H144,ORÇAMENTO!$AF$10),""),ROUND($I144,ORÇAMENTO!$AF$11)),"")</f>
        <v/>
      </c>
      <c r="Y144" s="339">
        <f t="shared" ca="1" si="21"/>
        <v>0</v>
      </c>
      <c r="Z144" s="473"/>
      <c r="AB144" s="337"/>
      <c r="AC144" s="437"/>
      <c r="AD144" s="437"/>
      <c r="AE144" s="437"/>
      <c r="AF144" s="437"/>
      <c r="AG144" s="437"/>
      <c r="AH144" s="437"/>
      <c r="AI144" s="437"/>
      <c r="AJ144" s="437"/>
      <c r="AK144" s="437"/>
      <c r="AL144" s="437"/>
      <c r="AM144" s="338"/>
      <c r="AO144" s="670" cm="1">
        <f t="array" aca="1" ref="AO144" ca="1">IF($A144="S",IF(BM!$I144=0,0,CHOOSE(MATCH(RegimeExecucao,{"Global","Unitário"},0),ROUND(ROUND(BM.MEDAcumulado,15-13*BM!$A$9)/100*BM!$I144,15-13*ORÇAMENTO!$AF$11),ROUND(ROUND(BM.MEDAcumulado,15-13*BM!$A$9)*ROUND(BM!$H144,15-13*ORÇAMENTO!$AF$10),15-13*ORÇAMENTO!$AF$11))),IF($A144=0,0,ROUND(SomaAgrupBM,15-13*ORÇAMENTO!$AF$11)))</f>
        <v>0</v>
      </c>
    </row>
    <row r="145" spans="1:41" s="670" customFormat="1" ht="25.5" x14ac:dyDescent="0.2">
      <c r="A145" s="670">
        <f ca="1">ORÇAMENTO!C145</f>
        <v>2</v>
      </c>
      <c r="B145" s="670">
        <f ca="1">ORÇAMENTO!D145</f>
        <v>9</v>
      </c>
      <c r="C145" s="114" t="str">
        <f t="shared" ca="1" si="15"/>
        <v>F</v>
      </c>
      <c r="D145" s="117" t="str">
        <f ca="1">ORÇAMENTO!O145</f>
        <v>1.19.</v>
      </c>
      <c r="E145" s="163" t="str">
        <f t="shared" si="16"/>
        <v>REVESTIMENTO INTERNO E EXTERNO - Estação Elevatória de Água Tratada</v>
      </c>
      <c r="F145" s="164" t="str" cm="1">
        <f t="array" aca="1" ref="F145" ca="1">IF(RegimeExecucao="Global","",ORÇAMENTO.Unidade)</f>
        <v>-</v>
      </c>
      <c r="G145" s="122" cm="1">
        <f t="array" aca="1" ref="G145" ca="1">IF(RegimeExecucao="Global","",ORÇAMENTO!T145)</f>
        <v>0</v>
      </c>
      <c r="H145" s="122" cm="1">
        <f t="array" aca="1" ref="H145" ca="1">IF(RegimeExecucao="Global","",ORÇAMENTO!W145)</f>
        <v>0</v>
      </c>
      <c r="I145" s="125">
        <f ca="1">ORÇAMENTO!X145</f>
        <v>12552.34</v>
      </c>
      <c r="J145" s="333" cm="1">
        <f t="array" aca="1" ref="J145" ca="1">IF($A145="S",IF(CAIXA.Modo,BM.AFAnterior,BM.MEDAnterior),IF(AND(RegimeExecucao="Global",$I145&gt;0,COUNTIF($AB$13:$AM$13,BM.medicao-1)&gt;0),M145/$I145*100,0))</f>
        <v>0</v>
      </c>
      <c r="K145" s="122">
        <f t="shared" ca="1" si="17"/>
        <v>0</v>
      </c>
      <c r="L145" s="334" cm="1">
        <f t="array" aca="1" ref="L145" ca="1">IF($A145="S",IF(CAIXA.Modo,BM.AFAcumulado,BM.MEDAcumulado),IF(AND(RegimeExecucao="Global",$I145&gt;0,COUNTIF($AB$13:$AM$13,BM.medicao)&gt;0),O145/$I145*100,0))</f>
        <v>0</v>
      </c>
      <c r="M145" s="335" cm="1">
        <f t="array" aca="1" ref="M145" ca="1">IF($A145="S",VTOTALBM,IF($A145=0,0,ROUND(SomaAgrupBM,15-13*ORÇAMENTO!$AF$11)))</f>
        <v>0</v>
      </c>
      <c r="N145" s="336">
        <f t="shared" ca="1" si="18"/>
        <v>0</v>
      </c>
      <c r="O145" s="125" cm="1">
        <f t="array" aca="1" ref="O145" ca="1">IF($A145="S",VTOTALBM,IF($A145=0,0,ROUND(SomaAgrupBM,15-13*ORÇAMENTO!$AF$11)))</f>
        <v>0</v>
      </c>
      <c r="Q145" s="337"/>
      <c r="R145" s="338"/>
      <c r="T145" s="117" t="str">
        <f t="shared" ca="1" si="19"/>
        <v/>
      </c>
      <c r="U145" s="163" t="str">
        <f t="shared" ca="1" si="20"/>
        <v/>
      </c>
      <c r="V145" s="164" t="str" cm="1">
        <f t="array" aca="1" ref="V145" ca="1">IF(AND($W145&gt;0,RegimeExecucao="Unitário"),$F145,"")</f>
        <v/>
      </c>
      <c r="W145" s="454" cm="1">
        <f t="array" aca="1" ref="W145" ca="1">IF($Y145&gt;0,CHOOSE(MATCH(RegimeExecucao,{"Unitário","Global"},0),IF($A145="S",$Y145/$X145,""),($Y145/$X145)*100),0)</f>
        <v>0</v>
      </c>
      <c r="X145" s="339" t="str" cm="1">
        <f t="array" aca="1" ref="X145" ca="1">IF($Y145&gt;0,CHOOSE(MATCH(RegimeExecucao,{"Unitário","Global"},0),IF($A145="S",ROUND($H145,ORÇAMENTO!$AF$10),""),ROUND($I145,ORÇAMENTO!$AF$11)),"")</f>
        <v/>
      </c>
      <c r="Y145" s="339">
        <f t="shared" ca="1" si="21"/>
        <v>0</v>
      </c>
      <c r="Z145" s="473"/>
      <c r="AB145" s="337"/>
      <c r="AC145" s="437"/>
      <c r="AD145" s="437"/>
      <c r="AE145" s="437"/>
      <c r="AF145" s="437"/>
      <c r="AG145" s="437"/>
      <c r="AH145" s="437"/>
      <c r="AI145" s="437"/>
      <c r="AJ145" s="437"/>
      <c r="AK145" s="437"/>
      <c r="AL145" s="437"/>
      <c r="AM145" s="338"/>
      <c r="AO145" s="670" cm="1">
        <f t="array" aca="1" ref="AO145" ca="1">IF($A145="S",IF(BM!$I145=0,0,CHOOSE(MATCH(RegimeExecucao,{"Global","Unitário"},0),ROUND(ROUND(BM.MEDAcumulado,15-13*BM!$A$9)/100*BM!$I145,15-13*ORÇAMENTO!$AF$11),ROUND(ROUND(BM.MEDAcumulado,15-13*BM!$A$9)*ROUND(BM!$H145,15-13*ORÇAMENTO!$AF$10),15-13*ORÇAMENTO!$AF$11))),IF($A145=0,0,ROUND(SomaAgrupBM,15-13*ORÇAMENTO!$AF$11)))</f>
        <v>0</v>
      </c>
    </row>
    <row r="146" spans="1:41" s="670" customFormat="1" ht="38.25" x14ac:dyDescent="0.2">
      <c r="A146" s="670" t="str">
        <f ca="1">ORÇAMENTO!C146</f>
        <v>S</v>
      </c>
      <c r="B146" s="670">
        <f ca="1">ORÇAMENTO!D146</f>
        <v>0</v>
      </c>
      <c r="C146" s="114" t="str">
        <f t="shared" ca="1" si="15"/>
        <v>F</v>
      </c>
      <c r="D146" s="117" t="str">
        <f ca="1">ORÇAMENTO!O146</f>
        <v>1.19.1.</v>
      </c>
      <c r="E146" s="163" t="str">
        <f t="shared" ca="1" si="16"/>
        <v>CHAPISCO APLICADO EM ALVENARIAS E ESTRUTURAS DE CONCRETO INTERNAS, COM COLHER DE PEDREIRO. ARGAMASSA TRAÇO 1:3 COM PREPARO EM BETONEIRA 400L. AF_10/2022</v>
      </c>
      <c r="F146" s="164" t="str" cm="1">
        <f t="array" aca="1" ref="F146" ca="1">IF(RegimeExecucao="Global","",ORÇAMENTO.Unidade)</f>
        <v>M2</v>
      </c>
      <c r="G146" s="122" cm="1">
        <f t="array" aca="1" ref="G146" ca="1">IF(RegimeExecucao="Global","",ORÇAMENTO!T146)</f>
        <v>188.44</v>
      </c>
      <c r="H146" s="122" cm="1">
        <f t="array" aca="1" ref="H146" ca="1">IF(RegimeExecucao="Global","",ORÇAMENTO!W146)</f>
        <v>6.49</v>
      </c>
      <c r="I146" s="125">
        <f ca="1">ORÇAMENTO!X146</f>
        <v>1222.98</v>
      </c>
      <c r="J146" s="333" cm="1">
        <f t="array" aca="1" ref="J146" ca="1">IF($A146="S",IF(CAIXA.Modo,BM.AFAnterior,BM.MEDAnterior),IF(AND(RegimeExecucao="Global",$I146&gt;0,COUNTIF($AB$13:$AM$13,BM.medicao-1)&gt;0),M146/$I146*100,0))</f>
        <v>0</v>
      </c>
      <c r="K146" s="122">
        <f t="shared" ca="1" si="17"/>
        <v>0</v>
      </c>
      <c r="L146" s="334" cm="1">
        <f t="array" aca="1" ref="L146" ca="1">IF($A146="S",IF(CAIXA.Modo,BM.AFAcumulado,BM.MEDAcumulado),IF(AND(RegimeExecucao="Global",$I146&gt;0,COUNTIF($AB$13:$AM$13,BM.medicao)&gt;0),O146/$I146*100,0))</f>
        <v>0</v>
      </c>
      <c r="M146" s="335" cm="1">
        <f t="array" aca="1" ref="M146" ca="1">IF($A146="S",VTOTALBM,IF($A146=0,0,ROUND(SomaAgrupBM,15-13*ORÇAMENTO!$AF$11)))</f>
        <v>0</v>
      </c>
      <c r="N146" s="336">
        <f t="shared" ca="1" si="18"/>
        <v>0</v>
      </c>
      <c r="O146" s="125" cm="1">
        <f t="array" aca="1" ref="O146" ca="1">IF($A146="S",VTOTALBM,IF($A146=0,0,ROUND(SomaAgrupBM,15-13*ORÇAMENTO!$AF$11)))</f>
        <v>0</v>
      </c>
      <c r="Q146" s="337"/>
      <c r="R146" s="338"/>
      <c r="T146" s="117" t="str">
        <f t="shared" ca="1" si="19"/>
        <v/>
      </c>
      <c r="U146" s="163" t="str">
        <f t="shared" ca="1" si="20"/>
        <v/>
      </c>
      <c r="V146" s="164" t="str" cm="1">
        <f t="array" aca="1" ref="V146" ca="1">IF(AND($W146&gt;0,RegimeExecucao="Unitário"),$F146,"")</f>
        <v/>
      </c>
      <c r="W146" s="454" cm="1">
        <f t="array" aca="1" ref="W146" ca="1">IF($Y146&gt;0,CHOOSE(MATCH(RegimeExecucao,{"Unitário","Global"},0),IF($A146="S",$Y146/$X146,""),($Y146/$X146)*100),0)</f>
        <v>0</v>
      </c>
      <c r="X146" s="339" t="str" cm="1">
        <f t="array" aca="1" ref="X146" ca="1">IF($Y146&gt;0,CHOOSE(MATCH(RegimeExecucao,{"Unitário","Global"},0),IF($A146="S",ROUND($H146,ORÇAMENTO!$AF$10),""),ROUND($I146,ORÇAMENTO!$AF$11)),"")</f>
        <v/>
      </c>
      <c r="Y146" s="339">
        <f t="shared" ca="1" si="21"/>
        <v>0</v>
      </c>
      <c r="Z146" s="473"/>
      <c r="AB146" s="337"/>
      <c r="AC146" s="437"/>
      <c r="AD146" s="437"/>
      <c r="AE146" s="437"/>
      <c r="AF146" s="437"/>
      <c r="AG146" s="437"/>
      <c r="AH146" s="437"/>
      <c r="AI146" s="437"/>
      <c r="AJ146" s="437"/>
      <c r="AK146" s="437"/>
      <c r="AL146" s="437"/>
      <c r="AM146" s="338"/>
      <c r="AO146" s="670" cm="1">
        <f t="array" aca="1" ref="AO146" ca="1">IF($A146="S",IF(BM!$I146=0,0,CHOOSE(MATCH(RegimeExecucao,{"Global","Unitário"},0),ROUND(ROUND(BM.MEDAcumulado,15-13*BM!$A$9)/100*BM!$I146,15-13*ORÇAMENTO!$AF$11),ROUND(ROUND(BM.MEDAcumulado,15-13*BM!$A$9)*ROUND(BM!$H146,15-13*ORÇAMENTO!$AF$10),15-13*ORÇAMENTO!$AF$11))),IF($A146=0,0,ROUND(SomaAgrupBM,15-13*ORÇAMENTO!$AF$11)))</f>
        <v>0</v>
      </c>
    </row>
    <row r="147" spans="1:41" s="670" customFormat="1" ht="38.25" x14ac:dyDescent="0.2">
      <c r="A147" s="670" t="str">
        <f ca="1">ORÇAMENTO!C147</f>
        <v>S</v>
      </c>
      <c r="B147" s="670">
        <f ca="1">ORÇAMENTO!D147</f>
        <v>0</v>
      </c>
      <c r="C147" s="114" t="str">
        <f t="shared" ca="1" si="15"/>
        <v>F</v>
      </c>
      <c r="D147" s="117" t="str">
        <f ca="1">ORÇAMENTO!O147</f>
        <v>1.19.2.</v>
      </c>
      <c r="E147" s="163" t="str">
        <f t="shared" ca="1" si="16"/>
        <v>EMBOÇO, EM ARGAMASSA TRAÇO 1:2:8, PREPARO MANUAL, APLICADO MANUALMENTE EM PAREDES INTERNAS DE AMBIENTES COM ÁREA ENTRE 5M² E 10M², E = 10MM, COM TALISCAS. AF_03/2024</v>
      </c>
      <c r="F147" s="164" t="str" cm="1">
        <f t="array" aca="1" ref="F147" ca="1">IF(RegimeExecucao="Global","",ORÇAMENTO.Unidade)</f>
        <v>M2</v>
      </c>
      <c r="G147" s="122" cm="1">
        <f t="array" aca="1" ref="G147" ca="1">IF(RegimeExecucao="Global","",ORÇAMENTO!T147)</f>
        <v>188.44</v>
      </c>
      <c r="H147" s="122" cm="1">
        <f t="array" aca="1" ref="H147" ca="1">IF(RegimeExecucao="Global","",ORÇAMENTO!W147)</f>
        <v>39.840000000000003</v>
      </c>
      <c r="I147" s="125">
        <f ca="1">ORÇAMENTO!X147</f>
        <v>7507.45</v>
      </c>
      <c r="J147" s="333" cm="1">
        <f t="array" aca="1" ref="J147" ca="1">IF($A147="S",IF(CAIXA.Modo,BM.AFAnterior,BM.MEDAnterior),IF(AND(RegimeExecucao="Global",$I147&gt;0,COUNTIF($AB$13:$AM$13,BM.medicao-1)&gt;0),M147/$I147*100,0))</f>
        <v>0</v>
      </c>
      <c r="K147" s="122">
        <f t="shared" ca="1" si="17"/>
        <v>0</v>
      </c>
      <c r="L147" s="334" cm="1">
        <f t="array" aca="1" ref="L147" ca="1">IF($A147="S",IF(CAIXA.Modo,BM.AFAcumulado,BM.MEDAcumulado),IF(AND(RegimeExecucao="Global",$I147&gt;0,COUNTIF($AB$13:$AM$13,BM.medicao)&gt;0),O147/$I147*100,0))</f>
        <v>0</v>
      </c>
      <c r="M147" s="335" cm="1">
        <f t="array" aca="1" ref="M147" ca="1">IF($A147="S",VTOTALBM,IF($A147=0,0,ROUND(SomaAgrupBM,15-13*ORÇAMENTO!$AF$11)))</f>
        <v>0</v>
      </c>
      <c r="N147" s="336">
        <f t="shared" ca="1" si="18"/>
        <v>0</v>
      </c>
      <c r="O147" s="125" cm="1">
        <f t="array" aca="1" ref="O147" ca="1">IF($A147="S",VTOTALBM,IF($A147=0,0,ROUND(SomaAgrupBM,15-13*ORÇAMENTO!$AF$11)))</f>
        <v>0</v>
      </c>
      <c r="Q147" s="337"/>
      <c r="R147" s="338"/>
      <c r="T147" s="117" t="str">
        <f t="shared" ca="1" si="19"/>
        <v/>
      </c>
      <c r="U147" s="163" t="str">
        <f t="shared" ca="1" si="20"/>
        <v/>
      </c>
      <c r="V147" s="164" t="str" cm="1">
        <f t="array" aca="1" ref="V147" ca="1">IF(AND($W147&gt;0,RegimeExecucao="Unitário"),$F147,"")</f>
        <v/>
      </c>
      <c r="W147" s="454" cm="1">
        <f t="array" aca="1" ref="W147" ca="1">IF($Y147&gt;0,CHOOSE(MATCH(RegimeExecucao,{"Unitário","Global"},0),IF($A147="S",$Y147/$X147,""),($Y147/$X147)*100),0)</f>
        <v>0</v>
      </c>
      <c r="X147" s="339" t="str" cm="1">
        <f t="array" aca="1" ref="X147" ca="1">IF($Y147&gt;0,CHOOSE(MATCH(RegimeExecucao,{"Unitário","Global"},0),IF($A147="S",ROUND($H147,ORÇAMENTO!$AF$10),""),ROUND($I147,ORÇAMENTO!$AF$11)),"")</f>
        <v/>
      </c>
      <c r="Y147" s="339">
        <f t="shared" ca="1" si="21"/>
        <v>0</v>
      </c>
      <c r="Z147" s="473"/>
      <c r="AB147" s="337"/>
      <c r="AC147" s="437"/>
      <c r="AD147" s="437"/>
      <c r="AE147" s="437"/>
      <c r="AF147" s="437"/>
      <c r="AG147" s="437"/>
      <c r="AH147" s="437"/>
      <c r="AI147" s="437"/>
      <c r="AJ147" s="437"/>
      <c r="AK147" s="437"/>
      <c r="AL147" s="437"/>
      <c r="AM147" s="338"/>
      <c r="AO147" s="670" cm="1">
        <f t="array" aca="1" ref="AO147" ca="1">IF($A147="S",IF(BM!$I147=0,0,CHOOSE(MATCH(RegimeExecucao,{"Global","Unitário"},0),ROUND(ROUND(BM.MEDAcumulado,15-13*BM!$A$9)/100*BM!$I147,15-13*ORÇAMENTO!$AF$11),ROUND(ROUND(BM.MEDAcumulado,15-13*BM!$A$9)*ROUND(BM!$H147,15-13*ORÇAMENTO!$AF$10),15-13*ORÇAMENTO!$AF$11))),IF($A147=0,0,ROUND(SomaAgrupBM,15-13*ORÇAMENTO!$AF$11)))</f>
        <v>0</v>
      </c>
    </row>
    <row r="148" spans="1:41" s="670" customFormat="1" ht="38.25" x14ac:dyDescent="0.2">
      <c r="A148" s="670" t="str">
        <f ca="1">ORÇAMENTO!C148</f>
        <v>S</v>
      </c>
      <c r="B148" s="670">
        <f ca="1">ORÇAMENTO!D148</f>
        <v>0</v>
      </c>
      <c r="C148" s="114" t="str">
        <f t="shared" ca="1" si="15"/>
        <v>F</v>
      </c>
      <c r="D148" s="117" t="str">
        <f ca="1">ORÇAMENTO!O148</f>
        <v>1.19.3.</v>
      </c>
      <c r="E148" s="163" t="str">
        <f t="shared" ca="1" si="16"/>
        <v>REVESTIMENTO CERÂMICO PARA PISO COM PLACAS TIPO ESMALTADA DE DIMENSÕES 45X45 CM APLICADA EM AMBIENTES DE ÁREA MAIOR QUE 10 M2. AF_02/2023_PE</v>
      </c>
      <c r="F148" s="164" t="str" cm="1">
        <f t="array" aca="1" ref="F148" ca="1">IF(RegimeExecucao="Global","",ORÇAMENTO.Unidade)</f>
        <v>M2</v>
      </c>
      <c r="G148" s="122" cm="1">
        <f t="array" aca="1" ref="G148" ca="1">IF(RegimeExecucao="Global","",ORÇAMENTO!T148)</f>
        <v>46.45</v>
      </c>
      <c r="H148" s="122" cm="1">
        <f t="array" aca="1" ref="H148" ca="1">IF(RegimeExecucao="Global","",ORÇAMENTO!W148)</f>
        <v>66.709999999999994</v>
      </c>
      <c r="I148" s="125">
        <f ca="1">ORÇAMENTO!X148</f>
        <v>3098.68</v>
      </c>
      <c r="J148" s="333" cm="1">
        <f t="array" aca="1" ref="J148" ca="1">IF($A148="S",IF(CAIXA.Modo,BM.AFAnterior,BM.MEDAnterior),IF(AND(RegimeExecucao="Global",$I148&gt;0,COUNTIF($AB$13:$AM$13,BM.medicao-1)&gt;0),M148/$I148*100,0))</f>
        <v>0</v>
      </c>
      <c r="K148" s="122">
        <f t="shared" ca="1" si="17"/>
        <v>0</v>
      </c>
      <c r="L148" s="334" cm="1">
        <f t="array" aca="1" ref="L148" ca="1">IF($A148="S",IF(CAIXA.Modo,BM.AFAcumulado,BM.MEDAcumulado),IF(AND(RegimeExecucao="Global",$I148&gt;0,COUNTIF($AB$13:$AM$13,BM.medicao)&gt;0),O148/$I148*100,0))</f>
        <v>0</v>
      </c>
      <c r="M148" s="335" cm="1">
        <f t="array" aca="1" ref="M148" ca="1">IF($A148="S",VTOTALBM,IF($A148=0,0,ROUND(SomaAgrupBM,15-13*ORÇAMENTO!$AF$11)))</f>
        <v>0</v>
      </c>
      <c r="N148" s="336">
        <f t="shared" ca="1" si="18"/>
        <v>0</v>
      </c>
      <c r="O148" s="125" cm="1">
        <f t="array" aca="1" ref="O148" ca="1">IF($A148="S",VTOTALBM,IF($A148=0,0,ROUND(SomaAgrupBM,15-13*ORÇAMENTO!$AF$11)))</f>
        <v>0</v>
      </c>
      <c r="Q148" s="337"/>
      <c r="R148" s="338"/>
      <c r="T148" s="117" t="str">
        <f t="shared" ca="1" si="19"/>
        <v/>
      </c>
      <c r="U148" s="163" t="str">
        <f t="shared" ca="1" si="20"/>
        <v/>
      </c>
      <c r="V148" s="164" t="str" cm="1">
        <f t="array" aca="1" ref="V148" ca="1">IF(AND($W148&gt;0,RegimeExecucao="Unitário"),$F148,"")</f>
        <v/>
      </c>
      <c r="W148" s="454" cm="1">
        <f t="array" aca="1" ref="W148" ca="1">IF($Y148&gt;0,CHOOSE(MATCH(RegimeExecucao,{"Unitário","Global"},0),IF($A148="S",$Y148/$X148,""),($Y148/$X148)*100),0)</f>
        <v>0</v>
      </c>
      <c r="X148" s="339" t="str" cm="1">
        <f t="array" aca="1" ref="X148" ca="1">IF($Y148&gt;0,CHOOSE(MATCH(RegimeExecucao,{"Unitário","Global"},0),IF($A148="S",ROUND($H148,ORÇAMENTO!$AF$10),""),ROUND($I148,ORÇAMENTO!$AF$11)),"")</f>
        <v/>
      </c>
      <c r="Y148" s="339">
        <f t="shared" ca="1" si="21"/>
        <v>0</v>
      </c>
      <c r="Z148" s="473"/>
      <c r="AB148" s="337"/>
      <c r="AC148" s="437"/>
      <c r="AD148" s="437"/>
      <c r="AE148" s="437"/>
      <c r="AF148" s="437"/>
      <c r="AG148" s="437"/>
      <c r="AH148" s="437"/>
      <c r="AI148" s="437"/>
      <c r="AJ148" s="437"/>
      <c r="AK148" s="437"/>
      <c r="AL148" s="437"/>
      <c r="AM148" s="338"/>
      <c r="AO148" s="670" cm="1">
        <f t="array" aca="1" ref="AO148" ca="1">IF($A148="S",IF(BM!$I148=0,0,CHOOSE(MATCH(RegimeExecucao,{"Global","Unitário"},0),ROUND(ROUND(BM.MEDAcumulado,15-13*BM!$A$9)/100*BM!$I148,15-13*ORÇAMENTO!$AF$11),ROUND(ROUND(BM.MEDAcumulado,15-13*BM!$A$9)*ROUND(BM!$H148,15-13*ORÇAMENTO!$AF$10),15-13*ORÇAMENTO!$AF$11))),IF($A148=0,0,ROUND(SomaAgrupBM,15-13*ORÇAMENTO!$AF$11)))</f>
        <v>0</v>
      </c>
    </row>
    <row r="149" spans="1:41" s="670" customFormat="1" ht="25.5" x14ac:dyDescent="0.2">
      <c r="A149" s="670" t="str">
        <f ca="1">ORÇAMENTO!C149</f>
        <v>S</v>
      </c>
      <c r="B149" s="670">
        <f ca="1">ORÇAMENTO!D149</f>
        <v>0</v>
      </c>
      <c r="C149" s="114" t="str">
        <f t="shared" ca="1" si="15"/>
        <v>F</v>
      </c>
      <c r="D149" s="117" t="str">
        <f ca="1">ORÇAMENTO!O149</f>
        <v>1.19.4.</v>
      </c>
      <c r="E149" s="163" t="str">
        <f t="shared" ca="1" si="16"/>
        <v>RODAPÉ CERÂMICO DE 7CM DE ALTURA COM PLACAS TIPO ESMALTADA DE DIMENSÕES 35X35CM. AF_02/2023</v>
      </c>
      <c r="F149" s="164" t="str" cm="1">
        <f t="array" aca="1" ref="F149" ca="1">IF(RegimeExecucao="Global","",ORÇAMENTO.Unidade)</f>
        <v>M</v>
      </c>
      <c r="G149" s="122" cm="1">
        <f t="array" aca="1" ref="G149" ca="1">IF(RegimeExecucao="Global","",ORÇAMENTO!T149)</f>
        <v>27.7</v>
      </c>
      <c r="H149" s="122" cm="1">
        <f t="array" aca="1" ref="H149" ca="1">IF(RegimeExecucao="Global","",ORÇAMENTO!W149)</f>
        <v>10.01</v>
      </c>
      <c r="I149" s="125">
        <f ca="1">ORÇAMENTO!X149</f>
        <v>277.27999999999997</v>
      </c>
      <c r="J149" s="333" cm="1">
        <f t="array" aca="1" ref="J149" ca="1">IF($A149="S",IF(CAIXA.Modo,BM.AFAnterior,BM.MEDAnterior),IF(AND(RegimeExecucao="Global",$I149&gt;0,COUNTIF($AB$13:$AM$13,BM.medicao-1)&gt;0),M149/$I149*100,0))</f>
        <v>0</v>
      </c>
      <c r="K149" s="122">
        <f t="shared" ca="1" si="17"/>
        <v>0</v>
      </c>
      <c r="L149" s="334" cm="1">
        <f t="array" aca="1" ref="L149" ca="1">IF($A149="S",IF(CAIXA.Modo,BM.AFAcumulado,BM.MEDAcumulado),IF(AND(RegimeExecucao="Global",$I149&gt;0,COUNTIF($AB$13:$AM$13,BM.medicao)&gt;0),O149/$I149*100,0))</f>
        <v>0</v>
      </c>
      <c r="M149" s="335" cm="1">
        <f t="array" aca="1" ref="M149" ca="1">IF($A149="S",VTOTALBM,IF($A149=0,0,ROUND(SomaAgrupBM,15-13*ORÇAMENTO!$AF$11)))</f>
        <v>0</v>
      </c>
      <c r="N149" s="336">
        <f t="shared" ca="1" si="18"/>
        <v>0</v>
      </c>
      <c r="O149" s="125" cm="1">
        <f t="array" aca="1" ref="O149" ca="1">IF($A149="S",VTOTALBM,IF($A149=0,0,ROUND(SomaAgrupBM,15-13*ORÇAMENTO!$AF$11)))</f>
        <v>0</v>
      </c>
      <c r="Q149" s="337"/>
      <c r="R149" s="338"/>
      <c r="T149" s="117" t="str">
        <f t="shared" ca="1" si="19"/>
        <v/>
      </c>
      <c r="U149" s="163" t="str">
        <f t="shared" ca="1" si="20"/>
        <v/>
      </c>
      <c r="V149" s="164" t="str" cm="1">
        <f t="array" aca="1" ref="V149" ca="1">IF(AND($W149&gt;0,RegimeExecucao="Unitário"),$F149,"")</f>
        <v/>
      </c>
      <c r="W149" s="454" cm="1">
        <f t="array" aca="1" ref="W149" ca="1">IF($Y149&gt;0,CHOOSE(MATCH(RegimeExecucao,{"Unitário","Global"},0),IF($A149="S",$Y149/$X149,""),($Y149/$X149)*100),0)</f>
        <v>0</v>
      </c>
      <c r="X149" s="339" t="str" cm="1">
        <f t="array" aca="1" ref="X149" ca="1">IF($Y149&gt;0,CHOOSE(MATCH(RegimeExecucao,{"Unitário","Global"},0),IF($A149="S",ROUND($H149,ORÇAMENTO!$AF$10),""),ROUND($I149,ORÇAMENTO!$AF$11)),"")</f>
        <v/>
      </c>
      <c r="Y149" s="339">
        <f t="shared" ca="1" si="21"/>
        <v>0</v>
      </c>
      <c r="Z149" s="473"/>
      <c r="AB149" s="337"/>
      <c r="AC149" s="437"/>
      <c r="AD149" s="437"/>
      <c r="AE149" s="437"/>
      <c r="AF149" s="437"/>
      <c r="AG149" s="437"/>
      <c r="AH149" s="437"/>
      <c r="AI149" s="437"/>
      <c r="AJ149" s="437"/>
      <c r="AK149" s="437"/>
      <c r="AL149" s="437"/>
      <c r="AM149" s="338"/>
      <c r="AO149" s="670" cm="1">
        <f t="array" aca="1" ref="AO149" ca="1">IF($A149="S",IF(BM!$I149=0,0,CHOOSE(MATCH(RegimeExecucao,{"Global","Unitário"},0),ROUND(ROUND(BM.MEDAcumulado,15-13*BM!$A$9)/100*BM!$I149,15-13*ORÇAMENTO!$AF$11),ROUND(ROUND(BM.MEDAcumulado,15-13*BM!$A$9)*ROUND(BM!$H149,15-13*ORÇAMENTO!$AF$10),15-13*ORÇAMENTO!$AF$11))),IF($A149=0,0,ROUND(SomaAgrupBM,15-13*ORÇAMENTO!$AF$11)))</f>
        <v>0</v>
      </c>
    </row>
    <row r="150" spans="1:41" s="670" customFormat="1" ht="25.5" x14ac:dyDescent="0.2">
      <c r="A150" s="670" t="str">
        <f ca="1">ORÇAMENTO!C150</f>
        <v>S</v>
      </c>
      <c r="B150" s="670">
        <f ca="1">ORÇAMENTO!D150</f>
        <v>0</v>
      </c>
      <c r="C150" s="114" t="str">
        <f t="shared" ca="1" si="15"/>
        <v>F</v>
      </c>
      <c r="D150" s="117" t="str">
        <f ca="1">ORÇAMENTO!O150</f>
        <v>1.19.5.</v>
      </c>
      <c r="E150" s="163" t="str">
        <f t="shared" ca="1" si="16"/>
        <v>FUNDO SELADOR ACRÍLICO, APLICAÇÃO MANUAL EM PAREDE, UMA DEMÃO. AF_04/2023</v>
      </c>
      <c r="F150" s="164" t="str" cm="1">
        <f t="array" aca="1" ref="F150" ca="1">IF(RegimeExecucao="Global","",ORÇAMENTO.Unidade)</f>
        <v>M2</v>
      </c>
      <c r="G150" s="122" cm="1">
        <f t="array" aca="1" ref="G150" ca="1">IF(RegimeExecucao="Global","",ORÇAMENTO!T150)</f>
        <v>13</v>
      </c>
      <c r="H150" s="122" cm="1">
        <f t="array" aca="1" ref="H150" ca="1">IF(RegimeExecucao="Global","",ORÇAMENTO!W150)</f>
        <v>6.24</v>
      </c>
      <c r="I150" s="125">
        <f ca="1">ORÇAMENTO!X150</f>
        <v>81.12</v>
      </c>
      <c r="J150" s="333" cm="1">
        <f t="array" aca="1" ref="J150" ca="1">IF($A150="S",IF(CAIXA.Modo,BM.AFAnterior,BM.MEDAnterior),IF(AND(RegimeExecucao="Global",$I150&gt;0,COUNTIF($AB$13:$AM$13,BM.medicao-1)&gt;0),M150/$I150*100,0))</f>
        <v>0</v>
      </c>
      <c r="K150" s="122">
        <f t="shared" ca="1" si="17"/>
        <v>0</v>
      </c>
      <c r="L150" s="334" cm="1">
        <f t="array" aca="1" ref="L150" ca="1">IF($A150="S",IF(CAIXA.Modo,BM.AFAcumulado,BM.MEDAcumulado),IF(AND(RegimeExecucao="Global",$I150&gt;0,COUNTIF($AB$13:$AM$13,BM.medicao)&gt;0),O150/$I150*100,0))</f>
        <v>0</v>
      </c>
      <c r="M150" s="335" cm="1">
        <f t="array" aca="1" ref="M150" ca="1">IF($A150="S",VTOTALBM,IF($A150=0,0,ROUND(SomaAgrupBM,15-13*ORÇAMENTO!$AF$11)))</f>
        <v>0</v>
      </c>
      <c r="N150" s="336">
        <f t="shared" ca="1" si="18"/>
        <v>0</v>
      </c>
      <c r="O150" s="125" cm="1">
        <f t="array" aca="1" ref="O150" ca="1">IF($A150="S",VTOTALBM,IF($A150=0,0,ROUND(SomaAgrupBM,15-13*ORÇAMENTO!$AF$11)))</f>
        <v>0</v>
      </c>
      <c r="Q150" s="337"/>
      <c r="R150" s="338"/>
      <c r="T150" s="117" t="str">
        <f t="shared" ca="1" si="19"/>
        <v/>
      </c>
      <c r="U150" s="163" t="str">
        <f t="shared" ca="1" si="20"/>
        <v/>
      </c>
      <c r="V150" s="164" t="str" cm="1">
        <f t="array" aca="1" ref="V150" ca="1">IF(AND($W150&gt;0,RegimeExecucao="Unitário"),$F150,"")</f>
        <v/>
      </c>
      <c r="W150" s="454" cm="1">
        <f t="array" aca="1" ref="W150" ca="1">IF($Y150&gt;0,CHOOSE(MATCH(RegimeExecucao,{"Unitário","Global"},0),IF($A150="S",$Y150/$X150,""),($Y150/$X150)*100),0)</f>
        <v>0</v>
      </c>
      <c r="X150" s="339" t="str" cm="1">
        <f t="array" aca="1" ref="X150" ca="1">IF($Y150&gt;0,CHOOSE(MATCH(RegimeExecucao,{"Unitário","Global"},0),IF($A150="S",ROUND($H150,ORÇAMENTO!$AF$10),""),ROUND($I150,ORÇAMENTO!$AF$11)),"")</f>
        <v/>
      </c>
      <c r="Y150" s="339">
        <f t="shared" ca="1" si="21"/>
        <v>0</v>
      </c>
      <c r="Z150" s="473"/>
      <c r="AB150" s="337"/>
      <c r="AC150" s="437"/>
      <c r="AD150" s="437"/>
      <c r="AE150" s="437"/>
      <c r="AF150" s="437"/>
      <c r="AG150" s="437"/>
      <c r="AH150" s="437"/>
      <c r="AI150" s="437"/>
      <c r="AJ150" s="437"/>
      <c r="AK150" s="437"/>
      <c r="AL150" s="437"/>
      <c r="AM150" s="338"/>
      <c r="AO150" s="670" cm="1">
        <f t="array" aca="1" ref="AO150" ca="1">IF($A150="S",IF(BM!$I150=0,0,CHOOSE(MATCH(RegimeExecucao,{"Global","Unitário"},0),ROUND(ROUND(BM.MEDAcumulado,15-13*BM!$A$9)/100*BM!$I150,15-13*ORÇAMENTO!$AF$11),ROUND(ROUND(BM.MEDAcumulado,15-13*BM!$A$9)*ROUND(BM!$H150,15-13*ORÇAMENTO!$AF$10),15-13*ORÇAMENTO!$AF$11))),IF($A150=0,0,ROUND(SomaAgrupBM,15-13*ORÇAMENTO!$AF$11)))</f>
        <v>0</v>
      </c>
    </row>
    <row r="151" spans="1:41" s="670" customFormat="1" ht="25.5" x14ac:dyDescent="0.2">
      <c r="A151" s="670" t="str">
        <f ca="1">ORÇAMENTO!C151</f>
        <v>S</v>
      </c>
      <c r="B151" s="670">
        <f ca="1">ORÇAMENTO!D151</f>
        <v>0</v>
      </c>
      <c r="C151" s="114" t="str">
        <f t="shared" ca="1" si="15"/>
        <v>F</v>
      </c>
      <c r="D151" s="117" t="str">
        <f ca="1">ORÇAMENTO!O151</f>
        <v>1.19.6.</v>
      </c>
      <c r="E151" s="163" t="str">
        <f t="shared" ca="1" si="16"/>
        <v>PINTURA LÁTEX ACRÍLICA ECONÔMICA, APLICAÇÃO MANUAL EM PAREDES, DUAS DEMÃOS. AF_04/2023</v>
      </c>
      <c r="F151" s="164" t="str" cm="1">
        <f t="array" aca="1" ref="F151" ca="1">IF(RegimeExecucao="Global","",ORÇAMENTO.Unidade)</f>
        <v>M2</v>
      </c>
      <c r="G151" s="122" cm="1">
        <f t="array" aca="1" ref="G151" ca="1">IF(RegimeExecucao="Global","",ORÇAMENTO!T151)</f>
        <v>13</v>
      </c>
      <c r="H151" s="122" cm="1">
        <f t="array" aca="1" ref="H151" ca="1">IF(RegimeExecucao="Global","",ORÇAMENTO!W151)</f>
        <v>13.58</v>
      </c>
      <c r="I151" s="125">
        <f ca="1">ORÇAMENTO!X151</f>
        <v>176.54</v>
      </c>
      <c r="J151" s="333" cm="1">
        <f t="array" aca="1" ref="J151" ca="1">IF($A151="S",IF(CAIXA.Modo,BM.AFAnterior,BM.MEDAnterior),IF(AND(RegimeExecucao="Global",$I151&gt;0,COUNTIF($AB$13:$AM$13,BM.medicao-1)&gt;0),M151/$I151*100,0))</f>
        <v>0</v>
      </c>
      <c r="K151" s="122">
        <f t="shared" ca="1" si="17"/>
        <v>0</v>
      </c>
      <c r="L151" s="334" cm="1">
        <f t="array" aca="1" ref="L151" ca="1">IF($A151="S",IF(CAIXA.Modo,BM.AFAcumulado,BM.MEDAcumulado),IF(AND(RegimeExecucao="Global",$I151&gt;0,COUNTIF($AB$13:$AM$13,BM.medicao)&gt;0),O151/$I151*100,0))</f>
        <v>0</v>
      </c>
      <c r="M151" s="335" cm="1">
        <f t="array" aca="1" ref="M151" ca="1">IF($A151="S",VTOTALBM,IF($A151=0,0,ROUND(SomaAgrupBM,15-13*ORÇAMENTO!$AF$11)))</f>
        <v>0</v>
      </c>
      <c r="N151" s="336">
        <f t="shared" ca="1" si="18"/>
        <v>0</v>
      </c>
      <c r="O151" s="125" cm="1">
        <f t="array" aca="1" ref="O151" ca="1">IF($A151="S",VTOTALBM,IF($A151=0,0,ROUND(SomaAgrupBM,15-13*ORÇAMENTO!$AF$11)))</f>
        <v>0</v>
      </c>
      <c r="Q151" s="337"/>
      <c r="R151" s="338"/>
      <c r="T151" s="117" t="str">
        <f t="shared" ca="1" si="19"/>
        <v/>
      </c>
      <c r="U151" s="163" t="str">
        <f t="shared" ca="1" si="20"/>
        <v/>
      </c>
      <c r="V151" s="164" t="str" cm="1">
        <f t="array" aca="1" ref="V151" ca="1">IF(AND($W151&gt;0,RegimeExecucao="Unitário"),$F151,"")</f>
        <v/>
      </c>
      <c r="W151" s="454" cm="1">
        <f t="array" aca="1" ref="W151" ca="1">IF($Y151&gt;0,CHOOSE(MATCH(RegimeExecucao,{"Unitário","Global"},0),IF($A151="S",$Y151/$X151,""),($Y151/$X151)*100),0)</f>
        <v>0</v>
      </c>
      <c r="X151" s="339" t="str" cm="1">
        <f t="array" aca="1" ref="X151" ca="1">IF($Y151&gt;0,CHOOSE(MATCH(RegimeExecucao,{"Unitário","Global"},0),IF($A151="S",ROUND($H151,ORÇAMENTO!$AF$10),""),ROUND($I151,ORÇAMENTO!$AF$11)),"")</f>
        <v/>
      </c>
      <c r="Y151" s="339">
        <f t="shared" ca="1" si="21"/>
        <v>0</v>
      </c>
      <c r="Z151" s="473"/>
      <c r="AB151" s="337"/>
      <c r="AC151" s="437"/>
      <c r="AD151" s="437"/>
      <c r="AE151" s="437"/>
      <c r="AF151" s="437"/>
      <c r="AG151" s="437"/>
      <c r="AH151" s="437"/>
      <c r="AI151" s="437"/>
      <c r="AJ151" s="437"/>
      <c r="AK151" s="437"/>
      <c r="AL151" s="437"/>
      <c r="AM151" s="338"/>
      <c r="AO151" s="670" cm="1">
        <f t="array" aca="1" ref="AO151" ca="1">IF($A151="S",IF(BM!$I151=0,0,CHOOSE(MATCH(RegimeExecucao,{"Global","Unitário"},0),ROUND(ROUND(BM.MEDAcumulado,15-13*BM!$A$9)/100*BM!$I151,15-13*ORÇAMENTO!$AF$11),ROUND(ROUND(BM.MEDAcumulado,15-13*BM!$A$9)*ROUND(BM!$H151,15-13*ORÇAMENTO!$AF$10),15-13*ORÇAMENTO!$AF$11))),IF($A151=0,0,ROUND(SomaAgrupBM,15-13*ORÇAMENTO!$AF$11)))</f>
        <v>0</v>
      </c>
    </row>
    <row r="152" spans="1:41" s="670" customFormat="1" ht="25.5" x14ac:dyDescent="0.2">
      <c r="A152" s="670" t="str">
        <f ca="1">ORÇAMENTO!C152</f>
        <v>S</v>
      </c>
      <c r="B152" s="670">
        <f ca="1">ORÇAMENTO!D152</f>
        <v>0</v>
      </c>
      <c r="C152" s="114" t="str">
        <f t="shared" ca="1" si="15"/>
        <v>F</v>
      </c>
      <c r="D152" s="117" t="str">
        <f ca="1">ORÇAMENTO!O152</f>
        <v>1.19.7.</v>
      </c>
      <c r="E152" s="163" t="str">
        <f t="shared" ca="1" si="16"/>
        <v>PINTURA LÁTEX ACRÍLICA STANDARD, APLICAÇÃO MANUAL EM PAREDES, DUAS DEMÃOS. AF_04/2023</v>
      </c>
      <c r="F152" s="164" t="str" cm="1">
        <f t="array" aca="1" ref="F152" ca="1">IF(RegimeExecucao="Global","",ORÇAMENTO.Unidade)</f>
        <v>M2</v>
      </c>
      <c r="G152" s="122" cm="1">
        <f t="array" aca="1" ref="G152" ca="1">IF(RegimeExecucao="Global","",ORÇAMENTO!T152)</f>
        <v>11</v>
      </c>
      <c r="H152" s="122" cm="1">
        <f t="array" aca="1" ref="H152" ca="1">IF(RegimeExecucao="Global","",ORÇAMENTO!W152)</f>
        <v>15.43</v>
      </c>
      <c r="I152" s="125">
        <f ca="1">ORÇAMENTO!X152</f>
        <v>169.73</v>
      </c>
      <c r="J152" s="333" cm="1">
        <f t="array" aca="1" ref="J152" ca="1">IF($A152="S",IF(CAIXA.Modo,BM.AFAnterior,BM.MEDAnterior),IF(AND(RegimeExecucao="Global",$I152&gt;0,COUNTIF($AB$13:$AM$13,BM.medicao-1)&gt;0),M152/$I152*100,0))</f>
        <v>0</v>
      </c>
      <c r="K152" s="122">
        <f t="shared" ca="1" si="17"/>
        <v>0</v>
      </c>
      <c r="L152" s="334" cm="1">
        <f t="array" aca="1" ref="L152" ca="1">IF($A152="S",IF(CAIXA.Modo,BM.AFAcumulado,BM.MEDAcumulado),IF(AND(RegimeExecucao="Global",$I152&gt;0,COUNTIF($AB$13:$AM$13,BM.medicao)&gt;0),O152/$I152*100,0))</f>
        <v>0</v>
      </c>
      <c r="M152" s="335" cm="1">
        <f t="array" aca="1" ref="M152" ca="1">IF($A152="S",VTOTALBM,IF($A152=0,0,ROUND(SomaAgrupBM,15-13*ORÇAMENTO!$AF$11)))</f>
        <v>0</v>
      </c>
      <c r="N152" s="336">
        <f t="shared" ca="1" si="18"/>
        <v>0</v>
      </c>
      <c r="O152" s="125" cm="1">
        <f t="array" aca="1" ref="O152" ca="1">IF($A152="S",VTOTALBM,IF($A152=0,0,ROUND(SomaAgrupBM,15-13*ORÇAMENTO!$AF$11)))</f>
        <v>0</v>
      </c>
      <c r="Q152" s="337"/>
      <c r="R152" s="338"/>
      <c r="T152" s="117" t="str">
        <f t="shared" ca="1" si="19"/>
        <v/>
      </c>
      <c r="U152" s="163" t="str">
        <f t="shared" ca="1" si="20"/>
        <v/>
      </c>
      <c r="V152" s="164" t="str" cm="1">
        <f t="array" aca="1" ref="V152" ca="1">IF(AND($W152&gt;0,RegimeExecucao="Unitário"),$F152,"")</f>
        <v/>
      </c>
      <c r="W152" s="454" cm="1">
        <f t="array" aca="1" ref="W152" ca="1">IF($Y152&gt;0,CHOOSE(MATCH(RegimeExecucao,{"Unitário","Global"},0),IF($A152="S",$Y152/$X152,""),($Y152/$X152)*100),0)</f>
        <v>0</v>
      </c>
      <c r="X152" s="339" t="str" cm="1">
        <f t="array" aca="1" ref="X152" ca="1">IF($Y152&gt;0,CHOOSE(MATCH(RegimeExecucao,{"Unitário","Global"},0),IF($A152="S",ROUND($H152,ORÇAMENTO!$AF$10),""),ROUND($I152,ORÇAMENTO!$AF$11)),"")</f>
        <v/>
      </c>
      <c r="Y152" s="339">
        <f t="shared" ca="1" si="21"/>
        <v>0</v>
      </c>
      <c r="Z152" s="473"/>
      <c r="AB152" s="337"/>
      <c r="AC152" s="437"/>
      <c r="AD152" s="437"/>
      <c r="AE152" s="437"/>
      <c r="AF152" s="437"/>
      <c r="AG152" s="437"/>
      <c r="AH152" s="437"/>
      <c r="AI152" s="437"/>
      <c r="AJ152" s="437"/>
      <c r="AK152" s="437"/>
      <c r="AL152" s="437"/>
      <c r="AM152" s="338"/>
      <c r="AO152" s="670" cm="1">
        <f t="array" aca="1" ref="AO152" ca="1">IF($A152="S",IF(BM!$I152=0,0,CHOOSE(MATCH(RegimeExecucao,{"Global","Unitário"},0),ROUND(ROUND(BM.MEDAcumulado,15-13*BM!$A$9)/100*BM!$I152,15-13*ORÇAMENTO!$AF$11),ROUND(ROUND(BM.MEDAcumulado,15-13*BM!$A$9)*ROUND(BM!$H152,15-13*ORÇAMENTO!$AF$10),15-13*ORÇAMENTO!$AF$11))),IF($A152=0,0,ROUND(SomaAgrupBM,15-13*ORÇAMENTO!$AF$11)))</f>
        <v>0</v>
      </c>
    </row>
    <row r="153" spans="1:41" s="670" customFormat="1" ht="25.5" x14ac:dyDescent="0.2">
      <c r="A153" s="670" t="str">
        <f ca="1">ORÇAMENTO!C153</f>
        <v>S</v>
      </c>
      <c r="B153" s="670">
        <f ca="1">ORÇAMENTO!D153</f>
        <v>0</v>
      </c>
      <c r="C153" s="114" t="str">
        <f t="shared" ca="1" si="15"/>
        <v>F</v>
      </c>
      <c r="D153" s="117" t="str">
        <f ca="1">ORÇAMENTO!O153</f>
        <v>1.19.8.</v>
      </c>
      <c r="E153" s="163" t="str">
        <f t="shared" ca="1" si="16"/>
        <v>PINTURA LÁTEX ACRÍLICA PREMIUM, APLICAÇÃO MANUAL EM PAREDES, DUAS DEMÃOS. AF_04/2023</v>
      </c>
      <c r="F153" s="164" t="str" cm="1">
        <f t="array" aca="1" ref="F153" ca="1">IF(RegimeExecucao="Global","",ORÇAMENTO.Unidade)</f>
        <v>M2</v>
      </c>
      <c r="G153" s="122" cm="1">
        <f t="array" aca="1" ref="G153" ca="1">IF(RegimeExecucao="Global","",ORÇAMENTO!T153)</f>
        <v>1</v>
      </c>
      <c r="H153" s="122" cm="1">
        <f t="array" aca="1" ref="H153" ca="1">IF(RegimeExecucao="Global","",ORÇAMENTO!W153)</f>
        <v>18.559999999999999</v>
      </c>
      <c r="I153" s="125">
        <f ca="1">ORÇAMENTO!X153</f>
        <v>18.559999999999999</v>
      </c>
      <c r="J153" s="333" cm="1">
        <f t="array" aca="1" ref="J153" ca="1">IF($A153="S",IF(CAIXA.Modo,BM.AFAnterior,BM.MEDAnterior),IF(AND(RegimeExecucao="Global",$I153&gt;0,COUNTIF($AB$13:$AM$13,BM.medicao-1)&gt;0),M153/$I153*100,0))</f>
        <v>0</v>
      </c>
      <c r="K153" s="122">
        <f t="shared" ca="1" si="17"/>
        <v>0</v>
      </c>
      <c r="L153" s="334" cm="1">
        <f t="array" aca="1" ref="L153" ca="1">IF($A153="S",IF(CAIXA.Modo,BM.AFAcumulado,BM.MEDAcumulado),IF(AND(RegimeExecucao="Global",$I153&gt;0,COUNTIF($AB$13:$AM$13,BM.medicao)&gt;0),O153/$I153*100,0))</f>
        <v>0</v>
      </c>
      <c r="M153" s="335" cm="1">
        <f t="array" aca="1" ref="M153" ca="1">IF($A153="S",VTOTALBM,IF($A153=0,0,ROUND(SomaAgrupBM,15-13*ORÇAMENTO!$AF$11)))</f>
        <v>0</v>
      </c>
      <c r="N153" s="336">
        <f t="shared" ca="1" si="18"/>
        <v>0</v>
      </c>
      <c r="O153" s="125" cm="1">
        <f t="array" aca="1" ref="O153" ca="1">IF($A153="S",VTOTALBM,IF($A153=0,0,ROUND(SomaAgrupBM,15-13*ORÇAMENTO!$AF$11)))</f>
        <v>0</v>
      </c>
      <c r="Q153" s="337"/>
      <c r="R153" s="338"/>
      <c r="T153" s="117" t="str">
        <f t="shared" ca="1" si="19"/>
        <v/>
      </c>
      <c r="U153" s="163" t="str">
        <f t="shared" ca="1" si="20"/>
        <v/>
      </c>
      <c r="V153" s="164" t="str" cm="1">
        <f t="array" aca="1" ref="V153" ca="1">IF(AND($W153&gt;0,RegimeExecucao="Unitário"),$F153,"")</f>
        <v/>
      </c>
      <c r="W153" s="454" cm="1">
        <f t="array" aca="1" ref="W153" ca="1">IF($Y153&gt;0,CHOOSE(MATCH(RegimeExecucao,{"Unitário","Global"},0),IF($A153="S",$Y153/$X153,""),($Y153/$X153)*100),0)</f>
        <v>0</v>
      </c>
      <c r="X153" s="339" t="str" cm="1">
        <f t="array" aca="1" ref="X153" ca="1">IF($Y153&gt;0,CHOOSE(MATCH(RegimeExecucao,{"Unitário","Global"},0),IF($A153="S",ROUND($H153,ORÇAMENTO!$AF$10),""),ROUND($I153,ORÇAMENTO!$AF$11)),"")</f>
        <v/>
      </c>
      <c r="Y153" s="339">
        <f t="shared" ca="1" si="21"/>
        <v>0</v>
      </c>
      <c r="Z153" s="473"/>
      <c r="AB153" s="337"/>
      <c r="AC153" s="437"/>
      <c r="AD153" s="437"/>
      <c r="AE153" s="437"/>
      <c r="AF153" s="437"/>
      <c r="AG153" s="437"/>
      <c r="AH153" s="437"/>
      <c r="AI153" s="437"/>
      <c r="AJ153" s="437"/>
      <c r="AK153" s="437"/>
      <c r="AL153" s="437"/>
      <c r="AM153" s="338"/>
      <c r="AO153" s="670" cm="1">
        <f t="array" aca="1" ref="AO153" ca="1">IF($A153="S",IF(BM!$I153=0,0,CHOOSE(MATCH(RegimeExecucao,{"Global","Unitário"},0),ROUND(ROUND(BM.MEDAcumulado,15-13*BM!$A$9)/100*BM!$I153,15-13*ORÇAMENTO!$AF$11),ROUND(ROUND(BM.MEDAcumulado,15-13*BM!$A$9)*ROUND(BM!$H153,15-13*ORÇAMENTO!$AF$10),15-13*ORÇAMENTO!$AF$11))),IF($A153=0,0,ROUND(SomaAgrupBM,15-13*ORÇAMENTO!$AF$11)))</f>
        <v>0</v>
      </c>
    </row>
    <row r="154" spans="1:41" s="670" customFormat="1" x14ac:dyDescent="0.2">
      <c r="A154" s="670">
        <f ca="1">ORÇAMENTO!C154</f>
        <v>2</v>
      </c>
      <c r="B154" s="670">
        <f ca="1">ORÇAMENTO!D154</f>
        <v>2</v>
      </c>
      <c r="C154" s="114" t="str">
        <f t="shared" ca="1" si="15"/>
        <v>F</v>
      </c>
      <c r="D154" s="117" t="str">
        <f ca="1">ORÇAMENTO!O154</f>
        <v>1.20.</v>
      </c>
      <c r="E154" s="163" t="str">
        <f t="shared" si="16"/>
        <v>OBRAS COMPLEMENTARES - Estação Elevatória de Água Tratada</v>
      </c>
      <c r="F154" s="164" t="str" cm="1">
        <f t="array" aca="1" ref="F154" ca="1">IF(RegimeExecucao="Global","",ORÇAMENTO.Unidade)</f>
        <v>-</v>
      </c>
      <c r="G154" s="122" cm="1">
        <f t="array" aca="1" ref="G154" ca="1">IF(RegimeExecucao="Global","",ORÇAMENTO!T154)</f>
        <v>0</v>
      </c>
      <c r="H154" s="122" cm="1">
        <f t="array" aca="1" ref="H154" ca="1">IF(RegimeExecucao="Global","",ORÇAMENTO!W154)</f>
        <v>0</v>
      </c>
      <c r="I154" s="125">
        <f ca="1">ORÇAMENTO!X154</f>
        <v>5078.09</v>
      </c>
      <c r="J154" s="333" cm="1">
        <f t="array" aca="1" ref="J154" ca="1">IF($A154="S",IF(CAIXA.Modo,BM.AFAnterior,BM.MEDAnterior),IF(AND(RegimeExecucao="Global",$I154&gt;0,COUNTIF($AB$13:$AM$13,BM.medicao-1)&gt;0),M154/$I154*100,0))</f>
        <v>0</v>
      </c>
      <c r="K154" s="122">
        <f t="shared" ca="1" si="17"/>
        <v>0</v>
      </c>
      <c r="L154" s="334" cm="1">
        <f t="array" aca="1" ref="L154" ca="1">IF($A154="S",IF(CAIXA.Modo,BM.AFAcumulado,BM.MEDAcumulado),IF(AND(RegimeExecucao="Global",$I154&gt;0,COUNTIF($AB$13:$AM$13,BM.medicao)&gt;0),O154/$I154*100,0))</f>
        <v>0</v>
      </c>
      <c r="M154" s="335" cm="1">
        <f t="array" aca="1" ref="M154" ca="1">IF($A154="S",VTOTALBM,IF($A154=0,0,ROUND(SomaAgrupBM,15-13*ORÇAMENTO!$AF$11)))</f>
        <v>0</v>
      </c>
      <c r="N154" s="336">
        <f t="shared" ca="1" si="18"/>
        <v>0</v>
      </c>
      <c r="O154" s="125" cm="1">
        <f t="array" aca="1" ref="O154" ca="1">IF($A154="S",VTOTALBM,IF($A154=0,0,ROUND(SomaAgrupBM,15-13*ORÇAMENTO!$AF$11)))</f>
        <v>0</v>
      </c>
      <c r="Q154" s="337"/>
      <c r="R154" s="338"/>
      <c r="T154" s="117" t="str">
        <f t="shared" ca="1" si="19"/>
        <v/>
      </c>
      <c r="U154" s="163" t="str">
        <f t="shared" ca="1" si="20"/>
        <v/>
      </c>
      <c r="V154" s="164" t="str" cm="1">
        <f t="array" aca="1" ref="V154" ca="1">IF(AND($W154&gt;0,RegimeExecucao="Unitário"),$F154,"")</f>
        <v/>
      </c>
      <c r="W154" s="454" cm="1">
        <f t="array" aca="1" ref="W154" ca="1">IF($Y154&gt;0,CHOOSE(MATCH(RegimeExecucao,{"Unitário","Global"},0),IF($A154="S",$Y154/$X154,""),($Y154/$X154)*100),0)</f>
        <v>0</v>
      </c>
      <c r="X154" s="339" t="str" cm="1">
        <f t="array" aca="1" ref="X154" ca="1">IF($Y154&gt;0,CHOOSE(MATCH(RegimeExecucao,{"Unitário","Global"},0),IF($A154="S",ROUND($H154,ORÇAMENTO!$AF$10),""),ROUND($I154,ORÇAMENTO!$AF$11)),"")</f>
        <v/>
      </c>
      <c r="Y154" s="339">
        <f t="shared" ca="1" si="21"/>
        <v>0</v>
      </c>
      <c r="Z154" s="473"/>
      <c r="AB154" s="337"/>
      <c r="AC154" s="437"/>
      <c r="AD154" s="437"/>
      <c r="AE154" s="437"/>
      <c r="AF154" s="437"/>
      <c r="AG154" s="437"/>
      <c r="AH154" s="437"/>
      <c r="AI154" s="437"/>
      <c r="AJ154" s="437"/>
      <c r="AK154" s="437"/>
      <c r="AL154" s="437"/>
      <c r="AM154" s="338"/>
      <c r="AO154" s="670" cm="1">
        <f t="array" aca="1" ref="AO154" ca="1">IF($A154="S",IF(BM!$I154=0,0,CHOOSE(MATCH(RegimeExecucao,{"Global","Unitário"},0),ROUND(ROUND(BM.MEDAcumulado,15-13*BM!$A$9)/100*BM!$I154,15-13*ORÇAMENTO!$AF$11),ROUND(ROUND(BM.MEDAcumulado,15-13*BM!$A$9)*ROUND(BM!$H154,15-13*ORÇAMENTO!$AF$10),15-13*ORÇAMENTO!$AF$11))),IF($A154=0,0,ROUND(SomaAgrupBM,15-13*ORÇAMENTO!$AF$11)))</f>
        <v>0</v>
      </c>
    </row>
    <row r="155" spans="1:41" s="670" customFormat="1" ht="38.25" x14ac:dyDescent="0.2">
      <c r="A155" s="670" t="str">
        <f ca="1">ORÇAMENTO!C155</f>
        <v>S</v>
      </c>
      <c r="B155" s="670">
        <f ca="1">ORÇAMENTO!D155</f>
        <v>0</v>
      </c>
      <c r="C155" s="114" t="str">
        <f t="shared" ca="1" si="15"/>
        <v>F</v>
      </c>
      <c r="D155" s="117" t="str">
        <f ca="1">ORÇAMENTO!O155</f>
        <v>1.20.1.</v>
      </c>
      <c r="E155" s="163" t="str">
        <f t="shared" ca="1" si="16"/>
        <v>BLOQUETE/PISO DE CONCRETO - MODELO PISOGRAMA/CONCREGRAMA 2 FUROS, DIMENSOES APROX. DE *35 X 15* CM E ESPESSURA DE 7 CM (+/- 1 CM), COR NATURAL</v>
      </c>
      <c r="F155" s="164" cm="1">
        <f t="array" aca="1" ref="F155" ca="1">IF(RegimeExecucao="Global","",ORÇAMENTO.Unidade)</f>
        <v>0</v>
      </c>
      <c r="G155" s="122" cm="1">
        <f t="array" aca="1" ref="G155" ca="1">IF(RegimeExecucao="Global","",ORÇAMENTO!T155)</f>
        <v>42.24</v>
      </c>
      <c r="H155" s="122" cm="1">
        <f t="array" aca="1" ref="H155" ca="1">IF(RegimeExecucao="Global","",ORÇAMENTO!W155)</f>
        <v>120.22</v>
      </c>
      <c r="I155" s="125">
        <f ca="1">ORÇAMENTO!X155</f>
        <v>5078.09</v>
      </c>
      <c r="J155" s="333" cm="1">
        <f t="array" aca="1" ref="J155" ca="1">IF($A155="S",IF(CAIXA.Modo,BM.AFAnterior,BM.MEDAnterior),IF(AND(RegimeExecucao="Global",$I155&gt;0,COUNTIF($AB$13:$AM$13,BM.medicao-1)&gt;0),M155/$I155*100,0))</f>
        <v>0</v>
      </c>
      <c r="K155" s="122">
        <f t="shared" ca="1" si="17"/>
        <v>0</v>
      </c>
      <c r="L155" s="334" cm="1">
        <f t="array" aca="1" ref="L155" ca="1">IF($A155="S",IF(CAIXA.Modo,BM.AFAcumulado,BM.MEDAcumulado),IF(AND(RegimeExecucao="Global",$I155&gt;0,COUNTIF($AB$13:$AM$13,BM.medicao)&gt;0),O155/$I155*100,0))</f>
        <v>0</v>
      </c>
      <c r="M155" s="335" cm="1">
        <f t="array" aca="1" ref="M155" ca="1">IF($A155="S",VTOTALBM,IF($A155=0,0,ROUND(SomaAgrupBM,15-13*ORÇAMENTO!$AF$11)))</f>
        <v>0</v>
      </c>
      <c r="N155" s="336">
        <f t="shared" ca="1" si="18"/>
        <v>0</v>
      </c>
      <c r="O155" s="125" cm="1">
        <f t="array" aca="1" ref="O155" ca="1">IF($A155="S",VTOTALBM,IF($A155=0,0,ROUND(SomaAgrupBM,15-13*ORÇAMENTO!$AF$11)))</f>
        <v>0</v>
      </c>
      <c r="Q155" s="337"/>
      <c r="R155" s="338"/>
      <c r="T155" s="117" t="str">
        <f t="shared" ca="1" si="19"/>
        <v/>
      </c>
      <c r="U155" s="163" t="str">
        <f t="shared" ca="1" si="20"/>
        <v/>
      </c>
      <c r="V155" s="164" t="str" cm="1">
        <f t="array" aca="1" ref="V155" ca="1">IF(AND($W155&gt;0,RegimeExecucao="Unitário"),$F155,"")</f>
        <v/>
      </c>
      <c r="W155" s="454" cm="1">
        <f t="array" aca="1" ref="W155" ca="1">IF($Y155&gt;0,CHOOSE(MATCH(RegimeExecucao,{"Unitário","Global"},0),IF($A155="S",$Y155/$X155,""),($Y155/$X155)*100),0)</f>
        <v>0</v>
      </c>
      <c r="X155" s="339" t="str" cm="1">
        <f t="array" aca="1" ref="X155" ca="1">IF($Y155&gt;0,CHOOSE(MATCH(RegimeExecucao,{"Unitário","Global"},0),IF($A155="S",ROUND($H155,ORÇAMENTO!$AF$10),""),ROUND($I155,ORÇAMENTO!$AF$11)),"")</f>
        <v/>
      </c>
      <c r="Y155" s="339">
        <f t="shared" ca="1" si="21"/>
        <v>0</v>
      </c>
      <c r="Z155" s="473"/>
      <c r="AB155" s="337"/>
      <c r="AC155" s="437"/>
      <c r="AD155" s="437"/>
      <c r="AE155" s="437"/>
      <c r="AF155" s="437"/>
      <c r="AG155" s="437"/>
      <c r="AH155" s="437"/>
      <c r="AI155" s="437"/>
      <c r="AJ155" s="437"/>
      <c r="AK155" s="437"/>
      <c r="AL155" s="437"/>
      <c r="AM155" s="338"/>
      <c r="AO155" s="670" cm="1">
        <f t="array" aca="1" ref="AO155" ca="1">IF($A155="S",IF(BM!$I155=0,0,CHOOSE(MATCH(RegimeExecucao,{"Global","Unitário"},0),ROUND(ROUND(BM.MEDAcumulado,15-13*BM!$A$9)/100*BM!$I155,15-13*ORÇAMENTO!$AF$11),ROUND(ROUND(BM.MEDAcumulado,15-13*BM!$A$9)*ROUND(BM!$H155,15-13*ORÇAMENTO!$AF$10),15-13*ORÇAMENTO!$AF$11))),IF($A155=0,0,ROUND(SomaAgrupBM,15-13*ORÇAMENTO!$AF$11)))</f>
        <v>0</v>
      </c>
    </row>
    <row r="156" spans="1:41" s="670" customFormat="1" ht="25.5" x14ac:dyDescent="0.2">
      <c r="A156" s="670">
        <f ca="1">ORÇAMENTO!C156</f>
        <v>2</v>
      </c>
      <c r="B156" s="670">
        <f ca="1">ORÇAMENTO!D156</f>
        <v>10</v>
      </c>
      <c r="C156" s="114" t="str">
        <f t="shared" ca="1" si="15"/>
        <v>F</v>
      </c>
      <c r="D156" s="117" t="str">
        <f ca="1">ORÇAMENTO!O156</f>
        <v>1.21.</v>
      </c>
      <c r="E156" s="163" t="str">
        <f t="shared" si="16"/>
        <v>MATERIAIS E EQUIPAMENTOS HIDRAULICOS PARA BARRILETE - Estação Elevatória de Água Tratada</v>
      </c>
      <c r="F156" s="164" t="str" cm="1">
        <f t="array" aca="1" ref="F156" ca="1">IF(RegimeExecucao="Global","",ORÇAMENTO.Unidade)</f>
        <v>-</v>
      </c>
      <c r="G156" s="122" cm="1">
        <f t="array" aca="1" ref="G156" ca="1">IF(RegimeExecucao="Global","",ORÇAMENTO!T156)</f>
        <v>0</v>
      </c>
      <c r="H156" s="122" cm="1">
        <f t="array" aca="1" ref="H156" ca="1">IF(RegimeExecucao="Global","",ORÇAMENTO!W156)</f>
        <v>0</v>
      </c>
      <c r="I156" s="125">
        <f ca="1">ORÇAMENTO!X156</f>
        <v>40811.35</v>
      </c>
      <c r="J156" s="333" cm="1">
        <f t="array" aca="1" ref="J156" ca="1">IF($A156="S",IF(CAIXA.Modo,BM.AFAnterior,BM.MEDAnterior),IF(AND(RegimeExecucao="Global",$I156&gt;0,COUNTIF($AB$13:$AM$13,BM.medicao-1)&gt;0),M156/$I156*100,0))</f>
        <v>0</v>
      </c>
      <c r="K156" s="122">
        <f t="shared" ca="1" si="17"/>
        <v>0</v>
      </c>
      <c r="L156" s="334" cm="1">
        <f t="array" aca="1" ref="L156" ca="1">IF($A156="S",IF(CAIXA.Modo,BM.AFAcumulado,BM.MEDAcumulado),IF(AND(RegimeExecucao="Global",$I156&gt;0,COUNTIF($AB$13:$AM$13,BM.medicao)&gt;0),O156/$I156*100,0))</f>
        <v>0</v>
      </c>
      <c r="M156" s="335" cm="1">
        <f t="array" aca="1" ref="M156" ca="1">IF($A156="S",VTOTALBM,IF($A156=0,0,ROUND(SomaAgrupBM,15-13*ORÇAMENTO!$AF$11)))</f>
        <v>0</v>
      </c>
      <c r="N156" s="336">
        <f t="shared" ca="1" si="18"/>
        <v>0</v>
      </c>
      <c r="O156" s="125" cm="1">
        <f t="array" aca="1" ref="O156" ca="1">IF($A156="S",VTOTALBM,IF($A156=0,0,ROUND(SomaAgrupBM,15-13*ORÇAMENTO!$AF$11)))</f>
        <v>0</v>
      </c>
      <c r="Q156" s="337"/>
      <c r="R156" s="338"/>
      <c r="T156" s="117" t="str">
        <f t="shared" ca="1" si="19"/>
        <v/>
      </c>
      <c r="U156" s="163" t="str">
        <f t="shared" ca="1" si="20"/>
        <v/>
      </c>
      <c r="V156" s="164" t="str" cm="1">
        <f t="array" aca="1" ref="V156" ca="1">IF(AND($W156&gt;0,RegimeExecucao="Unitário"),$F156,"")</f>
        <v/>
      </c>
      <c r="W156" s="454" cm="1">
        <f t="array" aca="1" ref="W156" ca="1">IF($Y156&gt;0,CHOOSE(MATCH(RegimeExecucao,{"Unitário","Global"},0),IF($A156="S",$Y156/$X156,""),($Y156/$X156)*100),0)</f>
        <v>0</v>
      </c>
      <c r="X156" s="339" t="str" cm="1">
        <f t="array" aca="1" ref="X156" ca="1">IF($Y156&gt;0,CHOOSE(MATCH(RegimeExecucao,{"Unitário","Global"},0),IF($A156="S",ROUND($H156,ORÇAMENTO!$AF$10),""),ROUND($I156,ORÇAMENTO!$AF$11)),"")</f>
        <v/>
      </c>
      <c r="Y156" s="339">
        <f t="shared" ca="1" si="21"/>
        <v>0</v>
      </c>
      <c r="Z156" s="473"/>
      <c r="AB156" s="337"/>
      <c r="AC156" s="437"/>
      <c r="AD156" s="437"/>
      <c r="AE156" s="437"/>
      <c r="AF156" s="437"/>
      <c r="AG156" s="437"/>
      <c r="AH156" s="437"/>
      <c r="AI156" s="437"/>
      <c r="AJ156" s="437"/>
      <c r="AK156" s="437"/>
      <c r="AL156" s="437"/>
      <c r="AM156" s="338"/>
      <c r="AO156" s="670" cm="1">
        <f t="array" aca="1" ref="AO156" ca="1">IF($A156="S",IF(BM!$I156=0,0,CHOOSE(MATCH(RegimeExecucao,{"Global","Unitário"},0),ROUND(ROUND(BM.MEDAcumulado,15-13*BM!$A$9)/100*BM!$I156,15-13*ORÇAMENTO!$AF$11),ROUND(ROUND(BM.MEDAcumulado,15-13*BM!$A$9)*ROUND(BM!$H156,15-13*ORÇAMENTO!$AF$10),15-13*ORÇAMENTO!$AF$11))),IF($A156=0,0,ROUND(SomaAgrupBM,15-13*ORÇAMENTO!$AF$11)))</f>
        <v>0</v>
      </c>
    </row>
    <row r="157" spans="1:41" s="670" customFormat="1" x14ac:dyDescent="0.2">
      <c r="A157" s="670" t="str">
        <f ca="1">ORÇAMENTO!C157</f>
        <v>S</v>
      </c>
      <c r="B157" s="670">
        <f ca="1">ORÇAMENTO!D157</f>
        <v>0</v>
      </c>
      <c r="C157" s="114" t="str">
        <f t="shared" ca="1" si="15"/>
        <v>F</v>
      </c>
      <c r="D157" s="117" t="str">
        <f ca="1">ORÇAMENTO!O157</f>
        <v>1.21.1.</v>
      </c>
      <c r="E157" s="163" t="str">
        <f t="shared" ca="1" si="16"/>
        <v>tubo em ferro fundido, c/ flanges PN 10, diam. =  200mm, L=1,00m</v>
      </c>
      <c r="F157" s="164" t="str" cm="1">
        <f t="array" aca="1" ref="F157" ca="1">IF(RegimeExecucao="Global","",ORÇAMENTO.Unidade)</f>
        <v>UNIDADE</v>
      </c>
      <c r="G157" s="122" cm="1">
        <f t="array" aca="1" ref="G157" ca="1">IF(RegimeExecucao="Global","",ORÇAMENTO!T157)</f>
        <v>2</v>
      </c>
      <c r="H157" s="122" cm="1">
        <f t="array" aca="1" ref="H157" ca="1">IF(RegimeExecucao="Global","",ORÇAMENTO!W157)</f>
        <v>3987.89</v>
      </c>
      <c r="I157" s="125">
        <f ca="1">ORÇAMENTO!X157</f>
        <v>7975.78</v>
      </c>
      <c r="J157" s="333" cm="1">
        <f t="array" aca="1" ref="J157" ca="1">IF($A157="S",IF(CAIXA.Modo,BM.AFAnterior,BM.MEDAnterior),IF(AND(RegimeExecucao="Global",$I157&gt;0,COUNTIF($AB$13:$AM$13,BM.medicao-1)&gt;0),M157/$I157*100,0))</f>
        <v>0</v>
      </c>
      <c r="K157" s="122">
        <f t="shared" ca="1" si="17"/>
        <v>0</v>
      </c>
      <c r="L157" s="334" cm="1">
        <f t="array" aca="1" ref="L157" ca="1">IF($A157="S",IF(CAIXA.Modo,BM.AFAcumulado,BM.MEDAcumulado),IF(AND(RegimeExecucao="Global",$I157&gt;0,COUNTIF($AB$13:$AM$13,BM.medicao)&gt;0),O157/$I157*100,0))</f>
        <v>0</v>
      </c>
      <c r="M157" s="335" cm="1">
        <f t="array" aca="1" ref="M157" ca="1">IF($A157="S",VTOTALBM,IF($A157=0,0,ROUND(SomaAgrupBM,15-13*ORÇAMENTO!$AF$11)))</f>
        <v>0</v>
      </c>
      <c r="N157" s="336">
        <f t="shared" ca="1" si="18"/>
        <v>0</v>
      </c>
      <c r="O157" s="125" cm="1">
        <f t="array" aca="1" ref="O157" ca="1">IF($A157="S",VTOTALBM,IF($A157=0,0,ROUND(SomaAgrupBM,15-13*ORÇAMENTO!$AF$11)))</f>
        <v>0</v>
      </c>
      <c r="Q157" s="337"/>
      <c r="R157" s="338"/>
      <c r="T157" s="117" t="str">
        <f t="shared" ca="1" si="19"/>
        <v/>
      </c>
      <c r="U157" s="163" t="str">
        <f t="shared" ca="1" si="20"/>
        <v/>
      </c>
      <c r="V157" s="164" t="str" cm="1">
        <f t="array" aca="1" ref="V157" ca="1">IF(AND($W157&gt;0,RegimeExecucao="Unitário"),$F157,"")</f>
        <v/>
      </c>
      <c r="W157" s="454" cm="1">
        <f t="array" aca="1" ref="W157" ca="1">IF($Y157&gt;0,CHOOSE(MATCH(RegimeExecucao,{"Unitário","Global"},0),IF($A157="S",$Y157/$X157,""),($Y157/$X157)*100),0)</f>
        <v>0</v>
      </c>
      <c r="X157" s="339" t="str" cm="1">
        <f t="array" aca="1" ref="X157" ca="1">IF($Y157&gt;0,CHOOSE(MATCH(RegimeExecucao,{"Unitário","Global"},0),IF($A157="S",ROUND($H157,ORÇAMENTO!$AF$10),""),ROUND($I157,ORÇAMENTO!$AF$11)),"")</f>
        <v/>
      </c>
      <c r="Y157" s="339">
        <f t="shared" ca="1" si="21"/>
        <v>0</v>
      </c>
      <c r="Z157" s="473"/>
      <c r="AB157" s="337"/>
      <c r="AC157" s="437"/>
      <c r="AD157" s="437"/>
      <c r="AE157" s="437"/>
      <c r="AF157" s="437"/>
      <c r="AG157" s="437"/>
      <c r="AH157" s="437"/>
      <c r="AI157" s="437"/>
      <c r="AJ157" s="437"/>
      <c r="AK157" s="437"/>
      <c r="AL157" s="437"/>
      <c r="AM157" s="338"/>
      <c r="AO157" s="670" cm="1">
        <f t="array" aca="1" ref="AO157" ca="1">IF($A157="S",IF(BM!$I157=0,0,CHOOSE(MATCH(RegimeExecucao,{"Global","Unitário"},0),ROUND(ROUND(BM.MEDAcumulado,15-13*BM!$A$9)/100*BM!$I157,15-13*ORÇAMENTO!$AF$11),ROUND(ROUND(BM.MEDAcumulado,15-13*BM!$A$9)*ROUND(BM!$H157,15-13*ORÇAMENTO!$AF$10),15-13*ORÇAMENTO!$AF$11))),IF($A157=0,0,ROUND(SomaAgrupBM,15-13*ORÇAMENTO!$AF$11)))</f>
        <v>0</v>
      </c>
    </row>
    <row r="158" spans="1:41" s="670" customFormat="1" x14ac:dyDescent="0.2">
      <c r="A158" s="670" t="str">
        <f ca="1">ORÇAMENTO!C158</f>
        <v>S</v>
      </c>
      <c r="B158" s="670">
        <f ca="1">ORÇAMENTO!D158</f>
        <v>0</v>
      </c>
      <c r="C158" s="114" t="str">
        <f t="shared" ca="1" si="15"/>
        <v>F</v>
      </c>
      <c r="D158" s="117" t="str">
        <f ca="1">ORÇAMENTO!O158</f>
        <v>1.21.2.</v>
      </c>
      <c r="E158" s="163" t="str">
        <f t="shared" ca="1" si="16"/>
        <v>curva 90º, em ferro fundido, com flanges pn 10, diam. =  200mm</v>
      </c>
      <c r="F158" s="164" t="str" cm="1">
        <f t="array" aca="1" ref="F158" ca="1">IF(RegimeExecucao="Global","",ORÇAMENTO.Unidade)</f>
        <v>UNIDADE</v>
      </c>
      <c r="G158" s="122" cm="1">
        <f t="array" aca="1" ref="G158" ca="1">IF(RegimeExecucao="Global","",ORÇAMENTO!T158)</f>
        <v>3</v>
      </c>
      <c r="H158" s="122" cm="1">
        <f t="array" aca="1" ref="H158" ca="1">IF(RegimeExecucao="Global","",ORÇAMENTO!W158)</f>
        <v>1325.01</v>
      </c>
      <c r="I158" s="125">
        <f ca="1">ORÇAMENTO!X158</f>
        <v>3975.03</v>
      </c>
      <c r="J158" s="333" cm="1">
        <f t="array" aca="1" ref="J158" ca="1">IF($A158="S",IF(CAIXA.Modo,BM.AFAnterior,BM.MEDAnterior),IF(AND(RegimeExecucao="Global",$I158&gt;0,COUNTIF($AB$13:$AM$13,BM.medicao-1)&gt;0),M158/$I158*100,0))</f>
        <v>0</v>
      </c>
      <c r="K158" s="122">
        <f t="shared" ca="1" si="17"/>
        <v>0</v>
      </c>
      <c r="L158" s="334" cm="1">
        <f t="array" aca="1" ref="L158" ca="1">IF($A158="S",IF(CAIXA.Modo,BM.AFAcumulado,BM.MEDAcumulado),IF(AND(RegimeExecucao="Global",$I158&gt;0,COUNTIF($AB$13:$AM$13,BM.medicao)&gt;0),O158/$I158*100,0))</f>
        <v>0</v>
      </c>
      <c r="M158" s="335" cm="1">
        <f t="array" aca="1" ref="M158" ca="1">IF($A158="S",VTOTALBM,IF($A158=0,0,ROUND(SomaAgrupBM,15-13*ORÇAMENTO!$AF$11)))</f>
        <v>0</v>
      </c>
      <c r="N158" s="336">
        <f t="shared" ca="1" si="18"/>
        <v>0</v>
      </c>
      <c r="O158" s="125" cm="1">
        <f t="array" aca="1" ref="O158" ca="1">IF($A158="S",VTOTALBM,IF($A158=0,0,ROUND(SomaAgrupBM,15-13*ORÇAMENTO!$AF$11)))</f>
        <v>0</v>
      </c>
      <c r="Q158" s="337"/>
      <c r="R158" s="338"/>
      <c r="T158" s="117" t="str">
        <f t="shared" ca="1" si="19"/>
        <v/>
      </c>
      <c r="U158" s="163" t="str">
        <f t="shared" ca="1" si="20"/>
        <v/>
      </c>
      <c r="V158" s="164" t="str" cm="1">
        <f t="array" aca="1" ref="V158" ca="1">IF(AND($W158&gt;0,RegimeExecucao="Unitário"),$F158,"")</f>
        <v/>
      </c>
      <c r="W158" s="454" cm="1">
        <f t="array" aca="1" ref="W158" ca="1">IF($Y158&gt;0,CHOOSE(MATCH(RegimeExecucao,{"Unitário","Global"},0),IF($A158="S",$Y158/$X158,""),($Y158/$X158)*100),0)</f>
        <v>0</v>
      </c>
      <c r="X158" s="339" t="str" cm="1">
        <f t="array" aca="1" ref="X158" ca="1">IF($Y158&gt;0,CHOOSE(MATCH(RegimeExecucao,{"Unitário","Global"},0),IF($A158="S",ROUND($H158,ORÇAMENTO!$AF$10),""),ROUND($I158,ORÇAMENTO!$AF$11)),"")</f>
        <v/>
      </c>
      <c r="Y158" s="339">
        <f t="shared" ca="1" si="21"/>
        <v>0</v>
      </c>
      <c r="Z158" s="473"/>
      <c r="AB158" s="337"/>
      <c r="AC158" s="437"/>
      <c r="AD158" s="437"/>
      <c r="AE158" s="437"/>
      <c r="AF158" s="437"/>
      <c r="AG158" s="437"/>
      <c r="AH158" s="437"/>
      <c r="AI158" s="437"/>
      <c r="AJ158" s="437"/>
      <c r="AK158" s="437"/>
      <c r="AL158" s="437"/>
      <c r="AM158" s="338"/>
      <c r="AO158" s="670" cm="1">
        <f t="array" aca="1" ref="AO158" ca="1">IF($A158="S",IF(BM!$I158=0,0,CHOOSE(MATCH(RegimeExecucao,{"Global","Unitário"},0),ROUND(ROUND(BM.MEDAcumulado,15-13*BM!$A$9)/100*BM!$I158,15-13*ORÇAMENTO!$AF$11),ROUND(ROUND(BM.MEDAcumulado,15-13*BM!$A$9)*ROUND(BM!$H158,15-13*ORÇAMENTO!$AF$10),15-13*ORÇAMENTO!$AF$11))),IF($A158=0,0,ROUND(SomaAgrupBM,15-13*ORÇAMENTO!$AF$11)))</f>
        <v>0</v>
      </c>
    </row>
    <row r="159" spans="1:41" s="670" customFormat="1" x14ac:dyDescent="0.2">
      <c r="A159" s="670" t="str">
        <f ca="1">ORÇAMENTO!C159</f>
        <v>S</v>
      </c>
      <c r="B159" s="670">
        <f ca="1">ORÇAMENTO!D159</f>
        <v>0</v>
      </c>
      <c r="C159" s="114" t="str">
        <f t="shared" ca="1" si="15"/>
        <v>F</v>
      </c>
      <c r="D159" s="117" t="str">
        <f ca="1">ORÇAMENTO!O159</f>
        <v>1.21.3.</v>
      </c>
      <c r="E159" s="163" t="str">
        <f t="shared" ca="1" si="16"/>
        <v xml:space="preserve">JUNÇÃO 45° EM FERRO FUNDIDO, PREDIAL SMU, DN= 200 X 100 MM </v>
      </c>
      <c r="F159" s="164" t="str" cm="1">
        <f t="array" aca="1" ref="F159" ca="1">IF(RegimeExecucao="Global","",ORÇAMENTO.Unidade)</f>
        <v>UNIDADE</v>
      </c>
      <c r="G159" s="122" cm="1">
        <f t="array" aca="1" ref="G159" ca="1">IF(RegimeExecucao="Global","",ORÇAMENTO!T159)</f>
        <v>2</v>
      </c>
      <c r="H159" s="122" cm="1">
        <f t="array" aca="1" ref="H159" ca="1">IF(RegimeExecucao="Global","",ORÇAMENTO!W159)</f>
        <v>1653.21</v>
      </c>
      <c r="I159" s="125">
        <f ca="1">ORÇAMENTO!X159</f>
        <v>3306.42</v>
      </c>
      <c r="J159" s="333" cm="1">
        <f t="array" aca="1" ref="J159" ca="1">IF($A159="S",IF(CAIXA.Modo,BM.AFAnterior,BM.MEDAnterior),IF(AND(RegimeExecucao="Global",$I159&gt;0,COUNTIF($AB$13:$AM$13,BM.medicao-1)&gt;0),M159/$I159*100,0))</f>
        <v>0</v>
      </c>
      <c r="K159" s="122">
        <f t="shared" ca="1" si="17"/>
        <v>0</v>
      </c>
      <c r="L159" s="334" cm="1">
        <f t="array" aca="1" ref="L159" ca="1">IF($A159="S",IF(CAIXA.Modo,BM.AFAcumulado,BM.MEDAcumulado),IF(AND(RegimeExecucao="Global",$I159&gt;0,COUNTIF($AB$13:$AM$13,BM.medicao)&gt;0),O159/$I159*100,0))</f>
        <v>0</v>
      </c>
      <c r="M159" s="335" cm="1">
        <f t="array" aca="1" ref="M159" ca="1">IF($A159="S",VTOTALBM,IF($A159=0,0,ROUND(SomaAgrupBM,15-13*ORÇAMENTO!$AF$11)))</f>
        <v>0</v>
      </c>
      <c r="N159" s="336">
        <f t="shared" ca="1" si="18"/>
        <v>0</v>
      </c>
      <c r="O159" s="125" cm="1">
        <f t="array" aca="1" ref="O159" ca="1">IF($A159="S",VTOTALBM,IF($A159=0,0,ROUND(SomaAgrupBM,15-13*ORÇAMENTO!$AF$11)))</f>
        <v>0</v>
      </c>
      <c r="Q159" s="337"/>
      <c r="R159" s="338"/>
      <c r="T159" s="117" t="str">
        <f t="shared" ca="1" si="19"/>
        <v/>
      </c>
      <c r="U159" s="163" t="str">
        <f t="shared" ca="1" si="20"/>
        <v/>
      </c>
      <c r="V159" s="164" t="str" cm="1">
        <f t="array" aca="1" ref="V159" ca="1">IF(AND($W159&gt;0,RegimeExecucao="Unitário"),$F159,"")</f>
        <v/>
      </c>
      <c r="W159" s="454" cm="1">
        <f t="array" aca="1" ref="W159" ca="1">IF($Y159&gt;0,CHOOSE(MATCH(RegimeExecucao,{"Unitário","Global"},0),IF($A159="S",$Y159/$X159,""),($Y159/$X159)*100),0)</f>
        <v>0</v>
      </c>
      <c r="X159" s="339" t="str" cm="1">
        <f t="array" aca="1" ref="X159" ca="1">IF($Y159&gt;0,CHOOSE(MATCH(RegimeExecucao,{"Unitário","Global"},0),IF($A159="S",ROUND($H159,ORÇAMENTO!$AF$10),""),ROUND($I159,ORÇAMENTO!$AF$11)),"")</f>
        <v/>
      </c>
      <c r="Y159" s="339">
        <f t="shared" ca="1" si="21"/>
        <v>0</v>
      </c>
      <c r="Z159" s="473"/>
      <c r="AB159" s="337"/>
      <c r="AC159" s="437"/>
      <c r="AD159" s="437"/>
      <c r="AE159" s="437"/>
      <c r="AF159" s="437"/>
      <c r="AG159" s="437"/>
      <c r="AH159" s="437"/>
      <c r="AI159" s="437"/>
      <c r="AJ159" s="437"/>
      <c r="AK159" s="437"/>
      <c r="AL159" s="437"/>
      <c r="AM159" s="338"/>
      <c r="AO159" s="670" cm="1">
        <f t="array" aca="1" ref="AO159" ca="1">IF($A159="S",IF(BM!$I159=0,0,CHOOSE(MATCH(RegimeExecucao,{"Global","Unitário"},0),ROUND(ROUND(BM.MEDAcumulado,15-13*BM!$A$9)/100*BM!$I159,15-13*ORÇAMENTO!$AF$11),ROUND(ROUND(BM.MEDAcumulado,15-13*BM!$A$9)*ROUND(BM!$H159,15-13*ORÇAMENTO!$AF$10),15-13*ORÇAMENTO!$AF$11))),IF($A159=0,0,ROUND(SomaAgrupBM,15-13*ORÇAMENTO!$AF$11)))</f>
        <v>0</v>
      </c>
    </row>
    <row r="160" spans="1:41" s="670" customFormat="1" x14ac:dyDescent="0.2">
      <c r="A160" s="670" t="str">
        <f ca="1">ORÇAMENTO!C160</f>
        <v>S</v>
      </c>
      <c r="B160" s="670">
        <f ca="1">ORÇAMENTO!D160</f>
        <v>0</v>
      </c>
      <c r="C160" s="114" t="str">
        <f t="shared" ca="1" si="15"/>
        <v>F</v>
      </c>
      <c r="D160" s="117" t="str">
        <f ca="1">ORÇAMENTO!O160</f>
        <v>1.21.4.</v>
      </c>
      <c r="E160" s="163" t="str">
        <f t="shared" ca="1" si="16"/>
        <v>FLANGE AVULSO EM FERRO FUNDIDO, CLASSE PN-10, DN= 200MM</v>
      </c>
      <c r="F160" s="164" t="str" cm="1">
        <f t="array" aca="1" ref="F160" ca="1">IF(RegimeExecucao="Global","",ORÇAMENTO.Unidade)</f>
        <v>UNIDADE</v>
      </c>
      <c r="G160" s="122" cm="1">
        <f t="array" aca="1" ref="G160" ca="1">IF(RegimeExecucao="Global","",ORÇAMENTO!T160)</f>
        <v>8</v>
      </c>
      <c r="H160" s="122" cm="1">
        <f t="array" aca="1" ref="H160" ca="1">IF(RegimeExecucao="Global","",ORÇAMENTO!W160)</f>
        <v>544.16999999999996</v>
      </c>
      <c r="I160" s="125">
        <f ca="1">ORÇAMENTO!X160</f>
        <v>4353.3599999999997</v>
      </c>
      <c r="J160" s="333" cm="1">
        <f t="array" aca="1" ref="J160" ca="1">IF($A160="S",IF(CAIXA.Modo,BM.AFAnterior,BM.MEDAnterior),IF(AND(RegimeExecucao="Global",$I160&gt;0,COUNTIF($AB$13:$AM$13,BM.medicao-1)&gt;0),M160/$I160*100,0))</f>
        <v>0</v>
      </c>
      <c r="K160" s="122">
        <f t="shared" ca="1" si="17"/>
        <v>0</v>
      </c>
      <c r="L160" s="334" cm="1">
        <f t="array" aca="1" ref="L160" ca="1">IF($A160="S",IF(CAIXA.Modo,BM.AFAcumulado,BM.MEDAcumulado),IF(AND(RegimeExecucao="Global",$I160&gt;0,COUNTIF($AB$13:$AM$13,BM.medicao)&gt;0),O160/$I160*100,0))</f>
        <v>0</v>
      </c>
      <c r="M160" s="335" cm="1">
        <f t="array" aca="1" ref="M160" ca="1">IF($A160="S",VTOTALBM,IF($A160=0,0,ROUND(SomaAgrupBM,15-13*ORÇAMENTO!$AF$11)))</f>
        <v>0</v>
      </c>
      <c r="N160" s="336">
        <f t="shared" ca="1" si="18"/>
        <v>0</v>
      </c>
      <c r="O160" s="125" cm="1">
        <f t="array" aca="1" ref="O160" ca="1">IF($A160="S",VTOTALBM,IF($A160=0,0,ROUND(SomaAgrupBM,15-13*ORÇAMENTO!$AF$11)))</f>
        <v>0</v>
      </c>
      <c r="Q160" s="337"/>
      <c r="R160" s="338"/>
      <c r="T160" s="117" t="str">
        <f t="shared" ca="1" si="19"/>
        <v/>
      </c>
      <c r="U160" s="163" t="str">
        <f t="shared" ca="1" si="20"/>
        <v/>
      </c>
      <c r="V160" s="164" t="str" cm="1">
        <f t="array" aca="1" ref="V160" ca="1">IF(AND($W160&gt;0,RegimeExecucao="Unitário"),$F160,"")</f>
        <v/>
      </c>
      <c r="W160" s="454" cm="1">
        <f t="array" aca="1" ref="W160" ca="1">IF($Y160&gt;0,CHOOSE(MATCH(RegimeExecucao,{"Unitário","Global"},0),IF($A160="S",$Y160/$X160,""),($Y160/$X160)*100),0)</f>
        <v>0</v>
      </c>
      <c r="X160" s="339" t="str" cm="1">
        <f t="array" aca="1" ref="X160" ca="1">IF($Y160&gt;0,CHOOSE(MATCH(RegimeExecucao,{"Unitário","Global"},0),IF($A160="S",ROUND($H160,ORÇAMENTO!$AF$10),""),ROUND($I160,ORÇAMENTO!$AF$11)),"")</f>
        <v/>
      </c>
      <c r="Y160" s="339">
        <f t="shared" ca="1" si="21"/>
        <v>0</v>
      </c>
      <c r="Z160" s="473"/>
      <c r="AB160" s="337"/>
      <c r="AC160" s="437"/>
      <c r="AD160" s="437"/>
      <c r="AE160" s="437"/>
      <c r="AF160" s="437"/>
      <c r="AG160" s="437"/>
      <c r="AH160" s="437"/>
      <c r="AI160" s="437"/>
      <c r="AJ160" s="437"/>
      <c r="AK160" s="437"/>
      <c r="AL160" s="437"/>
      <c r="AM160" s="338"/>
      <c r="AO160" s="670" cm="1">
        <f t="array" aca="1" ref="AO160" ca="1">IF($A160="S",IF(BM!$I160=0,0,CHOOSE(MATCH(RegimeExecucao,{"Global","Unitário"},0),ROUND(ROUND(BM.MEDAcumulado,15-13*BM!$A$9)/100*BM!$I160,15-13*ORÇAMENTO!$AF$11),ROUND(ROUND(BM.MEDAcumulado,15-13*BM!$A$9)*ROUND(BM!$H160,15-13*ORÇAMENTO!$AF$10),15-13*ORÇAMENTO!$AF$11))),IF($A160=0,0,ROUND(SomaAgrupBM,15-13*ORÇAMENTO!$AF$11)))</f>
        <v>0</v>
      </c>
    </row>
    <row r="161" spans="1:41" s="670" customFormat="1" x14ac:dyDescent="0.2">
      <c r="A161" s="670" t="str">
        <f ca="1">ORÇAMENTO!C161</f>
        <v>S</v>
      </c>
      <c r="B161" s="670">
        <f ca="1">ORÇAMENTO!D161</f>
        <v>0</v>
      </c>
      <c r="C161" s="114" t="str">
        <f t="shared" ca="1" si="15"/>
        <v>F</v>
      </c>
      <c r="D161" s="117" t="str">
        <f ca="1">ORÇAMENTO!O161</f>
        <v>1.21.5.</v>
      </c>
      <c r="E161" s="163" t="str">
        <f t="shared" ca="1" si="16"/>
        <v>flange cego, em ferro fundido, pn 10, diam. =  200mm</v>
      </c>
      <c r="F161" s="164" t="str" cm="1">
        <f t="array" aca="1" ref="F161" ca="1">IF(RegimeExecucao="Global","",ORÇAMENTO.Unidade)</f>
        <v>UNIDADE</v>
      </c>
      <c r="G161" s="122" cm="1">
        <f t="array" aca="1" ref="G161" ca="1">IF(RegimeExecucao="Global","",ORÇAMENTO!T161)</f>
        <v>2</v>
      </c>
      <c r="H161" s="122" cm="1">
        <f t="array" aca="1" ref="H161" ca="1">IF(RegimeExecucao="Global","",ORÇAMENTO!W161)</f>
        <v>545.9</v>
      </c>
      <c r="I161" s="125">
        <f ca="1">ORÇAMENTO!X161</f>
        <v>1091.8</v>
      </c>
      <c r="J161" s="333" cm="1">
        <f t="array" aca="1" ref="J161" ca="1">IF($A161="S",IF(CAIXA.Modo,BM.AFAnterior,BM.MEDAnterior),IF(AND(RegimeExecucao="Global",$I161&gt;0,COUNTIF($AB$13:$AM$13,BM.medicao-1)&gt;0),M161/$I161*100,0))</f>
        <v>0</v>
      </c>
      <c r="K161" s="122">
        <f t="shared" ca="1" si="17"/>
        <v>0</v>
      </c>
      <c r="L161" s="334" cm="1">
        <f t="array" aca="1" ref="L161" ca="1">IF($A161="S",IF(CAIXA.Modo,BM.AFAcumulado,BM.MEDAcumulado),IF(AND(RegimeExecucao="Global",$I161&gt;0,COUNTIF($AB$13:$AM$13,BM.medicao)&gt;0),O161/$I161*100,0))</f>
        <v>0</v>
      </c>
      <c r="M161" s="335" cm="1">
        <f t="array" aca="1" ref="M161" ca="1">IF($A161="S",VTOTALBM,IF($A161=0,0,ROUND(SomaAgrupBM,15-13*ORÇAMENTO!$AF$11)))</f>
        <v>0</v>
      </c>
      <c r="N161" s="336">
        <f t="shared" ca="1" si="18"/>
        <v>0</v>
      </c>
      <c r="O161" s="125" cm="1">
        <f t="array" aca="1" ref="O161" ca="1">IF($A161="S",VTOTALBM,IF($A161=0,0,ROUND(SomaAgrupBM,15-13*ORÇAMENTO!$AF$11)))</f>
        <v>0</v>
      </c>
      <c r="Q161" s="337"/>
      <c r="R161" s="338"/>
      <c r="T161" s="117" t="str">
        <f t="shared" ca="1" si="19"/>
        <v/>
      </c>
      <c r="U161" s="163" t="str">
        <f t="shared" ca="1" si="20"/>
        <v/>
      </c>
      <c r="V161" s="164" t="str" cm="1">
        <f t="array" aca="1" ref="V161" ca="1">IF(AND($W161&gt;0,RegimeExecucao="Unitário"),$F161,"")</f>
        <v/>
      </c>
      <c r="W161" s="454" cm="1">
        <f t="array" aca="1" ref="W161" ca="1">IF($Y161&gt;0,CHOOSE(MATCH(RegimeExecucao,{"Unitário","Global"},0),IF($A161="S",$Y161/$X161,""),($Y161/$X161)*100),0)</f>
        <v>0</v>
      </c>
      <c r="X161" s="339" t="str" cm="1">
        <f t="array" aca="1" ref="X161" ca="1">IF($Y161&gt;0,CHOOSE(MATCH(RegimeExecucao,{"Unitário","Global"},0),IF($A161="S",ROUND($H161,ORÇAMENTO!$AF$10),""),ROUND($I161,ORÇAMENTO!$AF$11)),"")</f>
        <v/>
      </c>
      <c r="Y161" s="339">
        <f t="shared" ca="1" si="21"/>
        <v>0</v>
      </c>
      <c r="Z161" s="473"/>
      <c r="AB161" s="337"/>
      <c r="AC161" s="437"/>
      <c r="AD161" s="437"/>
      <c r="AE161" s="437"/>
      <c r="AF161" s="437"/>
      <c r="AG161" s="437"/>
      <c r="AH161" s="437"/>
      <c r="AI161" s="437"/>
      <c r="AJ161" s="437"/>
      <c r="AK161" s="437"/>
      <c r="AL161" s="437"/>
      <c r="AM161" s="338"/>
      <c r="AO161" s="670" cm="1">
        <f t="array" aca="1" ref="AO161" ca="1">IF($A161="S",IF(BM!$I161=0,0,CHOOSE(MATCH(RegimeExecucao,{"Global","Unitário"},0),ROUND(ROUND(BM.MEDAcumulado,15-13*BM!$A$9)/100*BM!$I161,15-13*ORÇAMENTO!$AF$11),ROUND(ROUND(BM.MEDAcumulado,15-13*BM!$A$9)*ROUND(BM!$H161,15-13*ORÇAMENTO!$AF$10),15-13*ORÇAMENTO!$AF$11))),IF($A161=0,0,ROUND(SomaAgrupBM,15-13*ORÇAMENTO!$AF$11)))</f>
        <v>0</v>
      </c>
    </row>
    <row r="162" spans="1:41" s="670" customFormat="1" x14ac:dyDescent="0.2">
      <c r="A162" s="670" t="str">
        <f ca="1">ORÇAMENTO!C162</f>
        <v>S</v>
      </c>
      <c r="B162" s="670">
        <f ca="1">ORÇAMENTO!D162</f>
        <v>0</v>
      </c>
      <c r="C162" s="114" t="str">
        <f t="shared" ca="1" si="15"/>
        <v>F</v>
      </c>
      <c r="D162" s="117" t="str">
        <f ca="1">ORÇAMENTO!O162</f>
        <v>1.21.6.</v>
      </c>
      <c r="E162" s="163" t="str">
        <f t="shared" ca="1" si="16"/>
        <v>VÁLVULA DE RETENÇÃO HORIZONTAL PORTINHOLA UNICA</v>
      </c>
      <c r="F162" s="164" t="str" cm="1">
        <f t="array" aca="1" ref="F162" ca="1">IF(RegimeExecucao="Global","",ORÇAMENTO.Unidade)</f>
        <v>UNIDADE</v>
      </c>
      <c r="G162" s="122" cm="1">
        <f t="array" aca="1" ref="G162" ca="1">IF(RegimeExecucao="Global","",ORÇAMENTO!T162)</f>
        <v>2</v>
      </c>
      <c r="H162" s="122" cm="1">
        <f t="array" aca="1" ref="H162" ca="1">IF(RegimeExecucao="Global","",ORÇAMENTO!W162)</f>
        <v>2431.16</v>
      </c>
      <c r="I162" s="125">
        <f ca="1">ORÇAMENTO!X162</f>
        <v>4862.32</v>
      </c>
      <c r="J162" s="333" cm="1">
        <f t="array" aca="1" ref="J162" ca="1">IF($A162="S",IF(CAIXA.Modo,BM.AFAnterior,BM.MEDAnterior),IF(AND(RegimeExecucao="Global",$I162&gt;0,COUNTIF($AB$13:$AM$13,BM.medicao-1)&gt;0),M162/$I162*100,0))</f>
        <v>0</v>
      </c>
      <c r="K162" s="122">
        <f t="shared" ca="1" si="17"/>
        <v>0</v>
      </c>
      <c r="L162" s="334" cm="1">
        <f t="array" aca="1" ref="L162" ca="1">IF($A162="S",IF(CAIXA.Modo,BM.AFAcumulado,BM.MEDAcumulado),IF(AND(RegimeExecucao="Global",$I162&gt;0,COUNTIF($AB$13:$AM$13,BM.medicao)&gt;0),O162/$I162*100,0))</f>
        <v>0</v>
      </c>
      <c r="M162" s="335" cm="1">
        <f t="array" aca="1" ref="M162" ca="1">IF($A162="S",VTOTALBM,IF($A162=0,0,ROUND(SomaAgrupBM,15-13*ORÇAMENTO!$AF$11)))</f>
        <v>0</v>
      </c>
      <c r="N162" s="336">
        <f t="shared" ca="1" si="18"/>
        <v>0</v>
      </c>
      <c r="O162" s="125" cm="1">
        <f t="array" aca="1" ref="O162" ca="1">IF($A162="S",VTOTALBM,IF($A162=0,0,ROUND(SomaAgrupBM,15-13*ORÇAMENTO!$AF$11)))</f>
        <v>0</v>
      </c>
      <c r="Q162" s="337"/>
      <c r="R162" s="338"/>
      <c r="T162" s="117" t="str">
        <f t="shared" ca="1" si="19"/>
        <v/>
      </c>
      <c r="U162" s="163" t="str">
        <f t="shared" ca="1" si="20"/>
        <v/>
      </c>
      <c r="V162" s="164" t="str" cm="1">
        <f t="array" aca="1" ref="V162" ca="1">IF(AND($W162&gt;0,RegimeExecucao="Unitário"),$F162,"")</f>
        <v/>
      </c>
      <c r="W162" s="454" cm="1">
        <f t="array" aca="1" ref="W162" ca="1">IF($Y162&gt;0,CHOOSE(MATCH(RegimeExecucao,{"Unitário","Global"},0),IF($A162="S",$Y162/$X162,""),($Y162/$X162)*100),0)</f>
        <v>0</v>
      </c>
      <c r="X162" s="339" t="str" cm="1">
        <f t="array" aca="1" ref="X162" ca="1">IF($Y162&gt;0,CHOOSE(MATCH(RegimeExecucao,{"Unitário","Global"},0),IF($A162="S",ROUND($H162,ORÇAMENTO!$AF$10),""),ROUND($I162,ORÇAMENTO!$AF$11)),"")</f>
        <v/>
      </c>
      <c r="Y162" s="339">
        <f t="shared" ca="1" si="21"/>
        <v>0</v>
      </c>
      <c r="Z162" s="473"/>
      <c r="AB162" s="337"/>
      <c r="AC162" s="437"/>
      <c r="AD162" s="437"/>
      <c r="AE162" s="437"/>
      <c r="AF162" s="437"/>
      <c r="AG162" s="437"/>
      <c r="AH162" s="437"/>
      <c r="AI162" s="437"/>
      <c r="AJ162" s="437"/>
      <c r="AK162" s="437"/>
      <c r="AL162" s="437"/>
      <c r="AM162" s="338"/>
      <c r="AO162" s="670" cm="1">
        <f t="array" aca="1" ref="AO162" ca="1">IF($A162="S",IF(BM!$I162=0,0,CHOOSE(MATCH(RegimeExecucao,{"Global","Unitário"},0),ROUND(ROUND(BM.MEDAcumulado,15-13*BM!$A$9)/100*BM!$I162,15-13*ORÇAMENTO!$AF$11),ROUND(ROUND(BM.MEDAcumulado,15-13*BM!$A$9)*ROUND(BM!$H162,15-13*ORÇAMENTO!$AF$10),15-13*ORÇAMENTO!$AF$11))),IF($A162=0,0,ROUND(SomaAgrupBM,15-13*ORÇAMENTO!$AF$11)))</f>
        <v>0</v>
      </c>
    </row>
    <row r="163" spans="1:41" s="670" customFormat="1" x14ac:dyDescent="0.2">
      <c r="A163" s="670" t="str">
        <f ca="1">ORÇAMENTO!C163</f>
        <v>S</v>
      </c>
      <c r="B163" s="670">
        <f ca="1">ORÇAMENTO!D163</f>
        <v>0</v>
      </c>
      <c r="C163" s="114" t="str">
        <f t="shared" ca="1" si="15"/>
        <v>F</v>
      </c>
      <c r="D163" s="117" t="str">
        <f ca="1">ORÇAMENTO!O163</f>
        <v>1.21.7.</v>
      </c>
      <c r="E163" s="163" t="str">
        <f t="shared" ca="1" si="16"/>
        <v>REGISTRO DE GAVETA FF: 200MM - fornecimento e assentamento</v>
      </c>
      <c r="F163" s="164" t="str" cm="1">
        <f t="array" aca="1" ref="F163" ca="1">IF(RegimeExecucao="Global","",ORÇAMENTO.Unidade)</f>
        <v>UNIDADE</v>
      </c>
      <c r="G163" s="122" cm="1">
        <f t="array" aca="1" ref="G163" ca="1">IF(RegimeExecucao="Global","",ORÇAMENTO!T163)</f>
        <v>3</v>
      </c>
      <c r="H163" s="122" cm="1">
        <f t="array" aca="1" ref="H163" ca="1">IF(RegimeExecucao="Global","",ORÇAMENTO!W163)</f>
        <v>4329.68</v>
      </c>
      <c r="I163" s="125">
        <f ca="1">ORÇAMENTO!X163</f>
        <v>12989.04</v>
      </c>
      <c r="J163" s="333" cm="1">
        <f t="array" aca="1" ref="J163" ca="1">IF($A163="S",IF(CAIXA.Modo,BM.AFAnterior,BM.MEDAnterior),IF(AND(RegimeExecucao="Global",$I163&gt;0,COUNTIF($AB$13:$AM$13,BM.medicao-1)&gt;0),M163/$I163*100,0))</f>
        <v>0</v>
      </c>
      <c r="K163" s="122">
        <f t="shared" ca="1" si="17"/>
        <v>0</v>
      </c>
      <c r="L163" s="334" cm="1">
        <f t="array" aca="1" ref="L163" ca="1">IF($A163="S",IF(CAIXA.Modo,BM.AFAcumulado,BM.MEDAcumulado),IF(AND(RegimeExecucao="Global",$I163&gt;0,COUNTIF($AB$13:$AM$13,BM.medicao)&gt;0),O163/$I163*100,0))</f>
        <v>0</v>
      </c>
      <c r="M163" s="335" cm="1">
        <f t="array" aca="1" ref="M163" ca="1">IF($A163="S",VTOTALBM,IF($A163=0,0,ROUND(SomaAgrupBM,15-13*ORÇAMENTO!$AF$11)))</f>
        <v>0</v>
      </c>
      <c r="N163" s="336">
        <f t="shared" ca="1" si="18"/>
        <v>0</v>
      </c>
      <c r="O163" s="125" cm="1">
        <f t="array" aca="1" ref="O163" ca="1">IF($A163="S",VTOTALBM,IF($A163=0,0,ROUND(SomaAgrupBM,15-13*ORÇAMENTO!$AF$11)))</f>
        <v>0</v>
      </c>
      <c r="Q163" s="337"/>
      <c r="R163" s="338"/>
      <c r="T163" s="117" t="str">
        <f t="shared" ca="1" si="19"/>
        <v/>
      </c>
      <c r="U163" s="163" t="str">
        <f t="shared" ca="1" si="20"/>
        <v/>
      </c>
      <c r="V163" s="164" t="str" cm="1">
        <f t="array" aca="1" ref="V163" ca="1">IF(AND($W163&gt;0,RegimeExecucao="Unitário"),$F163,"")</f>
        <v/>
      </c>
      <c r="W163" s="454" cm="1">
        <f t="array" aca="1" ref="W163" ca="1">IF($Y163&gt;0,CHOOSE(MATCH(RegimeExecucao,{"Unitário","Global"},0),IF($A163="S",$Y163/$X163,""),($Y163/$X163)*100),0)</f>
        <v>0</v>
      </c>
      <c r="X163" s="339" t="str" cm="1">
        <f t="array" aca="1" ref="X163" ca="1">IF($Y163&gt;0,CHOOSE(MATCH(RegimeExecucao,{"Unitário","Global"},0),IF($A163="S",ROUND($H163,ORÇAMENTO!$AF$10),""),ROUND($I163,ORÇAMENTO!$AF$11)),"")</f>
        <v/>
      </c>
      <c r="Y163" s="339">
        <f t="shared" ca="1" si="21"/>
        <v>0</v>
      </c>
      <c r="Z163" s="473"/>
      <c r="AB163" s="337"/>
      <c r="AC163" s="437"/>
      <c r="AD163" s="437"/>
      <c r="AE163" s="437"/>
      <c r="AF163" s="437"/>
      <c r="AG163" s="437"/>
      <c r="AH163" s="437"/>
      <c r="AI163" s="437"/>
      <c r="AJ163" s="437"/>
      <c r="AK163" s="437"/>
      <c r="AL163" s="437"/>
      <c r="AM163" s="338"/>
      <c r="AO163" s="670" cm="1">
        <f t="array" aca="1" ref="AO163" ca="1">IF($A163="S",IF(BM!$I163=0,0,CHOOSE(MATCH(RegimeExecucao,{"Global","Unitário"},0),ROUND(ROUND(BM.MEDAcumulado,15-13*BM!$A$9)/100*BM!$I163,15-13*ORÇAMENTO!$AF$11),ROUND(ROUND(BM.MEDAcumulado,15-13*BM!$A$9)*ROUND(BM!$H163,15-13*ORÇAMENTO!$AF$10),15-13*ORÇAMENTO!$AF$11))),IF($A163=0,0,ROUND(SomaAgrupBM,15-13*ORÇAMENTO!$AF$11)))</f>
        <v>0</v>
      </c>
    </row>
    <row r="164" spans="1:41" s="670" customFormat="1" ht="38.25" x14ac:dyDescent="0.2">
      <c r="A164" s="670" t="str">
        <f ca="1">ORÇAMENTO!C164</f>
        <v>S</v>
      </c>
      <c r="B164" s="670">
        <f ca="1">ORÇAMENTO!D164</f>
        <v>0</v>
      </c>
      <c r="C164" s="114" t="str">
        <f t="shared" ca="1" si="15"/>
        <v>F</v>
      </c>
      <c r="D164" s="117" t="str">
        <f ca="1">ORÇAMENTO!O164</f>
        <v>1.21.8.</v>
      </c>
      <c r="E164" s="163" t="str">
        <f t="shared" ca="1" si="16"/>
        <v>PARAFUSO ZINCADO, SEXTAVADO, COM ROSCA INTEIRA, DIAMETRO 5/8", COMPRIMENTO 3", COM PORCA E ARRUELA DE PRESSAO MEDIA</v>
      </c>
      <c r="F164" s="164" t="str" cm="1">
        <f t="array" aca="1" ref="F164" ca="1">IF(RegimeExecucao="Global","",ORÇAMENTO.Unidade)</f>
        <v>UN</v>
      </c>
      <c r="G164" s="122" cm="1">
        <f t="array" aca="1" ref="G164" ca="1">IF(RegimeExecucao="Global","",ORÇAMENTO!T164)</f>
        <v>240</v>
      </c>
      <c r="H164" s="122" cm="1">
        <f t="array" aca="1" ref="H164" ca="1">IF(RegimeExecucao="Global","",ORÇAMENTO!W164)</f>
        <v>7.22</v>
      </c>
      <c r="I164" s="125">
        <f ca="1">ORÇAMENTO!X164</f>
        <v>1732.8</v>
      </c>
      <c r="J164" s="333" cm="1">
        <f t="array" aca="1" ref="J164" ca="1">IF($A164="S",IF(CAIXA.Modo,BM.AFAnterior,BM.MEDAnterior),IF(AND(RegimeExecucao="Global",$I164&gt;0,COUNTIF($AB$13:$AM$13,BM.medicao-1)&gt;0),M164/$I164*100,0))</f>
        <v>0</v>
      </c>
      <c r="K164" s="122">
        <f t="shared" ca="1" si="17"/>
        <v>0</v>
      </c>
      <c r="L164" s="334" cm="1">
        <f t="array" aca="1" ref="L164" ca="1">IF($A164="S",IF(CAIXA.Modo,BM.AFAcumulado,BM.MEDAcumulado),IF(AND(RegimeExecucao="Global",$I164&gt;0,COUNTIF($AB$13:$AM$13,BM.medicao)&gt;0),O164/$I164*100,0))</f>
        <v>0</v>
      </c>
      <c r="M164" s="335" cm="1">
        <f t="array" aca="1" ref="M164" ca="1">IF($A164="S",VTOTALBM,IF($A164=0,0,ROUND(SomaAgrupBM,15-13*ORÇAMENTO!$AF$11)))</f>
        <v>0</v>
      </c>
      <c r="N164" s="336">
        <f t="shared" ca="1" si="18"/>
        <v>0</v>
      </c>
      <c r="O164" s="125" cm="1">
        <f t="array" aca="1" ref="O164" ca="1">IF($A164="S",VTOTALBM,IF($A164=0,0,ROUND(SomaAgrupBM,15-13*ORÇAMENTO!$AF$11)))</f>
        <v>0</v>
      </c>
      <c r="Q164" s="337"/>
      <c r="R164" s="338"/>
      <c r="T164" s="117" t="str">
        <f t="shared" ca="1" si="19"/>
        <v/>
      </c>
      <c r="U164" s="163" t="str">
        <f t="shared" ca="1" si="20"/>
        <v/>
      </c>
      <c r="V164" s="164" t="str" cm="1">
        <f t="array" aca="1" ref="V164" ca="1">IF(AND($W164&gt;0,RegimeExecucao="Unitário"),$F164,"")</f>
        <v/>
      </c>
      <c r="W164" s="454" cm="1">
        <f t="array" aca="1" ref="W164" ca="1">IF($Y164&gt;0,CHOOSE(MATCH(RegimeExecucao,{"Unitário","Global"},0),IF($A164="S",$Y164/$X164,""),($Y164/$X164)*100),0)</f>
        <v>0</v>
      </c>
      <c r="X164" s="339" t="str" cm="1">
        <f t="array" aca="1" ref="X164" ca="1">IF($Y164&gt;0,CHOOSE(MATCH(RegimeExecucao,{"Unitário","Global"},0),IF($A164="S",ROUND($H164,ORÇAMENTO!$AF$10),""),ROUND($I164,ORÇAMENTO!$AF$11)),"")</f>
        <v/>
      </c>
      <c r="Y164" s="339">
        <f t="shared" ca="1" si="21"/>
        <v>0</v>
      </c>
      <c r="Z164" s="473"/>
      <c r="AB164" s="337"/>
      <c r="AC164" s="437"/>
      <c r="AD164" s="437"/>
      <c r="AE164" s="437"/>
      <c r="AF164" s="437"/>
      <c r="AG164" s="437"/>
      <c r="AH164" s="437"/>
      <c r="AI164" s="437"/>
      <c r="AJ164" s="437"/>
      <c r="AK164" s="437"/>
      <c r="AL164" s="437"/>
      <c r="AM164" s="338"/>
      <c r="AO164" s="670" cm="1">
        <f t="array" aca="1" ref="AO164" ca="1">IF($A164="S",IF(BM!$I164=0,0,CHOOSE(MATCH(RegimeExecucao,{"Global","Unitário"},0),ROUND(ROUND(BM.MEDAcumulado,15-13*BM!$A$9)/100*BM!$I164,15-13*ORÇAMENTO!$AF$11),ROUND(ROUND(BM.MEDAcumulado,15-13*BM!$A$9)*ROUND(BM!$H164,15-13*ORÇAMENTO!$AF$10),15-13*ORÇAMENTO!$AF$11))),IF($A164=0,0,ROUND(SomaAgrupBM,15-13*ORÇAMENTO!$AF$11)))</f>
        <v>0</v>
      </c>
    </row>
    <row r="165" spans="1:41" s="680" customFormat="1" ht="25.5" x14ac:dyDescent="0.2">
      <c r="A165" s="680" t="str">
        <f ca="1">ORÇAMENTO!C165</f>
        <v>S</v>
      </c>
      <c r="B165" s="680">
        <f ca="1">ORÇAMENTO!D165</f>
        <v>0</v>
      </c>
      <c r="C165" s="684" t="str">
        <f ca="1">IF(OR($I165&gt;0,$A165=1,$A165=2,$A165=3,$A165=4),"F","")</f>
        <v>F</v>
      </c>
      <c r="D165" s="687" t="str">
        <f ca="1">ORÇAMENTO!O165</f>
        <v>1.21.9.</v>
      </c>
      <c r="E165" s="699" t="str">
        <f ca="1">ORÇAMENTO.Descricao</f>
        <v>MONTAGEM DE CONEXÕES DE FERRO FUNDIDO, COM FLANGES, DIAM.= 200 MM. INC_05/2020</v>
      </c>
      <c r="F165" s="700" cm="1">
        <f t="array" aca="1" ref="F165" ca="1">IF(RegimeExecucao="Global","",ORÇAMENTO.Unidade)</f>
        <v>0</v>
      </c>
      <c r="G165" s="692" cm="1">
        <f t="array" aca="1" ref="G165" ca="1">IF(RegimeExecucao="Global","",ORÇAMENTO!T165)</f>
        <v>20</v>
      </c>
      <c r="H165" s="692" cm="1">
        <f t="array" aca="1" ref="H165" ca="1">IF(RegimeExecucao="Global","",ORÇAMENTO!W165)</f>
        <v>26.24</v>
      </c>
      <c r="I165" s="695">
        <f ca="1">ORÇAMENTO!X165</f>
        <v>524.79999999999995</v>
      </c>
      <c r="J165" s="707" cm="1">
        <f t="array" aca="1" ref="J165" ca="1">IF($A165="S",IF(CAIXA.Modo,BM.AFAnterior,BM.MEDAnterior),IF(AND(RegimeExecucao="Global",$I165&gt;0,COUNTIF($AB$13:$AM$13,BM.medicao-1)&gt;0),M165/$I165*100,0))</f>
        <v>0</v>
      </c>
      <c r="K165" s="692">
        <f ca="1">L165-J165</f>
        <v>0</v>
      </c>
      <c r="L165" s="708" cm="1">
        <f t="array" aca="1" ref="L165" ca="1">IF($A165="S",IF(CAIXA.Modo,BM.AFAcumulado,BM.MEDAcumulado),IF(AND(RegimeExecucao="Global",$I165&gt;0,COUNTIF($AB$13:$AM$13,BM.medicao)&gt;0),O165/$I165*100,0))</f>
        <v>0</v>
      </c>
      <c r="M165" s="709" cm="1">
        <f t="array" aca="1" ref="M165" ca="1">IF($A165="S",VTOTALBM,IF($A165=0,0,ROUND(SomaAgrupBM,15-13*ORÇAMENTO!$AF$11)))</f>
        <v>0</v>
      </c>
      <c r="N165" s="710">
        <f ca="1">O165-M165</f>
        <v>0</v>
      </c>
      <c r="O165" s="695" cm="1">
        <f t="array" aca="1" ref="O165" ca="1">IF($A165="S",VTOTALBM,IF($A165=0,0,ROUND(SomaAgrupBM,15-13*ORÇAMENTO!$AF$11)))</f>
        <v>0</v>
      </c>
      <c r="Q165" s="711"/>
      <c r="R165" s="712"/>
      <c r="T165" s="687" t="str">
        <f ca="1">IF($W165&gt;0,$D165,"")</f>
        <v/>
      </c>
      <c r="U165" s="699" t="str">
        <f ca="1">IF($W165&gt;0,$E165,"")</f>
        <v/>
      </c>
      <c r="V165" s="700" t="str" cm="1">
        <f t="array" aca="1" ref="V165" ca="1">IF(AND($W165&gt;0,RegimeExecucao="Unitário"),$F165,"")</f>
        <v/>
      </c>
      <c r="W165" s="719" cm="1">
        <f t="array" aca="1" ref="W165" ca="1">IF($Y165&gt;0,CHOOSE(MATCH(RegimeExecucao,{"Unitário","Global"},0),IF($A165="S",$Y165/$X165,""),($Y165/$X165)*100),0)</f>
        <v>0</v>
      </c>
      <c r="X165" s="713" t="str" cm="1">
        <f t="array" aca="1" ref="X165" ca="1">IF($Y165&gt;0,CHOOSE(MATCH(RegimeExecucao,{"Unitário","Global"},0),IF($A165="S",ROUND($H165,ORÇAMENTO!$AF$10),""),ROUND($I165,ORÇAMENTO!$AF$11)),"")</f>
        <v/>
      </c>
      <c r="Y165" s="713">
        <f ca="1">AO165-O165</f>
        <v>0</v>
      </c>
      <c r="Z165" s="722"/>
      <c r="AB165" s="711"/>
      <c r="AC165" s="717"/>
      <c r="AD165" s="717"/>
      <c r="AE165" s="717"/>
      <c r="AF165" s="717"/>
      <c r="AG165" s="717"/>
      <c r="AH165" s="717"/>
      <c r="AI165" s="717"/>
      <c r="AJ165" s="717"/>
      <c r="AK165" s="717"/>
      <c r="AL165" s="717"/>
      <c r="AM165" s="712"/>
      <c r="AO165" s="680" cm="1">
        <f t="array" aca="1" ref="AO165" ca="1">IF($A165="S",IF(BM!$I165=0,0,CHOOSE(MATCH(RegimeExecucao,{"Global","Unitário"},0),ROUND(ROUND(BM.MEDAcumulado,15-13*BM!$A$9)/100*BM!$I165,15-13*ORÇAMENTO!$AF$11),ROUND(ROUND(BM.MEDAcumulado,15-13*BM!$A$9)*ROUND(BM!$H165,15-13*ORÇAMENTO!$AF$10),15-13*ORÇAMENTO!$AF$11))),IF($A165=0,0,ROUND(SomaAgrupBM,15-13*ORÇAMENTO!$AF$11)))</f>
        <v>0</v>
      </c>
    </row>
    <row r="166" spans="1:41" s="670" customFormat="1" ht="25.5" x14ac:dyDescent="0.2">
      <c r="A166" s="670">
        <f ca="1">ORÇAMENTO!C166</f>
        <v>2</v>
      </c>
      <c r="B166" s="670">
        <f ca="1">ORÇAMENTO!D166</f>
        <v>4</v>
      </c>
      <c r="C166" s="114" t="str">
        <f t="shared" ca="1" si="15"/>
        <v>F</v>
      </c>
      <c r="D166" s="117" t="str">
        <f ca="1">ORÇAMENTO!O166</f>
        <v>1.22.</v>
      </c>
      <c r="E166" s="163" t="str">
        <f t="shared" si="16"/>
        <v>QUADRO DE COMANDO E BOMBAS - Estação Elevatória de Água Tratada</v>
      </c>
      <c r="F166" s="164" t="str" cm="1">
        <f t="array" aca="1" ref="F166" ca="1">IF(RegimeExecucao="Global","",ORÇAMENTO.Unidade)</f>
        <v>-</v>
      </c>
      <c r="G166" s="122" cm="1">
        <f t="array" aca="1" ref="G166" ca="1">IF(RegimeExecucao="Global","",ORÇAMENTO!T166)</f>
        <v>0</v>
      </c>
      <c r="H166" s="122" cm="1">
        <f t="array" aca="1" ref="H166" ca="1">IF(RegimeExecucao="Global","",ORÇAMENTO!W166)</f>
        <v>0</v>
      </c>
      <c r="I166" s="125">
        <f ca="1">ORÇAMENTO!X166</f>
        <v>191714.02</v>
      </c>
      <c r="J166" s="333" cm="1">
        <f t="array" aca="1" ref="J166" ca="1">IF($A166="S",IF(CAIXA.Modo,BM.AFAnterior,BM.MEDAnterior),IF(AND(RegimeExecucao="Global",$I166&gt;0,COUNTIF($AB$13:$AM$13,BM.medicao-1)&gt;0),M166/$I166*100,0))</f>
        <v>0</v>
      </c>
      <c r="K166" s="122">
        <f t="shared" ca="1" si="17"/>
        <v>0</v>
      </c>
      <c r="L166" s="334" cm="1">
        <f t="array" aca="1" ref="L166" ca="1">IF($A166="S",IF(CAIXA.Modo,BM.AFAcumulado,BM.MEDAcumulado),IF(AND(RegimeExecucao="Global",$I166&gt;0,COUNTIF($AB$13:$AM$13,BM.medicao)&gt;0),O166/$I166*100,0))</f>
        <v>0</v>
      </c>
      <c r="M166" s="335" cm="1">
        <f t="array" aca="1" ref="M166" ca="1">IF($A166="S",VTOTALBM,IF($A166=0,0,ROUND(SomaAgrupBM,15-13*ORÇAMENTO!$AF$11)))</f>
        <v>0</v>
      </c>
      <c r="N166" s="336">
        <f t="shared" ca="1" si="18"/>
        <v>0</v>
      </c>
      <c r="O166" s="125" cm="1">
        <f t="array" aca="1" ref="O166" ca="1">IF($A166="S",VTOTALBM,IF($A166=0,0,ROUND(SomaAgrupBM,15-13*ORÇAMENTO!$AF$11)))</f>
        <v>0</v>
      </c>
      <c r="Q166" s="337"/>
      <c r="R166" s="338"/>
      <c r="T166" s="117" t="str">
        <f t="shared" ca="1" si="19"/>
        <v/>
      </c>
      <c r="U166" s="163" t="str">
        <f t="shared" ca="1" si="20"/>
        <v/>
      </c>
      <c r="V166" s="164" t="str" cm="1">
        <f t="array" aca="1" ref="V166" ca="1">IF(AND($W166&gt;0,RegimeExecucao="Unitário"),$F166,"")</f>
        <v/>
      </c>
      <c r="W166" s="454" cm="1">
        <f t="array" aca="1" ref="W166" ca="1">IF($Y166&gt;0,CHOOSE(MATCH(RegimeExecucao,{"Unitário","Global"},0),IF($A166="S",$Y166/$X166,""),($Y166/$X166)*100),0)</f>
        <v>0</v>
      </c>
      <c r="X166" s="339" t="str" cm="1">
        <f t="array" aca="1" ref="X166" ca="1">IF($Y166&gt;0,CHOOSE(MATCH(RegimeExecucao,{"Unitário","Global"},0),IF($A166="S",ROUND($H166,ORÇAMENTO!$AF$10),""),ROUND($I166,ORÇAMENTO!$AF$11)),"")</f>
        <v/>
      </c>
      <c r="Y166" s="339">
        <f t="shared" ca="1" si="21"/>
        <v>0</v>
      </c>
      <c r="Z166" s="473"/>
      <c r="AB166" s="337"/>
      <c r="AC166" s="437"/>
      <c r="AD166" s="437"/>
      <c r="AE166" s="437"/>
      <c r="AF166" s="437"/>
      <c r="AG166" s="437"/>
      <c r="AH166" s="437"/>
      <c r="AI166" s="437"/>
      <c r="AJ166" s="437"/>
      <c r="AK166" s="437"/>
      <c r="AL166" s="437"/>
      <c r="AM166" s="338"/>
      <c r="AO166" s="670" cm="1">
        <f t="array" aca="1" ref="AO166" ca="1">IF($A166="S",IF(BM!$I166=0,0,CHOOSE(MATCH(RegimeExecucao,{"Global","Unitário"},0),ROUND(ROUND(BM.MEDAcumulado,15-13*BM!$A$9)/100*BM!$I166,15-13*ORÇAMENTO!$AF$11),ROUND(ROUND(BM.MEDAcumulado,15-13*BM!$A$9)*ROUND(BM!$H166,15-13*ORÇAMENTO!$AF$10),15-13*ORÇAMENTO!$AF$11))),IF($A166=0,0,ROUND(SomaAgrupBM,15-13*ORÇAMENTO!$AF$11)))</f>
        <v>0</v>
      </c>
    </row>
    <row r="167" spans="1:41" s="670" customFormat="1" ht="25.5" x14ac:dyDescent="0.2">
      <c r="A167" s="670" t="str">
        <f ca="1">ORÇAMENTO!C167</f>
        <v>S</v>
      </c>
      <c r="B167" s="670">
        <f ca="1">ORÇAMENTO!D167</f>
        <v>0</v>
      </c>
      <c r="C167" s="114" t="str">
        <f t="shared" ca="1" si="15"/>
        <v>F</v>
      </c>
      <c r="D167" s="117" t="str">
        <f ca="1">ORÇAMENTO!O167</f>
        <v>1.22.1.</v>
      </c>
      <c r="E167" s="163" t="str">
        <f t="shared" ca="1" si="16"/>
        <v>QUADRO DE COMANDO COMPESSADOR PARA ACIONAMENT E PROTEÇÃO INDIVIDUALIZADO DE DOIS CONJUNTOS</v>
      </c>
      <c r="F167" s="164" t="str" cm="1">
        <f t="array" aca="1" ref="F167" ca="1">IF(RegimeExecucao="Global","",ORÇAMENTO.Unidade)</f>
        <v>UNIDADE</v>
      </c>
      <c r="G167" s="122" cm="1">
        <f t="array" aca="1" ref="G167" ca="1">IF(RegimeExecucao="Global","",ORÇAMENTO!T167)</f>
        <v>2</v>
      </c>
      <c r="H167" s="122" cm="1">
        <f t="array" aca="1" ref="H167" ca="1">IF(RegimeExecucao="Global","",ORÇAMENTO!W167)</f>
        <v>65266.77</v>
      </c>
      <c r="I167" s="125">
        <f ca="1">ORÇAMENTO!X167</f>
        <v>130533.54</v>
      </c>
      <c r="J167" s="333" cm="1">
        <f t="array" aca="1" ref="J167" ca="1">IF($A167="S",IF(CAIXA.Modo,BM.AFAnterior,BM.MEDAnterior),IF(AND(RegimeExecucao="Global",$I167&gt;0,COUNTIF($AB$13:$AM$13,BM.medicao-1)&gt;0),M167/$I167*100,0))</f>
        <v>0</v>
      </c>
      <c r="K167" s="122">
        <f t="shared" ca="1" si="17"/>
        <v>0</v>
      </c>
      <c r="L167" s="334" cm="1">
        <f t="array" aca="1" ref="L167" ca="1">IF($A167="S",IF(CAIXA.Modo,BM.AFAcumulado,BM.MEDAcumulado),IF(AND(RegimeExecucao="Global",$I167&gt;0,COUNTIF($AB$13:$AM$13,BM.medicao)&gt;0),O167/$I167*100,0))</f>
        <v>0</v>
      </c>
      <c r="M167" s="335" cm="1">
        <f t="array" aca="1" ref="M167" ca="1">IF($A167="S",VTOTALBM,IF($A167=0,0,ROUND(SomaAgrupBM,15-13*ORÇAMENTO!$AF$11)))</f>
        <v>0</v>
      </c>
      <c r="N167" s="336">
        <f t="shared" ca="1" si="18"/>
        <v>0</v>
      </c>
      <c r="O167" s="125" cm="1">
        <f t="array" aca="1" ref="O167" ca="1">IF($A167="S",VTOTALBM,IF($A167=0,0,ROUND(SomaAgrupBM,15-13*ORÇAMENTO!$AF$11)))</f>
        <v>0</v>
      </c>
      <c r="Q167" s="337"/>
      <c r="R167" s="338"/>
      <c r="T167" s="117" t="str">
        <f t="shared" ca="1" si="19"/>
        <v/>
      </c>
      <c r="U167" s="163" t="str">
        <f t="shared" ca="1" si="20"/>
        <v/>
      </c>
      <c r="V167" s="164" t="str" cm="1">
        <f t="array" aca="1" ref="V167" ca="1">IF(AND($W167&gt;0,RegimeExecucao="Unitário"),$F167,"")</f>
        <v/>
      </c>
      <c r="W167" s="454" cm="1">
        <f t="array" aca="1" ref="W167" ca="1">IF($Y167&gt;0,CHOOSE(MATCH(RegimeExecucao,{"Unitário","Global"},0),IF($A167="S",$Y167/$X167,""),($Y167/$X167)*100),0)</f>
        <v>0</v>
      </c>
      <c r="X167" s="339" t="str" cm="1">
        <f t="array" aca="1" ref="X167" ca="1">IF($Y167&gt;0,CHOOSE(MATCH(RegimeExecucao,{"Unitário","Global"},0),IF($A167="S",ROUND($H167,ORÇAMENTO!$AF$10),""),ROUND($I167,ORÇAMENTO!$AF$11)),"")</f>
        <v/>
      </c>
      <c r="Y167" s="339">
        <f t="shared" ca="1" si="21"/>
        <v>0</v>
      </c>
      <c r="Z167" s="473"/>
      <c r="AB167" s="337"/>
      <c r="AC167" s="437"/>
      <c r="AD167" s="437"/>
      <c r="AE167" s="437"/>
      <c r="AF167" s="437"/>
      <c r="AG167" s="437"/>
      <c r="AH167" s="437"/>
      <c r="AI167" s="437"/>
      <c r="AJ167" s="437"/>
      <c r="AK167" s="437"/>
      <c r="AL167" s="437"/>
      <c r="AM167" s="338"/>
      <c r="AO167" s="670" cm="1">
        <f t="array" aca="1" ref="AO167" ca="1">IF($A167="S",IF(BM!$I167=0,0,CHOOSE(MATCH(RegimeExecucao,{"Global","Unitário"},0),ROUND(ROUND(BM.MEDAcumulado,15-13*BM!$A$9)/100*BM!$I167,15-13*ORÇAMENTO!$AF$11),ROUND(ROUND(BM.MEDAcumulado,15-13*BM!$A$9)*ROUND(BM!$H167,15-13*ORÇAMENTO!$AF$10),15-13*ORÇAMENTO!$AF$11))),IF($A167=0,0,ROUND(SomaAgrupBM,15-13*ORÇAMENTO!$AF$11)))</f>
        <v>0</v>
      </c>
    </row>
    <row r="168" spans="1:41" s="670" customFormat="1" ht="25.5" x14ac:dyDescent="0.2">
      <c r="A168" s="670" t="str">
        <f ca="1">ORÇAMENTO!C168</f>
        <v>S</v>
      </c>
      <c r="B168" s="670">
        <f ca="1">ORÇAMENTO!D168</f>
        <v>0</v>
      </c>
      <c r="C168" s="114" t="str">
        <f t="shared" ca="1" si="15"/>
        <v>F</v>
      </c>
      <c r="D168" s="117" t="str">
        <f ca="1">ORÇAMENTO!O168</f>
        <v>1.22.2.</v>
      </c>
      <c r="E168" s="163" t="str">
        <f t="shared" ca="1" si="16"/>
        <v>CONJUNTO MOTOR-BOMBA (CENTRÍFUGA) 40 CV, MONOESTÁGIO TRIFÁSICO, HMAN= 45 A 75 MCA E Q= 120 A 75 M³/H</v>
      </c>
      <c r="F168" s="164" t="str" cm="1">
        <f t="array" aca="1" ref="F168" ca="1">IF(RegimeExecucao="Global","",ORÇAMENTO.Unidade)</f>
        <v>UNIDADE</v>
      </c>
      <c r="G168" s="122" cm="1">
        <f t="array" aca="1" ref="G168" ca="1">IF(RegimeExecucao="Global","",ORÇAMENTO!T168)</f>
        <v>2</v>
      </c>
      <c r="H168" s="122" cm="1">
        <f t="array" aca="1" ref="H168" ca="1">IF(RegimeExecucao="Global","",ORÇAMENTO!W168)</f>
        <v>29663.24</v>
      </c>
      <c r="I168" s="125">
        <f ca="1">ORÇAMENTO!X168</f>
        <v>59326.48</v>
      </c>
      <c r="J168" s="333" cm="1">
        <f t="array" aca="1" ref="J168" ca="1">IF($A168="S",IF(CAIXA.Modo,BM.AFAnterior,BM.MEDAnterior),IF(AND(RegimeExecucao="Global",$I168&gt;0,COUNTIF($AB$13:$AM$13,BM.medicao-1)&gt;0),M168/$I168*100,0))</f>
        <v>0</v>
      </c>
      <c r="K168" s="122">
        <f t="shared" ca="1" si="17"/>
        <v>0</v>
      </c>
      <c r="L168" s="334" cm="1">
        <f t="array" aca="1" ref="L168" ca="1">IF($A168="S",IF(CAIXA.Modo,BM.AFAcumulado,BM.MEDAcumulado),IF(AND(RegimeExecucao="Global",$I168&gt;0,COUNTIF($AB$13:$AM$13,BM.medicao)&gt;0),O168/$I168*100,0))</f>
        <v>0</v>
      </c>
      <c r="M168" s="335" cm="1">
        <f t="array" aca="1" ref="M168" ca="1">IF($A168="S",VTOTALBM,IF($A168=0,0,ROUND(SomaAgrupBM,15-13*ORÇAMENTO!$AF$11)))</f>
        <v>0</v>
      </c>
      <c r="N168" s="336">
        <f t="shared" ca="1" si="18"/>
        <v>0</v>
      </c>
      <c r="O168" s="125" cm="1">
        <f t="array" aca="1" ref="O168" ca="1">IF($A168="S",VTOTALBM,IF($A168=0,0,ROUND(SomaAgrupBM,15-13*ORÇAMENTO!$AF$11)))</f>
        <v>0</v>
      </c>
      <c r="Q168" s="337"/>
      <c r="R168" s="338"/>
      <c r="T168" s="117" t="str">
        <f t="shared" ca="1" si="19"/>
        <v/>
      </c>
      <c r="U168" s="163" t="str">
        <f t="shared" ca="1" si="20"/>
        <v/>
      </c>
      <c r="V168" s="164" t="str" cm="1">
        <f t="array" aca="1" ref="V168" ca="1">IF(AND($W168&gt;0,RegimeExecucao="Unitário"),$F168,"")</f>
        <v/>
      </c>
      <c r="W168" s="454" cm="1">
        <f t="array" aca="1" ref="W168" ca="1">IF($Y168&gt;0,CHOOSE(MATCH(RegimeExecucao,{"Unitário","Global"},0),IF($A168="S",$Y168/$X168,""),($Y168/$X168)*100),0)</f>
        <v>0</v>
      </c>
      <c r="X168" s="339" t="str" cm="1">
        <f t="array" aca="1" ref="X168" ca="1">IF($Y168&gt;0,CHOOSE(MATCH(RegimeExecucao,{"Unitário","Global"},0),IF($A168="S",ROUND($H168,ORÇAMENTO!$AF$10),""),ROUND($I168,ORÇAMENTO!$AF$11)),"")</f>
        <v/>
      </c>
      <c r="Y168" s="339">
        <f t="shared" ca="1" si="21"/>
        <v>0</v>
      </c>
      <c r="Z168" s="473"/>
      <c r="AB168" s="337"/>
      <c r="AC168" s="437"/>
      <c r="AD168" s="437"/>
      <c r="AE168" s="437"/>
      <c r="AF168" s="437"/>
      <c r="AG168" s="437"/>
      <c r="AH168" s="437"/>
      <c r="AI168" s="437"/>
      <c r="AJ168" s="437"/>
      <c r="AK168" s="437"/>
      <c r="AL168" s="437"/>
      <c r="AM168" s="338"/>
      <c r="AO168" s="670" cm="1">
        <f t="array" aca="1" ref="AO168" ca="1">IF($A168="S",IF(BM!$I168=0,0,CHOOSE(MATCH(RegimeExecucao,{"Global","Unitário"},0),ROUND(ROUND(BM.MEDAcumulado,15-13*BM!$A$9)/100*BM!$I168,15-13*ORÇAMENTO!$AF$11),ROUND(ROUND(BM.MEDAcumulado,15-13*BM!$A$9)*ROUND(BM!$H168,15-13*ORÇAMENTO!$AF$10),15-13*ORÇAMENTO!$AF$11))),IF($A168=0,0,ROUND(SomaAgrupBM,15-13*ORÇAMENTO!$AF$11)))</f>
        <v>0</v>
      </c>
    </row>
    <row r="169" spans="1:41" s="673" customFormat="1" ht="38.25" x14ac:dyDescent="0.2">
      <c r="A169" s="673" t="str">
        <f ca="1">ORÇAMENTO!C169</f>
        <v>S</v>
      </c>
      <c r="B169" s="673">
        <f ca="1">ORÇAMENTO!D169</f>
        <v>0</v>
      </c>
      <c r="C169" s="114" t="str">
        <f ca="1">IF(OR($I169&gt;0,$A169=1,$A169=2,$A169=3,$A169=4),"F","")</f>
        <v>F</v>
      </c>
      <c r="D169" s="117" t="str">
        <f ca="1">ORÇAMENTO!O169</f>
        <v>1.22.3.</v>
      </c>
      <c r="E169" s="163" t="str">
        <f ca="1">ORÇAMENTO.Descricao</f>
        <v xml:space="preserve">                                                                                                               Instalação quadro de partida e comando para grupo gerador fixo existente com potencia de 145Kva. instalacao(desonerado)</v>
      </c>
      <c r="F169" s="164" t="str" cm="1">
        <f t="array" aca="1" ref="F169" ca="1">IF(RegimeExecucao="Global","",ORÇAMENTO.Unidade)</f>
        <v>UNIDADE</v>
      </c>
      <c r="G169" s="122" cm="1">
        <f t="array" aca="1" ref="G169" ca="1">IF(RegimeExecucao="Global","",ORÇAMENTO!T169)</f>
        <v>4</v>
      </c>
      <c r="H169" s="122" cm="1">
        <f t="array" aca="1" ref="H169" ca="1">IF(RegimeExecucao="Global","",ORÇAMENTO!W169)</f>
        <v>463.5</v>
      </c>
      <c r="I169" s="125">
        <f ca="1">ORÇAMENTO!X169</f>
        <v>1854</v>
      </c>
      <c r="J169" s="333" cm="1">
        <f t="array" aca="1" ref="J169" ca="1">IF($A169="S",IF(CAIXA.Modo,BM.AFAnterior,BM.MEDAnterior),IF(AND(RegimeExecucao="Global",$I169&gt;0,COUNTIF($AB$13:$AM$13,BM.medicao-1)&gt;0),M169/$I169*100,0))</f>
        <v>0</v>
      </c>
      <c r="K169" s="122">
        <f ca="1">L169-J169</f>
        <v>0</v>
      </c>
      <c r="L169" s="334" cm="1">
        <f t="array" aca="1" ref="L169" ca="1">IF($A169="S",IF(CAIXA.Modo,BM.AFAcumulado,BM.MEDAcumulado),IF(AND(RegimeExecucao="Global",$I169&gt;0,COUNTIF($AB$13:$AM$13,BM.medicao)&gt;0),O169/$I169*100,0))</f>
        <v>0</v>
      </c>
      <c r="M169" s="335" cm="1">
        <f t="array" aca="1" ref="M169" ca="1">IF($A169="S",VTOTALBM,IF($A169=0,0,ROUND(SomaAgrupBM,15-13*ORÇAMENTO!$AF$11)))</f>
        <v>0</v>
      </c>
      <c r="N169" s="336">
        <f ca="1">O169-M169</f>
        <v>0</v>
      </c>
      <c r="O169" s="125" cm="1">
        <f t="array" aca="1" ref="O169" ca="1">IF($A169="S",VTOTALBM,IF($A169=0,0,ROUND(SomaAgrupBM,15-13*ORÇAMENTO!$AF$11)))</f>
        <v>0</v>
      </c>
      <c r="Q169" s="337"/>
      <c r="R169" s="338"/>
      <c r="T169" s="117" t="str">
        <f ca="1">IF($W169&gt;0,$D169,"")</f>
        <v/>
      </c>
      <c r="U169" s="163" t="str">
        <f ca="1">IF($W169&gt;0,$E169,"")</f>
        <v/>
      </c>
      <c r="V169" s="164" t="str" cm="1">
        <f t="array" aca="1" ref="V169" ca="1">IF(AND($W169&gt;0,RegimeExecucao="Unitário"),$F169,"")</f>
        <v/>
      </c>
      <c r="W169" s="454" cm="1">
        <f t="array" aca="1" ref="W169" ca="1">IF($Y169&gt;0,CHOOSE(MATCH(RegimeExecucao,{"Unitário","Global"},0),IF($A169="S",$Y169/$X169,""),($Y169/$X169)*100),0)</f>
        <v>0</v>
      </c>
      <c r="X169" s="339" t="str" cm="1">
        <f t="array" aca="1" ref="X169" ca="1">IF($Y169&gt;0,CHOOSE(MATCH(RegimeExecucao,{"Unitário","Global"},0),IF($A169="S",ROUND($H169,ORÇAMENTO!$AF$10),""),ROUND($I169,ORÇAMENTO!$AF$11)),"")</f>
        <v/>
      </c>
      <c r="Y169" s="339">
        <f ca="1">AO169-O169</f>
        <v>0</v>
      </c>
      <c r="Z169" s="473"/>
      <c r="AB169" s="337"/>
      <c r="AC169" s="437"/>
      <c r="AD169" s="437"/>
      <c r="AE169" s="437"/>
      <c r="AF169" s="437"/>
      <c r="AG169" s="437"/>
      <c r="AH169" s="437"/>
      <c r="AI169" s="437"/>
      <c r="AJ169" s="437"/>
      <c r="AK169" s="437"/>
      <c r="AL169" s="437"/>
      <c r="AM169" s="338"/>
      <c r="AO169" s="673" cm="1">
        <f t="array" aca="1" ref="AO169" ca="1">IF($A169="S",IF(BM!$I169=0,0,CHOOSE(MATCH(RegimeExecucao,{"Global","Unitário"},0),ROUND(ROUND(BM.MEDAcumulado,15-13*BM!$A$9)/100*BM!$I169,15-13*ORÇAMENTO!$AF$11),ROUND(ROUND(BM.MEDAcumulado,15-13*BM!$A$9)*ROUND(BM!$H169,15-13*ORÇAMENTO!$AF$10),15-13*ORÇAMENTO!$AF$11))),IF($A169=0,0,ROUND(SomaAgrupBM,15-13*ORÇAMENTO!$AF$11)))</f>
        <v>0</v>
      </c>
    </row>
    <row r="170" spans="1:41" s="670" customFormat="1" ht="25.5" x14ac:dyDescent="0.2">
      <c r="A170" s="670">
        <f ca="1">ORÇAMENTO!C170</f>
        <v>2</v>
      </c>
      <c r="B170" s="670">
        <f ca="1">ORÇAMENTO!D170</f>
        <v>16</v>
      </c>
      <c r="C170" s="114" t="str">
        <f t="shared" ca="1" si="15"/>
        <v>F</v>
      </c>
      <c r="D170" s="117" t="str">
        <f ca="1">ORÇAMENTO!O170</f>
        <v>1.23.</v>
      </c>
      <c r="E170" s="163" t="str">
        <f t="shared" si="16"/>
        <v>EXECUÇÃO/ FORNECIMENTO DE MATERIAIS E EQUIPAMENTOS HIDRAULICOS - Distribuição de água tratada</v>
      </c>
      <c r="F170" s="164" t="str" cm="1">
        <f t="array" aca="1" ref="F170" ca="1">IF(RegimeExecucao="Global","",ORÇAMENTO.Unidade)</f>
        <v>-</v>
      </c>
      <c r="G170" s="122" cm="1">
        <f t="array" aca="1" ref="G170" ca="1">IF(RegimeExecucao="Global","",ORÇAMENTO!T170)</f>
        <v>0</v>
      </c>
      <c r="H170" s="122" cm="1">
        <f t="array" aca="1" ref="H170" ca="1">IF(RegimeExecucao="Global","",ORÇAMENTO!W170)</f>
        <v>0</v>
      </c>
      <c r="I170" s="125">
        <f ca="1">ORÇAMENTO!X170</f>
        <v>731511.22</v>
      </c>
      <c r="J170" s="333" cm="1">
        <f t="array" aca="1" ref="J170" ca="1">IF($A170="S",IF(CAIXA.Modo,BM.AFAnterior,BM.MEDAnterior),IF(AND(RegimeExecucao="Global",$I170&gt;0,COUNTIF($AB$13:$AM$13,BM.medicao-1)&gt;0),M170/$I170*100,0))</f>
        <v>0</v>
      </c>
      <c r="K170" s="122">
        <f t="shared" ca="1" si="17"/>
        <v>0</v>
      </c>
      <c r="L170" s="334" cm="1">
        <f t="array" aca="1" ref="L170" ca="1">IF($A170="S",IF(CAIXA.Modo,BM.AFAcumulado,BM.MEDAcumulado),IF(AND(RegimeExecucao="Global",$I170&gt;0,COUNTIF($AB$13:$AM$13,BM.medicao)&gt;0),O170/$I170*100,0))</f>
        <v>0</v>
      </c>
      <c r="M170" s="335" cm="1">
        <f t="array" aca="1" ref="M170" ca="1">IF($A170="S",VTOTALBM,IF($A170=0,0,ROUND(SomaAgrupBM,15-13*ORÇAMENTO!$AF$11)))</f>
        <v>0</v>
      </c>
      <c r="N170" s="336">
        <f t="shared" ca="1" si="18"/>
        <v>0</v>
      </c>
      <c r="O170" s="125" cm="1">
        <f t="array" aca="1" ref="O170" ca="1">IF($A170="S",VTOTALBM,IF($A170=0,0,ROUND(SomaAgrupBM,15-13*ORÇAMENTO!$AF$11)))</f>
        <v>0</v>
      </c>
      <c r="Q170" s="337"/>
      <c r="R170" s="338"/>
      <c r="T170" s="117" t="str">
        <f t="shared" ca="1" si="19"/>
        <v/>
      </c>
      <c r="U170" s="163" t="str">
        <f t="shared" ca="1" si="20"/>
        <v/>
      </c>
      <c r="V170" s="164" t="str" cm="1">
        <f t="array" aca="1" ref="V170" ca="1">IF(AND($W170&gt;0,RegimeExecucao="Unitário"),$F170,"")</f>
        <v/>
      </c>
      <c r="W170" s="454" cm="1">
        <f t="array" aca="1" ref="W170" ca="1">IF($Y170&gt;0,CHOOSE(MATCH(RegimeExecucao,{"Unitário","Global"},0),IF($A170="S",$Y170/$X170,""),($Y170/$X170)*100),0)</f>
        <v>0</v>
      </c>
      <c r="X170" s="339" t="str" cm="1">
        <f t="array" aca="1" ref="X170" ca="1">IF($Y170&gt;0,CHOOSE(MATCH(RegimeExecucao,{"Unitário","Global"},0),IF($A170="S",ROUND($H170,ORÇAMENTO!$AF$10),""),ROUND($I170,ORÇAMENTO!$AF$11)),"")</f>
        <v/>
      </c>
      <c r="Y170" s="339">
        <f t="shared" ca="1" si="21"/>
        <v>0</v>
      </c>
      <c r="Z170" s="473"/>
      <c r="AB170" s="337"/>
      <c r="AC170" s="437"/>
      <c r="AD170" s="437"/>
      <c r="AE170" s="437"/>
      <c r="AF170" s="437"/>
      <c r="AG170" s="437"/>
      <c r="AH170" s="437"/>
      <c r="AI170" s="437"/>
      <c r="AJ170" s="437"/>
      <c r="AK170" s="437"/>
      <c r="AL170" s="437"/>
      <c r="AM170" s="338"/>
      <c r="AO170" s="670" cm="1">
        <f t="array" aca="1" ref="AO170" ca="1">IF($A170="S",IF(BM!$I170=0,0,CHOOSE(MATCH(RegimeExecucao,{"Global","Unitário"},0),ROUND(ROUND(BM.MEDAcumulado,15-13*BM!$A$9)/100*BM!$I170,15-13*ORÇAMENTO!$AF$11),ROUND(ROUND(BM.MEDAcumulado,15-13*BM!$A$9)*ROUND(BM!$H170,15-13*ORÇAMENTO!$AF$10),15-13*ORÇAMENTO!$AF$11))),IF($A170=0,0,ROUND(SomaAgrupBM,15-13*ORÇAMENTO!$AF$11)))</f>
        <v>0</v>
      </c>
    </row>
    <row r="171" spans="1:41" s="670" customFormat="1" ht="25.5" x14ac:dyDescent="0.2">
      <c r="A171" s="670" t="str">
        <f ca="1">ORÇAMENTO!C171</f>
        <v>S</v>
      </c>
      <c r="B171" s="670">
        <f ca="1">ORÇAMENTO!D171</f>
        <v>0</v>
      </c>
      <c r="C171" s="114" t="str">
        <f t="shared" ca="1" si="15"/>
        <v>F</v>
      </c>
      <c r="D171" s="117" t="str">
        <f ca="1">ORÇAMENTO!O171</f>
        <v>1.23.1.</v>
      </c>
      <c r="E171" s="163" t="str">
        <f t="shared" ca="1" si="16"/>
        <v>TUBO PVC PBA JEI, CLASSE 20, DN 50 MM, PARA REDE DE AGUA (NBR 5647)</v>
      </c>
      <c r="F171" s="164" t="str" cm="1">
        <f t="array" aca="1" ref="F171" ca="1">IF(RegimeExecucao="Global","",ORÇAMENTO.Unidade)</f>
        <v>M</v>
      </c>
      <c r="G171" s="122" cm="1">
        <f t="array" aca="1" ref="G171" ca="1">IF(RegimeExecucao="Global","",ORÇAMENTO!T171)</f>
        <v>6000</v>
      </c>
      <c r="H171" s="122" cm="1">
        <f t="array" aca="1" ref="H171" ca="1">IF(RegimeExecucao="Global","",ORÇAMENTO!W171)</f>
        <v>35.090000000000003</v>
      </c>
      <c r="I171" s="125">
        <f ca="1">ORÇAMENTO!X171</f>
        <v>210540</v>
      </c>
      <c r="J171" s="333" cm="1">
        <f t="array" aca="1" ref="J171" ca="1">IF($A171="S",IF(CAIXA.Modo,BM.AFAnterior,BM.MEDAnterior),IF(AND(RegimeExecucao="Global",$I171&gt;0,COUNTIF($AB$13:$AM$13,BM.medicao-1)&gt;0),M171/$I171*100,0))</f>
        <v>0</v>
      </c>
      <c r="K171" s="122">
        <f t="shared" ca="1" si="17"/>
        <v>0</v>
      </c>
      <c r="L171" s="334" cm="1">
        <f t="array" aca="1" ref="L171" ca="1">IF($A171="S",IF(CAIXA.Modo,BM.AFAcumulado,BM.MEDAcumulado),IF(AND(RegimeExecucao="Global",$I171&gt;0,COUNTIF($AB$13:$AM$13,BM.medicao)&gt;0),O171/$I171*100,0))</f>
        <v>0</v>
      </c>
      <c r="M171" s="335" cm="1">
        <f t="array" aca="1" ref="M171" ca="1">IF($A171="S",VTOTALBM,IF($A171=0,0,ROUND(SomaAgrupBM,15-13*ORÇAMENTO!$AF$11)))</f>
        <v>0</v>
      </c>
      <c r="N171" s="336">
        <f t="shared" ca="1" si="18"/>
        <v>0</v>
      </c>
      <c r="O171" s="125" cm="1">
        <f t="array" aca="1" ref="O171" ca="1">IF($A171="S",VTOTALBM,IF($A171=0,0,ROUND(SomaAgrupBM,15-13*ORÇAMENTO!$AF$11)))</f>
        <v>0</v>
      </c>
      <c r="Q171" s="337"/>
      <c r="R171" s="338"/>
      <c r="T171" s="117" t="str">
        <f t="shared" ca="1" si="19"/>
        <v/>
      </c>
      <c r="U171" s="163" t="str">
        <f t="shared" ca="1" si="20"/>
        <v/>
      </c>
      <c r="V171" s="164" t="str" cm="1">
        <f t="array" aca="1" ref="V171" ca="1">IF(AND($W171&gt;0,RegimeExecucao="Unitário"),$F171,"")</f>
        <v/>
      </c>
      <c r="W171" s="454" cm="1">
        <f t="array" aca="1" ref="W171" ca="1">IF($Y171&gt;0,CHOOSE(MATCH(RegimeExecucao,{"Unitário","Global"},0),IF($A171="S",$Y171/$X171,""),($Y171/$X171)*100),0)</f>
        <v>0</v>
      </c>
      <c r="X171" s="339" t="str" cm="1">
        <f t="array" aca="1" ref="X171" ca="1">IF($Y171&gt;0,CHOOSE(MATCH(RegimeExecucao,{"Unitário","Global"},0),IF($A171="S",ROUND($H171,ORÇAMENTO!$AF$10),""),ROUND($I171,ORÇAMENTO!$AF$11)),"")</f>
        <v/>
      </c>
      <c r="Y171" s="339">
        <f t="shared" ca="1" si="21"/>
        <v>0</v>
      </c>
      <c r="Z171" s="473"/>
      <c r="AB171" s="337"/>
      <c r="AC171" s="437"/>
      <c r="AD171" s="437"/>
      <c r="AE171" s="437"/>
      <c r="AF171" s="437"/>
      <c r="AG171" s="437"/>
      <c r="AH171" s="437"/>
      <c r="AI171" s="437"/>
      <c r="AJ171" s="437"/>
      <c r="AK171" s="437"/>
      <c r="AL171" s="437"/>
      <c r="AM171" s="338"/>
      <c r="AO171" s="670" cm="1">
        <f t="array" aca="1" ref="AO171" ca="1">IF($A171="S",IF(BM!$I171=0,0,CHOOSE(MATCH(RegimeExecucao,{"Global","Unitário"},0),ROUND(ROUND(BM.MEDAcumulado,15-13*BM!$A$9)/100*BM!$I171,15-13*ORÇAMENTO!$AF$11),ROUND(ROUND(BM.MEDAcumulado,15-13*BM!$A$9)*ROUND(BM!$H171,15-13*ORÇAMENTO!$AF$10),15-13*ORÇAMENTO!$AF$11))),IF($A171=0,0,ROUND(SomaAgrupBM,15-13*ORÇAMENTO!$AF$11)))</f>
        <v>0</v>
      </c>
    </row>
    <row r="172" spans="1:41" s="670" customFormat="1" ht="51" x14ac:dyDescent="0.2">
      <c r="A172" s="670" t="str">
        <f ca="1">ORÇAMENTO!C172</f>
        <v>S</v>
      </c>
      <c r="B172" s="670">
        <f ca="1">ORÇAMENTO!D172</f>
        <v>0</v>
      </c>
      <c r="C172" s="114" t="str">
        <f t="shared" ca="1" si="15"/>
        <v>F</v>
      </c>
      <c r="D172" s="117" t="str">
        <f ca="1">ORÇAMENTO!O172</f>
        <v>1.23.2.</v>
      </c>
      <c r="E172" s="163" t="str">
        <f t="shared" ca="1" si="16"/>
        <v>ASSENTAMENTO DE TUBO DE PVC PBA PARA REDE DE ÁGUA, DN 50 MM, JUNTA ELÁSTICA INTEGRADA, INSTALADO EM LOCAL COM NÍVEL ALTO DE INTERFERÊNCIAS (NÃO INCLUI FORNECIMENTO). AF_05/2024</v>
      </c>
      <c r="F172" s="164" t="str" cm="1">
        <f t="array" aca="1" ref="F172" ca="1">IF(RegimeExecucao="Global","",ORÇAMENTO.Unidade)</f>
        <v>M</v>
      </c>
      <c r="G172" s="122" cm="1">
        <f t="array" aca="1" ref="G172" ca="1">IF(RegimeExecucao="Global","",ORÇAMENTO!T172)</f>
        <v>6000</v>
      </c>
      <c r="H172" s="122" cm="1">
        <f t="array" aca="1" ref="H172" ca="1">IF(RegimeExecucao="Global","",ORÇAMENTO!W172)</f>
        <v>4.1900000000000004</v>
      </c>
      <c r="I172" s="125">
        <f ca="1">ORÇAMENTO!X172</f>
        <v>25140</v>
      </c>
      <c r="J172" s="333" cm="1">
        <f t="array" aca="1" ref="J172" ca="1">IF($A172="S",IF(CAIXA.Modo,BM.AFAnterior,BM.MEDAnterior),IF(AND(RegimeExecucao="Global",$I172&gt;0,COUNTIF($AB$13:$AM$13,BM.medicao-1)&gt;0),M172/$I172*100,0))</f>
        <v>0</v>
      </c>
      <c r="K172" s="122">
        <f t="shared" ca="1" si="17"/>
        <v>0</v>
      </c>
      <c r="L172" s="334" cm="1">
        <f t="array" aca="1" ref="L172" ca="1">IF($A172="S",IF(CAIXA.Modo,BM.AFAcumulado,BM.MEDAcumulado),IF(AND(RegimeExecucao="Global",$I172&gt;0,COUNTIF($AB$13:$AM$13,BM.medicao)&gt;0),O172/$I172*100,0))</f>
        <v>0</v>
      </c>
      <c r="M172" s="335" cm="1">
        <f t="array" aca="1" ref="M172" ca="1">IF($A172="S",VTOTALBM,IF($A172=0,0,ROUND(SomaAgrupBM,15-13*ORÇAMENTO!$AF$11)))</f>
        <v>0</v>
      </c>
      <c r="N172" s="336">
        <f t="shared" ca="1" si="18"/>
        <v>0</v>
      </c>
      <c r="O172" s="125" cm="1">
        <f t="array" aca="1" ref="O172" ca="1">IF($A172="S",VTOTALBM,IF($A172=0,0,ROUND(SomaAgrupBM,15-13*ORÇAMENTO!$AF$11)))</f>
        <v>0</v>
      </c>
      <c r="Q172" s="337"/>
      <c r="R172" s="338"/>
      <c r="T172" s="117" t="str">
        <f t="shared" ca="1" si="19"/>
        <v/>
      </c>
      <c r="U172" s="163" t="str">
        <f t="shared" ca="1" si="20"/>
        <v/>
      </c>
      <c r="V172" s="164" t="str" cm="1">
        <f t="array" aca="1" ref="V172" ca="1">IF(AND($W172&gt;0,RegimeExecucao="Unitário"),$F172,"")</f>
        <v/>
      </c>
      <c r="W172" s="454" cm="1">
        <f t="array" aca="1" ref="W172" ca="1">IF($Y172&gt;0,CHOOSE(MATCH(RegimeExecucao,{"Unitário","Global"},0),IF($A172="S",$Y172/$X172,""),($Y172/$X172)*100),0)</f>
        <v>0</v>
      </c>
      <c r="X172" s="339" t="str" cm="1">
        <f t="array" aca="1" ref="X172" ca="1">IF($Y172&gt;0,CHOOSE(MATCH(RegimeExecucao,{"Unitário","Global"},0),IF($A172="S",ROUND($H172,ORÇAMENTO!$AF$10),""),ROUND($I172,ORÇAMENTO!$AF$11)),"")</f>
        <v/>
      </c>
      <c r="Y172" s="339">
        <f t="shared" ca="1" si="21"/>
        <v>0</v>
      </c>
      <c r="Z172" s="473"/>
      <c r="AB172" s="337"/>
      <c r="AC172" s="437"/>
      <c r="AD172" s="437"/>
      <c r="AE172" s="437"/>
      <c r="AF172" s="437"/>
      <c r="AG172" s="437"/>
      <c r="AH172" s="437"/>
      <c r="AI172" s="437"/>
      <c r="AJ172" s="437"/>
      <c r="AK172" s="437"/>
      <c r="AL172" s="437"/>
      <c r="AM172" s="338"/>
      <c r="AO172" s="670" cm="1">
        <f t="array" aca="1" ref="AO172" ca="1">IF($A172="S",IF(BM!$I172=0,0,CHOOSE(MATCH(RegimeExecucao,{"Global","Unitário"},0),ROUND(ROUND(BM.MEDAcumulado,15-13*BM!$A$9)/100*BM!$I172,15-13*ORÇAMENTO!$AF$11),ROUND(ROUND(BM.MEDAcumulado,15-13*BM!$A$9)*ROUND(BM!$H172,15-13*ORÇAMENTO!$AF$10),15-13*ORÇAMENTO!$AF$11))),IF($A172=0,0,ROUND(SomaAgrupBM,15-13*ORÇAMENTO!$AF$11)))</f>
        <v>0</v>
      </c>
    </row>
    <row r="173" spans="1:41" s="670" customFormat="1" ht="38.25" x14ac:dyDescent="0.2">
      <c r="A173" s="670" t="str">
        <f ca="1">ORÇAMENTO!C173</f>
        <v>S</v>
      </c>
      <c r="B173" s="670">
        <f ca="1">ORÇAMENTO!D173</f>
        <v>0</v>
      </c>
      <c r="C173" s="114" t="str">
        <f t="shared" ca="1" si="15"/>
        <v>F</v>
      </c>
      <c r="D173" s="117" t="str">
        <f ca="1">ORÇAMENTO!O173</f>
        <v>1.23.3.</v>
      </c>
      <c r="E173" s="163" t="str">
        <f t="shared" ca="1" si="16"/>
        <v>JOELHO 90 GRAUS, PVC, SOLDÁVEL, DN 50MM, INSTALADO EM RAMAL DE DISTRIBUIÇÃO DE ÁGUA - FORNECIMENTO E INSTALAÇÃO. AF_06/2022</v>
      </c>
      <c r="F173" s="164" t="str" cm="1">
        <f t="array" aca="1" ref="F173" ca="1">IF(RegimeExecucao="Global","",ORÇAMENTO.Unidade)</f>
        <v>UN</v>
      </c>
      <c r="G173" s="122" cm="1">
        <f t="array" aca="1" ref="G173" ca="1">IF(RegimeExecucao="Global","",ORÇAMENTO!T173)</f>
        <v>4</v>
      </c>
      <c r="H173" s="122" cm="1">
        <f t="array" aca="1" ref="H173" ca="1">IF(RegimeExecucao="Global","",ORÇAMENTO!W173)</f>
        <v>27.52</v>
      </c>
      <c r="I173" s="125">
        <f ca="1">ORÇAMENTO!X173</f>
        <v>110.08</v>
      </c>
      <c r="J173" s="333" cm="1">
        <f t="array" aca="1" ref="J173" ca="1">IF($A173="S",IF(CAIXA.Modo,BM.AFAnterior,BM.MEDAnterior),IF(AND(RegimeExecucao="Global",$I173&gt;0,COUNTIF($AB$13:$AM$13,BM.medicao-1)&gt;0),M173/$I173*100,0))</f>
        <v>0</v>
      </c>
      <c r="K173" s="122">
        <f t="shared" ca="1" si="17"/>
        <v>0</v>
      </c>
      <c r="L173" s="334" cm="1">
        <f t="array" aca="1" ref="L173" ca="1">IF($A173="S",IF(CAIXA.Modo,BM.AFAcumulado,BM.MEDAcumulado),IF(AND(RegimeExecucao="Global",$I173&gt;0,COUNTIF($AB$13:$AM$13,BM.medicao)&gt;0),O173/$I173*100,0))</f>
        <v>0</v>
      </c>
      <c r="M173" s="335" cm="1">
        <f t="array" aca="1" ref="M173" ca="1">IF($A173="S",VTOTALBM,IF($A173=0,0,ROUND(SomaAgrupBM,15-13*ORÇAMENTO!$AF$11)))</f>
        <v>0</v>
      </c>
      <c r="N173" s="336">
        <f t="shared" ca="1" si="18"/>
        <v>0</v>
      </c>
      <c r="O173" s="125" cm="1">
        <f t="array" aca="1" ref="O173" ca="1">IF($A173="S",VTOTALBM,IF($A173=0,0,ROUND(SomaAgrupBM,15-13*ORÇAMENTO!$AF$11)))</f>
        <v>0</v>
      </c>
      <c r="Q173" s="337"/>
      <c r="R173" s="338"/>
      <c r="T173" s="117" t="str">
        <f t="shared" ca="1" si="19"/>
        <v/>
      </c>
      <c r="U173" s="163" t="str">
        <f t="shared" ca="1" si="20"/>
        <v/>
      </c>
      <c r="V173" s="164" t="str" cm="1">
        <f t="array" aca="1" ref="V173" ca="1">IF(AND($W173&gt;0,RegimeExecucao="Unitário"),$F173,"")</f>
        <v/>
      </c>
      <c r="W173" s="454" cm="1">
        <f t="array" aca="1" ref="W173" ca="1">IF($Y173&gt;0,CHOOSE(MATCH(RegimeExecucao,{"Unitário","Global"},0),IF($A173="S",$Y173/$X173,""),($Y173/$X173)*100),0)</f>
        <v>0</v>
      </c>
      <c r="X173" s="339" t="str" cm="1">
        <f t="array" aca="1" ref="X173" ca="1">IF($Y173&gt;0,CHOOSE(MATCH(RegimeExecucao,{"Unitário","Global"},0),IF($A173="S",ROUND($H173,ORÇAMENTO!$AF$10),""),ROUND($I173,ORÇAMENTO!$AF$11)),"")</f>
        <v/>
      </c>
      <c r="Y173" s="339">
        <f t="shared" ca="1" si="21"/>
        <v>0</v>
      </c>
      <c r="Z173" s="473"/>
      <c r="AB173" s="337"/>
      <c r="AC173" s="437"/>
      <c r="AD173" s="437"/>
      <c r="AE173" s="437"/>
      <c r="AF173" s="437"/>
      <c r="AG173" s="437"/>
      <c r="AH173" s="437"/>
      <c r="AI173" s="437"/>
      <c r="AJ173" s="437"/>
      <c r="AK173" s="437"/>
      <c r="AL173" s="437"/>
      <c r="AM173" s="338"/>
      <c r="AO173" s="670" cm="1">
        <f t="array" aca="1" ref="AO173" ca="1">IF($A173="S",IF(BM!$I173=0,0,CHOOSE(MATCH(RegimeExecucao,{"Global","Unitário"},0),ROUND(ROUND(BM.MEDAcumulado,15-13*BM!$A$9)/100*BM!$I173,15-13*ORÇAMENTO!$AF$11),ROUND(ROUND(BM.MEDAcumulado,15-13*BM!$A$9)*ROUND(BM!$H173,15-13*ORÇAMENTO!$AF$10),15-13*ORÇAMENTO!$AF$11))),IF($A173=0,0,ROUND(SomaAgrupBM,15-13*ORÇAMENTO!$AF$11)))</f>
        <v>0</v>
      </c>
    </row>
    <row r="174" spans="1:41" s="670" customFormat="1" ht="38.25" x14ac:dyDescent="0.2">
      <c r="A174" s="670" t="str">
        <f ca="1">ORÇAMENTO!C174</f>
        <v>S</v>
      </c>
      <c r="B174" s="670">
        <f ca="1">ORÇAMENTO!D174</f>
        <v>0</v>
      </c>
      <c r="C174" s="114" t="str">
        <f t="shared" ca="1" si="15"/>
        <v>F</v>
      </c>
      <c r="D174" s="117" t="str">
        <f ca="1">ORÇAMENTO!O174</f>
        <v>1.23.4.</v>
      </c>
      <c r="E174" s="163" t="str">
        <f t="shared" ca="1" si="16"/>
        <v>JUNÇÃO SIMPLES, PVC, SERIE R, ÁGUA PLUVIAL, DN 50 MM, JUNTA ELÁSTICA, FORNECIDO E INSTALADO EM RAMAL DE ENCAMINHAMENTO. AF_06/2022</v>
      </c>
      <c r="F174" s="164" t="str" cm="1">
        <f t="array" aca="1" ref="F174" ca="1">IF(RegimeExecucao="Global","",ORÇAMENTO.Unidade)</f>
        <v>UN</v>
      </c>
      <c r="G174" s="122" cm="1">
        <f t="array" aca="1" ref="G174" ca="1">IF(RegimeExecucao="Global","",ORÇAMENTO!T174)</f>
        <v>4</v>
      </c>
      <c r="H174" s="122" cm="1">
        <f t="array" aca="1" ref="H174" ca="1">IF(RegimeExecucao="Global","",ORÇAMENTO!W174)</f>
        <v>45.33</v>
      </c>
      <c r="I174" s="125">
        <f ca="1">ORÇAMENTO!X174</f>
        <v>181.32</v>
      </c>
      <c r="J174" s="333" cm="1">
        <f t="array" aca="1" ref="J174" ca="1">IF($A174="S",IF(CAIXA.Modo,BM.AFAnterior,BM.MEDAnterior),IF(AND(RegimeExecucao="Global",$I174&gt;0,COUNTIF($AB$13:$AM$13,BM.medicao-1)&gt;0),M174/$I174*100,0))</f>
        <v>0</v>
      </c>
      <c r="K174" s="122">
        <f t="shared" ca="1" si="17"/>
        <v>0</v>
      </c>
      <c r="L174" s="334" cm="1">
        <f t="array" aca="1" ref="L174" ca="1">IF($A174="S",IF(CAIXA.Modo,BM.AFAcumulado,BM.MEDAcumulado),IF(AND(RegimeExecucao="Global",$I174&gt;0,COUNTIF($AB$13:$AM$13,BM.medicao)&gt;0),O174/$I174*100,0))</f>
        <v>0</v>
      </c>
      <c r="M174" s="335" cm="1">
        <f t="array" aca="1" ref="M174" ca="1">IF($A174="S",VTOTALBM,IF($A174=0,0,ROUND(SomaAgrupBM,15-13*ORÇAMENTO!$AF$11)))</f>
        <v>0</v>
      </c>
      <c r="N174" s="336">
        <f t="shared" ca="1" si="18"/>
        <v>0</v>
      </c>
      <c r="O174" s="125" cm="1">
        <f t="array" aca="1" ref="O174" ca="1">IF($A174="S",VTOTALBM,IF($A174=0,0,ROUND(SomaAgrupBM,15-13*ORÇAMENTO!$AF$11)))</f>
        <v>0</v>
      </c>
      <c r="Q174" s="337"/>
      <c r="R174" s="338"/>
      <c r="T174" s="117" t="str">
        <f t="shared" ca="1" si="19"/>
        <v/>
      </c>
      <c r="U174" s="163" t="str">
        <f t="shared" ca="1" si="20"/>
        <v/>
      </c>
      <c r="V174" s="164" t="str" cm="1">
        <f t="array" aca="1" ref="V174" ca="1">IF(AND($W174&gt;0,RegimeExecucao="Unitário"),$F174,"")</f>
        <v/>
      </c>
      <c r="W174" s="454" cm="1">
        <f t="array" aca="1" ref="W174" ca="1">IF($Y174&gt;0,CHOOSE(MATCH(RegimeExecucao,{"Unitário","Global"},0),IF($A174="S",$Y174/$X174,""),($Y174/$X174)*100),0)</f>
        <v>0</v>
      </c>
      <c r="X174" s="339" t="str" cm="1">
        <f t="array" aca="1" ref="X174" ca="1">IF($Y174&gt;0,CHOOSE(MATCH(RegimeExecucao,{"Unitário","Global"},0),IF($A174="S",ROUND($H174,ORÇAMENTO!$AF$10),""),ROUND($I174,ORÇAMENTO!$AF$11)),"")</f>
        <v/>
      </c>
      <c r="Y174" s="339">
        <f t="shared" ca="1" si="21"/>
        <v>0</v>
      </c>
      <c r="Z174" s="473"/>
      <c r="AB174" s="337"/>
      <c r="AC174" s="437"/>
      <c r="AD174" s="437"/>
      <c r="AE174" s="437"/>
      <c r="AF174" s="437"/>
      <c r="AG174" s="437"/>
      <c r="AH174" s="437"/>
      <c r="AI174" s="437"/>
      <c r="AJ174" s="437"/>
      <c r="AK174" s="437"/>
      <c r="AL174" s="437"/>
      <c r="AM174" s="338"/>
      <c r="AO174" s="670" cm="1">
        <f t="array" aca="1" ref="AO174" ca="1">IF($A174="S",IF(BM!$I174=0,0,CHOOSE(MATCH(RegimeExecucao,{"Global","Unitário"},0),ROUND(ROUND(BM.MEDAcumulado,15-13*BM!$A$9)/100*BM!$I174,15-13*ORÇAMENTO!$AF$11),ROUND(ROUND(BM.MEDAcumulado,15-13*BM!$A$9)*ROUND(BM!$H174,15-13*ORÇAMENTO!$AF$10),15-13*ORÇAMENTO!$AF$11))),IF($A174=0,0,ROUND(SomaAgrupBM,15-13*ORÇAMENTO!$AF$11)))</f>
        <v>0</v>
      </c>
    </row>
    <row r="175" spans="1:41" s="670" customFormat="1" x14ac:dyDescent="0.2">
      <c r="A175" s="670" t="str">
        <f ca="1">ORÇAMENTO!C175</f>
        <v>S</v>
      </c>
      <c r="B175" s="670">
        <f ca="1">ORÇAMENTO!D175</f>
        <v>0</v>
      </c>
      <c r="C175" s="114" t="str">
        <f t="shared" ca="1" si="15"/>
        <v>F</v>
      </c>
      <c r="D175" s="117" t="str">
        <f ca="1">ORÇAMENTO!O175</f>
        <v>1.23.5.</v>
      </c>
      <c r="E175" s="163" t="str">
        <f t="shared" ca="1" si="16"/>
        <v xml:space="preserve">CRUZETA PVC RIGIDO SOLDAVEL 50mm- </v>
      </c>
      <c r="F175" s="164" t="str" cm="1">
        <f t="array" aca="1" ref="F175" ca="1">IF(RegimeExecucao="Global","",ORÇAMENTO.Unidade)</f>
        <v>UNIDADE</v>
      </c>
      <c r="G175" s="122" cm="1">
        <f t="array" aca="1" ref="G175" ca="1">IF(RegimeExecucao="Global","",ORÇAMENTO!T175)</f>
        <v>5</v>
      </c>
      <c r="H175" s="122" cm="1">
        <f t="array" aca="1" ref="H175" ca="1">IF(RegimeExecucao="Global","",ORÇAMENTO!W175)</f>
        <v>88.54</v>
      </c>
      <c r="I175" s="125">
        <f ca="1">ORÇAMENTO!X175</f>
        <v>442.7</v>
      </c>
      <c r="J175" s="333" cm="1">
        <f t="array" aca="1" ref="J175" ca="1">IF($A175="S",IF(CAIXA.Modo,BM.AFAnterior,BM.MEDAnterior),IF(AND(RegimeExecucao="Global",$I175&gt;0,COUNTIF($AB$13:$AM$13,BM.medicao-1)&gt;0),M175/$I175*100,0))</f>
        <v>0</v>
      </c>
      <c r="K175" s="122">
        <f t="shared" ca="1" si="17"/>
        <v>0</v>
      </c>
      <c r="L175" s="334" cm="1">
        <f t="array" aca="1" ref="L175" ca="1">IF($A175="S",IF(CAIXA.Modo,BM.AFAcumulado,BM.MEDAcumulado),IF(AND(RegimeExecucao="Global",$I175&gt;0,COUNTIF($AB$13:$AM$13,BM.medicao)&gt;0),O175/$I175*100,0))</f>
        <v>0</v>
      </c>
      <c r="M175" s="335" cm="1">
        <f t="array" aca="1" ref="M175" ca="1">IF($A175="S",VTOTALBM,IF($A175=0,0,ROUND(SomaAgrupBM,15-13*ORÇAMENTO!$AF$11)))</f>
        <v>0</v>
      </c>
      <c r="N175" s="336">
        <f t="shared" ca="1" si="18"/>
        <v>0</v>
      </c>
      <c r="O175" s="125" cm="1">
        <f t="array" aca="1" ref="O175" ca="1">IF($A175="S",VTOTALBM,IF($A175=0,0,ROUND(SomaAgrupBM,15-13*ORÇAMENTO!$AF$11)))</f>
        <v>0</v>
      </c>
      <c r="Q175" s="337"/>
      <c r="R175" s="338"/>
      <c r="T175" s="117" t="str">
        <f t="shared" ca="1" si="19"/>
        <v/>
      </c>
      <c r="U175" s="163" t="str">
        <f t="shared" ca="1" si="20"/>
        <v/>
      </c>
      <c r="V175" s="164" t="str" cm="1">
        <f t="array" aca="1" ref="V175" ca="1">IF(AND($W175&gt;0,RegimeExecucao="Unitário"),$F175,"")</f>
        <v/>
      </c>
      <c r="W175" s="454" cm="1">
        <f t="array" aca="1" ref="W175" ca="1">IF($Y175&gt;0,CHOOSE(MATCH(RegimeExecucao,{"Unitário","Global"},0),IF($A175="S",$Y175/$X175,""),($Y175/$X175)*100),0)</f>
        <v>0</v>
      </c>
      <c r="X175" s="339" t="str" cm="1">
        <f t="array" aca="1" ref="X175" ca="1">IF($Y175&gt;0,CHOOSE(MATCH(RegimeExecucao,{"Unitário","Global"},0),IF($A175="S",ROUND($H175,ORÇAMENTO!$AF$10),""),ROUND($I175,ORÇAMENTO!$AF$11)),"")</f>
        <v/>
      </c>
      <c r="Y175" s="339">
        <f t="shared" ca="1" si="21"/>
        <v>0</v>
      </c>
      <c r="Z175" s="473"/>
      <c r="AB175" s="337"/>
      <c r="AC175" s="437"/>
      <c r="AD175" s="437"/>
      <c r="AE175" s="437"/>
      <c r="AF175" s="437"/>
      <c r="AG175" s="437"/>
      <c r="AH175" s="437"/>
      <c r="AI175" s="437"/>
      <c r="AJ175" s="437"/>
      <c r="AK175" s="437"/>
      <c r="AL175" s="437"/>
      <c r="AM175" s="338"/>
      <c r="AO175" s="670" cm="1">
        <f t="array" aca="1" ref="AO175" ca="1">IF($A175="S",IF(BM!$I175=0,0,CHOOSE(MATCH(RegimeExecucao,{"Global","Unitário"},0),ROUND(ROUND(BM.MEDAcumulado,15-13*BM!$A$9)/100*BM!$I175,15-13*ORÇAMENTO!$AF$11),ROUND(ROUND(BM.MEDAcumulado,15-13*BM!$A$9)*ROUND(BM!$H175,15-13*ORÇAMENTO!$AF$10),15-13*ORÇAMENTO!$AF$11))),IF($A175=0,0,ROUND(SomaAgrupBM,15-13*ORÇAMENTO!$AF$11)))</f>
        <v>0</v>
      </c>
    </row>
    <row r="176" spans="1:41" s="670" customFormat="1" ht="38.25" x14ac:dyDescent="0.2">
      <c r="A176" s="670" t="str">
        <f ca="1">ORÇAMENTO!C176</f>
        <v>S</v>
      </c>
      <c r="B176" s="670">
        <f ca="1">ORÇAMENTO!D176</f>
        <v>0</v>
      </c>
      <c r="C176" s="114" t="str">
        <f t="shared" ca="1" si="15"/>
        <v>F</v>
      </c>
      <c r="D176" s="117" t="str">
        <f ca="1">ORÇAMENTO!O176</f>
        <v>1.23.6.</v>
      </c>
      <c r="E176" s="163" t="str">
        <f t="shared" ca="1" si="16"/>
        <v>PASTA LUBRIFICANTE PARA TUBOS E CONEXOES COM JUNTA ELASTICA, EMBALAGEM DE *400* GR (USO EM PVC, ACO, POLIETILENO E OUTROS)</v>
      </c>
      <c r="F176" s="164" t="str" cm="1">
        <f t="array" aca="1" ref="F176" ca="1">IF(RegimeExecucao="Global","",ORÇAMENTO.Unidade)</f>
        <v>UN</v>
      </c>
      <c r="G176" s="122" cm="1">
        <f t="array" aca="1" ref="G176" ca="1">IF(RegimeExecucao="Global","",ORÇAMENTO!T176)</f>
        <v>110</v>
      </c>
      <c r="H176" s="122" cm="1">
        <f t="array" aca="1" ref="H176" ca="1">IF(RegimeExecucao="Global","",ORÇAMENTO!W176)</f>
        <v>36.130000000000003</v>
      </c>
      <c r="I176" s="125">
        <f ca="1">ORÇAMENTO!X176</f>
        <v>3974.3</v>
      </c>
      <c r="J176" s="333" cm="1">
        <f t="array" aca="1" ref="J176" ca="1">IF($A176="S",IF(CAIXA.Modo,BM.AFAnterior,BM.MEDAnterior),IF(AND(RegimeExecucao="Global",$I176&gt;0,COUNTIF($AB$13:$AM$13,BM.medicao-1)&gt;0),M176/$I176*100,0))</f>
        <v>0</v>
      </c>
      <c r="K176" s="122">
        <f t="shared" ca="1" si="17"/>
        <v>0</v>
      </c>
      <c r="L176" s="334" cm="1">
        <f t="array" aca="1" ref="L176" ca="1">IF($A176="S",IF(CAIXA.Modo,BM.AFAcumulado,BM.MEDAcumulado),IF(AND(RegimeExecucao="Global",$I176&gt;0,COUNTIF($AB$13:$AM$13,BM.medicao)&gt;0),O176/$I176*100,0))</f>
        <v>0</v>
      </c>
      <c r="M176" s="335" cm="1">
        <f t="array" aca="1" ref="M176" ca="1">IF($A176="S",VTOTALBM,IF($A176=0,0,ROUND(SomaAgrupBM,15-13*ORÇAMENTO!$AF$11)))</f>
        <v>0</v>
      </c>
      <c r="N176" s="336">
        <f t="shared" ca="1" si="18"/>
        <v>0</v>
      </c>
      <c r="O176" s="125" cm="1">
        <f t="array" aca="1" ref="O176" ca="1">IF($A176="S",VTOTALBM,IF($A176=0,0,ROUND(SomaAgrupBM,15-13*ORÇAMENTO!$AF$11)))</f>
        <v>0</v>
      </c>
      <c r="Q176" s="337"/>
      <c r="R176" s="338"/>
      <c r="T176" s="117" t="str">
        <f t="shared" ca="1" si="19"/>
        <v/>
      </c>
      <c r="U176" s="163" t="str">
        <f t="shared" ca="1" si="20"/>
        <v/>
      </c>
      <c r="V176" s="164" t="str" cm="1">
        <f t="array" aca="1" ref="V176" ca="1">IF(AND($W176&gt;0,RegimeExecucao="Unitário"),$F176,"")</f>
        <v/>
      </c>
      <c r="W176" s="454" cm="1">
        <f t="array" aca="1" ref="W176" ca="1">IF($Y176&gt;0,CHOOSE(MATCH(RegimeExecucao,{"Unitário","Global"},0),IF($A176="S",$Y176/$X176,""),($Y176/$X176)*100),0)</f>
        <v>0</v>
      </c>
      <c r="X176" s="339" t="str" cm="1">
        <f t="array" aca="1" ref="X176" ca="1">IF($Y176&gt;0,CHOOSE(MATCH(RegimeExecucao,{"Unitário","Global"},0),IF($A176="S",ROUND($H176,ORÇAMENTO!$AF$10),""),ROUND($I176,ORÇAMENTO!$AF$11)),"")</f>
        <v/>
      </c>
      <c r="Y176" s="339">
        <f t="shared" ca="1" si="21"/>
        <v>0</v>
      </c>
      <c r="Z176" s="473"/>
      <c r="AB176" s="337"/>
      <c r="AC176" s="437"/>
      <c r="AD176" s="437"/>
      <c r="AE176" s="437"/>
      <c r="AF176" s="437"/>
      <c r="AG176" s="437"/>
      <c r="AH176" s="437"/>
      <c r="AI176" s="437"/>
      <c r="AJ176" s="437"/>
      <c r="AK176" s="437"/>
      <c r="AL176" s="437"/>
      <c r="AM176" s="338"/>
      <c r="AO176" s="670" cm="1">
        <f t="array" aca="1" ref="AO176" ca="1">IF($A176="S",IF(BM!$I176=0,0,CHOOSE(MATCH(RegimeExecucao,{"Global","Unitário"},0),ROUND(ROUND(BM.MEDAcumulado,15-13*BM!$A$9)/100*BM!$I176,15-13*ORÇAMENTO!$AF$11),ROUND(ROUND(BM.MEDAcumulado,15-13*BM!$A$9)*ROUND(BM!$H176,15-13*ORÇAMENTO!$AF$10),15-13*ORÇAMENTO!$AF$11))),IF($A176=0,0,ROUND(SomaAgrupBM,15-13*ORÇAMENTO!$AF$11)))</f>
        <v>0</v>
      </c>
    </row>
    <row r="177" spans="1:41" s="670" customFormat="1" ht="38.25" x14ac:dyDescent="0.2">
      <c r="A177" s="670" t="str">
        <f ca="1">ORÇAMENTO!C177</f>
        <v>S</v>
      </c>
      <c r="B177" s="670">
        <f ca="1">ORÇAMENTO!D177</f>
        <v>0</v>
      </c>
      <c r="C177" s="114" t="str">
        <f t="shared" ca="1" si="15"/>
        <v>F</v>
      </c>
      <c r="D177" s="117" t="str">
        <f ca="1">ORÇAMENTO!O177</f>
        <v>1.23.7.</v>
      </c>
      <c r="E177" s="163" t="str">
        <f t="shared" ca="1" si="16"/>
        <v>REGISTRO DE GAVETA BRUTO, LATÃO, ROSCÁVEL, 1 1/2", COM ACABAMENTO E CANOPLA CROMADOS - FORNECIMENTO E INSTALAÇÃO. AF_08/2021</v>
      </c>
      <c r="F177" s="164" t="str" cm="1">
        <f t="array" aca="1" ref="F177" ca="1">IF(RegimeExecucao="Global","",ORÇAMENTO.Unidade)</f>
        <v>UN</v>
      </c>
      <c r="G177" s="122" cm="1">
        <f t="array" aca="1" ref="G177" ca="1">IF(RegimeExecucao="Global","",ORÇAMENTO!T177)</f>
        <v>8</v>
      </c>
      <c r="H177" s="122" cm="1">
        <f t="array" aca="1" ref="H177" ca="1">IF(RegimeExecucao="Global","",ORÇAMENTO!W177)</f>
        <v>333.7</v>
      </c>
      <c r="I177" s="125">
        <f ca="1">ORÇAMENTO!X177</f>
        <v>2669.6</v>
      </c>
      <c r="J177" s="333" cm="1">
        <f t="array" aca="1" ref="J177" ca="1">IF($A177="S",IF(CAIXA.Modo,BM.AFAnterior,BM.MEDAnterior),IF(AND(RegimeExecucao="Global",$I177&gt;0,COUNTIF($AB$13:$AM$13,BM.medicao-1)&gt;0),M177/$I177*100,0))</f>
        <v>0</v>
      </c>
      <c r="K177" s="122">
        <f t="shared" ca="1" si="17"/>
        <v>0</v>
      </c>
      <c r="L177" s="334" cm="1">
        <f t="array" aca="1" ref="L177" ca="1">IF($A177="S",IF(CAIXA.Modo,BM.AFAcumulado,BM.MEDAcumulado),IF(AND(RegimeExecucao="Global",$I177&gt;0,COUNTIF($AB$13:$AM$13,BM.medicao)&gt;0),O177/$I177*100,0))</f>
        <v>0</v>
      </c>
      <c r="M177" s="335" cm="1">
        <f t="array" aca="1" ref="M177" ca="1">IF($A177="S",VTOTALBM,IF($A177=0,0,ROUND(SomaAgrupBM,15-13*ORÇAMENTO!$AF$11)))</f>
        <v>0</v>
      </c>
      <c r="N177" s="336">
        <f t="shared" ca="1" si="18"/>
        <v>0</v>
      </c>
      <c r="O177" s="125" cm="1">
        <f t="array" aca="1" ref="O177" ca="1">IF($A177="S",VTOTALBM,IF($A177=0,0,ROUND(SomaAgrupBM,15-13*ORÇAMENTO!$AF$11)))</f>
        <v>0</v>
      </c>
      <c r="Q177" s="337"/>
      <c r="R177" s="338"/>
      <c r="T177" s="117" t="str">
        <f t="shared" ca="1" si="19"/>
        <v/>
      </c>
      <c r="U177" s="163" t="str">
        <f t="shared" ca="1" si="20"/>
        <v/>
      </c>
      <c r="V177" s="164" t="str" cm="1">
        <f t="array" aca="1" ref="V177" ca="1">IF(AND($W177&gt;0,RegimeExecucao="Unitário"),$F177,"")</f>
        <v/>
      </c>
      <c r="W177" s="454" cm="1">
        <f t="array" aca="1" ref="W177" ca="1">IF($Y177&gt;0,CHOOSE(MATCH(RegimeExecucao,{"Unitário","Global"},0),IF($A177="S",$Y177/$X177,""),($Y177/$X177)*100),0)</f>
        <v>0</v>
      </c>
      <c r="X177" s="339" t="str" cm="1">
        <f t="array" aca="1" ref="X177" ca="1">IF($Y177&gt;0,CHOOSE(MATCH(RegimeExecucao,{"Unitário","Global"},0),IF($A177="S",ROUND($H177,ORÇAMENTO!$AF$10),""),ROUND($I177,ORÇAMENTO!$AF$11)),"")</f>
        <v/>
      </c>
      <c r="Y177" s="339">
        <f t="shared" ca="1" si="21"/>
        <v>0</v>
      </c>
      <c r="Z177" s="473"/>
      <c r="AB177" s="337"/>
      <c r="AC177" s="437"/>
      <c r="AD177" s="437"/>
      <c r="AE177" s="437"/>
      <c r="AF177" s="437"/>
      <c r="AG177" s="437"/>
      <c r="AH177" s="437"/>
      <c r="AI177" s="437"/>
      <c r="AJ177" s="437"/>
      <c r="AK177" s="437"/>
      <c r="AL177" s="437"/>
      <c r="AM177" s="338"/>
      <c r="AO177" s="670" cm="1">
        <f t="array" aca="1" ref="AO177" ca="1">IF($A177="S",IF(BM!$I177=0,0,CHOOSE(MATCH(RegimeExecucao,{"Global","Unitário"},0),ROUND(ROUND(BM.MEDAcumulado,15-13*BM!$A$9)/100*BM!$I177,15-13*ORÇAMENTO!$AF$11),ROUND(ROUND(BM.MEDAcumulado,15-13*BM!$A$9)*ROUND(BM!$H177,15-13*ORÇAMENTO!$AF$10),15-13*ORÇAMENTO!$AF$11))),IF($A177=0,0,ROUND(SomaAgrupBM,15-13*ORÇAMENTO!$AF$11)))</f>
        <v>0</v>
      </c>
    </row>
    <row r="178" spans="1:41" s="670" customFormat="1" ht="25.5" x14ac:dyDescent="0.2">
      <c r="A178" s="670" t="str">
        <f ca="1">ORÇAMENTO!C178</f>
        <v>S</v>
      </c>
      <c r="B178" s="670">
        <f ca="1">ORÇAMENTO!D178</f>
        <v>0</v>
      </c>
      <c r="C178" s="114" t="str">
        <f t="shared" ca="1" si="15"/>
        <v>F</v>
      </c>
      <c r="D178" s="117" t="str">
        <f ca="1">ORÇAMENTO!O178</f>
        <v>1.23.8.</v>
      </c>
      <c r="E178" s="163" t="str">
        <f t="shared" ca="1" si="16"/>
        <v>TE DE PVC-PBA,COM TRES BOLSAS DE JUNTA ELASTICA, DIAMETRO NO MINAL DE 50MM. FORNECIMENTO</v>
      </c>
      <c r="F178" s="164" t="str" cm="1">
        <f t="array" aca="1" ref="F178" ca="1">IF(RegimeExecucao="Global","",ORÇAMENTO.Unidade)</f>
        <v>UNIDADE</v>
      </c>
      <c r="G178" s="122" cm="1">
        <f t="array" aca="1" ref="G178" ca="1">IF(RegimeExecucao="Global","",ORÇAMENTO!T178)</f>
        <v>18</v>
      </c>
      <c r="H178" s="122" cm="1">
        <f t="array" aca="1" ref="H178" ca="1">IF(RegimeExecucao="Global","",ORÇAMENTO!W178)</f>
        <v>31.36</v>
      </c>
      <c r="I178" s="125">
        <f ca="1">ORÇAMENTO!X178</f>
        <v>564.48</v>
      </c>
      <c r="J178" s="333" cm="1">
        <f t="array" aca="1" ref="J178" ca="1">IF($A178="S",IF(CAIXA.Modo,BM.AFAnterior,BM.MEDAnterior),IF(AND(RegimeExecucao="Global",$I178&gt;0,COUNTIF($AB$13:$AM$13,BM.medicao-1)&gt;0),M178/$I178*100,0))</f>
        <v>0</v>
      </c>
      <c r="K178" s="122">
        <f t="shared" ca="1" si="17"/>
        <v>0</v>
      </c>
      <c r="L178" s="334" cm="1">
        <f t="array" aca="1" ref="L178" ca="1">IF($A178="S",IF(CAIXA.Modo,BM.AFAcumulado,BM.MEDAcumulado),IF(AND(RegimeExecucao="Global",$I178&gt;0,COUNTIF($AB$13:$AM$13,BM.medicao)&gt;0),O178/$I178*100,0))</f>
        <v>0</v>
      </c>
      <c r="M178" s="335" cm="1">
        <f t="array" aca="1" ref="M178" ca="1">IF($A178="S",VTOTALBM,IF($A178=0,0,ROUND(SomaAgrupBM,15-13*ORÇAMENTO!$AF$11)))</f>
        <v>0</v>
      </c>
      <c r="N178" s="336">
        <f t="shared" ca="1" si="18"/>
        <v>0</v>
      </c>
      <c r="O178" s="125" cm="1">
        <f t="array" aca="1" ref="O178" ca="1">IF($A178="S",VTOTALBM,IF($A178=0,0,ROUND(SomaAgrupBM,15-13*ORÇAMENTO!$AF$11)))</f>
        <v>0</v>
      </c>
      <c r="Q178" s="337"/>
      <c r="R178" s="338"/>
      <c r="T178" s="117" t="str">
        <f t="shared" ca="1" si="19"/>
        <v/>
      </c>
      <c r="U178" s="163" t="str">
        <f t="shared" ca="1" si="20"/>
        <v/>
      </c>
      <c r="V178" s="164" t="str" cm="1">
        <f t="array" aca="1" ref="V178" ca="1">IF(AND($W178&gt;0,RegimeExecucao="Unitário"),$F178,"")</f>
        <v/>
      </c>
      <c r="W178" s="454" cm="1">
        <f t="array" aca="1" ref="W178" ca="1">IF($Y178&gt;0,CHOOSE(MATCH(RegimeExecucao,{"Unitário","Global"},0),IF($A178="S",$Y178/$X178,""),($Y178/$X178)*100),0)</f>
        <v>0</v>
      </c>
      <c r="X178" s="339" t="str" cm="1">
        <f t="array" aca="1" ref="X178" ca="1">IF($Y178&gt;0,CHOOSE(MATCH(RegimeExecucao,{"Unitário","Global"},0),IF($A178="S",ROUND($H178,ORÇAMENTO!$AF$10),""),ROUND($I178,ORÇAMENTO!$AF$11)),"")</f>
        <v/>
      </c>
      <c r="Y178" s="339">
        <f t="shared" ca="1" si="21"/>
        <v>0</v>
      </c>
      <c r="Z178" s="473"/>
      <c r="AB178" s="337"/>
      <c r="AC178" s="437"/>
      <c r="AD178" s="437"/>
      <c r="AE178" s="437"/>
      <c r="AF178" s="437"/>
      <c r="AG178" s="437"/>
      <c r="AH178" s="437"/>
      <c r="AI178" s="437"/>
      <c r="AJ178" s="437"/>
      <c r="AK178" s="437"/>
      <c r="AL178" s="437"/>
      <c r="AM178" s="338"/>
      <c r="AO178" s="670" cm="1">
        <f t="array" aca="1" ref="AO178" ca="1">IF($A178="S",IF(BM!$I178=0,0,CHOOSE(MATCH(RegimeExecucao,{"Global","Unitário"},0),ROUND(ROUND(BM.MEDAcumulado,15-13*BM!$A$9)/100*BM!$I178,15-13*ORÇAMENTO!$AF$11),ROUND(ROUND(BM.MEDAcumulado,15-13*BM!$A$9)*ROUND(BM!$H178,15-13*ORÇAMENTO!$AF$10),15-13*ORÇAMENTO!$AF$11))),IF($A178=0,0,ROUND(SomaAgrupBM,15-13*ORÇAMENTO!$AF$11)))</f>
        <v>0</v>
      </c>
    </row>
    <row r="179" spans="1:41" s="670" customFormat="1" ht="63.75" x14ac:dyDescent="0.2">
      <c r="A179" s="670" t="str">
        <f ca="1">ORÇAMENTO!C179</f>
        <v>S</v>
      </c>
      <c r="B179" s="670">
        <f ca="1">ORÇAMENTO!D179</f>
        <v>0</v>
      </c>
      <c r="C179" s="114" t="str">
        <f t="shared" ca="1" si="15"/>
        <v>F</v>
      </c>
      <c r="D179" s="117" t="str">
        <f ca="1">ORÇAMENTO!O179</f>
        <v>1.23.9.</v>
      </c>
      <c r="E179" s="163" t="str">
        <f t="shared" ca="1" si="16"/>
        <v>ESCAVAÇÃO MECANIZADA DE VALA COM PROF. ATÉ 1,5 M (MÉDIA MONTANTE E JUSANTE/UMA COMPOSIÇÃO POR TRECHO), ESCAVADEIRA (0,8 M3), LARG. DE 1,5 M A 2,5 M, EM SOLO DE 2A CATEGORIA, LOCAIS COM BAIXO NÍVEL DE INTERFERÊNCIA. AF_09/2024</v>
      </c>
      <c r="F179" s="164" t="str" cm="1">
        <f t="array" aca="1" ref="F179" ca="1">IF(RegimeExecucao="Global","",ORÇAMENTO.Unidade)</f>
        <v>M3</v>
      </c>
      <c r="G179" s="122" cm="1">
        <f t="array" aca="1" ref="G179" ca="1">IF(RegimeExecucao="Global","",ORÇAMENTO!T179)</f>
        <v>9000</v>
      </c>
      <c r="H179" s="122" cm="1">
        <f t="array" aca="1" ref="H179" ca="1">IF(RegimeExecucao="Global","",ORÇAMENTO!W179)</f>
        <v>9.76</v>
      </c>
      <c r="I179" s="125">
        <f ca="1">ORÇAMENTO!X179</f>
        <v>87840</v>
      </c>
      <c r="J179" s="333" cm="1">
        <f t="array" aca="1" ref="J179" ca="1">IF($A179="S",IF(CAIXA.Modo,BM.AFAnterior,BM.MEDAnterior),IF(AND(RegimeExecucao="Global",$I179&gt;0,COUNTIF($AB$13:$AM$13,BM.medicao-1)&gt;0),M179/$I179*100,0))</f>
        <v>0</v>
      </c>
      <c r="K179" s="122">
        <f t="shared" ca="1" si="17"/>
        <v>0</v>
      </c>
      <c r="L179" s="334" cm="1">
        <f t="array" aca="1" ref="L179" ca="1">IF($A179="S",IF(CAIXA.Modo,BM.AFAcumulado,BM.MEDAcumulado),IF(AND(RegimeExecucao="Global",$I179&gt;0,COUNTIF($AB$13:$AM$13,BM.medicao)&gt;0),O179/$I179*100,0))</f>
        <v>0</v>
      </c>
      <c r="M179" s="335" cm="1">
        <f t="array" aca="1" ref="M179" ca="1">IF($A179="S",VTOTALBM,IF($A179=0,0,ROUND(SomaAgrupBM,15-13*ORÇAMENTO!$AF$11)))</f>
        <v>0</v>
      </c>
      <c r="N179" s="336">
        <f t="shared" ca="1" si="18"/>
        <v>0</v>
      </c>
      <c r="O179" s="125" cm="1">
        <f t="array" aca="1" ref="O179" ca="1">IF($A179="S",VTOTALBM,IF($A179=0,0,ROUND(SomaAgrupBM,15-13*ORÇAMENTO!$AF$11)))</f>
        <v>0</v>
      </c>
      <c r="Q179" s="337"/>
      <c r="R179" s="338"/>
      <c r="T179" s="117" t="str">
        <f t="shared" ca="1" si="19"/>
        <v/>
      </c>
      <c r="U179" s="163" t="str">
        <f t="shared" ca="1" si="20"/>
        <v/>
      </c>
      <c r="V179" s="164" t="str" cm="1">
        <f t="array" aca="1" ref="V179" ca="1">IF(AND($W179&gt;0,RegimeExecucao="Unitário"),$F179,"")</f>
        <v/>
      </c>
      <c r="W179" s="454" cm="1">
        <f t="array" aca="1" ref="W179" ca="1">IF($Y179&gt;0,CHOOSE(MATCH(RegimeExecucao,{"Unitário","Global"},0),IF($A179="S",$Y179/$X179,""),($Y179/$X179)*100),0)</f>
        <v>0</v>
      </c>
      <c r="X179" s="339" t="str" cm="1">
        <f t="array" aca="1" ref="X179" ca="1">IF($Y179&gt;0,CHOOSE(MATCH(RegimeExecucao,{"Unitário","Global"},0),IF($A179="S",ROUND($H179,ORÇAMENTO!$AF$10),""),ROUND($I179,ORÇAMENTO!$AF$11)),"")</f>
        <v/>
      </c>
      <c r="Y179" s="339">
        <f t="shared" ca="1" si="21"/>
        <v>0</v>
      </c>
      <c r="Z179" s="473"/>
      <c r="AB179" s="337"/>
      <c r="AC179" s="437"/>
      <c r="AD179" s="437"/>
      <c r="AE179" s="437"/>
      <c r="AF179" s="437"/>
      <c r="AG179" s="437"/>
      <c r="AH179" s="437"/>
      <c r="AI179" s="437"/>
      <c r="AJ179" s="437"/>
      <c r="AK179" s="437"/>
      <c r="AL179" s="437"/>
      <c r="AM179" s="338"/>
      <c r="AO179" s="670" cm="1">
        <f t="array" aca="1" ref="AO179" ca="1">IF($A179="S",IF(BM!$I179=0,0,CHOOSE(MATCH(RegimeExecucao,{"Global","Unitário"},0),ROUND(ROUND(BM.MEDAcumulado,15-13*BM!$A$9)/100*BM!$I179,15-13*ORÇAMENTO!$AF$11),ROUND(ROUND(BM.MEDAcumulado,15-13*BM!$A$9)*ROUND(BM!$H179,15-13*ORÇAMENTO!$AF$10),15-13*ORÇAMENTO!$AF$11))),IF($A179=0,0,ROUND(SomaAgrupBM,15-13*ORÇAMENTO!$AF$11)))</f>
        <v>0</v>
      </c>
    </row>
    <row r="180" spans="1:41" s="670" customFormat="1" ht="38.25" x14ac:dyDescent="0.2">
      <c r="A180" s="670" t="str">
        <f ca="1">ORÇAMENTO!C180</f>
        <v>S</v>
      </c>
      <c r="B180" s="670">
        <f ca="1">ORÇAMENTO!D180</f>
        <v>0</v>
      </c>
      <c r="C180" s="114" t="str">
        <f t="shared" ca="1" si="15"/>
        <v>F</v>
      </c>
      <c r="D180" s="117" t="str">
        <f ca="1">ORÇAMENTO!O180</f>
        <v>1.23.10.</v>
      </c>
      <c r="E180" s="163" t="str">
        <f t="shared" ca="1" si="16"/>
        <v>PREPARO DE FUNDO DE VALA COM LARGURA MENOR QUE 1,5 M (ACERTO DO SOLO NATURAL), EM LOCAL COM NÍVEL BAIXO DE INTERFERÊNCIA. AF_01/2026</v>
      </c>
      <c r="F180" s="164" t="str" cm="1">
        <f t="array" aca="1" ref="F180" ca="1">IF(RegimeExecucao="Global","",ORÇAMENTO.Unidade)</f>
        <v>M2</v>
      </c>
      <c r="G180" s="122" cm="1">
        <f t="array" aca="1" ref="G180" ca="1">IF(RegimeExecucao="Global","",ORÇAMENTO!T180)</f>
        <v>6000</v>
      </c>
      <c r="H180" s="122" cm="1">
        <f t="array" aca="1" ref="H180" ca="1">IF(RegimeExecucao="Global","",ORÇAMENTO!W180)</f>
        <v>10.91</v>
      </c>
      <c r="I180" s="125">
        <f ca="1">ORÇAMENTO!X180</f>
        <v>65460</v>
      </c>
      <c r="J180" s="333" cm="1">
        <f t="array" aca="1" ref="J180" ca="1">IF($A180="S",IF(CAIXA.Modo,BM.AFAnterior,BM.MEDAnterior),IF(AND(RegimeExecucao="Global",$I180&gt;0,COUNTIF($AB$13:$AM$13,BM.medicao-1)&gt;0),M180/$I180*100,0))</f>
        <v>0</v>
      </c>
      <c r="K180" s="122">
        <f t="shared" ca="1" si="17"/>
        <v>0</v>
      </c>
      <c r="L180" s="334" cm="1">
        <f t="array" aca="1" ref="L180" ca="1">IF($A180="S",IF(CAIXA.Modo,BM.AFAcumulado,BM.MEDAcumulado),IF(AND(RegimeExecucao="Global",$I180&gt;0,COUNTIF($AB$13:$AM$13,BM.medicao)&gt;0),O180/$I180*100,0))</f>
        <v>0</v>
      </c>
      <c r="M180" s="335" cm="1">
        <f t="array" aca="1" ref="M180" ca="1">IF($A180="S",VTOTALBM,IF($A180=0,0,ROUND(SomaAgrupBM,15-13*ORÇAMENTO!$AF$11)))</f>
        <v>0</v>
      </c>
      <c r="N180" s="336">
        <f t="shared" ca="1" si="18"/>
        <v>0</v>
      </c>
      <c r="O180" s="125" cm="1">
        <f t="array" aca="1" ref="O180" ca="1">IF($A180="S",VTOTALBM,IF($A180=0,0,ROUND(SomaAgrupBM,15-13*ORÇAMENTO!$AF$11)))</f>
        <v>0</v>
      </c>
      <c r="Q180" s="337"/>
      <c r="R180" s="338"/>
      <c r="T180" s="117" t="str">
        <f t="shared" ca="1" si="19"/>
        <v/>
      </c>
      <c r="U180" s="163" t="str">
        <f t="shared" ca="1" si="20"/>
        <v/>
      </c>
      <c r="V180" s="164" t="str" cm="1">
        <f t="array" aca="1" ref="V180" ca="1">IF(AND($W180&gt;0,RegimeExecucao="Unitário"),$F180,"")</f>
        <v/>
      </c>
      <c r="W180" s="454" cm="1">
        <f t="array" aca="1" ref="W180" ca="1">IF($Y180&gt;0,CHOOSE(MATCH(RegimeExecucao,{"Unitário","Global"},0),IF($A180="S",$Y180/$X180,""),($Y180/$X180)*100),0)</f>
        <v>0</v>
      </c>
      <c r="X180" s="339" t="str" cm="1">
        <f t="array" aca="1" ref="X180" ca="1">IF($Y180&gt;0,CHOOSE(MATCH(RegimeExecucao,{"Unitário","Global"},0),IF($A180="S",ROUND($H180,ORÇAMENTO!$AF$10),""),ROUND($I180,ORÇAMENTO!$AF$11)),"")</f>
        <v/>
      </c>
      <c r="Y180" s="339">
        <f t="shared" ca="1" si="21"/>
        <v>0</v>
      </c>
      <c r="Z180" s="473"/>
      <c r="AB180" s="337"/>
      <c r="AC180" s="437"/>
      <c r="AD180" s="437"/>
      <c r="AE180" s="437"/>
      <c r="AF180" s="437"/>
      <c r="AG180" s="437"/>
      <c r="AH180" s="437"/>
      <c r="AI180" s="437"/>
      <c r="AJ180" s="437"/>
      <c r="AK180" s="437"/>
      <c r="AL180" s="437"/>
      <c r="AM180" s="338"/>
      <c r="AO180" s="670" cm="1">
        <f t="array" aca="1" ref="AO180" ca="1">IF($A180="S",IF(BM!$I180=0,0,CHOOSE(MATCH(RegimeExecucao,{"Global","Unitário"},0),ROUND(ROUND(BM.MEDAcumulado,15-13*BM!$A$9)/100*BM!$I180,15-13*ORÇAMENTO!$AF$11),ROUND(ROUND(BM.MEDAcumulado,15-13*BM!$A$9)*ROUND(BM!$H180,15-13*ORÇAMENTO!$AF$10),15-13*ORÇAMENTO!$AF$11))),IF($A180=0,0,ROUND(SomaAgrupBM,15-13*ORÇAMENTO!$AF$11)))</f>
        <v>0</v>
      </c>
    </row>
    <row r="181" spans="1:41" s="670" customFormat="1" ht="63.75" x14ac:dyDescent="0.2">
      <c r="A181" s="670" t="str">
        <f ca="1">ORÇAMENTO!C181</f>
        <v>S</v>
      </c>
      <c r="B181" s="670">
        <f ca="1">ORÇAMENTO!D181</f>
        <v>0</v>
      </c>
      <c r="C181" s="114" t="str">
        <f t="shared" ca="1" si="15"/>
        <v>F</v>
      </c>
      <c r="D181" s="117" t="str">
        <f ca="1">ORÇAMENTO!O181</f>
        <v>1.23.11.</v>
      </c>
      <c r="E181" s="163" t="str">
        <f t="shared" ca="1" si="16"/>
        <v>REATERRO MECANIZADO DE VALA COM RETROESCAVADEIRA (CAPACIDADE DA CAÇAMBA DA RETRO: 0,26 M³/POTÊNCIA: 88 HP), LARGURA ATÉ 0,8 M, PROFUNDIDADE ATÉ 1,5 M, COM SOLO (SEM SUBSTITUIÇÃO) DE 1ª CATEGORIA, COM COMPACTADOR DE SOLOS DE PERCUSSÃO. AF_08/2023</v>
      </c>
      <c r="F181" s="164" t="str" cm="1">
        <f t="array" aca="1" ref="F181" ca="1">IF(RegimeExecucao="Global","",ORÇAMENTO.Unidade)</f>
        <v>M3</v>
      </c>
      <c r="G181" s="122" cm="1">
        <f t="array" aca="1" ref="G181" ca="1">IF(RegimeExecucao="Global","",ORÇAMENTO!T181)</f>
        <v>9000</v>
      </c>
      <c r="H181" s="122" cm="1">
        <f t="array" aca="1" ref="H181" ca="1">IF(RegimeExecucao="Global","",ORÇAMENTO!W181)</f>
        <v>34.53</v>
      </c>
      <c r="I181" s="125">
        <f ca="1">ORÇAMENTO!X181</f>
        <v>310770</v>
      </c>
      <c r="J181" s="333" cm="1">
        <f t="array" aca="1" ref="J181" ca="1">IF($A181="S",IF(CAIXA.Modo,BM.AFAnterior,BM.MEDAnterior),IF(AND(RegimeExecucao="Global",$I181&gt;0,COUNTIF($AB$13:$AM$13,BM.medicao-1)&gt;0),M181/$I181*100,0))</f>
        <v>0</v>
      </c>
      <c r="K181" s="122">
        <f t="shared" ca="1" si="17"/>
        <v>0</v>
      </c>
      <c r="L181" s="334" cm="1">
        <f t="array" aca="1" ref="L181" ca="1">IF($A181="S",IF(CAIXA.Modo,BM.AFAcumulado,BM.MEDAcumulado),IF(AND(RegimeExecucao="Global",$I181&gt;0,COUNTIF($AB$13:$AM$13,BM.medicao)&gt;0),O181/$I181*100,0))</f>
        <v>0</v>
      </c>
      <c r="M181" s="335" cm="1">
        <f t="array" aca="1" ref="M181" ca="1">IF($A181="S",VTOTALBM,IF($A181=0,0,ROUND(SomaAgrupBM,15-13*ORÇAMENTO!$AF$11)))</f>
        <v>0</v>
      </c>
      <c r="N181" s="336">
        <f t="shared" ca="1" si="18"/>
        <v>0</v>
      </c>
      <c r="O181" s="125" cm="1">
        <f t="array" aca="1" ref="O181" ca="1">IF($A181="S",VTOTALBM,IF($A181=0,0,ROUND(SomaAgrupBM,15-13*ORÇAMENTO!$AF$11)))</f>
        <v>0</v>
      </c>
      <c r="Q181" s="337"/>
      <c r="R181" s="338"/>
      <c r="T181" s="117" t="str">
        <f t="shared" ca="1" si="19"/>
        <v/>
      </c>
      <c r="U181" s="163" t="str">
        <f t="shared" ca="1" si="20"/>
        <v/>
      </c>
      <c r="V181" s="164" t="str" cm="1">
        <f t="array" aca="1" ref="V181" ca="1">IF(AND($W181&gt;0,RegimeExecucao="Unitário"),$F181,"")</f>
        <v/>
      </c>
      <c r="W181" s="454" cm="1">
        <f t="array" aca="1" ref="W181" ca="1">IF($Y181&gt;0,CHOOSE(MATCH(RegimeExecucao,{"Unitário","Global"},0),IF($A181="S",$Y181/$X181,""),($Y181/$X181)*100),0)</f>
        <v>0</v>
      </c>
      <c r="X181" s="339" t="str" cm="1">
        <f t="array" aca="1" ref="X181" ca="1">IF($Y181&gt;0,CHOOSE(MATCH(RegimeExecucao,{"Unitário","Global"},0),IF($A181="S",ROUND($H181,ORÇAMENTO!$AF$10),""),ROUND($I181,ORÇAMENTO!$AF$11)),"")</f>
        <v/>
      </c>
      <c r="Y181" s="339">
        <f t="shared" ca="1" si="21"/>
        <v>0</v>
      </c>
      <c r="Z181" s="473"/>
      <c r="AB181" s="337"/>
      <c r="AC181" s="437"/>
      <c r="AD181" s="437"/>
      <c r="AE181" s="437"/>
      <c r="AF181" s="437"/>
      <c r="AG181" s="437"/>
      <c r="AH181" s="437"/>
      <c r="AI181" s="437"/>
      <c r="AJ181" s="437"/>
      <c r="AK181" s="437"/>
      <c r="AL181" s="437"/>
      <c r="AM181" s="338"/>
      <c r="AO181" s="670" cm="1">
        <f t="array" aca="1" ref="AO181" ca="1">IF($A181="S",IF(BM!$I181=0,0,CHOOSE(MATCH(RegimeExecucao,{"Global","Unitário"},0),ROUND(ROUND(BM.MEDAcumulado,15-13*BM!$A$9)/100*BM!$I181,15-13*ORÇAMENTO!$AF$11),ROUND(ROUND(BM.MEDAcumulado,15-13*BM!$A$9)*ROUND(BM!$H181,15-13*ORÇAMENTO!$AF$10),15-13*ORÇAMENTO!$AF$11))),IF($A181=0,0,ROUND(SomaAgrupBM,15-13*ORÇAMENTO!$AF$11)))</f>
        <v>0</v>
      </c>
    </row>
    <row r="182" spans="1:41" s="670" customFormat="1" x14ac:dyDescent="0.2">
      <c r="A182" s="670" t="str">
        <f ca="1">ORÇAMENTO!C182</f>
        <v>S</v>
      </c>
      <c r="B182" s="670">
        <f ca="1">ORÇAMENTO!D182</f>
        <v>0</v>
      </c>
      <c r="C182" s="114" t="str">
        <f t="shared" ca="1" si="15"/>
        <v>F</v>
      </c>
      <c r="D182" s="117" t="str">
        <f ca="1">ORÇAMENTO!O182</f>
        <v>1.23.12.</v>
      </c>
      <c r="E182" s="163" t="str">
        <f t="shared" ca="1" si="16"/>
        <v>CORTE E DOBRA DE AÇO CA-25, DIÂMETRO DE 20,0 MM. AF_06/2022</v>
      </c>
      <c r="F182" s="164" t="str" cm="1">
        <f t="array" aca="1" ref="F182" ca="1">IF(RegimeExecucao="Global","",ORÇAMENTO.Unidade)</f>
        <v>KG</v>
      </c>
      <c r="G182" s="122" cm="1">
        <f t="array" aca="1" ref="G182" ca="1">IF(RegimeExecucao="Global","",ORÇAMENTO!T182)</f>
        <v>660</v>
      </c>
      <c r="H182" s="122" cm="1">
        <f t="array" aca="1" ref="H182" ca="1">IF(RegimeExecucao="Global","",ORÇAMENTO!W182)</f>
        <v>10.51</v>
      </c>
      <c r="I182" s="125">
        <f ca="1">ORÇAMENTO!X182</f>
        <v>6936.6</v>
      </c>
      <c r="J182" s="333" cm="1">
        <f t="array" aca="1" ref="J182" ca="1">IF($A182="S",IF(CAIXA.Modo,BM.AFAnterior,BM.MEDAnterior),IF(AND(RegimeExecucao="Global",$I182&gt;0,COUNTIF($AB$13:$AM$13,BM.medicao-1)&gt;0),M182/$I182*100,0))</f>
        <v>0</v>
      </c>
      <c r="K182" s="122">
        <f t="shared" ca="1" si="17"/>
        <v>0</v>
      </c>
      <c r="L182" s="334" cm="1">
        <f t="array" aca="1" ref="L182" ca="1">IF($A182="S",IF(CAIXA.Modo,BM.AFAcumulado,BM.MEDAcumulado),IF(AND(RegimeExecucao="Global",$I182&gt;0,COUNTIF($AB$13:$AM$13,BM.medicao)&gt;0),O182/$I182*100,0))</f>
        <v>0</v>
      </c>
      <c r="M182" s="335" cm="1">
        <f t="array" aca="1" ref="M182" ca="1">IF($A182="S",VTOTALBM,IF($A182=0,0,ROUND(SomaAgrupBM,15-13*ORÇAMENTO!$AF$11)))</f>
        <v>0</v>
      </c>
      <c r="N182" s="336">
        <f t="shared" ca="1" si="18"/>
        <v>0</v>
      </c>
      <c r="O182" s="125" cm="1">
        <f t="array" aca="1" ref="O182" ca="1">IF($A182="S",VTOTALBM,IF($A182=0,0,ROUND(SomaAgrupBM,15-13*ORÇAMENTO!$AF$11)))</f>
        <v>0</v>
      </c>
      <c r="Q182" s="337"/>
      <c r="R182" s="338"/>
      <c r="T182" s="117" t="str">
        <f t="shared" ca="1" si="19"/>
        <v/>
      </c>
      <c r="U182" s="163" t="str">
        <f t="shared" ca="1" si="20"/>
        <v/>
      </c>
      <c r="V182" s="164" t="str" cm="1">
        <f t="array" aca="1" ref="V182" ca="1">IF(AND($W182&gt;0,RegimeExecucao="Unitário"),$F182,"")</f>
        <v/>
      </c>
      <c r="W182" s="454" cm="1">
        <f t="array" aca="1" ref="W182" ca="1">IF($Y182&gt;0,CHOOSE(MATCH(RegimeExecucao,{"Unitário","Global"},0),IF($A182="S",$Y182/$X182,""),($Y182/$X182)*100),0)</f>
        <v>0</v>
      </c>
      <c r="X182" s="339" t="str" cm="1">
        <f t="array" aca="1" ref="X182" ca="1">IF($Y182&gt;0,CHOOSE(MATCH(RegimeExecucao,{"Unitário","Global"},0),IF($A182="S",ROUND($H182,ORÇAMENTO!$AF$10),""),ROUND($I182,ORÇAMENTO!$AF$11)),"")</f>
        <v/>
      </c>
      <c r="Y182" s="339">
        <f t="shared" ca="1" si="21"/>
        <v>0</v>
      </c>
      <c r="Z182" s="473"/>
      <c r="AB182" s="337"/>
      <c r="AC182" s="437"/>
      <c r="AD182" s="437"/>
      <c r="AE182" s="437"/>
      <c r="AF182" s="437"/>
      <c r="AG182" s="437"/>
      <c r="AH182" s="437"/>
      <c r="AI182" s="437"/>
      <c r="AJ182" s="437"/>
      <c r="AK182" s="437"/>
      <c r="AL182" s="437"/>
      <c r="AM182" s="338"/>
      <c r="AO182" s="670" cm="1">
        <f t="array" aca="1" ref="AO182" ca="1">IF($A182="S",IF(BM!$I182=0,0,CHOOSE(MATCH(RegimeExecucao,{"Global","Unitário"},0),ROUND(ROUND(BM.MEDAcumulado,15-13*BM!$A$9)/100*BM!$I182,15-13*ORÇAMENTO!$AF$11),ROUND(ROUND(BM.MEDAcumulado,15-13*BM!$A$9)*ROUND(BM!$H182,15-13*ORÇAMENTO!$AF$10),15-13*ORÇAMENTO!$AF$11))),IF($A182=0,0,ROUND(SomaAgrupBM,15-13*ORÇAMENTO!$AF$11)))</f>
        <v>0</v>
      </c>
    </row>
    <row r="183" spans="1:41" s="680" customFormat="1" ht="25.5" x14ac:dyDescent="0.2">
      <c r="A183" s="680" t="str">
        <f ca="1">ORÇAMENTO!C183</f>
        <v>S</v>
      </c>
      <c r="B183" s="680">
        <f ca="1">ORÇAMENTO!D183</f>
        <v>0</v>
      </c>
      <c r="C183" s="684" t="str">
        <f ca="1">IF(OR($I183&gt;0,$A183=1,$A183=2,$A183=3,$A183=4),"F","")</f>
        <v>F</v>
      </c>
      <c r="D183" s="687" t="str">
        <f ca="1">ORÇAMENTO!O183</f>
        <v>1.23.13.</v>
      </c>
      <c r="E183" s="699" t="str">
        <f ca="1">ORÇAMENTO.Descricao</f>
        <v>ARMAÇÃO DE BLOCO, SAPATA ISOLADA E SAPATA CORRIDA UTILIZANDO AÇO CA-50 DE 20 MM - MONTAGEM. AF_01/2024</v>
      </c>
      <c r="F183" s="700" t="str" cm="1">
        <f t="array" aca="1" ref="F183" ca="1">IF(RegimeExecucao="Global","",ORÇAMENTO.Unidade)</f>
        <v>KG</v>
      </c>
      <c r="G183" s="692" cm="1">
        <f t="array" aca="1" ref="G183" ca="1">IF(RegimeExecucao="Global","",ORÇAMENTO!T183)</f>
        <v>660</v>
      </c>
      <c r="H183" s="692" cm="1">
        <f t="array" aca="1" ref="H183" ca="1">IF(RegimeExecucao="Global","",ORÇAMENTO!W183)</f>
        <v>13.14</v>
      </c>
      <c r="I183" s="695">
        <f ca="1">ORÇAMENTO!X183</f>
        <v>8672.4</v>
      </c>
      <c r="J183" s="707" cm="1">
        <f t="array" aca="1" ref="J183" ca="1">IF($A183="S",IF(CAIXA.Modo,BM.AFAnterior,BM.MEDAnterior),IF(AND(RegimeExecucao="Global",$I183&gt;0,COUNTIF($AB$13:$AM$13,BM.medicao-1)&gt;0),M183/$I183*100,0))</f>
        <v>0</v>
      </c>
      <c r="K183" s="692">
        <f ca="1">L183-J183</f>
        <v>0</v>
      </c>
      <c r="L183" s="708" cm="1">
        <f t="array" aca="1" ref="L183" ca="1">IF($A183="S",IF(CAIXA.Modo,BM.AFAcumulado,BM.MEDAcumulado),IF(AND(RegimeExecucao="Global",$I183&gt;0,COUNTIF($AB$13:$AM$13,BM.medicao)&gt;0),O183/$I183*100,0))</f>
        <v>0</v>
      </c>
      <c r="M183" s="709" cm="1">
        <f t="array" aca="1" ref="M183" ca="1">IF($A183="S",VTOTALBM,IF($A183=0,0,ROUND(SomaAgrupBM,15-13*ORÇAMENTO!$AF$11)))</f>
        <v>0</v>
      </c>
      <c r="N183" s="710">
        <f ca="1">O183-M183</f>
        <v>0</v>
      </c>
      <c r="O183" s="695" cm="1">
        <f t="array" aca="1" ref="O183" ca="1">IF($A183="S",VTOTALBM,IF($A183=0,0,ROUND(SomaAgrupBM,15-13*ORÇAMENTO!$AF$11)))</f>
        <v>0</v>
      </c>
      <c r="Q183" s="711"/>
      <c r="R183" s="712"/>
      <c r="T183" s="687" t="str">
        <f ca="1">IF($W183&gt;0,$D183,"")</f>
        <v/>
      </c>
      <c r="U183" s="699" t="str">
        <f ca="1">IF($W183&gt;0,$E183,"")</f>
        <v/>
      </c>
      <c r="V183" s="700" t="str" cm="1">
        <f t="array" aca="1" ref="V183" ca="1">IF(AND($W183&gt;0,RegimeExecucao="Unitário"),$F183,"")</f>
        <v/>
      </c>
      <c r="W183" s="719" cm="1">
        <f t="array" aca="1" ref="W183" ca="1">IF($Y183&gt;0,CHOOSE(MATCH(RegimeExecucao,{"Unitário","Global"},0),IF($A183="S",$Y183/$X183,""),($Y183/$X183)*100),0)</f>
        <v>0</v>
      </c>
      <c r="X183" s="713" t="str" cm="1">
        <f t="array" aca="1" ref="X183" ca="1">IF($Y183&gt;0,CHOOSE(MATCH(RegimeExecucao,{"Unitário","Global"},0),IF($A183="S",ROUND($H183,ORÇAMENTO!$AF$10),""),ROUND($I183,ORÇAMENTO!$AF$11)),"")</f>
        <v/>
      </c>
      <c r="Y183" s="713">
        <f ca="1">AO183-O183</f>
        <v>0</v>
      </c>
      <c r="Z183" s="722"/>
      <c r="AB183" s="711"/>
      <c r="AC183" s="717"/>
      <c r="AD183" s="717"/>
      <c r="AE183" s="717"/>
      <c r="AF183" s="717"/>
      <c r="AG183" s="717"/>
      <c r="AH183" s="717"/>
      <c r="AI183" s="717"/>
      <c r="AJ183" s="717"/>
      <c r="AK183" s="717"/>
      <c r="AL183" s="717"/>
      <c r="AM183" s="712"/>
      <c r="AO183" s="680" cm="1">
        <f t="array" aca="1" ref="AO183" ca="1">IF($A183="S",IF(BM!$I183=0,0,CHOOSE(MATCH(RegimeExecucao,{"Global","Unitário"},0),ROUND(ROUND(BM.MEDAcumulado,15-13*BM!$A$9)/100*BM!$I183,15-13*ORÇAMENTO!$AF$11),ROUND(ROUND(BM.MEDAcumulado,15-13*BM!$A$9)*ROUND(BM!$H183,15-13*ORÇAMENTO!$AF$10),15-13*ORÇAMENTO!$AF$11))),IF($A183=0,0,ROUND(SomaAgrupBM,15-13*ORÇAMENTO!$AF$11)))</f>
        <v>0</v>
      </c>
    </row>
    <row r="184" spans="1:41" s="670" customFormat="1" ht="38.25" x14ac:dyDescent="0.2">
      <c r="A184" s="670" t="str">
        <f ca="1">ORÇAMENTO!C184</f>
        <v>S</v>
      </c>
      <c r="B184" s="670">
        <f ca="1">ORÇAMENTO!D184</f>
        <v>0</v>
      </c>
      <c r="C184" s="114" t="str">
        <f t="shared" ca="1" si="15"/>
        <v>F</v>
      </c>
      <c r="D184" s="117" t="str">
        <f ca="1">ORÇAMENTO!O184</f>
        <v>1.23.14.</v>
      </c>
      <c r="E184" s="163" t="str">
        <f t="shared" ca="1" si="16"/>
        <v>CONCRETO FCK = 20MPA, TRAÇO 1:2,7:3 (EM MASSA SECA DE CIMENTO/ AREIA MÉDIA/ BRITA 1) - PREPARO MECÂNICO COM BETONEIRA 600 L. AF_05/2021</v>
      </c>
      <c r="F184" s="164" t="str" cm="1">
        <f t="array" aca="1" ref="F184" ca="1">IF(RegimeExecucao="Global","",ORÇAMENTO.Unidade)</f>
        <v>M3</v>
      </c>
      <c r="G184" s="122" cm="1">
        <f t="array" aca="1" ref="G184" ca="1">IF(RegimeExecucao="Global","",ORÇAMENTO!T184)</f>
        <v>11</v>
      </c>
      <c r="H184" s="122" cm="1">
        <f t="array" aca="1" ref="H184" ca="1">IF(RegimeExecucao="Global","",ORÇAMENTO!W184)</f>
        <v>686.14</v>
      </c>
      <c r="I184" s="125">
        <f ca="1">ORÇAMENTO!X184</f>
        <v>7547.54</v>
      </c>
      <c r="J184" s="333" cm="1">
        <f t="array" aca="1" ref="J184" ca="1">IF($A184="S",IF(CAIXA.Modo,BM.AFAnterior,BM.MEDAnterior),IF(AND(RegimeExecucao="Global",$I184&gt;0,COUNTIF($AB$13:$AM$13,BM.medicao-1)&gt;0),M184/$I184*100,0))</f>
        <v>0</v>
      </c>
      <c r="K184" s="122">
        <f t="shared" ca="1" si="17"/>
        <v>0</v>
      </c>
      <c r="L184" s="334" cm="1">
        <f t="array" aca="1" ref="L184" ca="1">IF($A184="S",IF(CAIXA.Modo,BM.AFAcumulado,BM.MEDAcumulado),IF(AND(RegimeExecucao="Global",$I184&gt;0,COUNTIF($AB$13:$AM$13,BM.medicao)&gt;0),O184/$I184*100,0))</f>
        <v>0</v>
      </c>
      <c r="M184" s="335" cm="1">
        <f t="array" aca="1" ref="M184" ca="1">IF($A184="S",VTOTALBM,IF($A184=0,0,ROUND(SomaAgrupBM,15-13*ORÇAMENTO!$AF$11)))</f>
        <v>0</v>
      </c>
      <c r="N184" s="336">
        <f t="shared" ca="1" si="18"/>
        <v>0</v>
      </c>
      <c r="O184" s="125" cm="1">
        <f t="array" aca="1" ref="O184" ca="1">IF($A184="S",VTOTALBM,IF($A184=0,0,ROUND(SomaAgrupBM,15-13*ORÇAMENTO!$AF$11)))</f>
        <v>0</v>
      </c>
      <c r="Q184" s="337"/>
      <c r="R184" s="338"/>
      <c r="T184" s="117" t="str">
        <f t="shared" ca="1" si="19"/>
        <v/>
      </c>
      <c r="U184" s="163" t="str">
        <f t="shared" ca="1" si="20"/>
        <v/>
      </c>
      <c r="V184" s="164" t="str" cm="1">
        <f t="array" aca="1" ref="V184" ca="1">IF(AND($W184&gt;0,RegimeExecucao="Unitário"),$F184,"")</f>
        <v/>
      </c>
      <c r="W184" s="454" cm="1">
        <f t="array" aca="1" ref="W184" ca="1">IF($Y184&gt;0,CHOOSE(MATCH(RegimeExecucao,{"Unitário","Global"},0),IF($A184="S",$Y184/$X184,""),($Y184/$X184)*100),0)</f>
        <v>0</v>
      </c>
      <c r="X184" s="339" t="str" cm="1">
        <f t="array" aca="1" ref="X184" ca="1">IF($Y184&gt;0,CHOOSE(MATCH(RegimeExecucao,{"Unitário","Global"},0),IF($A184="S",ROUND($H184,ORÇAMENTO!$AF$10),""),ROUND($I184,ORÇAMENTO!$AF$11)),"")</f>
        <v/>
      </c>
      <c r="Y184" s="339">
        <f t="shared" ca="1" si="21"/>
        <v>0</v>
      </c>
      <c r="Z184" s="473"/>
      <c r="AB184" s="337"/>
      <c r="AC184" s="437"/>
      <c r="AD184" s="437"/>
      <c r="AE184" s="437"/>
      <c r="AF184" s="437"/>
      <c r="AG184" s="437"/>
      <c r="AH184" s="437"/>
      <c r="AI184" s="437"/>
      <c r="AJ184" s="437"/>
      <c r="AK184" s="437"/>
      <c r="AL184" s="437"/>
      <c r="AM184" s="338"/>
      <c r="AO184" s="670" cm="1">
        <f t="array" aca="1" ref="AO184" ca="1">IF($A184="S",IF(BM!$I184=0,0,CHOOSE(MATCH(RegimeExecucao,{"Global","Unitário"},0),ROUND(ROUND(BM.MEDAcumulado,15-13*BM!$A$9)/100*BM!$I184,15-13*ORÇAMENTO!$AF$11),ROUND(ROUND(BM.MEDAcumulado,15-13*BM!$A$9)*ROUND(BM!$H184,15-13*ORÇAMENTO!$AF$10),15-13*ORÇAMENTO!$AF$11))),IF($A184=0,0,ROUND(SomaAgrupBM,15-13*ORÇAMENTO!$AF$11)))</f>
        <v>0</v>
      </c>
    </row>
    <row r="185" spans="1:41" s="680" customFormat="1" ht="25.5" x14ac:dyDescent="0.2">
      <c r="A185" s="680" t="str">
        <f ca="1">ORÇAMENTO!C185</f>
        <v>S</v>
      </c>
      <c r="B185" s="680">
        <f ca="1">ORÇAMENTO!D185</f>
        <v>0</v>
      </c>
      <c r="C185" s="684" t="str">
        <f ca="1">IF(OR($I185&gt;0,$A185=1,$A185=2,$A185=3,$A185=4),"F","")</f>
        <v>F</v>
      </c>
      <c r="D185" s="687" t="str">
        <f ca="1">ORÇAMENTO!O185</f>
        <v>1.23.15.</v>
      </c>
      <c r="E185" s="699" t="str">
        <f ca="1">ORÇAMENTO.Descricao</f>
        <v>LANÇAMENTO COM USO DE BOMBA, ADENSAMENTO E ACABAMENTO DE CONCRETO EM ESTRUTURAS. AF_02/2022</v>
      </c>
      <c r="F185" s="700" t="str" cm="1">
        <f t="array" aca="1" ref="F185" ca="1">IF(RegimeExecucao="Global","",ORÇAMENTO.Unidade)</f>
        <v>M3</v>
      </c>
      <c r="G185" s="692" cm="1">
        <f t="array" aca="1" ref="G185" ca="1">IF(RegimeExecucao="Global","",ORÇAMENTO!T185)</f>
        <v>11</v>
      </c>
      <c r="H185" s="692" cm="1">
        <f t="array" aca="1" ref="H185" ca="1">IF(RegimeExecucao="Global","",ORÇAMENTO!W185)</f>
        <v>60.2</v>
      </c>
      <c r="I185" s="695">
        <f ca="1">ORÇAMENTO!X185</f>
        <v>662.2</v>
      </c>
      <c r="J185" s="707" cm="1">
        <f t="array" aca="1" ref="J185" ca="1">IF($A185="S",IF(CAIXA.Modo,BM.AFAnterior,BM.MEDAnterior),IF(AND(RegimeExecucao="Global",$I185&gt;0,COUNTIF($AB$13:$AM$13,BM.medicao-1)&gt;0),M185/$I185*100,0))</f>
        <v>0</v>
      </c>
      <c r="K185" s="692">
        <f ca="1">L185-J185</f>
        <v>0</v>
      </c>
      <c r="L185" s="708" cm="1">
        <f t="array" aca="1" ref="L185" ca="1">IF($A185="S",IF(CAIXA.Modo,BM.AFAcumulado,BM.MEDAcumulado),IF(AND(RegimeExecucao="Global",$I185&gt;0,COUNTIF($AB$13:$AM$13,BM.medicao)&gt;0),O185/$I185*100,0))</f>
        <v>0</v>
      </c>
      <c r="M185" s="709" cm="1">
        <f t="array" aca="1" ref="M185" ca="1">IF($A185="S",VTOTALBM,IF($A185=0,0,ROUND(SomaAgrupBM,15-13*ORÇAMENTO!$AF$11)))</f>
        <v>0</v>
      </c>
      <c r="N185" s="710">
        <f ca="1">O185-M185</f>
        <v>0</v>
      </c>
      <c r="O185" s="695" cm="1">
        <f t="array" aca="1" ref="O185" ca="1">IF($A185="S",VTOTALBM,IF($A185=0,0,ROUND(SomaAgrupBM,15-13*ORÇAMENTO!$AF$11)))</f>
        <v>0</v>
      </c>
      <c r="Q185" s="711"/>
      <c r="R185" s="712"/>
      <c r="T185" s="687" t="str">
        <f ca="1">IF($W185&gt;0,$D185,"")</f>
        <v/>
      </c>
      <c r="U185" s="699" t="str">
        <f ca="1">IF($W185&gt;0,$E185,"")</f>
        <v/>
      </c>
      <c r="V185" s="700" t="str" cm="1">
        <f t="array" aca="1" ref="V185" ca="1">IF(AND($W185&gt;0,RegimeExecucao="Unitário"),$F185,"")</f>
        <v/>
      </c>
      <c r="W185" s="719" cm="1">
        <f t="array" aca="1" ref="W185" ca="1">IF($Y185&gt;0,CHOOSE(MATCH(RegimeExecucao,{"Unitário","Global"},0),IF($A185="S",$Y185/$X185,""),($Y185/$X185)*100),0)</f>
        <v>0</v>
      </c>
      <c r="X185" s="713" t="str" cm="1">
        <f t="array" aca="1" ref="X185" ca="1">IF($Y185&gt;0,CHOOSE(MATCH(RegimeExecucao,{"Unitário","Global"},0),IF($A185="S",ROUND($H185,ORÇAMENTO!$AF$10),""),ROUND($I185,ORÇAMENTO!$AF$11)),"")</f>
        <v/>
      </c>
      <c r="Y185" s="713">
        <f ca="1">AO185-O185</f>
        <v>0</v>
      </c>
      <c r="Z185" s="722"/>
      <c r="AB185" s="711"/>
      <c r="AC185" s="717"/>
      <c r="AD185" s="717"/>
      <c r="AE185" s="717"/>
      <c r="AF185" s="717"/>
      <c r="AG185" s="717"/>
      <c r="AH185" s="717"/>
      <c r="AI185" s="717"/>
      <c r="AJ185" s="717"/>
      <c r="AK185" s="717"/>
      <c r="AL185" s="717"/>
      <c r="AM185" s="712"/>
      <c r="AO185" s="680" cm="1">
        <f t="array" aca="1" ref="AO185" ca="1">IF($A185="S",IF(BM!$I185=0,0,CHOOSE(MATCH(RegimeExecucao,{"Global","Unitário"},0),ROUND(ROUND(BM.MEDAcumulado,15-13*BM!$A$9)/100*BM!$I185,15-13*ORÇAMENTO!$AF$11),ROUND(ROUND(BM.MEDAcumulado,15-13*BM!$A$9)*ROUND(BM!$H185,15-13*ORÇAMENTO!$AF$10),15-13*ORÇAMENTO!$AF$11))),IF($A185=0,0,ROUND(SomaAgrupBM,15-13*ORÇAMENTO!$AF$11)))</f>
        <v>0</v>
      </c>
    </row>
    <row r="186" spans="1:41" s="670" customFormat="1" x14ac:dyDescent="0.2">
      <c r="A186" s="670">
        <f ca="1">ORÇAMENTO!C186</f>
        <v>2</v>
      </c>
      <c r="B186" s="670">
        <f ca="1">ORÇAMENTO!D186</f>
        <v>5</v>
      </c>
      <c r="C186" s="114" t="str">
        <f t="shared" ca="1" si="15"/>
        <v>F</v>
      </c>
      <c r="D186" s="117" t="str">
        <f ca="1">ORÇAMENTO!O186</f>
        <v>1.24.</v>
      </c>
      <c r="E186" s="163" t="str">
        <f t="shared" si="16"/>
        <v>PROJETO EXECUTIVO</v>
      </c>
      <c r="F186" s="164" t="str" cm="1">
        <f t="array" aca="1" ref="F186" ca="1">IF(RegimeExecucao="Global","",ORÇAMENTO.Unidade)</f>
        <v>-</v>
      </c>
      <c r="G186" s="122" cm="1">
        <f t="array" aca="1" ref="G186" ca="1">IF(RegimeExecucao="Global","",ORÇAMENTO!T186)</f>
        <v>0</v>
      </c>
      <c r="H186" s="122" cm="1">
        <f t="array" aca="1" ref="H186" ca="1">IF(RegimeExecucao="Global","",ORÇAMENTO!W186)</f>
        <v>0</v>
      </c>
      <c r="I186" s="125">
        <f ca="1">ORÇAMENTO!X186</f>
        <v>135179.56</v>
      </c>
      <c r="J186" s="333" cm="1">
        <f t="array" aca="1" ref="J186" ca="1">IF($A186="S",IF(CAIXA.Modo,BM.AFAnterior,BM.MEDAnterior),IF(AND(RegimeExecucao="Global",$I186&gt;0,COUNTIF($AB$13:$AM$13,BM.medicao-1)&gt;0),M186/$I186*100,0))</f>
        <v>0</v>
      </c>
      <c r="K186" s="122">
        <f t="shared" ca="1" si="17"/>
        <v>0</v>
      </c>
      <c r="L186" s="334" cm="1">
        <f t="array" aca="1" ref="L186" ca="1">IF($A186="S",IF(CAIXA.Modo,BM.AFAcumulado,BM.MEDAcumulado),IF(AND(RegimeExecucao="Global",$I186&gt;0,COUNTIF($AB$13:$AM$13,BM.medicao)&gt;0),O186/$I186*100,0))</f>
        <v>0</v>
      </c>
      <c r="M186" s="335" cm="1">
        <f t="array" aca="1" ref="M186" ca="1">IF($A186="S",VTOTALBM,IF($A186=0,0,ROUND(SomaAgrupBM,15-13*ORÇAMENTO!$AF$11)))</f>
        <v>0</v>
      </c>
      <c r="N186" s="336">
        <f t="shared" ca="1" si="18"/>
        <v>0</v>
      </c>
      <c r="O186" s="125" cm="1">
        <f t="array" aca="1" ref="O186" ca="1">IF($A186="S",VTOTALBM,IF($A186=0,0,ROUND(SomaAgrupBM,15-13*ORÇAMENTO!$AF$11)))</f>
        <v>0</v>
      </c>
      <c r="Q186" s="337"/>
      <c r="R186" s="338"/>
      <c r="T186" s="117" t="str">
        <f t="shared" ca="1" si="19"/>
        <v/>
      </c>
      <c r="U186" s="163" t="str">
        <f t="shared" ca="1" si="20"/>
        <v/>
      </c>
      <c r="V186" s="164" t="str" cm="1">
        <f t="array" aca="1" ref="V186" ca="1">IF(AND($W186&gt;0,RegimeExecucao="Unitário"),$F186,"")</f>
        <v/>
      </c>
      <c r="W186" s="454" cm="1">
        <f t="array" aca="1" ref="W186" ca="1">IF($Y186&gt;0,CHOOSE(MATCH(RegimeExecucao,{"Unitário","Global"},0),IF($A186="S",$Y186/$X186,""),($Y186/$X186)*100),0)</f>
        <v>0</v>
      </c>
      <c r="X186" s="339" t="str" cm="1">
        <f t="array" aca="1" ref="X186" ca="1">IF($Y186&gt;0,CHOOSE(MATCH(RegimeExecucao,{"Unitário","Global"},0),IF($A186="S",ROUND($H186,ORÇAMENTO!$AF$10),""),ROUND($I186,ORÇAMENTO!$AF$11)),"")</f>
        <v/>
      </c>
      <c r="Y186" s="339">
        <f t="shared" ca="1" si="21"/>
        <v>0</v>
      </c>
      <c r="Z186" s="473"/>
      <c r="AB186" s="337"/>
      <c r="AC186" s="437"/>
      <c r="AD186" s="437"/>
      <c r="AE186" s="437"/>
      <c r="AF186" s="437"/>
      <c r="AG186" s="437"/>
      <c r="AH186" s="437"/>
      <c r="AI186" s="437"/>
      <c r="AJ186" s="437"/>
      <c r="AK186" s="437"/>
      <c r="AL186" s="437"/>
      <c r="AM186" s="338"/>
      <c r="AO186" s="670" cm="1">
        <f t="array" aca="1" ref="AO186" ca="1">IF($A186="S",IF(BM!$I186=0,0,CHOOSE(MATCH(RegimeExecucao,{"Global","Unitário"},0),ROUND(ROUND(BM.MEDAcumulado,15-13*BM!$A$9)/100*BM!$I186,15-13*ORÇAMENTO!$AF$11),ROUND(ROUND(BM.MEDAcumulado,15-13*BM!$A$9)*ROUND(BM!$H186,15-13*ORÇAMENTO!$AF$10),15-13*ORÇAMENTO!$AF$11))),IF($A186=0,0,ROUND(SomaAgrupBM,15-13*ORÇAMENTO!$AF$11)))</f>
        <v>0</v>
      </c>
    </row>
    <row r="187" spans="1:41" s="670" customFormat="1" ht="25.5" x14ac:dyDescent="0.2">
      <c r="A187" s="670" t="str">
        <f ca="1">ORÇAMENTO!C187</f>
        <v>S</v>
      </c>
      <c r="B187" s="670">
        <f ca="1">ORÇAMENTO!D187</f>
        <v>0</v>
      </c>
      <c r="C187" s="114" t="str">
        <f t="shared" ca="1" si="15"/>
        <v>F</v>
      </c>
      <c r="D187" s="117" t="str">
        <f ca="1">ORÇAMENTO!O187</f>
        <v>1.24.1.</v>
      </c>
      <c r="E187" s="163" t="str">
        <f t="shared" ca="1" si="16"/>
        <v>PROJETO EXECUTIVO DE INSTALAÇÕES HIDROSSANITÁRIAS - PRANCHAS</v>
      </c>
      <c r="F187" s="164" t="str" cm="1">
        <f t="array" aca="1" ref="F187" ca="1">IF(RegimeExecucao="Global","",ORÇAMENTO.Unidade)</f>
        <v>UNIDADE</v>
      </c>
      <c r="G187" s="122" cm="1">
        <f t="array" aca="1" ref="G187" ca="1">IF(RegimeExecucao="Global","",ORÇAMENTO!T187)</f>
        <v>20</v>
      </c>
      <c r="H187" s="122" cm="1">
        <f t="array" aca="1" ref="H187" ca="1">IF(RegimeExecucao="Global","",ORÇAMENTO!W187)</f>
        <v>2145.62</v>
      </c>
      <c r="I187" s="125">
        <f ca="1">ORÇAMENTO!X187</f>
        <v>42912.4</v>
      </c>
      <c r="J187" s="333" cm="1">
        <f t="array" aca="1" ref="J187" ca="1">IF($A187="S",IF(CAIXA.Modo,BM.AFAnterior,BM.MEDAnterior),IF(AND(RegimeExecucao="Global",$I187&gt;0,COUNTIF($AB$13:$AM$13,BM.medicao-1)&gt;0),M187/$I187*100,0))</f>
        <v>0</v>
      </c>
      <c r="K187" s="122">
        <f t="shared" ca="1" si="17"/>
        <v>0</v>
      </c>
      <c r="L187" s="334" cm="1">
        <f t="array" aca="1" ref="L187" ca="1">IF($A187="S",IF(CAIXA.Modo,BM.AFAcumulado,BM.MEDAcumulado),IF(AND(RegimeExecucao="Global",$I187&gt;0,COUNTIF($AB$13:$AM$13,BM.medicao)&gt;0),O187/$I187*100,0))</f>
        <v>0</v>
      </c>
      <c r="M187" s="335" cm="1">
        <f t="array" aca="1" ref="M187" ca="1">IF($A187="S",VTOTALBM,IF($A187=0,0,ROUND(SomaAgrupBM,15-13*ORÇAMENTO!$AF$11)))</f>
        <v>0</v>
      </c>
      <c r="N187" s="336">
        <f t="shared" ca="1" si="18"/>
        <v>0</v>
      </c>
      <c r="O187" s="125" cm="1">
        <f t="array" aca="1" ref="O187" ca="1">IF($A187="S",VTOTALBM,IF($A187=0,0,ROUND(SomaAgrupBM,15-13*ORÇAMENTO!$AF$11)))</f>
        <v>0</v>
      </c>
      <c r="Q187" s="337"/>
      <c r="R187" s="338"/>
      <c r="T187" s="117" t="str">
        <f t="shared" ca="1" si="19"/>
        <v/>
      </c>
      <c r="U187" s="163" t="str">
        <f t="shared" ca="1" si="20"/>
        <v/>
      </c>
      <c r="V187" s="164" t="str" cm="1">
        <f t="array" aca="1" ref="V187" ca="1">IF(AND($W187&gt;0,RegimeExecucao="Unitário"),$F187,"")</f>
        <v/>
      </c>
      <c r="W187" s="454" cm="1">
        <f t="array" aca="1" ref="W187" ca="1">IF($Y187&gt;0,CHOOSE(MATCH(RegimeExecucao,{"Unitário","Global"},0),IF($A187="S",$Y187/$X187,""),($Y187/$X187)*100),0)</f>
        <v>0</v>
      </c>
      <c r="X187" s="339" t="str" cm="1">
        <f t="array" aca="1" ref="X187" ca="1">IF($Y187&gt;0,CHOOSE(MATCH(RegimeExecucao,{"Unitário","Global"},0),IF($A187="S",ROUND($H187,ORÇAMENTO!$AF$10),""),ROUND($I187,ORÇAMENTO!$AF$11)),"")</f>
        <v/>
      </c>
      <c r="Y187" s="339">
        <f t="shared" ca="1" si="21"/>
        <v>0</v>
      </c>
      <c r="Z187" s="473"/>
      <c r="AB187" s="337"/>
      <c r="AC187" s="437"/>
      <c r="AD187" s="437"/>
      <c r="AE187" s="437"/>
      <c r="AF187" s="437"/>
      <c r="AG187" s="437"/>
      <c r="AH187" s="437"/>
      <c r="AI187" s="437"/>
      <c r="AJ187" s="437"/>
      <c r="AK187" s="437"/>
      <c r="AL187" s="437"/>
      <c r="AM187" s="338"/>
      <c r="AO187" s="670" cm="1">
        <f t="array" aca="1" ref="AO187" ca="1">IF($A187="S",IF(BM!$I187=0,0,CHOOSE(MATCH(RegimeExecucao,{"Global","Unitário"},0),ROUND(ROUND(BM.MEDAcumulado,15-13*BM!$A$9)/100*BM!$I187,15-13*ORÇAMENTO!$AF$11),ROUND(ROUND(BM.MEDAcumulado,15-13*BM!$A$9)*ROUND(BM!$H187,15-13*ORÇAMENTO!$AF$10),15-13*ORÇAMENTO!$AF$11))),IF($A187=0,0,ROUND(SomaAgrupBM,15-13*ORÇAMENTO!$AF$11)))</f>
        <v>0</v>
      </c>
    </row>
    <row r="188" spans="1:41" s="670" customFormat="1" x14ac:dyDescent="0.2">
      <c r="A188" s="670" t="str">
        <f ca="1">ORÇAMENTO!C188</f>
        <v>S</v>
      </c>
      <c r="B188" s="670">
        <f ca="1">ORÇAMENTO!D188</f>
        <v>0</v>
      </c>
      <c r="C188" s="114" t="str">
        <f t="shared" ca="1" si="15"/>
        <v>F</v>
      </c>
      <c r="D188" s="117" t="str">
        <f ca="1">ORÇAMENTO!O188</f>
        <v>1.24.2.</v>
      </c>
      <c r="E188" s="163" t="str">
        <f t="shared" ca="1" si="16"/>
        <v>PROJETO EXECUTIVO DE SPDA- PRANCHAS</v>
      </c>
      <c r="F188" s="164" t="str" cm="1">
        <f t="array" aca="1" ref="F188" ca="1">IF(RegimeExecucao="Global","",ORÇAMENTO.Unidade)</f>
        <v>UNIDADE</v>
      </c>
      <c r="G188" s="122" cm="1">
        <f t="array" aca="1" ref="G188" ca="1">IF(RegimeExecucao="Global","",ORÇAMENTO!T188)</f>
        <v>16</v>
      </c>
      <c r="H188" s="122" cm="1">
        <f t="array" aca="1" ref="H188" ca="1">IF(RegimeExecucao="Global","",ORÇAMENTO!W188)</f>
        <v>1612.89</v>
      </c>
      <c r="I188" s="125">
        <f ca="1">ORÇAMENTO!X188</f>
        <v>25806.240000000002</v>
      </c>
      <c r="J188" s="333" cm="1">
        <f t="array" aca="1" ref="J188" ca="1">IF($A188="S",IF(CAIXA.Modo,BM.AFAnterior,BM.MEDAnterior),IF(AND(RegimeExecucao="Global",$I188&gt;0,COUNTIF($AB$13:$AM$13,BM.medicao-1)&gt;0),M188/$I188*100,0))</f>
        <v>0</v>
      </c>
      <c r="K188" s="122">
        <f t="shared" ca="1" si="17"/>
        <v>0</v>
      </c>
      <c r="L188" s="334" cm="1">
        <f t="array" aca="1" ref="L188" ca="1">IF($A188="S",IF(CAIXA.Modo,BM.AFAcumulado,BM.MEDAcumulado),IF(AND(RegimeExecucao="Global",$I188&gt;0,COUNTIF($AB$13:$AM$13,BM.medicao)&gt;0),O188/$I188*100,0))</f>
        <v>0</v>
      </c>
      <c r="M188" s="335" cm="1">
        <f t="array" aca="1" ref="M188" ca="1">IF($A188="S",VTOTALBM,IF($A188=0,0,ROUND(SomaAgrupBM,15-13*ORÇAMENTO!$AF$11)))</f>
        <v>0</v>
      </c>
      <c r="N188" s="336">
        <f t="shared" ca="1" si="18"/>
        <v>0</v>
      </c>
      <c r="O188" s="125" cm="1">
        <f t="array" aca="1" ref="O188" ca="1">IF($A188="S",VTOTALBM,IF($A188=0,0,ROUND(SomaAgrupBM,15-13*ORÇAMENTO!$AF$11)))</f>
        <v>0</v>
      </c>
      <c r="Q188" s="337"/>
      <c r="R188" s="338"/>
      <c r="T188" s="117" t="str">
        <f t="shared" ca="1" si="19"/>
        <v/>
      </c>
      <c r="U188" s="163" t="str">
        <f t="shared" ca="1" si="20"/>
        <v/>
      </c>
      <c r="V188" s="164" t="str" cm="1">
        <f t="array" aca="1" ref="V188" ca="1">IF(AND($W188&gt;0,RegimeExecucao="Unitário"),$F188,"")</f>
        <v/>
      </c>
      <c r="W188" s="454" cm="1">
        <f t="array" aca="1" ref="W188" ca="1">IF($Y188&gt;0,CHOOSE(MATCH(RegimeExecucao,{"Unitário","Global"},0),IF($A188="S",$Y188/$X188,""),($Y188/$X188)*100),0)</f>
        <v>0</v>
      </c>
      <c r="X188" s="339" t="str" cm="1">
        <f t="array" aca="1" ref="X188" ca="1">IF($Y188&gt;0,CHOOSE(MATCH(RegimeExecucao,{"Unitário","Global"},0),IF($A188="S",ROUND($H188,ORÇAMENTO!$AF$10),""),ROUND($I188,ORÇAMENTO!$AF$11)),"")</f>
        <v/>
      </c>
      <c r="Y188" s="339">
        <f t="shared" ca="1" si="21"/>
        <v>0</v>
      </c>
      <c r="Z188" s="473"/>
      <c r="AB188" s="337"/>
      <c r="AC188" s="437"/>
      <c r="AD188" s="437"/>
      <c r="AE188" s="437"/>
      <c r="AF188" s="437"/>
      <c r="AG188" s="437"/>
      <c r="AH188" s="437"/>
      <c r="AI188" s="437"/>
      <c r="AJ188" s="437"/>
      <c r="AK188" s="437"/>
      <c r="AL188" s="437"/>
      <c r="AM188" s="338"/>
      <c r="AO188" s="670" cm="1">
        <f t="array" aca="1" ref="AO188" ca="1">IF($A188="S",IF(BM!$I188=0,0,CHOOSE(MATCH(RegimeExecucao,{"Global","Unitário"},0),ROUND(ROUND(BM.MEDAcumulado,15-13*BM!$A$9)/100*BM!$I188,15-13*ORÇAMENTO!$AF$11),ROUND(ROUND(BM.MEDAcumulado,15-13*BM!$A$9)*ROUND(BM!$H188,15-13*ORÇAMENTO!$AF$10),15-13*ORÇAMENTO!$AF$11))),IF($A188=0,0,ROUND(SomaAgrupBM,15-13*ORÇAMENTO!$AF$11)))</f>
        <v>0</v>
      </c>
    </row>
    <row r="189" spans="1:41" s="670" customFormat="1" x14ac:dyDescent="0.2">
      <c r="A189" s="670" t="str">
        <f ca="1">ORÇAMENTO!C189</f>
        <v>S</v>
      </c>
      <c r="B189" s="670">
        <f ca="1">ORÇAMENTO!D189</f>
        <v>0</v>
      </c>
      <c r="C189" s="114" t="str">
        <f t="shared" ca="1" si="15"/>
        <v>F</v>
      </c>
      <c r="D189" s="117" t="str">
        <f ca="1">ORÇAMENTO!O189</f>
        <v>1.24.3.</v>
      </c>
      <c r="E189" s="163" t="str">
        <f t="shared" ca="1" si="16"/>
        <v>PROJETO EXECUTIVO DE INSTALAÇÕES ELÉTRICAS- PRANCHAS</v>
      </c>
      <c r="F189" s="164" t="str" cm="1">
        <f t="array" aca="1" ref="F189" ca="1">IF(RegimeExecucao="Global","",ORÇAMENTO.Unidade)</f>
        <v>PRANCHA</v>
      </c>
      <c r="G189" s="122" cm="1">
        <f t="array" aca="1" ref="G189" ca="1">IF(RegimeExecucao="Global","",ORÇAMENTO!T189)</f>
        <v>12</v>
      </c>
      <c r="H189" s="122" cm="1">
        <f t="array" aca="1" ref="H189" ca="1">IF(RegimeExecucao="Global","",ORÇAMENTO!W189)</f>
        <v>2242.17</v>
      </c>
      <c r="I189" s="125">
        <f ca="1">ORÇAMENTO!X189</f>
        <v>26906.04</v>
      </c>
      <c r="J189" s="333" cm="1">
        <f t="array" aca="1" ref="J189" ca="1">IF($A189="S",IF(CAIXA.Modo,BM.AFAnterior,BM.MEDAnterior),IF(AND(RegimeExecucao="Global",$I189&gt;0,COUNTIF($AB$13:$AM$13,BM.medicao-1)&gt;0),M189/$I189*100,0))</f>
        <v>0</v>
      </c>
      <c r="K189" s="122">
        <f t="shared" ca="1" si="17"/>
        <v>0</v>
      </c>
      <c r="L189" s="334" cm="1">
        <f t="array" aca="1" ref="L189" ca="1">IF($A189="S",IF(CAIXA.Modo,BM.AFAcumulado,BM.MEDAcumulado),IF(AND(RegimeExecucao="Global",$I189&gt;0,COUNTIF($AB$13:$AM$13,BM.medicao)&gt;0),O189/$I189*100,0))</f>
        <v>0</v>
      </c>
      <c r="M189" s="335" cm="1">
        <f t="array" aca="1" ref="M189" ca="1">IF($A189="S",VTOTALBM,IF($A189=0,0,ROUND(SomaAgrupBM,15-13*ORÇAMENTO!$AF$11)))</f>
        <v>0</v>
      </c>
      <c r="N189" s="336">
        <f t="shared" ca="1" si="18"/>
        <v>0</v>
      </c>
      <c r="O189" s="125" cm="1">
        <f t="array" aca="1" ref="O189" ca="1">IF($A189="S",VTOTALBM,IF($A189=0,0,ROUND(SomaAgrupBM,15-13*ORÇAMENTO!$AF$11)))</f>
        <v>0</v>
      </c>
      <c r="Q189" s="337"/>
      <c r="R189" s="338"/>
      <c r="T189" s="117" t="str">
        <f t="shared" ca="1" si="19"/>
        <v/>
      </c>
      <c r="U189" s="163" t="str">
        <f t="shared" ca="1" si="20"/>
        <v/>
      </c>
      <c r="V189" s="164" t="str" cm="1">
        <f t="array" aca="1" ref="V189" ca="1">IF(AND($W189&gt;0,RegimeExecucao="Unitário"),$F189,"")</f>
        <v/>
      </c>
      <c r="W189" s="454" cm="1">
        <f t="array" aca="1" ref="W189" ca="1">IF($Y189&gt;0,CHOOSE(MATCH(RegimeExecucao,{"Unitário","Global"},0),IF($A189="S",$Y189/$X189,""),($Y189/$X189)*100),0)</f>
        <v>0</v>
      </c>
      <c r="X189" s="339" t="str" cm="1">
        <f t="array" aca="1" ref="X189" ca="1">IF($Y189&gt;0,CHOOSE(MATCH(RegimeExecucao,{"Unitário","Global"},0),IF($A189="S",ROUND($H189,ORÇAMENTO!$AF$10),""),ROUND($I189,ORÇAMENTO!$AF$11)),"")</f>
        <v/>
      </c>
      <c r="Y189" s="339">
        <f t="shared" ca="1" si="21"/>
        <v>0</v>
      </c>
      <c r="Z189" s="473"/>
      <c r="AB189" s="337"/>
      <c r="AC189" s="437"/>
      <c r="AD189" s="437"/>
      <c r="AE189" s="437"/>
      <c r="AF189" s="437"/>
      <c r="AG189" s="437"/>
      <c r="AH189" s="437"/>
      <c r="AI189" s="437"/>
      <c r="AJ189" s="437"/>
      <c r="AK189" s="437"/>
      <c r="AL189" s="437"/>
      <c r="AM189" s="338"/>
      <c r="AO189" s="670" cm="1">
        <f t="array" aca="1" ref="AO189" ca="1">IF($A189="S",IF(BM!$I189=0,0,CHOOSE(MATCH(RegimeExecucao,{"Global","Unitário"},0),ROUND(ROUND(BM.MEDAcumulado,15-13*BM!$A$9)/100*BM!$I189,15-13*ORÇAMENTO!$AF$11),ROUND(ROUND(BM.MEDAcumulado,15-13*BM!$A$9)*ROUND(BM!$H189,15-13*ORÇAMENTO!$AF$10),15-13*ORÇAMENTO!$AF$11))),IF($A189=0,0,ROUND(SomaAgrupBM,15-13*ORÇAMENTO!$AF$11)))</f>
        <v>0</v>
      </c>
    </row>
    <row r="190" spans="1:41" s="670" customFormat="1" x14ac:dyDescent="0.2">
      <c r="A190" s="670" t="str">
        <f ca="1">ORÇAMENTO!C190</f>
        <v>S</v>
      </c>
      <c r="B190" s="670">
        <f ca="1">ORÇAMENTO!D190</f>
        <v>0</v>
      </c>
      <c r="C190" s="114" t="str">
        <f t="shared" ref="C190" ca="1" si="22">IF(OR($I190&gt;0,$A190=1,$A190=2,$A190=3,$A190=4),"F","")</f>
        <v>F</v>
      </c>
      <c r="D190" s="117" t="str">
        <f ca="1">ORÇAMENTO!O190</f>
        <v>1.24.4.</v>
      </c>
      <c r="E190" s="163" t="str">
        <f t="shared" ref="E190" ca="1" si="23">ORÇAMENTO.Descricao</f>
        <v>Projeto executivo de estrutura em formato A1 -PRANCHAS</v>
      </c>
      <c r="F190" s="164" t="str" cm="1">
        <f t="array" aca="1" ref="F190" ca="1">IF(RegimeExecucao="Global","",ORÇAMENTO.Unidade)</f>
        <v>UNIDADE</v>
      </c>
      <c r="G190" s="122" cm="1">
        <f t="array" aca="1" ref="G190" ca="1">IF(RegimeExecucao="Global","",ORÇAMENTO!T190)</f>
        <v>12</v>
      </c>
      <c r="H190" s="122" cm="1">
        <f t="array" aca="1" ref="H190" ca="1">IF(RegimeExecucao="Global","",ORÇAMENTO!W190)</f>
        <v>3296.24</v>
      </c>
      <c r="I190" s="125">
        <f ca="1">ORÇAMENTO!X190</f>
        <v>39554.879999999997</v>
      </c>
      <c r="J190" s="333" cm="1">
        <f t="array" aca="1" ref="J190" ca="1">IF($A190="S",IF(CAIXA.Modo,BM.AFAnterior,BM.MEDAnterior),IF(AND(RegimeExecucao="Global",$I190&gt;0,COUNTIF($AB$13:$AM$13,BM.medicao-1)&gt;0),M190/$I190*100,0))</f>
        <v>0</v>
      </c>
      <c r="K190" s="122">
        <f t="shared" ref="K190" ca="1" si="24">L190-J190</f>
        <v>0</v>
      </c>
      <c r="L190" s="334" cm="1">
        <f t="array" aca="1" ref="L190" ca="1">IF($A190="S",IF(CAIXA.Modo,BM.AFAcumulado,BM.MEDAcumulado),IF(AND(RegimeExecucao="Global",$I190&gt;0,COUNTIF($AB$13:$AM$13,BM.medicao)&gt;0),O190/$I190*100,0))</f>
        <v>0</v>
      </c>
      <c r="M190" s="335" cm="1">
        <f t="array" aca="1" ref="M190" ca="1">IF($A190="S",VTOTALBM,IF($A190=0,0,ROUND(SomaAgrupBM,15-13*ORÇAMENTO!$AF$11)))</f>
        <v>0</v>
      </c>
      <c r="N190" s="336">
        <f t="shared" ref="N190" ca="1" si="25">O190-M190</f>
        <v>0</v>
      </c>
      <c r="O190" s="125" cm="1">
        <f t="array" aca="1" ref="O190" ca="1">IF($A190="S",VTOTALBM,IF($A190=0,0,ROUND(SomaAgrupBM,15-13*ORÇAMENTO!$AF$11)))</f>
        <v>0</v>
      </c>
      <c r="Q190" s="337"/>
      <c r="R190" s="338"/>
      <c r="T190" s="117" t="str">
        <f t="shared" ref="T190" ca="1" si="26">IF($W190&gt;0,$D190,"")</f>
        <v/>
      </c>
      <c r="U190" s="163" t="str">
        <f t="shared" ref="U190" ca="1" si="27">IF($W190&gt;0,$E190,"")</f>
        <v/>
      </c>
      <c r="V190" s="164" t="str" cm="1">
        <f t="array" aca="1" ref="V190" ca="1">IF(AND($W190&gt;0,RegimeExecucao="Unitário"),$F190,"")</f>
        <v/>
      </c>
      <c r="W190" s="454" cm="1">
        <f t="array" aca="1" ref="W190" ca="1">IF($Y190&gt;0,CHOOSE(MATCH(RegimeExecucao,{"Unitário","Global"},0),IF($A190="S",$Y190/$X190,""),($Y190/$X190)*100),0)</f>
        <v>0</v>
      </c>
      <c r="X190" s="339" t="str" cm="1">
        <f t="array" aca="1" ref="X190" ca="1">IF($Y190&gt;0,CHOOSE(MATCH(RegimeExecucao,{"Unitário","Global"},0),IF($A190="S",ROUND($H190,ORÇAMENTO!$AF$10),""),ROUND($I190,ORÇAMENTO!$AF$11)),"")</f>
        <v/>
      </c>
      <c r="Y190" s="339">
        <f t="shared" ref="Y190" ca="1" si="28">AO190-O190</f>
        <v>0</v>
      </c>
      <c r="Z190" s="473"/>
      <c r="AB190" s="337"/>
      <c r="AC190" s="437"/>
      <c r="AD190" s="437"/>
      <c r="AE190" s="437"/>
      <c r="AF190" s="437"/>
      <c r="AG190" s="437"/>
      <c r="AH190" s="437"/>
      <c r="AI190" s="437"/>
      <c r="AJ190" s="437"/>
      <c r="AK190" s="437"/>
      <c r="AL190" s="437"/>
      <c r="AM190" s="338"/>
      <c r="AO190" s="670" cm="1">
        <f t="array" aca="1" ref="AO190" ca="1">IF($A190="S",IF(BM!$I190=0,0,CHOOSE(MATCH(RegimeExecucao,{"Global","Unitário"},0),ROUND(ROUND(BM.MEDAcumulado,15-13*BM!$A$9)/100*BM!$I190,15-13*ORÇAMENTO!$AF$11),ROUND(ROUND(BM.MEDAcumulado,15-13*BM!$A$9)*ROUND(BM!$H190,15-13*ORÇAMENTO!$AF$10),15-13*ORÇAMENTO!$AF$11))),IF($A190=0,0,ROUND(SomaAgrupBM,15-13*ORÇAMENTO!$AF$11)))</f>
        <v>0</v>
      </c>
    </row>
    <row r="191" spans="1:41" ht="5.0999999999999996" customHeight="1" x14ac:dyDescent="0.2">
      <c r="C191" s="114" t="s">
        <v>536</v>
      </c>
      <c r="D191" s="618"/>
      <c r="E191" s="619"/>
      <c r="F191" s="619"/>
      <c r="G191" s="619"/>
      <c r="H191" s="619"/>
      <c r="I191" s="419"/>
      <c r="J191" s="618"/>
      <c r="K191" s="619"/>
      <c r="L191" s="419"/>
      <c r="M191" s="434"/>
      <c r="N191" s="435"/>
      <c r="O191" s="436"/>
      <c r="Q191" s="618"/>
      <c r="R191" s="419"/>
      <c r="T191" s="618"/>
      <c r="U191" s="619"/>
      <c r="V191" s="619"/>
      <c r="W191" s="619"/>
      <c r="X191" s="619"/>
      <c r="Y191" s="619"/>
      <c r="Z191" s="419"/>
      <c r="AB191" s="618"/>
      <c r="AC191" s="619"/>
      <c r="AD191" s="619"/>
      <c r="AE191" s="619"/>
      <c r="AF191" s="619"/>
      <c r="AG191" s="619"/>
      <c r="AH191" s="619"/>
      <c r="AI191" s="619"/>
      <c r="AJ191" s="619"/>
      <c r="AK191" s="619"/>
      <c r="AL191" s="619"/>
      <c r="AM191" s="419"/>
    </row>
    <row r="193" spans="4:26" ht="14.25" x14ac:dyDescent="0.2">
      <c r="D193" s="887" t="s">
        <v>689</v>
      </c>
      <c r="E193" s="887"/>
      <c r="F193" s="887"/>
      <c r="G193" s="887"/>
      <c r="H193" s="887"/>
      <c r="I193" s="887"/>
      <c r="J193" s="887"/>
      <c r="K193" s="887"/>
      <c r="L193" s="887"/>
      <c r="M193" s="887"/>
      <c r="N193" s="887"/>
      <c r="O193" s="887"/>
      <c r="T193" s="888" t="s">
        <v>865</v>
      </c>
      <c r="U193" s="888"/>
      <c r="V193" s="888"/>
      <c r="W193" s="888"/>
      <c r="X193" s="888"/>
      <c r="Y193" s="888"/>
      <c r="Z193" s="888"/>
    </row>
    <row r="194" spans="4:26" ht="12.75" customHeight="1" x14ac:dyDescent="0.2">
      <c r="D194" s="798"/>
      <c r="E194" s="798"/>
      <c r="F194" s="798"/>
      <c r="G194" s="798"/>
      <c r="H194" s="798"/>
      <c r="I194" s="798"/>
      <c r="J194" s="798"/>
      <c r="K194" s="798"/>
      <c r="L194" s="798"/>
      <c r="M194" s="798"/>
      <c r="N194" s="798"/>
      <c r="O194" s="798"/>
      <c r="T194" s="889"/>
      <c r="U194" s="889"/>
      <c r="V194" s="889"/>
      <c r="W194" s="889"/>
      <c r="X194" s="889"/>
      <c r="Y194" s="889"/>
      <c r="Z194" s="889"/>
    </row>
    <row r="195" spans="4:26" ht="12.75" customHeight="1" x14ac:dyDescent="0.2">
      <c r="D195" s="798"/>
      <c r="E195" s="798"/>
      <c r="F195" s="798"/>
      <c r="G195" s="798"/>
      <c r="H195" s="798"/>
      <c r="I195" s="798"/>
      <c r="J195" s="798"/>
      <c r="K195" s="798"/>
      <c r="L195" s="798"/>
      <c r="M195" s="798"/>
      <c r="N195" s="798"/>
      <c r="O195" s="798"/>
      <c r="T195" s="889"/>
      <c r="U195" s="889"/>
      <c r="V195" s="889"/>
      <c r="W195" s="889"/>
      <c r="X195" s="889"/>
      <c r="Y195" s="889"/>
      <c r="Z195" s="889"/>
    </row>
    <row r="196" spans="4:26" ht="12.75" customHeight="1" x14ac:dyDescent="0.2">
      <c r="D196" s="798"/>
      <c r="E196" s="798"/>
      <c r="F196" s="798"/>
      <c r="G196" s="798"/>
      <c r="H196" s="798"/>
      <c r="I196" s="798"/>
      <c r="J196" s="798"/>
      <c r="K196" s="798"/>
      <c r="L196" s="798"/>
      <c r="M196" s="798"/>
      <c r="N196" s="798"/>
      <c r="O196" s="798"/>
      <c r="T196" s="889"/>
      <c r="U196" s="889"/>
      <c r="V196" s="889"/>
      <c r="W196" s="889"/>
      <c r="X196" s="889"/>
      <c r="Y196" s="889"/>
      <c r="Z196" s="889"/>
    </row>
    <row r="197" spans="4:26" ht="14.25" x14ac:dyDescent="0.2">
      <c r="D197" s="443"/>
      <c r="E197" s="443"/>
      <c r="F197" s="443"/>
      <c r="G197" s="443"/>
      <c r="H197" s="443"/>
      <c r="I197" s="443"/>
      <c r="J197" s="443"/>
      <c r="K197" s="443"/>
      <c r="L197" s="443"/>
      <c r="M197" s="443"/>
      <c r="N197" s="443"/>
      <c r="O197" s="443"/>
    </row>
    <row r="198" spans="4:26" ht="15" customHeight="1" x14ac:dyDescent="0.25">
      <c r="D198" s="799" t="str" cm="1">
        <f t="array" aca="1" ref="D198"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198" s="799"/>
      <c r="F198" s="799"/>
      <c r="G198" s="799"/>
      <c r="H198" s="799"/>
      <c r="I198" s="799"/>
      <c r="J198" s="799"/>
      <c r="K198" s="799"/>
      <c r="L198" s="799"/>
    </row>
    <row r="199" spans="4:26" x14ac:dyDescent="0.2">
      <c r="D199" s="885"/>
      <c r="E199" s="885"/>
      <c r="F199" s="885"/>
      <c r="G199" s="885"/>
      <c r="H199" s="885"/>
      <c r="I199" s="885"/>
    </row>
    <row r="200" spans="4:26" x14ac:dyDescent="0.2">
      <c r="D200" s="883"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200" s="883"/>
      <c r="F200" s="883"/>
      <c r="G200" s="883"/>
      <c r="H200" s="883"/>
      <c r="I200" s="883"/>
      <c r="J200" s="883"/>
      <c r="K200" s="883"/>
      <c r="L200" s="883"/>
      <c r="M200" s="883"/>
      <c r="N200" s="883"/>
      <c r="O200" s="883"/>
    </row>
    <row r="201" spans="4:26" ht="39.950000000000003" customHeight="1" x14ac:dyDescent="0.25">
      <c r="E201" s="138" t="str">
        <f>Import.Município</f>
        <v>BOA ESPERANÇA</v>
      </c>
      <c r="J201" s="585" t="str">
        <f ca="1">IF(DADOS!$D$50&lt;&gt;"","Preencher os Dados do Responsável pela Fiscalização, na aba DADOS.","")</f>
        <v/>
      </c>
      <c r="K201" s="585"/>
      <c r="L201" s="585"/>
      <c r="M201" s="585"/>
      <c r="W201" s="884"/>
      <c r="X201" s="884"/>
      <c r="Y201" s="884"/>
      <c r="Z201" s="884"/>
    </row>
    <row r="202" spans="4:26" x14ac:dyDescent="0.2">
      <c r="E202" s="9" t="s">
        <v>693</v>
      </c>
      <c r="J202" s="181" t="s">
        <v>841</v>
      </c>
      <c r="W202" s="181" t="s">
        <v>866</v>
      </c>
    </row>
    <row r="203" spans="4:26" x14ac:dyDescent="0.2">
      <c r="J203" s="77" t="s">
        <v>240</v>
      </c>
      <c r="K203" s="271">
        <f t="array" ref="K203:K206">Import.RespFiscalização</f>
        <v>0</v>
      </c>
      <c r="L203" s="78"/>
      <c r="W203" s="77" t="s">
        <v>240</v>
      </c>
      <c r="X203" s="882"/>
      <c r="Y203" s="882"/>
      <c r="Z203" s="882"/>
    </row>
    <row r="204" spans="4:26" x14ac:dyDescent="0.2">
      <c r="E204" s="459">
        <f>DADOS!$C$48</f>
        <v>0</v>
      </c>
      <c r="J204" s="77" t="s">
        <v>319</v>
      </c>
      <c r="K204" s="271">
        <v>0</v>
      </c>
      <c r="L204" s="78"/>
      <c r="W204" s="77" t="s">
        <v>867</v>
      </c>
      <c r="X204" s="882"/>
      <c r="Y204" s="882"/>
      <c r="Z204" s="882"/>
    </row>
    <row r="205" spans="4:26" x14ac:dyDescent="0.2">
      <c r="E205" s="140" t="s">
        <v>694</v>
      </c>
      <c r="J205" s="77" t="s">
        <v>243</v>
      </c>
      <c r="K205" s="271">
        <v>0</v>
      </c>
      <c r="L205" s="78"/>
      <c r="W205" s="77" t="s">
        <v>243</v>
      </c>
      <c r="X205" s="882"/>
      <c r="Y205" s="882"/>
      <c r="Z205" s="882"/>
    </row>
    <row r="206" spans="4:26" x14ac:dyDescent="0.2">
      <c r="J206" s="77" t="s">
        <v>246</v>
      </c>
      <c r="K206" s="12">
        <v>0</v>
      </c>
      <c r="W206" s="77"/>
      <c r="X206" s="12"/>
    </row>
  </sheetData>
  <sheetProtection algorithmName="SHA-512" hashValue="520w9uBY7RBQtvLprLNjpnPZe3HEwYyS3mGyQrOvDQNAFytfnSfJsRhsdh4BzkSds4+dsxTpvOO0bb15x0cRpQ==" saltValue="MB2uaaD92hwjWjYPD04OaQ==" spinCount="100000" sheet="1" objects="1" scenarios="1" autoFilter="0"/>
  <autoFilter ref="C15:C191" xr:uid="{00000000-0001-0000-0B00-000000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198:L198"/>
    <mergeCell ref="D199:I199"/>
    <mergeCell ref="AB15:AM15"/>
    <mergeCell ref="D193:O193"/>
    <mergeCell ref="T193:Z193"/>
    <mergeCell ref="D194:O196"/>
    <mergeCell ref="T194:Z196"/>
    <mergeCell ref="D15:E15"/>
    <mergeCell ref="X205:Z205"/>
    <mergeCell ref="D200:O200"/>
    <mergeCell ref="W201:Z201"/>
    <mergeCell ref="X203:Z203"/>
    <mergeCell ref="X204:Z204"/>
  </mergeCells>
  <phoneticPr fontId="38" type="noConversion"/>
  <conditionalFormatting sqref="D14:O14 T14:Z14 D189:O190 T189:Z190 D116:O153 T116:Z153 D170:O177 T170:Z177 T26:Z34 D26:O34 D36:O41 T36:Z41 D64:O71 T64:Z71">
    <cfRule type="expression" dxfId="197" priority="18947" stopIfTrue="1">
      <formula>OR(ACOMPANHAMENTO="PLE",TIPOORCAMENTO="Proposto",$L14&lt;0,AND($L14&gt;100,RegimeExecucao="Global"),$O14&gt;$I14,$O14&lt;0)</formula>
    </cfRule>
    <cfRule type="expression" dxfId="196" priority="18948" stopIfTrue="1">
      <formula>$A14=1</formula>
    </cfRule>
    <cfRule type="expression" dxfId="195" priority="18949" stopIfTrue="1">
      <formula>$A14&lt;&gt;"S"</formula>
    </cfRule>
  </conditionalFormatting>
  <conditionalFormatting sqref="Q14:R14 AB14:AM14 Q189:R190 AB189:AM190 Q116:R153 AB116:AM153 Q170:R177 AB170:AM177 AB26:AM34 Q26:R34 Q36:R41 AB36:AM41 Q64:R71 AB64:AM71">
    <cfRule type="expression" dxfId="194" priority="18950" stopIfTrue="1">
      <formula>$A14=1</formula>
    </cfRule>
    <cfRule type="expression" dxfId="193" priority="18951" stopIfTrue="1">
      <formula>$A14&lt;&gt;"S"</formula>
    </cfRule>
  </conditionalFormatting>
  <conditionalFormatting sqref="E2">
    <cfRule type="expression" dxfId="192" priority="18952" stopIfTrue="1">
      <formula>Import.RegimeExecução="(SELECIONAR)"</formula>
    </cfRule>
  </conditionalFormatting>
  <conditionalFormatting sqref="F13:H13">
    <cfRule type="expression" dxfId="191" priority="18953" stopIfTrue="1">
      <formula>RegimeExecucao="Global"</formula>
    </cfRule>
  </conditionalFormatting>
  <conditionalFormatting sqref="D15:O15">
    <cfRule type="expression" dxfId="190" priority="18954" stopIfTrue="1">
      <formula>OR(ACOMPANHAMENTO="PLE",TIPOORCAMENTO="Proposto")</formula>
    </cfRule>
  </conditionalFormatting>
  <conditionalFormatting sqref="AB13">
    <cfRule type="cellIs" dxfId="189" priority="18955" stopIfTrue="1" operator="notEqual">
      <formula>1</formula>
    </cfRule>
  </conditionalFormatting>
  <conditionalFormatting sqref="O11">
    <cfRule type="expression" dxfId="188" priority="13814">
      <formula>ROUND($P$11,4)&gt;ROUND($P$10,4)</formula>
    </cfRule>
  </conditionalFormatting>
  <conditionalFormatting sqref="D16:O21 T16:Z21 T23:Z25 D23:O25">
    <cfRule type="expression" dxfId="187" priority="336" stopIfTrue="1">
      <formula>OR(ACOMPANHAMENTO="PLE",TIPOORCAMENTO="Proposto",$L16&lt;0,AND($L16&gt;100,RegimeExecucao="Global"),$O16&gt;$I16,$O16&lt;0)</formula>
    </cfRule>
    <cfRule type="expression" dxfId="186" priority="337" stopIfTrue="1">
      <formula>$A16=1</formula>
    </cfRule>
    <cfRule type="expression" dxfId="185" priority="338" stopIfTrue="1">
      <formula>$A16&lt;&gt;"S"</formula>
    </cfRule>
  </conditionalFormatting>
  <conditionalFormatting sqref="Q16:R21 AB16:AM21 AB23:AM25 Q23:R25">
    <cfRule type="expression" dxfId="184" priority="339" stopIfTrue="1">
      <formula>$A16=1</formula>
    </cfRule>
    <cfRule type="expression" dxfId="183" priority="340" stopIfTrue="1">
      <formula>$A16&lt;&gt;"S"</formula>
    </cfRule>
  </conditionalFormatting>
  <conditionalFormatting sqref="D42:O45 T42:Z45 T51:Z52 D51:O52 D47:O49 T47:Z49">
    <cfRule type="expression" dxfId="182" priority="316" stopIfTrue="1">
      <formula>OR(ACOMPANHAMENTO="PLE",TIPOORCAMENTO="Proposto",$L42&lt;0,AND($L42&gt;100,RegimeExecucao="Global"),$O42&gt;$I42,$O42&lt;0)</formula>
    </cfRule>
    <cfRule type="expression" dxfId="181" priority="317" stopIfTrue="1">
      <formula>$A42=1</formula>
    </cfRule>
    <cfRule type="expression" dxfId="180" priority="318" stopIfTrue="1">
      <formula>$A42&lt;&gt;"S"</formula>
    </cfRule>
  </conditionalFormatting>
  <conditionalFormatting sqref="Q42:R45 AB42:AM45 AB51:AM52 Q51:R52 Q47:R49 AB47:AM49">
    <cfRule type="expression" dxfId="179" priority="319" stopIfTrue="1">
      <formula>$A42=1</formula>
    </cfRule>
    <cfRule type="expression" dxfId="178" priority="320" stopIfTrue="1">
      <formula>$A42&lt;&gt;"S"</formula>
    </cfRule>
  </conditionalFormatting>
  <conditionalFormatting sqref="D53:O57 T53:Z57 T59:Z61 D59:O61 D63:O63 T63:Z63">
    <cfRule type="expression" dxfId="177" priority="311" stopIfTrue="1">
      <formula>OR(ACOMPANHAMENTO="PLE",TIPOORCAMENTO="Proposto",$L53&lt;0,AND($L53&gt;100,RegimeExecucao="Global"),$O53&gt;$I53,$O53&lt;0)</formula>
    </cfRule>
    <cfRule type="expression" dxfId="176" priority="312" stopIfTrue="1">
      <formula>$A53=1</formula>
    </cfRule>
    <cfRule type="expression" dxfId="175" priority="313" stopIfTrue="1">
      <formula>$A53&lt;&gt;"S"</formula>
    </cfRule>
  </conditionalFormatting>
  <conditionalFormatting sqref="Q53:R57 AB53:AM57 AB59:AM61 Q59:R61 Q63:R63 AB63:AM63">
    <cfRule type="expression" dxfId="174" priority="314" stopIfTrue="1">
      <formula>$A53=1</formula>
    </cfRule>
    <cfRule type="expression" dxfId="173" priority="315" stopIfTrue="1">
      <formula>$A53&lt;&gt;"S"</formula>
    </cfRule>
  </conditionalFormatting>
  <conditionalFormatting sqref="D72:O73 T72:Z73 T76:Z79 D76:O79 D83:O84 T83:Z84 T86:Z86 D86:O86">
    <cfRule type="expression" dxfId="172" priority="301" stopIfTrue="1">
      <formula>OR(ACOMPANHAMENTO="PLE",TIPOORCAMENTO="Proposto",$L72&lt;0,AND($L72&gt;100,RegimeExecucao="Global"),$O72&gt;$I72,$O72&lt;0)</formula>
    </cfRule>
    <cfRule type="expression" dxfId="171" priority="302" stopIfTrue="1">
      <formula>$A72=1</formula>
    </cfRule>
    <cfRule type="expression" dxfId="170" priority="303" stopIfTrue="1">
      <formula>$A72&lt;&gt;"S"</formula>
    </cfRule>
  </conditionalFormatting>
  <conditionalFormatting sqref="Q72:R73 AB72:AM73 AB76:AM79 Q76:R79 Q83:R84 AB83:AM84 AB86:AM86 Q86:R86">
    <cfRule type="expression" dxfId="169" priority="304" stopIfTrue="1">
      <formula>$A72=1</formula>
    </cfRule>
    <cfRule type="expression" dxfId="168" priority="305" stopIfTrue="1">
      <formula>$A72&lt;&gt;"S"</formula>
    </cfRule>
  </conditionalFormatting>
  <conditionalFormatting sqref="T87:Z95 D87:O95">
    <cfRule type="expression" dxfId="167" priority="296" stopIfTrue="1">
      <formula>OR(ACOMPANHAMENTO="PLE",TIPOORCAMENTO="Proposto",$L87&lt;0,AND($L87&gt;100,RegimeExecucao="Global"),$O87&gt;$I87,$O87&lt;0)</formula>
    </cfRule>
    <cfRule type="expression" dxfId="166" priority="297" stopIfTrue="1">
      <formula>$A87=1</formula>
    </cfRule>
    <cfRule type="expression" dxfId="165" priority="298" stopIfTrue="1">
      <formula>$A87&lt;&gt;"S"</formula>
    </cfRule>
  </conditionalFormatting>
  <conditionalFormatting sqref="AB87:AM95 Q87:R95">
    <cfRule type="expression" dxfId="164" priority="299" stopIfTrue="1">
      <formula>$A87=1</formula>
    </cfRule>
    <cfRule type="expression" dxfId="163" priority="300" stopIfTrue="1">
      <formula>$A87&lt;&gt;"S"</formula>
    </cfRule>
  </conditionalFormatting>
  <conditionalFormatting sqref="D96:O103 T96:Z103 T105:Z105 D105:O105">
    <cfRule type="expression" dxfId="162" priority="291" stopIfTrue="1">
      <formula>OR(ACOMPANHAMENTO="PLE",TIPOORCAMENTO="Proposto",$L96&lt;0,AND($L96&gt;100,RegimeExecucao="Global"),$O96&gt;$I96,$O96&lt;0)</formula>
    </cfRule>
    <cfRule type="expression" dxfId="161" priority="292" stopIfTrue="1">
      <formula>$A96=1</formula>
    </cfRule>
    <cfRule type="expression" dxfId="160" priority="293" stopIfTrue="1">
      <formula>$A96&lt;&gt;"S"</formula>
    </cfRule>
  </conditionalFormatting>
  <conditionalFormatting sqref="Q96:R103 AB96:AM103 AB105:AM105 Q105:R105">
    <cfRule type="expression" dxfId="159" priority="294" stopIfTrue="1">
      <formula>$A96=1</formula>
    </cfRule>
    <cfRule type="expression" dxfId="158" priority="295" stopIfTrue="1">
      <formula>$A96&lt;&gt;"S"</formula>
    </cfRule>
  </conditionalFormatting>
  <conditionalFormatting sqref="D106:O107 T106:Z107 T109:Z115 D109:O115">
    <cfRule type="expression" dxfId="157" priority="286" stopIfTrue="1">
      <formula>OR(ACOMPANHAMENTO="PLE",TIPOORCAMENTO="Proposto",$L106&lt;0,AND($L106&gt;100,RegimeExecucao="Global"),$O106&gt;$I106,$O106&lt;0)</formula>
    </cfRule>
    <cfRule type="expression" dxfId="156" priority="287" stopIfTrue="1">
      <formula>$A106=1</formula>
    </cfRule>
    <cfRule type="expression" dxfId="155" priority="288" stopIfTrue="1">
      <formula>$A106&lt;&gt;"S"</formula>
    </cfRule>
  </conditionalFormatting>
  <conditionalFormatting sqref="Q106:R107 AB106:AM107 AB109:AM115 Q109:R115">
    <cfRule type="expression" dxfId="154" priority="289" stopIfTrue="1">
      <formula>$A106=1</formula>
    </cfRule>
    <cfRule type="expression" dxfId="153" priority="290" stopIfTrue="1">
      <formula>$A106&lt;&gt;"S"</formula>
    </cfRule>
  </conditionalFormatting>
  <conditionalFormatting sqref="D154:O162 T154:Z162">
    <cfRule type="expression" dxfId="152" priority="256" stopIfTrue="1">
      <formula>OR(ACOMPANHAMENTO="PLE",TIPOORCAMENTO="Proposto",$L154&lt;0,AND($L154&gt;100,RegimeExecucao="Global"),$O154&gt;$I154,$O154&lt;0)</formula>
    </cfRule>
    <cfRule type="expression" dxfId="151" priority="257" stopIfTrue="1">
      <formula>$A154=1</formula>
    </cfRule>
    <cfRule type="expression" dxfId="150" priority="258" stopIfTrue="1">
      <formula>$A154&lt;&gt;"S"</formula>
    </cfRule>
  </conditionalFormatting>
  <conditionalFormatting sqref="Q154:R162 AB154:AM162">
    <cfRule type="expression" dxfId="149" priority="259" stopIfTrue="1">
      <formula>$A154=1</formula>
    </cfRule>
    <cfRule type="expression" dxfId="148" priority="260" stopIfTrue="1">
      <formula>$A154&lt;&gt;"S"</formula>
    </cfRule>
  </conditionalFormatting>
  <conditionalFormatting sqref="T163:Z164 D163:O164 D166:O168 T166:Z168">
    <cfRule type="expression" dxfId="147" priority="251" stopIfTrue="1">
      <formula>OR(ACOMPANHAMENTO="PLE",TIPOORCAMENTO="Proposto",$L163&lt;0,AND($L163&gt;100,RegimeExecucao="Global"),$O163&gt;$I163,$O163&lt;0)</formula>
    </cfRule>
    <cfRule type="expression" dxfId="146" priority="252" stopIfTrue="1">
      <formula>$A163=1</formula>
    </cfRule>
    <cfRule type="expression" dxfId="145" priority="253" stopIfTrue="1">
      <formula>$A163&lt;&gt;"S"</formula>
    </cfRule>
  </conditionalFormatting>
  <conditionalFormatting sqref="AB163:AM164 Q163:R164 Q166:R168 AB166:AM168">
    <cfRule type="expression" dxfId="144" priority="254" stopIfTrue="1">
      <formula>$A163=1</formula>
    </cfRule>
    <cfRule type="expression" dxfId="143" priority="255" stopIfTrue="1">
      <formula>$A163&lt;&gt;"S"</formula>
    </cfRule>
  </conditionalFormatting>
  <conditionalFormatting sqref="D178:O182 T178:Z182 T184:Z184 D184:O184 D186:O188 T186:Z188">
    <cfRule type="expression" dxfId="142" priority="241" stopIfTrue="1">
      <formula>OR(ACOMPANHAMENTO="PLE",TIPOORCAMENTO="Proposto",$L178&lt;0,AND($L178&gt;100,RegimeExecucao="Global"),$O178&gt;$I178,$O178&lt;0)</formula>
    </cfRule>
    <cfRule type="expression" dxfId="141" priority="242" stopIfTrue="1">
      <formula>$A178=1</formula>
    </cfRule>
    <cfRule type="expression" dxfId="140" priority="243" stopIfTrue="1">
      <formula>$A178&lt;&gt;"S"</formula>
    </cfRule>
  </conditionalFormatting>
  <conditionalFormatting sqref="Q178:R182 AB178:AM182 AB184:AM184 Q184:R184 Q186:R188 AB186:AM188">
    <cfRule type="expression" dxfId="139" priority="244" stopIfTrue="1">
      <formula>$A178=1</formula>
    </cfRule>
    <cfRule type="expression" dxfId="138" priority="245" stopIfTrue="1">
      <formula>$A178&lt;&gt;"S"</formula>
    </cfRule>
  </conditionalFormatting>
  <conditionalFormatting sqref="D75:O75 T75:Z75">
    <cfRule type="expression" dxfId="137" priority="131" stopIfTrue="1">
      <formula>OR(ACOMPANHAMENTO="PLE",TIPOORCAMENTO="Proposto",$L75&lt;0,AND($L75&gt;100,RegimeExecucao="Global"),$O75&gt;$I75,$O75&lt;0)</formula>
    </cfRule>
    <cfRule type="expression" dxfId="136" priority="132" stopIfTrue="1">
      <formula>$A75=1</formula>
    </cfRule>
    <cfRule type="expression" dxfId="135" priority="133" stopIfTrue="1">
      <formula>$A75&lt;&gt;"S"</formula>
    </cfRule>
  </conditionalFormatting>
  <conditionalFormatting sqref="Q75:R75 AB75:AM75">
    <cfRule type="expression" dxfId="134" priority="134" stopIfTrue="1">
      <formula>$A75=1</formula>
    </cfRule>
    <cfRule type="expression" dxfId="133" priority="135" stopIfTrue="1">
      <formula>$A75&lt;&gt;"S"</formula>
    </cfRule>
  </conditionalFormatting>
  <conditionalFormatting sqref="D80:O80 T80:Z80">
    <cfRule type="expression" dxfId="132" priority="126" stopIfTrue="1">
      <formula>OR(ACOMPANHAMENTO="PLE",TIPOORCAMENTO="Proposto",$L80&lt;0,AND($L80&gt;100,RegimeExecucao="Global"),$O80&gt;$I80,$O80&lt;0)</formula>
    </cfRule>
    <cfRule type="expression" dxfId="131" priority="127" stopIfTrue="1">
      <formula>$A80=1</formula>
    </cfRule>
    <cfRule type="expression" dxfId="130" priority="128" stopIfTrue="1">
      <formula>$A80&lt;&gt;"S"</formula>
    </cfRule>
  </conditionalFormatting>
  <conditionalFormatting sqref="Q80:R80 AB80:AM80">
    <cfRule type="expression" dxfId="129" priority="129" stopIfTrue="1">
      <formula>$A80=1</formula>
    </cfRule>
    <cfRule type="expression" dxfId="128" priority="130" stopIfTrue="1">
      <formula>$A80&lt;&gt;"S"</formula>
    </cfRule>
  </conditionalFormatting>
  <conditionalFormatting sqref="D82:O82 T82:Z82">
    <cfRule type="expression" dxfId="127" priority="121" stopIfTrue="1">
      <formula>OR(ACOMPANHAMENTO="PLE",TIPOORCAMENTO="Proposto",$L82&lt;0,AND($L82&gt;100,RegimeExecucao="Global"),$O82&gt;$I82,$O82&lt;0)</formula>
    </cfRule>
    <cfRule type="expression" dxfId="126" priority="122" stopIfTrue="1">
      <formula>$A82=1</formula>
    </cfRule>
    <cfRule type="expression" dxfId="125" priority="123" stopIfTrue="1">
      <formula>$A82&lt;&gt;"S"</formula>
    </cfRule>
  </conditionalFormatting>
  <conditionalFormatting sqref="Q82:R82 AB82:AM82">
    <cfRule type="expression" dxfId="124" priority="124" stopIfTrue="1">
      <formula>$A82=1</formula>
    </cfRule>
    <cfRule type="expression" dxfId="123" priority="125" stopIfTrue="1">
      <formula>$A82&lt;&gt;"S"</formula>
    </cfRule>
  </conditionalFormatting>
  <conditionalFormatting sqref="D81:O81 T81:Z81">
    <cfRule type="expression" dxfId="122" priority="116" stopIfTrue="1">
      <formula>OR(ACOMPANHAMENTO="PLE",TIPOORCAMENTO="Proposto",$L81&lt;0,AND($L81&gt;100,RegimeExecucao="Global"),$O81&gt;$I81,$O81&lt;0)</formula>
    </cfRule>
    <cfRule type="expression" dxfId="121" priority="117" stopIfTrue="1">
      <formula>$A81=1</formula>
    </cfRule>
    <cfRule type="expression" dxfId="120" priority="118" stopIfTrue="1">
      <formula>$A81&lt;&gt;"S"</formula>
    </cfRule>
  </conditionalFormatting>
  <conditionalFormatting sqref="Q81:R81 AB81:AM81">
    <cfRule type="expression" dxfId="119" priority="119" stopIfTrue="1">
      <formula>$A81=1</formula>
    </cfRule>
    <cfRule type="expression" dxfId="118" priority="120" stopIfTrue="1">
      <formula>$A81&lt;&gt;"S"</formula>
    </cfRule>
  </conditionalFormatting>
  <conditionalFormatting sqref="D169:O169 T169:Z169">
    <cfRule type="expression" dxfId="117" priority="86" stopIfTrue="1">
      <formula>OR(ACOMPANHAMENTO="PLE",TIPOORCAMENTO="Proposto",$L169&lt;0,AND($L169&gt;100,RegimeExecucao="Global"),$O169&gt;$I169,$O169&lt;0)</formula>
    </cfRule>
    <cfRule type="expression" dxfId="116" priority="87" stopIfTrue="1">
      <formula>$A169=1</formula>
    </cfRule>
    <cfRule type="expression" dxfId="115" priority="88" stopIfTrue="1">
      <formula>$A169&lt;&gt;"S"</formula>
    </cfRule>
  </conditionalFormatting>
  <conditionalFormatting sqref="Q169:R169 AB169:AM169">
    <cfRule type="expression" dxfId="114" priority="89" stopIfTrue="1">
      <formula>$A169=1</formula>
    </cfRule>
    <cfRule type="expression" dxfId="113" priority="90" stopIfTrue="1">
      <formula>$A169&lt;&gt;"S"</formula>
    </cfRule>
  </conditionalFormatting>
  <conditionalFormatting sqref="D35:O35 T35:Z35">
    <cfRule type="expression" dxfId="112" priority="76" stopIfTrue="1">
      <formula>OR(ACOMPANHAMENTO="PLE",TIPOORCAMENTO="Proposto",$L35&lt;0,AND($L35&gt;100,RegimeExecucao="Global"),$O35&gt;$I35,$O35&lt;0)</formula>
    </cfRule>
    <cfRule type="expression" dxfId="111" priority="77" stopIfTrue="1">
      <formula>$A35=1</formula>
    </cfRule>
    <cfRule type="expression" dxfId="110" priority="78" stopIfTrue="1">
      <formula>$A35&lt;&gt;"S"</formula>
    </cfRule>
  </conditionalFormatting>
  <conditionalFormatting sqref="Q35:R35 AB35:AM35">
    <cfRule type="expression" dxfId="109" priority="79" stopIfTrue="1">
      <formula>$A35=1</formula>
    </cfRule>
    <cfRule type="expression" dxfId="108" priority="80" stopIfTrue="1">
      <formula>$A35&lt;&gt;"S"</formula>
    </cfRule>
  </conditionalFormatting>
  <conditionalFormatting sqref="D50:O50 T50:Z50">
    <cfRule type="expression" dxfId="107" priority="66" stopIfTrue="1">
      <formula>OR(ACOMPANHAMENTO="PLE",TIPOORCAMENTO="Proposto",$L50&lt;0,AND($L50&gt;100,RegimeExecucao="Global"),$O50&gt;$I50,$O50&lt;0)</formula>
    </cfRule>
    <cfRule type="expression" dxfId="106" priority="67" stopIfTrue="1">
      <formula>$A50=1</formula>
    </cfRule>
    <cfRule type="expression" dxfId="105" priority="68" stopIfTrue="1">
      <formula>$A50&lt;&gt;"S"</formula>
    </cfRule>
  </conditionalFormatting>
  <conditionalFormatting sqref="Q50:R50 AB50:AM50">
    <cfRule type="expression" dxfId="104" priority="69" stopIfTrue="1">
      <formula>$A50=1</formula>
    </cfRule>
    <cfRule type="expression" dxfId="103" priority="70" stopIfTrue="1">
      <formula>$A50&lt;&gt;"S"</formula>
    </cfRule>
  </conditionalFormatting>
  <conditionalFormatting sqref="D165:O165 T165:Z165">
    <cfRule type="expression" dxfId="102" priority="61" stopIfTrue="1">
      <formula>OR(ACOMPANHAMENTO="PLE",TIPOORCAMENTO="Proposto",$L165&lt;0,AND($L165&gt;100,RegimeExecucao="Global"),$O165&gt;$I165,$O165&lt;0)</formula>
    </cfRule>
    <cfRule type="expression" dxfId="101" priority="62" stopIfTrue="1">
      <formula>$A165=1</formula>
    </cfRule>
    <cfRule type="expression" dxfId="100" priority="63" stopIfTrue="1">
      <formula>$A165&lt;&gt;"S"</formula>
    </cfRule>
  </conditionalFormatting>
  <conditionalFormatting sqref="Q165:R165 AB165:AM165">
    <cfRule type="expression" dxfId="99" priority="64" stopIfTrue="1">
      <formula>$A165=1</formula>
    </cfRule>
    <cfRule type="expression" dxfId="98" priority="65" stopIfTrue="1">
      <formula>$A165&lt;&gt;"S"</formula>
    </cfRule>
  </conditionalFormatting>
  <conditionalFormatting sqref="D58:O58 T58:Z58">
    <cfRule type="expression" dxfId="97" priority="56" stopIfTrue="1">
      <formula>OR(ACOMPANHAMENTO="PLE",TIPOORCAMENTO="Proposto",$L58&lt;0,AND($L58&gt;100,RegimeExecucao="Global"),$O58&gt;$I58,$O58&lt;0)</formula>
    </cfRule>
    <cfRule type="expression" dxfId="96" priority="57" stopIfTrue="1">
      <formula>$A58=1</formula>
    </cfRule>
    <cfRule type="expression" dxfId="95" priority="58" stopIfTrue="1">
      <formula>$A58&lt;&gt;"S"</formula>
    </cfRule>
  </conditionalFormatting>
  <conditionalFormatting sqref="Q58:R58 AB58:AM58">
    <cfRule type="expression" dxfId="94" priority="59" stopIfTrue="1">
      <formula>$A58=1</formula>
    </cfRule>
    <cfRule type="expression" dxfId="93" priority="60" stopIfTrue="1">
      <formula>$A58&lt;&gt;"S"</formula>
    </cfRule>
  </conditionalFormatting>
  <conditionalFormatting sqref="D85:O85 T85:Z85">
    <cfRule type="expression" dxfId="92" priority="51" stopIfTrue="1">
      <formula>OR(ACOMPANHAMENTO="PLE",TIPOORCAMENTO="Proposto",$L85&lt;0,AND($L85&gt;100,RegimeExecucao="Global"),$O85&gt;$I85,$O85&lt;0)</formula>
    </cfRule>
    <cfRule type="expression" dxfId="91" priority="52" stopIfTrue="1">
      <formula>$A85=1</formula>
    </cfRule>
    <cfRule type="expression" dxfId="90" priority="53" stopIfTrue="1">
      <formula>$A85&lt;&gt;"S"</formula>
    </cfRule>
  </conditionalFormatting>
  <conditionalFormatting sqref="Q85:R85 AB85:AM85">
    <cfRule type="expression" dxfId="89" priority="54" stopIfTrue="1">
      <formula>$A85=1</formula>
    </cfRule>
    <cfRule type="expression" dxfId="88" priority="55" stopIfTrue="1">
      <formula>$A85&lt;&gt;"S"</formula>
    </cfRule>
  </conditionalFormatting>
  <conditionalFormatting sqref="D108:O108 T108:Z108">
    <cfRule type="expression" dxfId="87" priority="46" stopIfTrue="1">
      <formula>OR(ACOMPANHAMENTO="PLE",TIPOORCAMENTO="Proposto",$L108&lt;0,AND($L108&gt;100,RegimeExecucao="Global"),$O108&gt;$I108,$O108&lt;0)</formula>
    </cfRule>
    <cfRule type="expression" dxfId="86" priority="47" stopIfTrue="1">
      <formula>$A108=1</formula>
    </cfRule>
    <cfRule type="expression" dxfId="85" priority="48" stopIfTrue="1">
      <formula>$A108&lt;&gt;"S"</formula>
    </cfRule>
  </conditionalFormatting>
  <conditionalFormatting sqref="Q108:R108 AB108:AM108">
    <cfRule type="expression" dxfId="84" priority="49" stopIfTrue="1">
      <formula>$A108=1</formula>
    </cfRule>
    <cfRule type="expression" dxfId="83" priority="50" stopIfTrue="1">
      <formula>$A108&lt;&gt;"S"</formula>
    </cfRule>
  </conditionalFormatting>
  <conditionalFormatting sqref="D104:O104 T104:Z104">
    <cfRule type="expression" dxfId="82" priority="41" stopIfTrue="1">
      <formula>OR(ACOMPANHAMENTO="PLE",TIPOORCAMENTO="Proposto",$L104&lt;0,AND($L104&gt;100,RegimeExecucao="Global"),$O104&gt;$I104,$O104&lt;0)</formula>
    </cfRule>
    <cfRule type="expression" dxfId="81" priority="42" stopIfTrue="1">
      <formula>$A104=1</formula>
    </cfRule>
    <cfRule type="expression" dxfId="80" priority="43" stopIfTrue="1">
      <formula>$A104&lt;&gt;"S"</formula>
    </cfRule>
  </conditionalFormatting>
  <conditionalFormatting sqref="Q104:R104 AB104:AM104">
    <cfRule type="expression" dxfId="79" priority="44" stopIfTrue="1">
      <formula>$A104=1</formula>
    </cfRule>
    <cfRule type="expression" dxfId="78" priority="45" stopIfTrue="1">
      <formula>$A104&lt;&gt;"S"</formula>
    </cfRule>
  </conditionalFormatting>
  <conditionalFormatting sqref="D62:O62 T62:Z62">
    <cfRule type="expression" dxfId="77" priority="36" stopIfTrue="1">
      <formula>OR(ACOMPANHAMENTO="PLE",TIPOORCAMENTO="Proposto",$L62&lt;0,AND($L62&gt;100,RegimeExecucao="Global"),$O62&gt;$I62,$O62&lt;0)</formula>
    </cfRule>
    <cfRule type="expression" dxfId="76" priority="37" stopIfTrue="1">
      <formula>$A62=1</formula>
    </cfRule>
    <cfRule type="expression" dxfId="75" priority="38" stopIfTrue="1">
      <formula>$A62&lt;&gt;"S"</formula>
    </cfRule>
  </conditionalFormatting>
  <conditionalFormatting sqref="Q62:R62 AB62:AM62">
    <cfRule type="expression" dxfId="74" priority="39" stopIfTrue="1">
      <formula>$A62=1</formula>
    </cfRule>
    <cfRule type="expression" dxfId="73" priority="40" stopIfTrue="1">
      <formula>$A62&lt;&gt;"S"</formula>
    </cfRule>
  </conditionalFormatting>
  <conditionalFormatting sqref="D46:O46 T46:Z46">
    <cfRule type="expression" dxfId="72" priority="26" stopIfTrue="1">
      <formula>OR(ACOMPANHAMENTO="PLE",TIPOORCAMENTO="Proposto",$L46&lt;0,AND($L46&gt;100,RegimeExecucao="Global"),$O46&gt;$I46,$O46&lt;0)</formula>
    </cfRule>
    <cfRule type="expression" dxfId="71" priority="27" stopIfTrue="1">
      <formula>$A46=1</formula>
    </cfRule>
    <cfRule type="expression" dxfId="70" priority="28" stopIfTrue="1">
      <formula>$A46&lt;&gt;"S"</formula>
    </cfRule>
  </conditionalFormatting>
  <conditionalFormatting sqref="Q46:R46 AB46:AM46">
    <cfRule type="expression" dxfId="69" priority="29" stopIfTrue="1">
      <formula>$A46=1</formula>
    </cfRule>
    <cfRule type="expression" dxfId="68" priority="30" stopIfTrue="1">
      <formula>$A46&lt;&gt;"S"</formula>
    </cfRule>
  </conditionalFormatting>
  <conditionalFormatting sqref="D74:O74 T74:Z74">
    <cfRule type="expression" dxfId="67" priority="16" stopIfTrue="1">
      <formula>OR(ACOMPANHAMENTO="PLE",TIPOORCAMENTO="Proposto",$L74&lt;0,AND($L74&gt;100,RegimeExecucao="Global"),$O74&gt;$I74,$O74&lt;0)</formula>
    </cfRule>
    <cfRule type="expression" dxfId="66" priority="17" stopIfTrue="1">
      <formula>$A74=1</formula>
    </cfRule>
    <cfRule type="expression" dxfId="65" priority="18" stopIfTrue="1">
      <formula>$A74&lt;&gt;"S"</formula>
    </cfRule>
  </conditionalFormatting>
  <conditionalFormatting sqref="Q74:R74 AB74:AM74">
    <cfRule type="expression" dxfId="64" priority="19" stopIfTrue="1">
      <formula>$A74=1</formula>
    </cfRule>
    <cfRule type="expression" dxfId="63" priority="20" stopIfTrue="1">
      <formula>$A74&lt;&gt;"S"</formula>
    </cfRule>
  </conditionalFormatting>
  <conditionalFormatting sqref="D183:O183 T183:Z183">
    <cfRule type="expression" dxfId="62" priority="11" stopIfTrue="1">
      <formula>OR(ACOMPANHAMENTO="PLE",TIPOORCAMENTO="Proposto",$L183&lt;0,AND($L183&gt;100,RegimeExecucao="Global"),$O183&gt;$I183,$O183&lt;0)</formula>
    </cfRule>
    <cfRule type="expression" dxfId="61" priority="12" stopIfTrue="1">
      <formula>$A183=1</formula>
    </cfRule>
    <cfRule type="expression" dxfId="60" priority="13" stopIfTrue="1">
      <formula>$A183&lt;&gt;"S"</formula>
    </cfRule>
  </conditionalFormatting>
  <conditionalFormatting sqref="Q183:R183 AB183:AM183">
    <cfRule type="expression" dxfId="59" priority="14" stopIfTrue="1">
      <formula>$A183=1</formula>
    </cfRule>
    <cfRule type="expression" dxfId="58" priority="15" stopIfTrue="1">
      <formula>$A183&lt;&gt;"S"</formula>
    </cfRule>
  </conditionalFormatting>
  <conditionalFormatting sqref="D185:O185 T185:Z185">
    <cfRule type="expression" dxfId="57" priority="6" stopIfTrue="1">
      <formula>OR(ACOMPANHAMENTO="PLE",TIPOORCAMENTO="Proposto",$L185&lt;0,AND($L185&gt;100,RegimeExecucao="Global"),$O185&gt;$I185,$O185&lt;0)</formula>
    </cfRule>
    <cfRule type="expression" dxfId="56" priority="7" stopIfTrue="1">
      <formula>$A185=1</formula>
    </cfRule>
    <cfRule type="expression" dxfId="55" priority="8" stopIfTrue="1">
      <formula>$A185&lt;&gt;"S"</formula>
    </cfRule>
  </conditionalFormatting>
  <conditionalFormatting sqref="Q185:R185 AB185:AM185">
    <cfRule type="expression" dxfId="54" priority="9" stopIfTrue="1">
      <formula>$A185=1</formula>
    </cfRule>
    <cfRule type="expression" dxfId="53" priority="10" stopIfTrue="1">
      <formula>$A185&lt;&gt;"S"</formula>
    </cfRule>
  </conditionalFormatting>
  <conditionalFormatting sqref="D22:O22 T22:Z22">
    <cfRule type="expression" dxfId="52" priority="1" stopIfTrue="1">
      <formula>OR(ACOMPANHAMENTO="PLE",TIPOORCAMENTO="Proposto",$L22&lt;0,AND($L22&gt;100,RegimeExecucao="Global"),$O22&gt;$I22,$O22&lt;0)</formula>
    </cfRule>
    <cfRule type="expression" dxfId="51" priority="2" stopIfTrue="1">
      <formula>$A22=1</formula>
    </cfRule>
    <cfRule type="expression" dxfId="50" priority="3" stopIfTrue="1">
      <formula>$A22&lt;&gt;"S"</formula>
    </cfRule>
  </conditionalFormatting>
  <conditionalFormatting sqref="Q22:R22 AB22:AM22">
    <cfRule type="expression" dxfId="49" priority="4" stopIfTrue="1">
      <formula>$A22=1</formula>
    </cfRule>
    <cfRule type="expression" dxfId="48" priority="5" stopIfTrue="1">
      <formula>$A22&lt;&gt;"S"</formula>
    </cfRule>
  </conditionalFormatting>
  <dataValidations count="4">
    <dataValidation type="list" allowBlank="1" showErrorMessage="1" sqref="Z14 Z16:Z190"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190"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190"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Repasse</v>
      </c>
      <c r="AD2" s="349">
        <f ca="1">AD6-AD4-AD3</f>
        <v>0</v>
      </c>
      <c r="AE2" s="349">
        <f ca="1">AE6-AE4-AE3</f>
        <v>0</v>
      </c>
    </row>
    <row r="3" spans="1:41" x14ac:dyDescent="0.2">
      <c r="E3" s="788" t="s">
        <v>652</v>
      </c>
      <c r="F3" s="788"/>
      <c r="G3" s="788"/>
      <c r="H3" s="788"/>
      <c r="I3" s="777" t="s">
        <v>650</v>
      </c>
      <c r="J3" s="777"/>
      <c r="K3" s="777"/>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93" t="str">
        <f>Import.Proponente</f>
        <v>MUNICIPIO DE BOA ESPERANCA</v>
      </c>
      <c r="F4" s="793"/>
      <c r="G4" s="793"/>
      <c r="H4" s="793"/>
      <c r="I4" s="780" t="str">
        <f>Import.CR</f>
        <v>56000000966/2023</v>
      </c>
      <c r="J4" s="780"/>
      <c r="K4" s="780"/>
      <c r="L4" s="56" t="str">
        <f>Import.TransfereGOV</f>
        <v>27488/2025</v>
      </c>
      <c r="M4" s="894" t="s">
        <v>809</v>
      </c>
      <c r="N4" s="895"/>
      <c r="O4" s="896"/>
      <c r="P4" s="351" t="str">
        <f>import.recurso</f>
        <v>OGU</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777" t="s">
        <v>708</v>
      </c>
      <c r="F6" s="777"/>
      <c r="G6" s="777"/>
      <c r="H6" s="777"/>
      <c r="I6" s="921" t="s">
        <v>808</v>
      </c>
      <c r="J6" s="921"/>
      <c r="K6" s="921"/>
      <c r="L6" s="921"/>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770" t="s">
        <v>655</v>
      </c>
      <c r="E7" s="780" t="str">
        <f>Import.Apelido</f>
        <v>AMPLIAÇÃO NO SISTEMA DE ÁGUA- BAIRRO NOVA ESPERANÇA</v>
      </c>
      <c r="F7" s="780"/>
      <c r="G7" s="780"/>
      <c r="H7" s="780"/>
      <c r="I7" s="918" t="str">
        <f>Import.Município</f>
        <v>BOA ESPERANÇA</v>
      </c>
      <c r="J7" s="918"/>
      <c r="K7" s="918"/>
      <c r="L7" s="918"/>
      <c r="M7" s="353">
        <f>Import.Repasse</f>
        <v>4998328.42</v>
      </c>
      <c r="N7" s="354">
        <f>Import.Contrapartida</f>
        <v>0</v>
      </c>
      <c r="O7" s="353">
        <f>M7+N7</f>
        <v>4998328.42</v>
      </c>
      <c r="P7" s="423">
        <f>IF(ACOMPANHAMENTO="PLE",PLE.Medicao,BM.medicao)</f>
        <v>1</v>
      </c>
      <c r="R7" s="146"/>
      <c r="S7" s="146"/>
      <c r="T7" s="146"/>
      <c r="U7" s="146"/>
    </row>
    <row r="8" spans="1:41" x14ac:dyDescent="0.2">
      <c r="D8" s="770"/>
      <c r="E8" s="92"/>
      <c r="F8" s="92"/>
      <c r="G8" s="92"/>
      <c r="H8" s="92"/>
      <c r="I8" s="92"/>
      <c r="J8" s="92"/>
      <c r="K8" s="92"/>
      <c r="L8" s="92"/>
      <c r="M8" s="92"/>
      <c r="N8" s="92"/>
      <c r="O8" s="92"/>
      <c r="P8" s="92"/>
      <c r="R8" s="146"/>
      <c r="S8" s="146"/>
      <c r="T8" s="146"/>
      <c r="U8" s="146"/>
    </row>
    <row r="9" spans="1:41" ht="12.75" customHeight="1" x14ac:dyDescent="0.2">
      <c r="D9" s="770"/>
      <c r="G9" s="919" t="s">
        <v>874</v>
      </c>
      <c r="H9" s="919"/>
      <c r="I9" s="919" t="s">
        <v>875</v>
      </c>
      <c r="J9" s="919"/>
      <c r="K9" s="355"/>
      <c r="L9" s="920" t="s">
        <v>815</v>
      </c>
      <c r="M9" s="356" t="s">
        <v>818</v>
      </c>
      <c r="N9" s="278" t="s">
        <v>741</v>
      </c>
      <c r="P9" s="357"/>
      <c r="R9" s="146"/>
      <c r="S9" s="146"/>
      <c r="T9" s="146"/>
      <c r="U9" s="146"/>
      <c r="V9" s="7" t="s">
        <v>876</v>
      </c>
    </row>
    <row r="10" spans="1:41" ht="12.75" customHeight="1" x14ac:dyDescent="0.2">
      <c r="D10" s="770"/>
      <c r="G10" s="782" t="str">
        <f ca="1">IF(J10="-","-",IF($P$24&lt;J10,"Atrasada",IF($P$24&gt;J10,"Adiantada","Normal")))</f>
        <v>Normal</v>
      </c>
      <c r="H10" s="782"/>
      <c r="I10" s="358">
        <f>DATE(YEAR($L$35),MONTH($L$35),1)</f>
        <v>1</v>
      </c>
      <c r="J10" s="359">
        <f ca="1">IF($I$10&lt;DATE(YEAR(CRONO!$U$13),MONTH(CRONO!$U$13),1),0,IF($I$10&gt;OFFSET(CRONO!$AG$13,0,-1),1,INDEX(CRONO!$T$98:$AH$98,MATCH(RRE!$I$10,CRONO!$T$13:$AG$13,0))))</f>
        <v>0</v>
      </c>
      <c r="K10" s="355"/>
      <c r="L10" s="920"/>
      <c r="M10" s="360">
        <f ca="1">QCI!L10</f>
        <v>13243.589999999851</v>
      </c>
      <c r="N10" s="280">
        <f ca="1">QCI!M10</f>
        <v>0</v>
      </c>
      <c r="P10" s="357"/>
      <c r="R10" s="146"/>
      <c r="S10" s="146"/>
      <c r="T10" s="146"/>
      <c r="U10" s="146"/>
      <c r="AC10" s="915" t="s">
        <v>76</v>
      </c>
      <c r="AD10" s="915"/>
      <c r="AE10" s="915"/>
      <c r="AF10" s="915"/>
      <c r="AG10" s="915"/>
      <c r="AH10" s="915"/>
      <c r="AJ10" s="915" t="s">
        <v>78</v>
      </c>
      <c r="AK10" s="915"/>
      <c r="AL10" s="915"/>
      <c r="AM10" s="915"/>
      <c r="AN10" s="915"/>
      <c r="AO10" s="915"/>
    </row>
    <row r="11" spans="1:41" ht="20.100000000000001" customHeight="1" x14ac:dyDescent="0.2">
      <c r="D11" s="770"/>
      <c r="M11" s="451" t="str">
        <f>IF(CAIXA.Modo,"Valores Aferidos (R$)","Valores Medidos (R$)")</f>
        <v>Valores Medidos (R$)</v>
      </c>
      <c r="N11" s="451"/>
      <c r="O11" s="451"/>
      <c r="R11" s="361"/>
      <c r="S11" s="361"/>
      <c r="T11" s="451"/>
      <c r="U11" s="451"/>
      <c r="V11" s="448" t="s">
        <v>877</v>
      </c>
      <c r="Y11" s="916" t="str">
        <f>IF(CAIXA.Modo,"Valores Aferidos (R$)","Valores Medidos (R$)")</f>
        <v>Valores Medidos (R$)</v>
      </c>
      <c r="Z11" s="916"/>
      <c r="AC11" s="917" t="s">
        <v>878</v>
      </c>
      <c r="AD11" s="917"/>
      <c r="AE11" s="917"/>
      <c r="AF11" s="917" t="s">
        <v>879</v>
      </c>
      <c r="AG11" s="917"/>
      <c r="AH11" s="917"/>
      <c r="AJ11" s="917" t="s">
        <v>878</v>
      </c>
      <c r="AK11" s="917"/>
      <c r="AL11" s="917"/>
      <c r="AM11" s="917" t="s">
        <v>879</v>
      </c>
      <c r="AN11" s="917"/>
      <c r="AO11" s="917"/>
    </row>
    <row r="12" spans="1:41" ht="30" hidden="1" customHeight="1" x14ac:dyDescent="0.2">
      <c r="A12" t="e">
        <f ca="1">MATCH(E12,ORÇAMENTO!$E$15:$E$191,0)-1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t="e" cm="1">
        <f t="array" aca="1" ref="AC12" ca="1">IF(ACOMPANHAMENTO&lt;&gt;"PLE",0,SUMPRODUCT((OFFSET(CÁLCULO!$BV$15:$CN$15,$A12,0,$B12)&lt;=(PLE.Medicao-1))*OFFSET(CÁLCULO!$AJ$15:$BB$15,$A12,0,$B12)*OFFSET(ORÇAMENTO!$AA$15,$A12,0,$B12)/(OFFSET(ORÇAMENTO!$X$15,$A12,0,$B12)+10^-12))+IF(AUTOEVENTO="Manual",SUMPRODUCT((OFFSET(CÁLCULO!$M$15,$A12,0,$B12)=1)*OFFSET(ORÇAMENTO!$AA$15,$A12,0,$B12)*(PLE!$AE$9-PLE!$Y$9)),0))</f>
        <v>#N/A</v>
      </c>
      <c r="AD12" s="183" t="e" cm="1">
        <f t="array" aca="1" ref="AD12" ca="1">IF(ACOMPANHAMENTO&lt;&gt;"PLE",0,SUMPRODUCT((OFFSET(CÁLCULO!$BV$15:$CN$15,$A12,0,$B12)&lt;=(PLE.Medicao-1))*OFFSET(CÁLCULO!$AJ$15:$BB$15,$A12,0,$B12)*OFFSET(ORÇAMENTO!$AB$15,$A12,0,$B12)/(OFFSET(ORÇAMENTO!$X$15,$A12,0,$B12)+10^-12))+IF(AUTOEVENTO="Manual",SUMPRODUCT((OFFSET(CÁLCULO!$M$15,$A12,0,$B12)=1)*OFFSET(ORÇAMENTO!$AB$15,$A12,0,$B12)*(PLE!$AE$9-PLE!$Y$9)),0))</f>
        <v>#N/A</v>
      </c>
      <c r="AE12" s="183" t="e">
        <f ca="1">ROUND(
            IF(ACOMPANHAMENTO&lt;&gt;"PLE",0,
                      SUMIF(OFFSET(CÁLCULO!$BV$15:$CN$15,$A12,0,$B12),"&lt;="&amp;(PLE.Medicao-1),OFFSET(CÁLCULO!$AJ$15:$BB$15,$A12,0,$B12))
                      +IF(AdmLocal="Automática",
                              SUMIF(OFFSET(CÁLCULO!$M$15,$A12,0,$B12),1,OFFSET(ORÇAMENTO!$X$15,$A12,0,$B12))*(PLE!$AE$9-PLE!$Y$9),
                              0)),
            2)</f>
        <v>#N/A</v>
      </c>
      <c r="AF12" s="183" t="e" cm="1">
        <f t="array" aca="1" ref="AF12" ca="1">IF(ACOMPANHAMENTO&lt;&gt;"PLE",0,SUMPRODUCT((OFFSET(CÁLCULO!$BV$15:$CN$15,$A12,0,$B12)&lt;=PLE.Medicao)*OFFSET(CÁLCULO!$AJ$15:$BB$15,$A12,0,$B12)*OFFSET(ORÇAMENTO!$AA$15,$A12,0,$B12)/(OFFSET(ORÇAMENTO!$X$15,$A12,0,$B12)+10^-12))+IF(AUTOEVENTO="Manual",SUMPRODUCT((OFFSET(CÁLCULO!$M$15,$A12,0,$B12)=1)*OFFSET(ORÇAMENTO!$AA$15,$A12,0,$B12)*PLE!$AE$9),0))</f>
        <v>#N/A</v>
      </c>
      <c r="AG12" s="183" t="e" cm="1">
        <f t="array" aca="1" ref="AG12" ca="1">IF(ACOMPANHAMENTO&lt;&gt;"PLE",0,SUMPRODUCT((OFFSET(CÁLCULO!$BV$15:$CN$15,$A12,0,$B12)&lt;=PLE.Medicao)*OFFSET(CÁLCULO!$AJ$15:$BB$15,$A12,0,$B12)*OFFSET(ORÇAMENTO!$AB$15,$A12,0,$B12)/(OFFSET(ORÇAMENTO!$X$15,$A12,0,$B12)+10^-12))+IF(AUTOEVENTO="Manual",SUMPRODUCT((OFFSET(CÁLCULO!$M$15,$A12,0,$B12)=1)*OFFSET(ORÇAMENTO!$AB$15,$A12,0,$B12)*PLE!$AE$9),0))</f>
        <v>#N/A</v>
      </c>
      <c r="AH12" s="183" t="e">
        <f ca="1">ROUND(IF(ACOMPANHAMENTO&lt;&gt;"PLE",0,SUMIF(OFFSET(CÁLCULO!$BV$15:$CN$15,$A12,0,$B12),"&lt;="&amp;PLE.Medicao,OFFSET(CÁLCULO!$AJ$15:$BB$15,$A12,0,$B12))+IF(AdmLocal="Automática",SUMIF(OFFSET(CÁLCULO!$M$15,$A12,0,$B12),1,OFFSET(ORÇAMENTO!$X$15,$A12,0,$B12))*PLE!$AE$9,0)),2)</f>
        <v>#N/A</v>
      </c>
      <c r="AJ12" s="183" cm="1">
        <f t="array" aca="1" ref="AJ12" ca="1">IF(ACOMPANHAMENTO&lt;&gt;"BM",0,SUMPRODUCT(OFFSET(BM!$M$15,$A12,0,$B12)*(OFFSET(BM!$A$15,$A12,0,$B12)="S")*OFFSET(ORÇAMENTO!AA$15,$A12,0,$B12)/(OFFSET(ORÇAMENTO!$X$15,$A12,0,$B12)+10^-12)))</f>
        <v>0</v>
      </c>
      <c r="AK12" s="183" cm="1">
        <f t="array" aca="1" ref="AK12" ca="1">IF(ACOMPANHAMENTO&lt;&gt;"BM",0,SUMPRODUCT(OFFSET(BM!$M$15,$A12,0,$B12)*(OFFSET(BM!$A$15,$A12,0,$B12)="S")*OFFSET(ORÇAMENTO!AB$15,$A12,0,$B12)/(OFFSET(ORÇAMENTO!$X$15,$A12,0,$B12)+10^-12)))</f>
        <v>0</v>
      </c>
      <c r="AL12" s="183">
        <f ca="1">IF(ACOMPANHAMENTO&lt;&gt;"BM",0,OFFSET(BM!$M$15,$A12,0))</f>
        <v>0</v>
      </c>
      <c r="AM12" s="183" cm="1">
        <f t="array" aca="1" ref="AM12" ca="1">IF(ACOMPANHAMENTO&lt;&gt;"BM",0,SUMPRODUCT(OFFSET(BM!$O$15,$A12,0,$B12)*(OFFSET(BM!$A$15,$A12,0,$B12)="S")*OFFSET(ORÇAMENTO!AA$15,$A12,0,$B12)/(OFFSET(ORÇAMENTO!$X$15,$A12,0,$B12)+10^-12)))</f>
        <v>0</v>
      </c>
      <c r="AN12" s="183" cm="1">
        <f t="array" aca="1" ref="AN12" ca="1">IF(ACOMPANHAMENTO&lt;&gt;"BM",0,SUMPRODUCT(OFFSET(BM!$O$15,$A12,0,$B12)*(OFFSET(BM!$A$15,$A12,0,$B12)="S")*OFFSET(ORÇAMENTO!AB$15,$A12,0,$B12)/(OFFSET(ORÇAMENTO!$X$15,$A12,0,$B12)+10^-12)))</f>
        <v>0</v>
      </c>
      <c r="AO12" s="183">
        <f ca="1">IF(ACOMPANHAMENTO&lt;&gt;"BM",0,OFFSET(BM!$O$15,$A12,0))</f>
        <v>0</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s="670" customFormat="1" ht="30" customHeight="1" x14ac:dyDescent="0.2">
      <c r="A14" s="670">
        <f ca="1">MATCH(E14,ORÇAMENTO!$E$15:$E$191,0)-1</f>
        <v>1</v>
      </c>
      <c r="B14" s="670">
        <f ca="1">IF(ISERROR($A14),NA(),OFFSET(ORÇAMENTO!$D$15,$A14,0))</f>
        <v>175</v>
      </c>
      <c r="C14" s="670" t="str">
        <f ca="1">QCI!B14</f>
        <v>Automático</v>
      </c>
      <c r="D14" s="670" t="str">
        <f t="shared" ref="D14:D22" ca="1" si="0">IF(L14&gt;0,"F","")</f>
        <v>F</v>
      </c>
      <c r="E14" s="281">
        <f>QCI!D14</f>
        <v>1</v>
      </c>
      <c r="F14" s="362" t="str">
        <f ca="1">QCI!G14</f>
        <v>Ampliação do Sistema de Abastecimento de Água</v>
      </c>
      <c r="G14" s="363" t="str">
        <f>QCI!H14</f>
        <v>Análise Concluída / A Licitar</v>
      </c>
      <c r="H14" s="282">
        <f>QCI!I14</f>
        <v>6000</v>
      </c>
      <c r="I14" s="282" t="str">
        <f ca="1">QCI!J14</f>
        <v>m</v>
      </c>
      <c r="J14" s="364" t="str">
        <f ca="1">QCI!K14</f>
        <v>LOTE 1</v>
      </c>
      <c r="K14" s="365" cm="1">
        <f t="array" aca="1" ref="K14" ca="1">IF($C14="Automático",IF(ACOMPANHAMENTO="BM",BM.medicao,PLE.Medicao),IF(ISBLANK($X14),"",$X14))</f>
        <v>1</v>
      </c>
      <c r="L14" s="286">
        <f ca="1">QCI!$O14</f>
        <v>4985084.83</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3"/>
      <c r="Y14" s="287"/>
      <c r="Z14" s="288"/>
      <c r="AC14" s="183" cm="1">
        <f t="array" aca="1" ref="AC14" ca="1">IF(ACOMPANHAMENTO&lt;&gt;"PLE",0,SUMPRODUCT((OFFSET(CÁLCULO!$BV$15:$CN$15,$A14,0,$B14)&lt;=(PLE.Medicao-1))*OFFSET(CÁLCULO!$AJ$15:$BB$15,$A14,0,$B14)*OFFSET(ORÇAMENTO!$AA$15,$A14,0,$B14)/(OFFSET(ORÇAMENTO!$X$15,$A14,0,$B14)+10^-12))+IF(AUTOEVENTO="Manual",SUMPRODUCT((OFFSET(CÁLCULO!$M$15,$A14,0,$B14)=1)*OFFSET(ORÇAMENTO!$AA$15,$A14,0,$B14)*(PLE!$AE$9-PLE!$Y$9)),0))</f>
        <v>0</v>
      </c>
      <c r="AD14" s="183" cm="1">
        <f t="array" aca="1" ref="AD14" ca="1">IF(ACOMPANHAMENTO&lt;&gt;"PLE",0,SUMPRODUCT((OFFSET(CÁLCULO!$BV$15:$CN$15,$A14,0,$B14)&lt;=(PLE.Medicao-1))*OFFSET(CÁLCULO!$AJ$15:$BB$15,$A14,0,$B14)*OFFSET(ORÇAMENTO!$AB$15,$A14,0,$B14)/(OFFSET(ORÇAMENTO!$X$15,$A14,0,$B14)+10^-12))+IF(AUTOEVENTO="Manual",SUMPRODUCT((OFFSET(CÁLCULO!$M$15,$A14,0,$B14)=1)*OFFSET(ORÇAMENTO!$AB$15,$A14,0,$B14)*(PLE!$AE$9-PLE!$Y$9)),0))</f>
        <v>0</v>
      </c>
      <c r="AE14" s="183">
        <f ca="1">ROUND(
            IF(ACOMPANHAMENTO&lt;&gt;"PLE",0,
                      SUMIF(OFFSET(CÁLCULO!$BV$15:$CN$15,$A14,0,$B14),"&lt;="&amp;(PLE.Medicao-1),OFFSET(CÁLCULO!$AJ$15:$BB$15,$A14,0,$B14))
                      +IF(AdmLocal="Automática",
                              SUMIF(OFFSET(CÁLCULO!$M$15,$A14,0,$B14),1,OFFSET(ORÇAMENTO!$X$15,$A14,0,$B14))*(PLE!$AE$9-PLE!$Y$9),
                              0)),
            2)</f>
        <v>0</v>
      </c>
      <c r="AF14" s="183" cm="1">
        <f t="array" aca="1" ref="AF14" ca="1">IF(ACOMPANHAMENTO&lt;&gt;"PLE",0,SUMPRODUCT((OFFSET(CÁLCULO!$BV$15:$CN$15,$A14,0,$B14)&lt;=PLE.Medicao)*OFFSET(CÁLCULO!$AJ$15:$BB$15,$A14,0,$B14)*OFFSET(ORÇAMENTO!$AA$15,$A14,0,$B14)/(OFFSET(ORÇAMENTO!$X$15,$A14,0,$B14)+10^-12))+IF(AUTOEVENTO="Manual",SUMPRODUCT((OFFSET(CÁLCULO!$M$15,$A14,0,$B14)=1)*OFFSET(ORÇAMENTO!$AA$15,$A14,0,$B14)*PLE!$AE$9),0))</f>
        <v>0</v>
      </c>
      <c r="AG14" s="183" cm="1">
        <f t="array" aca="1" ref="AG14" ca="1">IF(ACOMPANHAMENTO&lt;&gt;"PLE",0,SUMPRODUCT((OFFSET(CÁLCULO!$BV$15:$CN$15,$A14,0,$B14)&lt;=PLE.Medicao)*OFFSET(CÁLCULO!$AJ$15:$BB$15,$A14,0,$B14)*OFFSET(ORÇAMENTO!$AB$15,$A14,0,$B14)/(OFFSET(ORÇAMENTO!$X$15,$A14,0,$B14)+10^-12))+IF(AUTOEVENTO="Manual",SUMPRODUCT((OFFSET(CÁLCULO!$M$15,$A14,0,$B14)=1)*OFFSET(ORÇAMENTO!$AB$15,$A14,0,$B14)*PLE!$AE$9),0))</f>
        <v>0</v>
      </c>
      <c r="AH14" s="183">
        <f ca="1">ROUND(IF(ACOMPANHAMENTO&lt;&gt;"PLE",0,SUMIF(OFFSET(CÁLCULO!$BV$15:$CN$15,$A14,0,$B14),"&lt;="&amp;PLE.Medicao,OFFSET(CÁLCULO!$AJ$15:$BB$15,$A14,0,$B14))+IF(AdmLocal="Automática",SUMIF(OFFSET(CÁLCULO!$M$15,$A14,0,$B14),1,OFFSET(ORÇAMENTO!$X$15,$A14,0,$B14))*PLE!$AE$9,0)),2)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s="670" customFormat="1" ht="30" customHeight="1" x14ac:dyDescent="0.2">
      <c r="A15" s="670" t="e">
        <f ca="1">MATCH(E15,ORÇAMENTO!$E$15:$E$191,0)-1</f>
        <v>#N/A</v>
      </c>
      <c r="B15" s="670" t="e">
        <f ca="1">IF(ISERROR($A15),NA(),OFFSET(ORÇAMENTO!$D$15,$A15,0))</f>
        <v>#N/A</v>
      </c>
      <c r="C15" s="670" t="str">
        <f ca="1">QCI!B15</f>
        <v>Branco</v>
      </c>
      <c r="D15" s="670" t="str">
        <f t="shared" ca="1" si="0"/>
        <v/>
      </c>
      <c r="E15" s="281">
        <f>QCI!D15</f>
        <v>2</v>
      </c>
      <c r="F15" s="362" t="str">
        <f ca="1">QCI!G15</f>
        <v/>
      </c>
      <c r="G15" s="363">
        <f>QCI!H15</f>
        <v>0</v>
      </c>
      <c r="H15" s="282">
        <f>QCI!I15</f>
        <v>0</v>
      </c>
      <c r="I15" s="282" t="str">
        <f ca="1">QCI!J15</f>
        <v/>
      </c>
      <c r="J15" s="364" t="str">
        <f ca="1">QCI!K15</f>
        <v/>
      </c>
      <c r="K15" s="365" t="str" cm="1">
        <f t="array" aca="1" ref="K15" ca="1">IF($C15="Automático",IF(ACOMPANHAMENTO="BM",BM.medicao,PLE.Medicao),IF(ISBLANK($X15),"",$X15))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1</v>
      </c>
      <c r="X15" s="513"/>
      <c r="Y15" s="287"/>
      <c r="Z15" s="288"/>
      <c r="AC15" s="183" t="e" cm="1">
        <f t="array" aca="1" ref="AC15" ca="1">IF(ACOMPANHAMENTO&lt;&gt;"PLE",0,SUMPRODUCT((OFFSET(CÁLCULO!$BV$15:$CN$15,$A15,0,$B15)&lt;=(PLE.Medicao-1))*OFFSET(CÁLCULO!$AJ$15:$BB$15,$A15,0,$B15)*OFFSET(ORÇAMENTO!$AA$15,$A15,0,$B15)/(OFFSET(ORÇAMENTO!$X$15,$A15,0,$B15)+10^-12))+IF(AUTOEVENTO="Manual",SUMPRODUCT((OFFSET(CÁLCULO!$M$15,$A15,0,$B15)=1)*OFFSET(ORÇAMENTO!$AA$15,$A15,0,$B15)*(PLE!$AE$9-PLE!$Y$9)),0))</f>
        <v>#N/A</v>
      </c>
      <c r="AD15" s="183" t="e" cm="1">
        <f t="array" aca="1" ref="AD15" ca="1">IF(ACOMPANHAMENTO&lt;&gt;"PLE",0,SUMPRODUCT((OFFSET(CÁLCULO!$BV$15:$CN$15,$A15,0,$B15)&lt;=(PLE.Medicao-1))*OFFSET(CÁLCULO!$AJ$15:$BB$15,$A15,0,$B15)*OFFSET(ORÇAMENTO!$AB$15,$A15,0,$B15)/(OFFSET(ORÇAMENTO!$X$15,$A15,0,$B15)+10^-12))+IF(AUTOEVENTO="Manual",SUMPRODUCT((OFFSET(CÁLCULO!$M$15,$A15,0,$B15)=1)*OFFSET(ORÇAMENTO!$AB$15,$A15,0,$B15)*(PLE!$AE$9-PLE!$Y$9)),0))</f>
        <v>#N/A</v>
      </c>
      <c r="AE15" s="183" t="e">
        <f ca="1">ROUND(
            IF(ACOMPANHAMENTO&lt;&gt;"PLE",0,
                      SUMIF(OFFSET(CÁLCULO!$BV$15:$CN$15,$A15,0,$B15),"&lt;="&amp;(PLE.Medicao-1),OFFSET(CÁLCULO!$AJ$15:$BB$15,$A15,0,$B15))
                      +IF(AdmLocal="Automática",
                              SUMIF(OFFSET(CÁLCULO!$M$15,$A15,0,$B15),1,OFFSET(ORÇAMENTO!$X$15,$A15,0,$B15))*(PLE!$AE$9-PLE!$Y$9),
                              0)),
            2)</f>
        <v>#N/A</v>
      </c>
      <c r="AF15" s="183" t="e" cm="1">
        <f t="array" aca="1" ref="AF15" ca="1">IF(ACOMPANHAMENTO&lt;&gt;"PLE",0,SUMPRODUCT((OFFSET(CÁLCULO!$BV$15:$CN$15,$A15,0,$B15)&lt;=PLE.Medicao)*OFFSET(CÁLCULO!$AJ$15:$BB$15,$A15,0,$B15)*OFFSET(ORÇAMENTO!$AA$15,$A15,0,$B15)/(OFFSET(ORÇAMENTO!$X$15,$A15,0,$B15)+10^-12))+IF(AUTOEVENTO="Manual",SUMPRODUCT((OFFSET(CÁLCULO!$M$15,$A15,0,$B15)=1)*OFFSET(ORÇAMENTO!$AA$15,$A15,0,$B15)*PLE!$AE$9),0))</f>
        <v>#N/A</v>
      </c>
      <c r="AG15" s="183" t="e" cm="1">
        <f t="array" aca="1" ref="AG15" ca="1">IF(ACOMPANHAMENTO&lt;&gt;"PLE",0,SUMPRODUCT((OFFSET(CÁLCULO!$BV$15:$CN$15,$A15,0,$B15)&lt;=PLE.Medicao)*OFFSET(CÁLCULO!$AJ$15:$BB$15,$A15,0,$B15)*OFFSET(ORÇAMENTO!$AB$15,$A15,0,$B15)/(OFFSET(ORÇAMENTO!$X$15,$A15,0,$B15)+10^-12))+IF(AUTOEVENTO="Manual",SUMPRODUCT((OFFSET(CÁLCULO!$M$15,$A15,0,$B15)=1)*OFFSET(ORÇAMENTO!$AB$15,$A15,0,$B15)*PLE!$AE$9),0))</f>
        <v>#N/A</v>
      </c>
      <c r="AH15" s="183" t="e">
        <f ca="1">ROUND(IF(ACOMPANHAMENTO&lt;&gt;"PLE",0,SUMIF(OFFSET(CÁLCULO!$BV$15:$CN$15,$A15,0,$B15),"&lt;="&amp;PLE.Medicao,OFFSET(CÁLCULO!$AJ$15:$BB$15,$A15,0,$B15))+IF(AdmLocal="Automática",SUMIF(OFFSET(CÁLCULO!$M$15,$A15,0,$B15),1,OFFSET(ORÇAMENTO!$X$15,$A15,0,$B15))*PLE!$AE$9,0)),2)</f>
        <v>#N/A</v>
      </c>
      <c r="AJ15" s="183" cm="1">
        <f t="array" aca="1" ref="AJ15" ca="1">IF(ACOMPANHAMENTO&lt;&gt;"BM",0,SUMPRODUCT(OFFSET(BM!$M$15,$A15,0,$B15)*(OFFSET(BM!$A$15,$A15,0,$B15)="S")*OFFSET(ORÇAMENTO!AA$15,$A15,0,$B15)/(OFFSET(ORÇAMENTO!$X$15,$A15,0,$B15)+10^-12)))</f>
        <v>0</v>
      </c>
      <c r="AK15" s="183" cm="1">
        <f t="array" aca="1" ref="AK15" ca="1">IF(ACOMPANHAMENTO&lt;&gt;"BM",0,SUMPRODUCT(OFFSET(BM!$M$15,$A15,0,$B15)*(OFFSET(BM!$A$15,$A15,0,$B15)="S")*OFFSET(ORÇAMENTO!AB$15,$A15,0,$B15)/(OFFSET(ORÇAMENTO!$X$15,$A15,0,$B15)+10^-12)))</f>
        <v>0</v>
      </c>
      <c r="AL15" s="183">
        <f ca="1">IF(ACOMPANHAMENTO&lt;&gt;"BM",0,OFFSET(BM!$M$15,$A15,0))</f>
        <v>0</v>
      </c>
      <c r="AM15" s="183" cm="1">
        <f t="array" aca="1" ref="AM15" ca="1">IF(ACOMPANHAMENTO&lt;&gt;"BM",0,SUMPRODUCT(OFFSET(BM!$O$15,$A15,0,$B15)*(OFFSET(BM!$A$15,$A15,0,$B15)="S")*OFFSET(ORÇAMENTO!AA$15,$A15,0,$B15)/(OFFSET(ORÇAMENTO!$X$15,$A15,0,$B15)+10^-12)))</f>
        <v>0</v>
      </c>
      <c r="AN15" s="183" cm="1">
        <f t="array" aca="1" ref="AN15" ca="1">IF(ACOMPANHAMENTO&lt;&gt;"BM",0,SUMPRODUCT(OFFSET(BM!$O$15,$A15,0,$B15)*(OFFSET(BM!$A$15,$A15,0,$B15)="S")*OFFSET(ORÇAMENTO!AB$15,$A15,0,$B15)/(OFFSET(ORÇAMENTO!$X$15,$A15,0,$B15)+10^-12)))</f>
        <v>0</v>
      </c>
      <c r="AO15" s="183">
        <f ca="1">IF(ACOMPANHAMENTO&lt;&gt;"BM",0,OFFSET(BM!$O$15,$A15,0))</f>
        <v>0</v>
      </c>
    </row>
    <row r="16" spans="1:41" s="670" customFormat="1" ht="30" customHeight="1" x14ac:dyDescent="0.2">
      <c r="A16" s="670" t="e">
        <f ca="1">MATCH(E16,ORÇAMENTO!$E$15:$E$191,0)-1</f>
        <v>#N/A</v>
      </c>
      <c r="B16" s="670" t="e">
        <f ca="1">IF(ISERROR($A16),NA(),OFFSET(ORÇAMENTO!$D$15,$A16,0))</f>
        <v>#N/A</v>
      </c>
      <c r="C16" s="670" t="str">
        <f ca="1">QCI!B16</f>
        <v>Branco</v>
      </c>
      <c r="D16" s="670"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1</v>
      </c>
      <c r="X16" s="513"/>
      <c r="Y16" s="287"/>
      <c r="Z16" s="288"/>
      <c r="AC16" s="183" t="e" cm="1">
        <f t="array" aca="1" ref="AC16" ca="1">IF(ACOMPANHAMENTO&lt;&gt;"PLE",0,SUMPRODUCT((OFFSET(CÁLCULO!$BV$15:$CN$15,$A16,0,$B16)&lt;=(PLE.Medicao-1))*OFFSET(CÁLCULO!$AJ$15:$BB$15,$A16,0,$B16)*OFFSET(ORÇAMENTO!$AA$15,$A16,0,$B16)/(OFFSET(ORÇAMENTO!$X$15,$A16,0,$B16)+10^-12))+IF(AUTOEVENTO="Manual",SUMPRODUCT((OFFSET(CÁLCULO!$M$15,$A16,0,$B16)=1)*OFFSET(ORÇAMENTO!$AA$15,$A16,0,$B16)*(PLE!$AE$9-PLE!$Y$9)),0))</f>
        <v>#N/A</v>
      </c>
      <c r="AD16" s="183" t="e" cm="1">
        <f t="array" aca="1" ref="AD16" ca="1">IF(ACOMPANHAMENTO&lt;&gt;"PLE",0,SUMPRODUCT((OFFSET(CÁLCULO!$BV$15:$CN$15,$A16,0,$B16)&lt;=(PLE.Medicao-1))*OFFSET(CÁLCULO!$AJ$15:$BB$15,$A16,0,$B16)*OFFSET(ORÇAMENTO!$AB$15,$A16,0,$B16)/(OFFSET(ORÇAMENTO!$X$15,$A16,0,$B16)+10^-12))+IF(AUTOEVENTO="Manual",SUMPRODUCT((OFFSET(CÁLCULO!$M$15,$A16,0,$B16)=1)*OFFSET(ORÇAMENTO!$AB$15,$A16,0,$B16)*(PLE!$AE$9-PLE!$Y$9)),0))</f>
        <v>#N/A</v>
      </c>
      <c r="AE16" s="183" t="e">
        <f ca="1">ROUND(
            IF(ACOMPANHAMENTO&lt;&gt;"PLE",0,
                      SUMIF(OFFSET(CÁLCULO!$BV$15:$CN$15,$A16,0,$B16),"&lt;="&amp;(PLE.Medicao-1),OFFSET(CÁLCULO!$AJ$15:$BB$15,$A16,0,$B16))
                      +IF(AdmLocal="Automática",
                              SUMIF(OFFSET(CÁLCULO!$M$15,$A16,0,$B16),1,OFFSET(ORÇAMENTO!$X$15,$A16,0,$B16))*(PLE!$AE$9-PLE!$Y$9),
                              0)),
            2)</f>
        <v>#N/A</v>
      </c>
      <c r="AF16" s="183" t="e" cm="1">
        <f t="array" aca="1" ref="AF16" ca="1">IF(ACOMPANHAMENTO&lt;&gt;"PLE",0,SUMPRODUCT((OFFSET(CÁLCULO!$BV$15:$CN$15,$A16,0,$B16)&lt;=PLE.Medicao)*OFFSET(CÁLCULO!$AJ$15:$BB$15,$A16,0,$B16)*OFFSET(ORÇAMENTO!$AA$15,$A16,0,$B16)/(OFFSET(ORÇAMENTO!$X$15,$A16,0,$B16)+10^-12))+IF(AUTOEVENTO="Manual",SUMPRODUCT((OFFSET(CÁLCULO!$M$15,$A16,0,$B16)=1)*OFFSET(ORÇAMENTO!$AA$15,$A16,0,$B16)*PLE!$AE$9),0))</f>
        <v>#N/A</v>
      </c>
      <c r="AG16" s="183" t="e" cm="1">
        <f t="array" aca="1" ref="AG16" ca="1">IF(ACOMPANHAMENTO&lt;&gt;"PLE",0,SUMPRODUCT((OFFSET(CÁLCULO!$BV$15:$CN$15,$A16,0,$B16)&lt;=PLE.Medicao)*OFFSET(CÁLCULO!$AJ$15:$BB$15,$A16,0,$B16)*OFFSET(ORÇAMENTO!$AB$15,$A16,0,$B16)/(OFFSET(ORÇAMENTO!$X$15,$A16,0,$B16)+10^-12))+IF(AUTOEVENTO="Manual",SUMPRODUCT((OFFSET(CÁLCULO!$M$15,$A16,0,$B16)=1)*OFFSET(ORÇAMENTO!$AB$15,$A16,0,$B16)*PLE!$AE$9),0))</f>
        <v>#N/A</v>
      </c>
      <c r="AH16" s="183" t="e">
        <f ca="1">ROUND(IF(ACOMPANHAMENTO&lt;&gt;"PLE",0,SUMIF(OFFSET(CÁLCULO!$BV$15:$CN$15,$A16,0,$B16),"&lt;="&amp;PLE.Medicao,OFFSET(CÁLCULO!$AJ$15:$BB$15,$A16,0,$B16))+IF(AdmLocal="Automática",SUMIF(OFFSET(CÁLCULO!$M$15,$A16,0,$B16),1,OFFSET(ORÇAMENTO!$X$15,$A16,0,$B16))*PLE!$AE$9,0)),2)</f>
        <v>#N/A</v>
      </c>
      <c r="AJ16" s="183" cm="1">
        <f t="array" aca="1" ref="AJ16" ca="1">IF(ACOMPANHAMENTO&lt;&gt;"BM",0,SUMPRODUCT(OFFSET(BM!$M$15,$A16,0,$B16)*(OFFSET(BM!$A$15,$A16,0,$B16)="S")*OFFSET(ORÇAMENTO!AA$15,$A16,0,$B16)/(OFFSET(ORÇAMENTO!$X$15,$A16,0,$B16)+10^-12)))</f>
        <v>0</v>
      </c>
      <c r="AK16" s="183" cm="1">
        <f t="array" aca="1" ref="AK16" ca="1">IF(ACOMPANHAMENTO&lt;&gt;"BM",0,SUMPRODUCT(OFFSET(BM!$M$15,$A16,0,$B16)*(OFFSET(BM!$A$15,$A16,0,$B16)="S")*OFFSET(ORÇAMENTO!AB$15,$A16,0,$B16)/(OFFSET(ORÇAMENTO!$X$15,$A16,0,$B16)+10^-12)))</f>
        <v>0</v>
      </c>
      <c r="AL16" s="183">
        <f ca="1">IF(ACOMPANHAMENTO&lt;&gt;"BM",0,OFFSET(BM!$M$15,$A16,0))</f>
        <v>0</v>
      </c>
      <c r="AM16" s="183" cm="1">
        <f t="array" aca="1" ref="AM16" ca="1">IF(ACOMPANHAMENTO&lt;&gt;"BM",0,SUMPRODUCT(OFFSET(BM!$O$15,$A16,0,$B16)*(OFFSET(BM!$A$15,$A16,0,$B16)="S")*OFFSET(ORÇAMENTO!AA$15,$A16,0,$B16)/(OFFSET(ORÇAMENTO!$X$15,$A16,0,$B16)+10^-12)))</f>
        <v>0</v>
      </c>
      <c r="AN16" s="183" cm="1">
        <f t="array" aca="1" ref="AN16" ca="1">IF(ACOMPANHAMENTO&lt;&gt;"BM",0,SUMPRODUCT(OFFSET(BM!$O$15,$A16,0,$B16)*(OFFSET(BM!$A$15,$A16,0,$B16)="S")*OFFSET(ORÇAMENTO!AB$15,$A16,0,$B16)/(OFFSET(ORÇAMENTO!$X$15,$A16,0,$B16)+10^-12)))</f>
        <v>0</v>
      </c>
      <c r="AO16" s="183">
        <f ca="1">IF(ACOMPANHAMENTO&lt;&gt;"BM",0,OFFSET(BM!$O$15,$A16,0))</f>
        <v>0</v>
      </c>
    </row>
    <row r="17" spans="1:41" s="670" customFormat="1" ht="30" customHeight="1" x14ac:dyDescent="0.2">
      <c r="A17" s="670" t="e">
        <f ca="1">MATCH(E17,ORÇAMENTO!$E$15:$E$191,0)-1</f>
        <v>#N/A</v>
      </c>
      <c r="B17" s="670" t="e">
        <f ca="1">IF(ISERROR($A17),NA(),OFFSET(ORÇAMENTO!$D$15,$A17,0))</f>
        <v>#N/A</v>
      </c>
      <c r="C17" s="670" t="str">
        <f ca="1">QCI!B17</f>
        <v>Branco</v>
      </c>
      <c r="D17" s="670"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1</v>
      </c>
      <c r="X17" s="513"/>
      <c r="Y17" s="287"/>
      <c r="Z17" s="288"/>
      <c r="AC17" s="183" t="e" cm="1">
        <f t="array" aca="1" ref="AC17" ca="1">IF(ACOMPANHAMENTO&lt;&gt;"PLE",0,SUMPRODUCT((OFFSET(CÁLCULO!$BV$15:$CN$15,$A17,0,$B17)&lt;=(PLE.Medicao-1))*OFFSET(CÁLCULO!$AJ$15:$BB$15,$A17,0,$B17)*OFFSET(ORÇAMENTO!$AA$15,$A17,0,$B17)/(OFFSET(ORÇAMENTO!$X$15,$A17,0,$B17)+10^-12))+IF(AUTOEVENTO="Manual",SUMPRODUCT((OFFSET(CÁLCULO!$M$15,$A17,0,$B17)=1)*OFFSET(ORÇAMENTO!$AA$15,$A17,0,$B17)*(PLE!$AE$9-PLE!$Y$9)),0))</f>
        <v>#N/A</v>
      </c>
      <c r="AD17" s="183" t="e" cm="1">
        <f t="array" aca="1" ref="AD17" ca="1">IF(ACOMPANHAMENTO&lt;&gt;"PLE",0,SUMPRODUCT((OFFSET(CÁLCULO!$BV$15:$CN$15,$A17,0,$B17)&lt;=(PLE.Medicao-1))*OFFSET(CÁLCULO!$AJ$15:$BB$15,$A17,0,$B17)*OFFSET(ORÇAMENTO!$AB$15,$A17,0,$B17)/(OFFSET(ORÇAMENTO!$X$15,$A17,0,$B17)+10^-12))+IF(AUTOEVENTO="Manual",SUMPRODUCT((OFFSET(CÁLCULO!$M$15,$A17,0,$B17)=1)*OFFSET(ORÇAMENTO!$AB$15,$A17,0,$B17)*(PLE!$AE$9-PLE!$Y$9)),0))</f>
        <v>#N/A</v>
      </c>
      <c r="AE17" s="183" t="e">
        <f ca="1">ROUND(
            IF(ACOMPANHAMENTO&lt;&gt;"PLE",0,
                      SUMIF(OFFSET(CÁLCULO!$BV$15:$CN$15,$A17,0,$B17),"&lt;="&amp;(PLE.Medicao-1),OFFSET(CÁLCULO!$AJ$15:$BB$15,$A17,0,$B17))
                      +IF(AdmLocal="Automática",
                              SUMIF(OFFSET(CÁLCULO!$M$15,$A17,0,$B17),1,OFFSET(ORÇAMENTO!$X$15,$A17,0,$B17))*(PLE!$AE$9-PLE!$Y$9),
                              0)),
            2)</f>
        <v>#N/A</v>
      </c>
      <c r="AF17" s="183" t="e" cm="1">
        <f t="array" aca="1" ref="AF17" ca="1">IF(ACOMPANHAMENTO&lt;&gt;"PLE",0,SUMPRODUCT((OFFSET(CÁLCULO!$BV$15:$CN$15,$A17,0,$B17)&lt;=PLE.Medicao)*OFFSET(CÁLCULO!$AJ$15:$BB$15,$A17,0,$B17)*OFFSET(ORÇAMENTO!$AA$15,$A17,0,$B17)/(OFFSET(ORÇAMENTO!$X$15,$A17,0,$B17)+10^-12))+IF(AUTOEVENTO="Manual",SUMPRODUCT((OFFSET(CÁLCULO!$M$15,$A17,0,$B17)=1)*OFFSET(ORÇAMENTO!$AA$15,$A17,0,$B17)*PLE!$AE$9),0))</f>
        <v>#N/A</v>
      </c>
      <c r="AG17" s="183" t="e" cm="1">
        <f t="array" aca="1" ref="AG17" ca="1">IF(ACOMPANHAMENTO&lt;&gt;"PLE",0,SUMPRODUCT((OFFSET(CÁLCULO!$BV$15:$CN$15,$A17,0,$B17)&lt;=PLE.Medicao)*OFFSET(CÁLCULO!$AJ$15:$BB$15,$A17,0,$B17)*OFFSET(ORÇAMENTO!$AB$15,$A17,0,$B17)/(OFFSET(ORÇAMENTO!$X$15,$A17,0,$B17)+10^-12))+IF(AUTOEVENTO="Manual",SUMPRODUCT((OFFSET(CÁLCULO!$M$15,$A17,0,$B17)=1)*OFFSET(ORÇAMENTO!$AB$15,$A17,0,$B17)*PLE!$AE$9),0))</f>
        <v>#N/A</v>
      </c>
      <c r="AH17" s="183" t="e">
        <f ca="1">ROUND(IF(ACOMPANHAMENTO&lt;&gt;"PLE",0,SUMIF(OFFSET(CÁLCULO!$BV$15:$CN$15,$A17,0,$B17),"&lt;="&amp;PLE.Medicao,OFFSET(CÁLCULO!$AJ$15:$BB$15,$A17,0,$B17))+IF(AdmLocal="Automática",SUMIF(OFFSET(CÁLCULO!$M$15,$A17,0,$B17),1,OFFSET(ORÇAMENTO!$X$15,$A17,0,$B17))*PLE!$AE$9,0)),2)</f>
        <v>#N/A</v>
      </c>
      <c r="AJ17" s="183" cm="1">
        <f t="array" aca="1" ref="AJ17" ca="1">IF(ACOMPANHAMENTO&lt;&gt;"BM",0,SUMPRODUCT(OFFSET(BM!$M$15,$A17,0,$B17)*(OFFSET(BM!$A$15,$A17,0,$B17)="S")*OFFSET(ORÇAMENTO!AA$15,$A17,0,$B17)/(OFFSET(ORÇAMENTO!$X$15,$A17,0,$B17)+10^-12)))</f>
        <v>0</v>
      </c>
      <c r="AK17" s="183" cm="1">
        <f t="array" aca="1" ref="AK17" ca="1">IF(ACOMPANHAMENTO&lt;&gt;"BM",0,SUMPRODUCT(OFFSET(BM!$M$15,$A17,0,$B17)*(OFFSET(BM!$A$15,$A17,0,$B17)="S")*OFFSET(ORÇAMENTO!AB$15,$A17,0,$B17)/(OFFSET(ORÇAMENTO!$X$15,$A17,0,$B17)+10^-12)))</f>
        <v>0</v>
      </c>
      <c r="AL17" s="183">
        <f ca="1">IF(ACOMPANHAMENTO&lt;&gt;"BM",0,OFFSET(BM!$M$15,$A17,0))</f>
        <v>0</v>
      </c>
      <c r="AM17" s="183" cm="1">
        <f t="array" aca="1" ref="AM17" ca="1">IF(ACOMPANHAMENTO&lt;&gt;"BM",0,SUMPRODUCT(OFFSET(BM!$O$15,$A17,0,$B17)*(OFFSET(BM!$A$15,$A17,0,$B17)="S")*OFFSET(ORÇAMENTO!AA$15,$A17,0,$B17)/(OFFSET(ORÇAMENTO!$X$15,$A17,0,$B17)+10^-12)))</f>
        <v>0</v>
      </c>
      <c r="AN17" s="183" cm="1">
        <f t="array" aca="1" ref="AN17" ca="1">IF(ACOMPANHAMENTO&lt;&gt;"BM",0,SUMPRODUCT(OFFSET(BM!$O$15,$A17,0,$B17)*(OFFSET(BM!$A$15,$A17,0,$B17)="S")*OFFSET(ORÇAMENTO!AB$15,$A17,0,$B17)/(OFFSET(ORÇAMENTO!$X$15,$A17,0,$B17)+10^-12)))</f>
        <v>0</v>
      </c>
      <c r="AO17" s="183">
        <f ca="1">IF(ACOMPANHAMENTO&lt;&gt;"BM",0,OFFSET(BM!$O$15,$A17,0))</f>
        <v>0</v>
      </c>
    </row>
    <row r="18" spans="1:41" s="670" customFormat="1" ht="30" customHeight="1" x14ac:dyDescent="0.2">
      <c r="A18" s="670" t="e">
        <f ca="1">MATCH(E18,ORÇAMENTO!$E$15:$E$191,0)-1</f>
        <v>#N/A</v>
      </c>
      <c r="B18" s="670" t="e">
        <f ca="1">IF(ISERROR($A18),NA(),OFFSET(ORÇAMENTO!$D$15,$A18,0))</f>
        <v>#N/A</v>
      </c>
      <c r="C18" s="670" t="str">
        <f ca="1">QCI!B18</f>
        <v>Branco</v>
      </c>
      <c r="D18" s="670"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1</v>
      </c>
      <c r="X18" s="513"/>
      <c r="Y18" s="287"/>
      <c r="Z18" s="288"/>
      <c r="AC18" s="183" t="e" cm="1">
        <f t="array" aca="1" ref="AC18" ca="1">IF(ACOMPANHAMENTO&lt;&gt;"PLE",0,SUMPRODUCT((OFFSET(CÁLCULO!$BV$15:$CN$15,$A18,0,$B18)&lt;=(PLE.Medicao-1))*OFFSET(CÁLCULO!$AJ$15:$BB$15,$A18,0,$B18)*OFFSET(ORÇAMENTO!$AA$15,$A18,0,$B18)/(OFFSET(ORÇAMENTO!$X$15,$A18,0,$B18)+10^-12))+IF(AUTOEVENTO="Manual",SUMPRODUCT((OFFSET(CÁLCULO!$M$15,$A18,0,$B18)=1)*OFFSET(ORÇAMENTO!$AA$15,$A18,0,$B18)*(PLE!$AE$9-PLE!$Y$9)),0))</f>
        <v>#N/A</v>
      </c>
      <c r="AD18" s="183" t="e" cm="1">
        <f t="array" aca="1" ref="AD18" ca="1">IF(ACOMPANHAMENTO&lt;&gt;"PLE",0,SUMPRODUCT((OFFSET(CÁLCULO!$BV$15:$CN$15,$A18,0,$B18)&lt;=(PLE.Medicao-1))*OFFSET(CÁLCULO!$AJ$15:$BB$15,$A18,0,$B18)*OFFSET(ORÇAMENTO!$AB$15,$A18,0,$B18)/(OFFSET(ORÇAMENTO!$X$15,$A18,0,$B18)+10^-12))+IF(AUTOEVENTO="Manual",SUMPRODUCT((OFFSET(CÁLCULO!$M$15,$A18,0,$B18)=1)*OFFSET(ORÇAMENTO!$AB$15,$A18,0,$B18)*(PLE!$AE$9-PLE!$Y$9)),0))</f>
        <v>#N/A</v>
      </c>
      <c r="AE18" s="183" t="e">
        <f ca="1">ROUND(
            IF(ACOMPANHAMENTO&lt;&gt;"PLE",0,
                      SUMIF(OFFSET(CÁLCULO!$BV$15:$CN$15,$A18,0,$B18),"&lt;="&amp;(PLE.Medicao-1),OFFSET(CÁLCULO!$AJ$15:$BB$15,$A18,0,$B18))
                      +IF(AdmLocal="Automática",
                              SUMIF(OFFSET(CÁLCULO!$M$15,$A18,0,$B18),1,OFFSET(ORÇAMENTO!$X$15,$A18,0,$B18))*(PLE!$AE$9-PLE!$Y$9),
                              0)),
            2)</f>
        <v>#N/A</v>
      </c>
      <c r="AF18" s="183" t="e" cm="1">
        <f t="array" aca="1" ref="AF18" ca="1">IF(ACOMPANHAMENTO&lt;&gt;"PLE",0,SUMPRODUCT((OFFSET(CÁLCULO!$BV$15:$CN$15,$A18,0,$B18)&lt;=PLE.Medicao)*OFFSET(CÁLCULO!$AJ$15:$BB$15,$A18,0,$B18)*OFFSET(ORÇAMENTO!$AA$15,$A18,0,$B18)/(OFFSET(ORÇAMENTO!$X$15,$A18,0,$B18)+10^-12))+IF(AUTOEVENTO="Manual",SUMPRODUCT((OFFSET(CÁLCULO!$M$15,$A18,0,$B18)=1)*OFFSET(ORÇAMENTO!$AA$15,$A18,0,$B18)*PLE!$AE$9),0))</f>
        <v>#N/A</v>
      </c>
      <c r="AG18" s="183" t="e" cm="1">
        <f t="array" aca="1" ref="AG18" ca="1">IF(ACOMPANHAMENTO&lt;&gt;"PLE",0,SUMPRODUCT((OFFSET(CÁLCULO!$BV$15:$CN$15,$A18,0,$B18)&lt;=PLE.Medicao)*OFFSET(CÁLCULO!$AJ$15:$BB$15,$A18,0,$B18)*OFFSET(ORÇAMENTO!$AB$15,$A18,0,$B18)/(OFFSET(ORÇAMENTO!$X$15,$A18,0,$B18)+10^-12))+IF(AUTOEVENTO="Manual",SUMPRODUCT((OFFSET(CÁLCULO!$M$15,$A18,0,$B18)=1)*OFFSET(ORÇAMENTO!$AB$15,$A18,0,$B18)*PLE!$AE$9),0))</f>
        <v>#N/A</v>
      </c>
      <c r="AH18" s="183" t="e">
        <f ca="1">ROUND(IF(ACOMPANHAMENTO&lt;&gt;"PLE",0,SUMIF(OFFSET(CÁLCULO!$BV$15:$CN$15,$A18,0,$B18),"&lt;="&amp;PLE.Medicao,OFFSET(CÁLCULO!$AJ$15:$BB$15,$A18,0,$B18))+IF(AdmLocal="Automática",SUMIF(OFFSET(CÁLCULO!$M$15,$A18,0,$B18),1,OFFSET(ORÇAMENTO!$X$15,$A18,0,$B18))*PLE!$AE$9,0)),2)</f>
        <v>#N/A</v>
      </c>
      <c r="AJ18" s="183" cm="1">
        <f t="array" aca="1" ref="AJ18" ca="1">IF(ACOMPANHAMENTO&lt;&gt;"BM",0,SUMPRODUCT(OFFSET(BM!$M$15,$A18,0,$B18)*(OFFSET(BM!$A$15,$A18,0,$B18)="S")*OFFSET(ORÇAMENTO!AA$15,$A18,0,$B18)/(OFFSET(ORÇAMENTO!$X$15,$A18,0,$B18)+10^-12)))</f>
        <v>0</v>
      </c>
      <c r="AK18" s="183" cm="1">
        <f t="array" aca="1" ref="AK18" ca="1">IF(ACOMPANHAMENTO&lt;&gt;"BM",0,SUMPRODUCT(OFFSET(BM!$M$15,$A18,0,$B18)*(OFFSET(BM!$A$15,$A18,0,$B18)="S")*OFFSET(ORÇAMENTO!AB$15,$A18,0,$B18)/(OFFSET(ORÇAMENTO!$X$15,$A18,0,$B18)+10^-12)))</f>
        <v>0</v>
      </c>
      <c r="AL18" s="183">
        <f ca="1">IF(ACOMPANHAMENTO&lt;&gt;"BM",0,OFFSET(BM!$M$15,$A18,0))</f>
        <v>0</v>
      </c>
      <c r="AM18" s="183" cm="1">
        <f t="array" aca="1" ref="AM18" ca="1">IF(ACOMPANHAMENTO&lt;&gt;"BM",0,SUMPRODUCT(OFFSET(BM!$O$15,$A18,0,$B18)*(OFFSET(BM!$A$15,$A18,0,$B18)="S")*OFFSET(ORÇAMENTO!AA$15,$A18,0,$B18)/(OFFSET(ORÇAMENTO!$X$15,$A18,0,$B18)+10^-12)))</f>
        <v>0</v>
      </c>
      <c r="AN18" s="183" cm="1">
        <f t="array" aca="1" ref="AN18" ca="1">IF(ACOMPANHAMENTO&lt;&gt;"BM",0,SUMPRODUCT(OFFSET(BM!$O$15,$A18,0,$B18)*(OFFSET(BM!$A$15,$A18,0,$B18)="S")*OFFSET(ORÇAMENTO!AB$15,$A18,0,$B18)/(OFFSET(ORÇAMENTO!$X$15,$A18,0,$B18)+10^-12)))</f>
        <v>0</v>
      </c>
      <c r="AO18" s="183">
        <f ca="1">IF(ACOMPANHAMENTO&lt;&gt;"BM",0,OFFSET(BM!$O$15,$A18,0))</f>
        <v>0</v>
      </c>
    </row>
    <row r="19" spans="1:41" s="670" customFormat="1" ht="30" customHeight="1" x14ac:dyDescent="0.2">
      <c r="A19" s="670" t="e">
        <f ca="1">MATCH(E19,ORÇAMENTO!$E$15:$E$191,0)-1</f>
        <v>#N/A</v>
      </c>
      <c r="B19" s="670" t="e">
        <f ca="1">IF(ISERROR($A19),NA(),OFFSET(ORÇAMENTO!$D$15,$A19,0))</f>
        <v>#N/A</v>
      </c>
      <c r="C19" s="670" t="str">
        <f ca="1">QCI!B19</f>
        <v>Branco</v>
      </c>
      <c r="D19" s="670"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1</v>
      </c>
      <c r="X19" s="513"/>
      <c r="Y19" s="287"/>
      <c r="Z19" s="288"/>
      <c r="AC19" s="183" t="e" cm="1">
        <f t="array" aca="1" ref="AC19" ca="1">IF(ACOMPANHAMENTO&lt;&gt;"PLE",0,SUMPRODUCT((OFFSET(CÁLCULO!$BV$15:$CN$15,$A19,0,$B19)&lt;=(PLE.Medicao-1))*OFFSET(CÁLCULO!$AJ$15:$BB$15,$A19,0,$B19)*OFFSET(ORÇAMENTO!$AA$15,$A19,0,$B19)/(OFFSET(ORÇAMENTO!$X$15,$A19,0,$B19)+10^-12))+IF(AUTOEVENTO="Manual",SUMPRODUCT((OFFSET(CÁLCULO!$M$15,$A19,0,$B19)=1)*OFFSET(ORÇAMENTO!$AA$15,$A19,0,$B19)*(PLE!$AE$9-PLE!$Y$9)),0))</f>
        <v>#N/A</v>
      </c>
      <c r="AD19" s="183" t="e" cm="1">
        <f t="array" aca="1" ref="AD19" ca="1">IF(ACOMPANHAMENTO&lt;&gt;"PLE",0,SUMPRODUCT((OFFSET(CÁLCULO!$BV$15:$CN$15,$A19,0,$B19)&lt;=(PLE.Medicao-1))*OFFSET(CÁLCULO!$AJ$15:$BB$15,$A19,0,$B19)*OFFSET(ORÇAMENTO!$AB$15,$A19,0,$B19)/(OFFSET(ORÇAMENTO!$X$15,$A19,0,$B19)+10^-12))+IF(AUTOEVENTO="Manual",SUMPRODUCT((OFFSET(CÁLCULO!$M$15,$A19,0,$B19)=1)*OFFSET(ORÇAMENTO!$AB$15,$A19,0,$B19)*(PLE!$AE$9-PLE!$Y$9)),0))</f>
        <v>#N/A</v>
      </c>
      <c r="AE19" s="183" t="e">
        <f ca="1">ROUND(
            IF(ACOMPANHAMENTO&lt;&gt;"PLE",0,
                      SUMIF(OFFSET(CÁLCULO!$BV$15:$CN$15,$A19,0,$B19),"&lt;="&amp;(PLE.Medicao-1),OFFSET(CÁLCULO!$AJ$15:$BB$15,$A19,0,$B19))
                      +IF(AdmLocal="Automática",
                              SUMIF(OFFSET(CÁLCULO!$M$15,$A19,0,$B19),1,OFFSET(ORÇAMENTO!$X$15,$A19,0,$B19))*(PLE!$AE$9-PLE!$Y$9),
                              0)),
            2)</f>
        <v>#N/A</v>
      </c>
      <c r="AF19" s="183" t="e" cm="1">
        <f t="array" aca="1" ref="AF19" ca="1">IF(ACOMPANHAMENTO&lt;&gt;"PLE",0,SUMPRODUCT((OFFSET(CÁLCULO!$BV$15:$CN$15,$A19,0,$B19)&lt;=PLE.Medicao)*OFFSET(CÁLCULO!$AJ$15:$BB$15,$A19,0,$B19)*OFFSET(ORÇAMENTO!$AA$15,$A19,0,$B19)/(OFFSET(ORÇAMENTO!$X$15,$A19,0,$B19)+10^-12))+IF(AUTOEVENTO="Manual",SUMPRODUCT((OFFSET(CÁLCULO!$M$15,$A19,0,$B19)=1)*OFFSET(ORÇAMENTO!$AA$15,$A19,0,$B19)*PLE!$AE$9),0))</f>
        <v>#N/A</v>
      </c>
      <c r="AG19" s="183" t="e" cm="1">
        <f t="array" aca="1" ref="AG19" ca="1">IF(ACOMPANHAMENTO&lt;&gt;"PLE",0,SUMPRODUCT((OFFSET(CÁLCULO!$BV$15:$CN$15,$A19,0,$B19)&lt;=PLE.Medicao)*OFFSET(CÁLCULO!$AJ$15:$BB$15,$A19,0,$B19)*OFFSET(ORÇAMENTO!$AB$15,$A19,0,$B19)/(OFFSET(ORÇAMENTO!$X$15,$A19,0,$B19)+10^-12))+IF(AUTOEVENTO="Manual",SUMPRODUCT((OFFSET(CÁLCULO!$M$15,$A19,0,$B19)=1)*OFFSET(ORÇAMENTO!$AB$15,$A19,0,$B19)*PLE!$AE$9),0))</f>
        <v>#N/A</v>
      </c>
      <c r="AH19" s="183" t="e">
        <f ca="1">ROUND(IF(ACOMPANHAMENTO&lt;&gt;"PLE",0,SUMIF(OFFSET(CÁLCULO!$BV$15:$CN$15,$A19,0,$B19),"&lt;="&amp;PLE.Medicao,OFFSET(CÁLCULO!$AJ$15:$BB$15,$A19,0,$B19))+IF(AdmLocal="Automática",SUMIF(OFFSET(CÁLCULO!$M$15,$A19,0,$B19),1,OFFSET(ORÇAMENTO!$X$15,$A19,0,$B19))*PLE!$AE$9,0)),2)</f>
        <v>#N/A</v>
      </c>
      <c r="AJ19" s="183" cm="1">
        <f t="array" aca="1" ref="AJ19" ca="1">IF(ACOMPANHAMENTO&lt;&gt;"BM",0,SUMPRODUCT(OFFSET(BM!$M$15,$A19,0,$B19)*(OFFSET(BM!$A$15,$A19,0,$B19)="S")*OFFSET(ORÇAMENTO!AA$15,$A19,0,$B19)/(OFFSET(ORÇAMENTO!$X$15,$A19,0,$B19)+10^-12)))</f>
        <v>0</v>
      </c>
      <c r="AK19" s="183" cm="1">
        <f t="array" aca="1" ref="AK19" ca="1">IF(ACOMPANHAMENTO&lt;&gt;"BM",0,SUMPRODUCT(OFFSET(BM!$M$15,$A19,0,$B19)*(OFFSET(BM!$A$15,$A19,0,$B19)="S")*OFFSET(ORÇAMENTO!AB$15,$A19,0,$B19)/(OFFSET(ORÇAMENTO!$X$15,$A19,0,$B19)+10^-12)))</f>
        <v>0</v>
      </c>
      <c r="AL19" s="183">
        <f ca="1">IF(ACOMPANHAMENTO&lt;&gt;"BM",0,OFFSET(BM!$M$15,$A19,0))</f>
        <v>0</v>
      </c>
      <c r="AM19" s="183" cm="1">
        <f t="array" aca="1" ref="AM19" ca="1">IF(ACOMPANHAMENTO&lt;&gt;"BM",0,SUMPRODUCT(OFFSET(BM!$O$15,$A19,0,$B19)*(OFFSET(BM!$A$15,$A19,0,$B19)="S")*OFFSET(ORÇAMENTO!AA$15,$A19,0,$B19)/(OFFSET(ORÇAMENTO!$X$15,$A19,0,$B19)+10^-12)))</f>
        <v>0</v>
      </c>
      <c r="AN19" s="183" cm="1">
        <f t="array" aca="1" ref="AN19" ca="1">IF(ACOMPANHAMENTO&lt;&gt;"BM",0,SUMPRODUCT(OFFSET(BM!$O$15,$A19,0,$B19)*(OFFSET(BM!$A$15,$A19,0,$B19)="S")*OFFSET(ORÇAMENTO!AB$15,$A19,0,$B19)/(OFFSET(ORÇAMENTO!$X$15,$A19,0,$B19)+10^-12)))</f>
        <v>0</v>
      </c>
      <c r="AO19" s="183">
        <f ca="1">IF(ACOMPANHAMENTO&lt;&gt;"BM",0,OFFSET(BM!$O$15,$A19,0))</f>
        <v>0</v>
      </c>
    </row>
    <row r="20" spans="1:41" s="670" customFormat="1" ht="30" customHeight="1" x14ac:dyDescent="0.2">
      <c r="A20" s="670" t="e">
        <f ca="1">MATCH(E20,ORÇAMENTO!$E$15:$E$191,0)-1</f>
        <v>#N/A</v>
      </c>
      <c r="B20" s="670" t="e">
        <f ca="1">IF(ISERROR($A20),NA(),OFFSET(ORÇAMENTO!$D$15,$A20,0))</f>
        <v>#N/A</v>
      </c>
      <c r="C20" s="670" t="str">
        <f ca="1">QCI!B20</f>
        <v>Branco</v>
      </c>
      <c r="D20" s="670"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1</v>
      </c>
      <c r="X20" s="513"/>
      <c r="Y20" s="287"/>
      <c r="Z20" s="288"/>
      <c r="AC20" s="183" t="e" cm="1">
        <f t="array" aca="1" ref="AC20" ca="1">IF(ACOMPANHAMENTO&lt;&gt;"PLE",0,SUMPRODUCT((OFFSET(CÁLCULO!$BV$15:$CN$15,$A20,0,$B20)&lt;=(PLE.Medicao-1))*OFFSET(CÁLCULO!$AJ$15:$BB$15,$A20,0,$B20)*OFFSET(ORÇAMENTO!$AA$15,$A20,0,$B20)/(OFFSET(ORÇAMENTO!$X$15,$A20,0,$B20)+10^-12))+IF(AUTOEVENTO="Manual",SUMPRODUCT((OFFSET(CÁLCULO!$M$15,$A20,0,$B20)=1)*OFFSET(ORÇAMENTO!$AA$15,$A20,0,$B20)*(PLE!$AE$9-PLE!$Y$9)),0))</f>
        <v>#N/A</v>
      </c>
      <c r="AD20" s="183" t="e" cm="1">
        <f t="array" aca="1" ref="AD20" ca="1">IF(ACOMPANHAMENTO&lt;&gt;"PLE",0,SUMPRODUCT((OFFSET(CÁLCULO!$BV$15:$CN$15,$A20,0,$B20)&lt;=(PLE.Medicao-1))*OFFSET(CÁLCULO!$AJ$15:$BB$15,$A20,0,$B20)*OFFSET(ORÇAMENTO!$AB$15,$A20,0,$B20)/(OFFSET(ORÇAMENTO!$X$15,$A20,0,$B20)+10^-12))+IF(AUTOEVENTO="Manual",SUMPRODUCT((OFFSET(CÁLCULO!$M$15,$A20,0,$B20)=1)*OFFSET(ORÇAMENTO!$AB$15,$A20,0,$B20)*(PLE!$AE$9-PLE!$Y$9)),0))</f>
        <v>#N/A</v>
      </c>
      <c r="AE20" s="183" t="e">
        <f ca="1">ROUND(
            IF(ACOMPANHAMENTO&lt;&gt;"PLE",0,
                      SUMIF(OFFSET(CÁLCULO!$BV$15:$CN$15,$A20,0,$B20),"&lt;="&amp;(PLE.Medicao-1),OFFSET(CÁLCULO!$AJ$15:$BB$15,$A20,0,$B20))
                      +IF(AdmLocal="Automática",
                              SUMIF(OFFSET(CÁLCULO!$M$15,$A20,0,$B20),1,OFFSET(ORÇAMENTO!$X$15,$A20,0,$B20))*(PLE!$AE$9-PLE!$Y$9),
                              0)),
            2)</f>
        <v>#N/A</v>
      </c>
      <c r="AF20" s="183" t="e" cm="1">
        <f t="array" aca="1" ref="AF20" ca="1">IF(ACOMPANHAMENTO&lt;&gt;"PLE",0,SUMPRODUCT((OFFSET(CÁLCULO!$BV$15:$CN$15,$A20,0,$B20)&lt;=PLE.Medicao)*OFFSET(CÁLCULO!$AJ$15:$BB$15,$A20,0,$B20)*OFFSET(ORÇAMENTO!$AA$15,$A20,0,$B20)/(OFFSET(ORÇAMENTO!$X$15,$A20,0,$B20)+10^-12))+IF(AUTOEVENTO="Manual",SUMPRODUCT((OFFSET(CÁLCULO!$M$15,$A20,0,$B20)=1)*OFFSET(ORÇAMENTO!$AA$15,$A20,0,$B20)*PLE!$AE$9),0))</f>
        <v>#N/A</v>
      </c>
      <c r="AG20" s="183" t="e" cm="1">
        <f t="array" aca="1" ref="AG20" ca="1">IF(ACOMPANHAMENTO&lt;&gt;"PLE",0,SUMPRODUCT((OFFSET(CÁLCULO!$BV$15:$CN$15,$A20,0,$B20)&lt;=PLE.Medicao)*OFFSET(CÁLCULO!$AJ$15:$BB$15,$A20,0,$B20)*OFFSET(ORÇAMENTO!$AB$15,$A20,0,$B20)/(OFFSET(ORÇAMENTO!$X$15,$A20,0,$B20)+10^-12))+IF(AUTOEVENTO="Manual",SUMPRODUCT((OFFSET(CÁLCULO!$M$15,$A20,0,$B20)=1)*OFFSET(ORÇAMENTO!$AB$15,$A20,0,$B20)*PLE!$AE$9),0))</f>
        <v>#N/A</v>
      </c>
      <c r="AH20" s="183" t="e">
        <f ca="1">ROUND(IF(ACOMPANHAMENTO&lt;&gt;"PLE",0,SUMIF(OFFSET(CÁLCULO!$BV$15:$CN$15,$A20,0,$B20),"&lt;="&amp;PLE.Medicao,OFFSET(CÁLCULO!$AJ$15:$BB$15,$A20,0,$B20))+IF(AdmLocal="Automática",SUMIF(OFFSET(CÁLCULO!$M$15,$A20,0,$B20),1,OFFSET(ORÇAMENTO!$X$15,$A20,0,$B20))*PLE!$AE$9,0)),2)</f>
        <v>#N/A</v>
      </c>
      <c r="AJ20" s="183" cm="1">
        <f t="array" aca="1" ref="AJ20" ca="1">IF(ACOMPANHAMENTO&lt;&gt;"BM",0,SUMPRODUCT(OFFSET(BM!$M$15,$A20,0,$B20)*(OFFSET(BM!$A$15,$A20,0,$B20)="S")*OFFSET(ORÇAMENTO!AA$15,$A20,0,$B20)/(OFFSET(ORÇAMENTO!$X$15,$A20,0,$B20)+10^-12)))</f>
        <v>0</v>
      </c>
      <c r="AK20" s="183" cm="1">
        <f t="array" aca="1" ref="AK20" ca="1">IF(ACOMPANHAMENTO&lt;&gt;"BM",0,SUMPRODUCT(OFFSET(BM!$M$15,$A20,0,$B20)*(OFFSET(BM!$A$15,$A20,0,$B20)="S")*OFFSET(ORÇAMENTO!AB$15,$A20,0,$B20)/(OFFSET(ORÇAMENTO!$X$15,$A20,0,$B20)+10^-12)))</f>
        <v>0</v>
      </c>
      <c r="AL20" s="183">
        <f ca="1">IF(ACOMPANHAMENTO&lt;&gt;"BM",0,OFFSET(BM!$M$15,$A20,0))</f>
        <v>0</v>
      </c>
      <c r="AM20" s="183" cm="1">
        <f t="array" aca="1" ref="AM20" ca="1">IF(ACOMPANHAMENTO&lt;&gt;"BM",0,SUMPRODUCT(OFFSET(BM!$O$15,$A20,0,$B20)*(OFFSET(BM!$A$15,$A20,0,$B20)="S")*OFFSET(ORÇAMENTO!AA$15,$A20,0,$B20)/(OFFSET(ORÇAMENTO!$X$15,$A20,0,$B20)+10^-12)))</f>
        <v>0</v>
      </c>
      <c r="AN20" s="183" cm="1">
        <f t="array" aca="1" ref="AN20" ca="1">IF(ACOMPANHAMENTO&lt;&gt;"BM",0,SUMPRODUCT(OFFSET(BM!$O$15,$A20,0,$B20)*(OFFSET(BM!$A$15,$A20,0,$B20)="S")*OFFSET(ORÇAMENTO!AB$15,$A20,0,$B20)/(OFFSET(ORÇAMENTO!$X$15,$A20,0,$B20)+10^-12)))</f>
        <v>0</v>
      </c>
      <c r="AO20" s="183">
        <f ca="1">IF(ACOMPANHAMENTO&lt;&gt;"BM",0,OFFSET(BM!$O$15,$A20,0))</f>
        <v>0</v>
      </c>
    </row>
    <row r="21" spans="1:41" s="670" customFormat="1" ht="30" customHeight="1" x14ac:dyDescent="0.2">
      <c r="A21" s="670" t="e">
        <f ca="1">MATCH(E21,ORÇAMENTO!$E$15:$E$191,0)-1</f>
        <v>#N/A</v>
      </c>
      <c r="B21" s="670" t="e">
        <f ca="1">IF(ISERROR($A21),NA(),OFFSET(ORÇAMENTO!$D$15,$A21,0))</f>
        <v>#N/A</v>
      </c>
      <c r="C21" s="670" t="str">
        <f ca="1">QCI!B21</f>
        <v>Branco</v>
      </c>
      <c r="D21" s="670"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1</v>
      </c>
      <c r="X21" s="513"/>
      <c r="Y21" s="287"/>
      <c r="Z21" s="288"/>
      <c r="AC21" s="183" t="e" cm="1">
        <f t="array" aca="1" ref="AC21" ca="1">IF(ACOMPANHAMENTO&lt;&gt;"PLE",0,SUMPRODUCT((OFFSET(CÁLCULO!$BV$15:$CN$15,$A21,0,$B21)&lt;=(PLE.Medicao-1))*OFFSET(CÁLCULO!$AJ$15:$BB$15,$A21,0,$B21)*OFFSET(ORÇAMENTO!$AA$15,$A21,0,$B21)/(OFFSET(ORÇAMENTO!$X$15,$A21,0,$B21)+10^-12))+IF(AUTOEVENTO="Manual",SUMPRODUCT((OFFSET(CÁLCULO!$M$15,$A21,0,$B21)=1)*OFFSET(ORÇAMENTO!$AA$15,$A21,0,$B21)*(PLE!$AE$9-PLE!$Y$9)),0))</f>
        <v>#N/A</v>
      </c>
      <c r="AD21" s="183" t="e" cm="1">
        <f t="array" aca="1" ref="AD21" ca="1">IF(ACOMPANHAMENTO&lt;&gt;"PLE",0,SUMPRODUCT((OFFSET(CÁLCULO!$BV$15:$CN$15,$A21,0,$B21)&lt;=(PLE.Medicao-1))*OFFSET(CÁLCULO!$AJ$15:$BB$15,$A21,0,$B21)*OFFSET(ORÇAMENTO!$AB$15,$A21,0,$B21)/(OFFSET(ORÇAMENTO!$X$15,$A21,0,$B21)+10^-12))+IF(AUTOEVENTO="Manual",SUMPRODUCT((OFFSET(CÁLCULO!$M$15,$A21,0,$B21)=1)*OFFSET(ORÇAMENTO!$AB$15,$A21,0,$B21)*(PLE!$AE$9-PLE!$Y$9)),0))</f>
        <v>#N/A</v>
      </c>
      <c r="AE21" s="183" t="e">
        <f ca="1">ROUND(
            IF(ACOMPANHAMENTO&lt;&gt;"PLE",0,
                      SUMIF(OFFSET(CÁLCULO!$BV$15:$CN$15,$A21,0,$B21),"&lt;="&amp;(PLE.Medicao-1),OFFSET(CÁLCULO!$AJ$15:$BB$15,$A21,0,$B21))
                      +IF(AdmLocal="Automática",
                              SUMIF(OFFSET(CÁLCULO!$M$15,$A21,0,$B21),1,OFFSET(ORÇAMENTO!$X$15,$A21,0,$B21))*(PLE!$AE$9-PLE!$Y$9),
                              0)),
            2)</f>
        <v>#N/A</v>
      </c>
      <c r="AF21" s="183" t="e" cm="1">
        <f t="array" aca="1" ref="AF21" ca="1">IF(ACOMPANHAMENTO&lt;&gt;"PLE",0,SUMPRODUCT((OFFSET(CÁLCULO!$BV$15:$CN$15,$A21,0,$B21)&lt;=PLE.Medicao)*OFFSET(CÁLCULO!$AJ$15:$BB$15,$A21,0,$B21)*OFFSET(ORÇAMENTO!$AA$15,$A21,0,$B21)/(OFFSET(ORÇAMENTO!$X$15,$A21,0,$B21)+10^-12))+IF(AUTOEVENTO="Manual",SUMPRODUCT((OFFSET(CÁLCULO!$M$15,$A21,0,$B21)=1)*OFFSET(ORÇAMENTO!$AA$15,$A21,0,$B21)*PLE!$AE$9),0))</f>
        <v>#N/A</v>
      </c>
      <c r="AG21" s="183" t="e" cm="1">
        <f t="array" aca="1" ref="AG21" ca="1">IF(ACOMPANHAMENTO&lt;&gt;"PLE",0,SUMPRODUCT((OFFSET(CÁLCULO!$BV$15:$CN$15,$A21,0,$B21)&lt;=PLE.Medicao)*OFFSET(CÁLCULO!$AJ$15:$BB$15,$A21,0,$B21)*OFFSET(ORÇAMENTO!$AB$15,$A21,0,$B21)/(OFFSET(ORÇAMENTO!$X$15,$A21,0,$B21)+10^-12))+IF(AUTOEVENTO="Manual",SUMPRODUCT((OFFSET(CÁLCULO!$M$15,$A21,0,$B21)=1)*OFFSET(ORÇAMENTO!$AB$15,$A21,0,$B21)*PLE!$AE$9),0))</f>
        <v>#N/A</v>
      </c>
      <c r="AH21" s="183" t="e">
        <f ca="1">ROUND(IF(ACOMPANHAMENTO&lt;&gt;"PLE",0,SUMIF(OFFSET(CÁLCULO!$BV$15:$CN$15,$A21,0,$B21),"&lt;="&amp;PLE.Medicao,OFFSET(CÁLCULO!$AJ$15:$BB$15,$A21,0,$B21))+IF(AdmLocal="Automática",SUMIF(OFFSET(CÁLCULO!$M$15,$A21,0,$B21),1,OFFSET(ORÇAMENTO!$X$15,$A21,0,$B21))*PLE!$AE$9,0)),2)</f>
        <v>#N/A</v>
      </c>
      <c r="AJ21" s="183" cm="1">
        <f t="array" aca="1" ref="AJ21" ca="1">IF(ACOMPANHAMENTO&lt;&gt;"BM",0,SUMPRODUCT(OFFSET(BM!$M$15,$A21,0,$B21)*(OFFSET(BM!$A$15,$A21,0,$B21)="S")*OFFSET(ORÇAMENTO!AA$15,$A21,0,$B21)/(OFFSET(ORÇAMENTO!$X$15,$A21,0,$B21)+10^-12)))</f>
        <v>0</v>
      </c>
      <c r="AK21" s="183" cm="1">
        <f t="array" aca="1" ref="AK21" ca="1">IF(ACOMPANHAMENTO&lt;&gt;"BM",0,SUMPRODUCT(OFFSET(BM!$M$15,$A21,0,$B21)*(OFFSET(BM!$A$15,$A21,0,$B21)="S")*OFFSET(ORÇAMENTO!AB$15,$A21,0,$B21)/(OFFSET(ORÇAMENTO!$X$15,$A21,0,$B21)+10^-12)))</f>
        <v>0</v>
      </c>
      <c r="AL21" s="183">
        <f ca="1">IF(ACOMPANHAMENTO&lt;&gt;"BM",0,OFFSET(BM!$M$15,$A21,0))</f>
        <v>0</v>
      </c>
      <c r="AM21" s="183" cm="1">
        <f t="array" aca="1" ref="AM21" ca="1">IF(ACOMPANHAMENTO&lt;&gt;"BM",0,SUMPRODUCT(OFFSET(BM!$O$15,$A21,0,$B21)*(OFFSET(BM!$A$15,$A21,0,$B21)="S")*OFFSET(ORÇAMENTO!AA$15,$A21,0,$B21)/(OFFSET(ORÇAMENTO!$X$15,$A21,0,$B21)+10^-12)))</f>
        <v>0</v>
      </c>
      <c r="AN21" s="183" cm="1">
        <f t="array" aca="1" ref="AN21" ca="1">IF(ACOMPANHAMENTO&lt;&gt;"BM",0,SUMPRODUCT(OFFSET(BM!$O$15,$A21,0,$B21)*(OFFSET(BM!$A$15,$A21,0,$B21)="S")*OFFSET(ORÇAMENTO!AB$15,$A21,0,$B21)/(OFFSET(ORÇAMENTO!$X$15,$A21,0,$B21)+10^-12)))</f>
        <v>0</v>
      </c>
      <c r="AO21" s="183">
        <f ca="1">IF(ACOMPANHAMENTO&lt;&gt;"BM",0,OFFSET(BM!$O$15,$A21,0))</f>
        <v>0</v>
      </c>
    </row>
    <row r="22" spans="1:41" s="670" customFormat="1" ht="30" customHeight="1" x14ac:dyDescent="0.2">
      <c r="A22" s="670" t="e">
        <f ca="1">MATCH(E22,ORÇAMENTO!$E$15:$E$191,0)-1</f>
        <v>#N/A</v>
      </c>
      <c r="B22" s="670" t="e">
        <f ca="1">IF(ISERROR($A22),NA(),OFFSET(ORÇAMENTO!$D$15,$A22,0))</f>
        <v>#N/A</v>
      </c>
      <c r="C22" s="670" t="str">
        <f ca="1">QCI!B22</f>
        <v>Branco</v>
      </c>
      <c r="D22" s="670"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1</v>
      </c>
      <c r="X22" s="513"/>
      <c r="Y22" s="287"/>
      <c r="Z22" s="288"/>
      <c r="AC22" s="183" t="e" cm="1">
        <f t="array" aca="1" ref="AC22" ca="1">IF(ACOMPANHAMENTO&lt;&gt;"PLE",0,SUMPRODUCT((OFFSET(CÁLCULO!$BV$15:$CN$15,$A22,0,$B22)&lt;=(PLE.Medicao-1))*OFFSET(CÁLCULO!$AJ$15:$BB$15,$A22,0,$B22)*OFFSET(ORÇAMENTO!$AA$15,$A22,0,$B22)/(OFFSET(ORÇAMENTO!$X$15,$A22,0,$B22)+10^-12))+IF(AUTOEVENTO="Manual",SUMPRODUCT((OFFSET(CÁLCULO!$M$15,$A22,0,$B22)=1)*OFFSET(ORÇAMENTO!$AA$15,$A22,0,$B22)*(PLE!$AE$9-PLE!$Y$9)),0))</f>
        <v>#N/A</v>
      </c>
      <c r="AD22" s="183" t="e" cm="1">
        <f t="array" aca="1" ref="AD22" ca="1">IF(ACOMPANHAMENTO&lt;&gt;"PLE",0,SUMPRODUCT((OFFSET(CÁLCULO!$BV$15:$CN$15,$A22,0,$B22)&lt;=(PLE.Medicao-1))*OFFSET(CÁLCULO!$AJ$15:$BB$15,$A22,0,$B22)*OFFSET(ORÇAMENTO!$AB$15,$A22,0,$B22)/(OFFSET(ORÇAMENTO!$X$15,$A22,0,$B22)+10^-12))+IF(AUTOEVENTO="Manual",SUMPRODUCT((OFFSET(CÁLCULO!$M$15,$A22,0,$B22)=1)*OFFSET(ORÇAMENTO!$AB$15,$A22,0,$B22)*(PLE!$AE$9-PLE!$Y$9)),0))</f>
        <v>#N/A</v>
      </c>
      <c r="AE22" s="183" t="e">
        <f ca="1">ROUND(
            IF(ACOMPANHAMENTO&lt;&gt;"PLE",0,
                      SUMIF(OFFSET(CÁLCULO!$BV$15:$CN$15,$A22,0,$B22),"&lt;="&amp;(PLE.Medicao-1),OFFSET(CÁLCULO!$AJ$15:$BB$15,$A22,0,$B22))
                      +IF(AdmLocal="Automática",
                              SUMIF(OFFSET(CÁLCULO!$M$15,$A22,0,$B22),1,OFFSET(ORÇAMENTO!$X$15,$A22,0,$B22))*(PLE!$AE$9-PLE!$Y$9),
                              0)),
            2)</f>
        <v>#N/A</v>
      </c>
      <c r="AF22" s="183" t="e" cm="1">
        <f t="array" aca="1" ref="AF22" ca="1">IF(ACOMPANHAMENTO&lt;&gt;"PLE",0,SUMPRODUCT((OFFSET(CÁLCULO!$BV$15:$CN$15,$A22,0,$B22)&lt;=PLE.Medicao)*OFFSET(CÁLCULO!$AJ$15:$BB$15,$A22,0,$B22)*OFFSET(ORÇAMENTO!$AA$15,$A22,0,$B22)/(OFFSET(ORÇAMENTO!$X$15,$A22,0,$B22)+10^-12))+IF(AUTOEVENTO="Manual",SUMPRODUCT((OFFSET(CÁLCULO!$M$15,$A22,0,$B22)=1)*OFFSET(ORÇAMENTO!$AA$15,$A22,0,$B22)*PLE!$AE$9),0))</f>
        <v>#N/A</v>
      </c>
      <c r="AG22" s="183" t="e" cm="1">
        <f t="array" aca="1" ref="AG22" ca="1">IF(ACOMPANHAMENTO&lt;&gt;"PLE",0,SUMPRODUCT((OFFSET(CÁLCULO!$BV$15:$CN$15,$A22,0,$B22)&lt;=PLE.Medicao)*OFFSET(CÁLCULO!$AJ$15:$BB$15,$A22,0,$B22)*OFFSET(ORÇAMENTO!$AB$15,$A22,0,$B22)/(OFFSET(ORÇAMENTO!$X$15,$A22,0,$B22)+10^-12))+IF(AUTOEVENTO="Manual",SUMPRODUCT((OFFSET(CÁLCULO!$M$15,$A22,0,$B22)=1)*OFFSET(ORÇAMENTO!$AB$15,$A22,0,$B22)*PLE!$AE$9),0))</f>
        <v>#N/A</v>
      </c>
      <c r="AH22" s="183" t="e">
        <f ca="1">ROUND(IF(ACOMPANHAMENTO&lt;&gt;"PLE",0,SUMIF(OFFSET(CÁLCULO!$BV$15:$CN$15,$A22,0,$B22),"&lt;="&amp;PLE.Medicao,OFFSET(CÁLCULO!$AJ$15:$BB$15,$A22,0,$B22))+IF(AdmLocal="Automática",SUMIF(OFFSET(CÁLCULO!$M$15,$A22,0,$B22),1,OFFSET(ORÇAMENTO!$X$15,$A22,0,$B22))*PLE!$AE$9,0)),2)</f>
        <v>#N/A</v>
      </c>
      <c r="AJ22" s="183" cm="1">
        <f t="array" aca="1" ref="AJ22" ca="1">IF(ACOMPANHAMENTO&lt;&gt;"BM",0,SUMPRODUCT(OFFSET(BM!$M$15,$A22,0,$B22)*(OFFSET(BM!$A$15,$A22,0,$B22)="S")*OFFSET(ORÇAMENTO!AA$15,$A22,0,$B22)/(OFFSET(ORÇAMENTO!$X$15,$A22,0,$B22)+10^-12)))</f>
        <v>0</v>
      </c>
      <c r="AK22" s="183" cm="1">
        <f t="array" aca="1" ref="AK22" ca="1">IF(ACOMPANHAMENTO&lt;&gt;"BM",0,SUMPRODUCT(OFFSET(BM!$M$15,$A22,0,$B22)*(OFFSET(BM!$A$15,$A22,0,$B22)="S")*OFFSET(ORÇAMENTO!AB$15,$A22,0,$B22)/(OFFSET(ORÇAMENTO!$X$15,$A22,0,$B22)+10^-12)))</f>
        <v>0</v>
      </c>
      <c r="AL22" s="183">
        <f ca="1">IF(ACOMPANHAMENTO&lt;&gt;"BM",0,OFFSET(BM!$M$15,$A22,0))</f>
        <v>0</v>
      </c>
      <c r="AM22" s="183" cm="1">
        <f t="array" aca="1" ref="AM22" ca="1">IF(ACOMPANHAMENTO&lt;&gt;"BM",0,SUMPRODUCT(OFFSET(BM!$O$15,$A22,0,$B22)*(OFFSET(BM!$A$15,$A22,0,$B22)="S")*OFFSET(ORÇAMENTO!AA$15,$A22,0,$B22)/(OFFSET(ORÇAMENTO!$X$15,$A22,0,$B22)+10^-12)))</f>
        <v>0</v>
      </c>
      <c r="AN22" s="183" cm="1">
        <f t="array" aca="1" ref="AN22" ca="1">IF(ACOMPANHAMENTO&lt;&gt;"BM",0,SUMPRODUCT(OFFSET(BM!$O$15,$A22,0,$B22)*(OFFSET(BM!$A$15,$A22,0,$B22)="S")*OFFSET(ORÇAMENTO!AB$15,$A22,0,$B22)/(OFFSET(ORÇAMENTO!$X$15,$A22,0,$B22)+10^-12)))</f>
        <v>0</v>
      </c>
      <c r="AO22" s="183">
        <f ca="1">IF(ACOMPANHAMENTO&lt;&gt;"BM",0,OFFSET(BM!$O$15,$A22,0))</f>
        <v>0</v>
      </c>
    </row>
    <row r="23" spans="1:41" s="670" customFormat="1" ht="30" customHeight="1" x14ac:dyDescent="0.2">
      <c r="A23" s="670" t="e">
        <f ca="1">MATCH(E23,ORÇAMENTO!$E$15:$E$191,0)-1</f>
        <v>#N/A</v>
      </c>
      <c r="B23" s="670" t="e">
        <f ca="1">IF(ISERROR($A23),NA(),OFFSET(ORÇAMENTO!$D$15,$A23,0))</f>
        <v>#N/A</v>
      </c>
      <c r="C23" s="670" t="str">
        <f ca="1">QCI!B23</f>
        <v>Branco</v>
      </c>
      <c r="D23" s="670"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1</v>
      </c>
      <c r="X23" s="513"/>
      <c r="Y23" s="287"/>
      <c r="Z23" s="288"/>
      <c r="AC23" s="183" t="e" cm="1">
        <f t="array" aca="1" ref="AC23" ca="1">IF(ACOMPANHAMENTO&lt;&gt;"PLE",0,SUMPRODUCT((OFFSET(CÁLCULO!$BV$15:$CN$15,$A23,0,$B23)&lt;=(PLE.Medicao-1))*OFFSET(CÁLCULO!$AJ$15:$BB$15,$A23,0,$B23)*OFFSET(ORÇAMENTO!$AA$15,$A23,0,$B23)/(OFFSET(ORÇAMENTO!$X$15,$A23,0,$B23)+10^-12))+IF(AUTOEVENTO="Manual",SUMPRODUCT((OFFSET(CÁLCULO!$M$15,$A23,0,$B23)=1)*OFFSET(ORÇAMENTO!$AA$15,$A23,0,$B23)*(PLE!$AE$9-PLE!$Y$9)),0))</f>
        <v>#N/A</v>
      </c>
      <c r="AD23" s="183" t="e" cm="1">
        <f t="array" aca="1" ref="AD23" ca="1">IF(ACOMPANHAMENTO&lt;&gt;"PLE",0,SUMPRODUCT((OFFSET(CÁLCULO!$BV$15:$CN$15,$A23,0,$B23)&lt;=(PLE.Medicao-1))*OFFSET(CÁLCULO!$AJ$15:$BB$15,$A23,0,$B23)*OFFSET(ORÇAMENTO!$AB$15,$A23,0,$B23)/(OFFSET(ORÇAMENTO!$X$15,$A23,0,$B23)+10^-12))+IF(AUTOEVENTO="Manual",SUMPRODUCT((OFFSET(CÁLCULO!$M$15,$A23,0,$B23)=1)*OFFSET(ORÇAMENTO!$AB$15,$A23,0,$B23)*(PLE!$AE$9-PLE!$Y$9)),0))</f>
        <v>#N/A</v>
      </c>
      <c r="AE23" s="183" t="e">
        <f ca="1">ROUND(
            IF(ACOMPANHAMENTO&lt;&gt;"PLE",0,
                      SUMIF(OFFSET(CÁLCULO!$BV$15:$CN$15,$A23,0,$B23),"&lt;="&amp;(PLE.Medicao-1),OFFSET(CÁLCULO!$AJ$15:$BB$15,$A23,0,$B23))
                      +IF(AdmLocal="Automática",
                              SUMIF(OFFSET(CÁLCULO!$M$15,$A23,0,$B23),1,OFFSET(ORÇAMENTO!$X$15,$A23,0,$B23))*(PLE!$AE$9-PLE!$Y$9),
                              0)),
            2)</f>
        <v>#N/A</v>
      </c>
      <c r="AF23" s="183" t="e" cm="1">
        <f t="array" aca="1" ref="AF23" ca="1">IF(ACOMPANHAMENTO&lt;&gt;"PLE",0,SUMPRODUCT((OFFSET(CÁLCULO!$BV$15:$CN$15,$A23,0,$B23)&lt;=PLE.Medicao)*OFFSET(CÁLCULO!$AJ$15:$BB$15,$A23,0,$B23)*OFFSET(ORÇAMENTO!$AA$15,$A23,0,$B23)/(OFFSET(ORÇAMENTO!$X$15,$A23,0,$B23)+10^-12))+IF(AUTOEVENTO="Manual",SUMPRODUCT((OFFSET(CÁLCULO!$M$15,$A23,0,$B23)=1)*OFFSET(ORÇAMENTO!$AA$15,$A23,0,$B23)*PLE!$AE$9),0))</f>
        <v>#N/A</v>
      </c>
      <c r="AG23" s="183" t="e" cm="1">
        <f t="array" aca="1" ref="AG23" ca="1">IF(ACOMPANHAMENTO&lt;&gt;"PLE",0,SUMPRODUCT((OFFSET(CÁLCULO!$BV$15:$CN$15,$A23,0,$B23)&lt;=PLE.Medicao)*OFFSET(CÁLCULO!$AJ$15:$BB$15,$A23,0,$B23)*OFFSET(ORÇAMENTO!$AB$15,$A23,0,$B23)/(OFFSET(ORÇAMENTO!$X$15,$A23,0,$B23)+10^-12))+IF(AUTOEVENTO="Manual",SUMPRODUCT((OFFSET(CÁLCULO!$M$15,$A23,0,$B23)=1)*OFFSET(ORÇAMENTO!$AB$15,$A23,0,$B23)*PLE!$AE$9),0))</f>
        <v>#N/A</v>
      </c>
      <c r="AH23" s="183" t="e">
        <f ca="1">ROUND(IF(ACOMPANHAMENTO&lt;&gt;"PLE",0,SUMIF(OFFSET(CÁLCULO!$BV$15:$CN$15,$A23,0,$B23),"&lt;="&amp;PLE.Medicao,OFFSET(CÁLCULO!$AJ$15:$BB$15,$A23,0,$B23))+IF(AdmLocal="Automática",SUMIF(OFFSET(CÁLCULO!$M$15,$A23,0,$B23),1,OFFSET(ORÇAMENTO!$X$15,$A23,0,$B23))*PLE!$AE$9,0)),2)</f>
        <v>#N/A</v>
      </c>
      <c r="AJ23" s="183" cm="1">
        <f t="array" aca="1" ref="AJ23" ca="1">IF(ACOMPANHAMENTO&lt;&gt;"BM",0,SUMPRODUCT(OFFSET(BM!$M$15,$A23,0,$B23)*(OFFSET(BM!$A$15,$A23,0,$B23)="S")*OFFSET(ORÇAMENTO!AA$15,$A23,0,$B23)/(OFFSET(ORÇAMENTO!$X$15,$A23,0,$B23)+10^-12)))</f>
        <v>0</v>
      </c>
      <c r="AK23" s="183" cm="1">
        <f t="array" aca="1" ref="AK23" ca="1">IF(ACOMPANHAMENTO&lt;&gt;"BM",0,SUMPRODUCT(OFFSET(BM!$M$15,$A23,0,$B23)*(OFFSET(BM!$A$15,$A23,0,$B23)="S")*OFFSET(ORÇAMENTO!AB$15,$A23,0,$B23)/(OFFSET(ORÇAMENTO!$X$15,$A23,0,$B23)+10^-12)))</f>
        <v>0</v>
      </c>
      <c r="AL23" s="183">
        <f ca="1">IF(ACOMPANHAMENTO&lt;&gt;"BM",0,OFFSET(BM!$M$15,$A23,0))</f>
        <v>0</v>
      </c>
      <c r="AM23" s="183" cm="1">
        <f t="array" aca="1" ref="AM23" ca="1">IF(ACOMPANHAMENTO&lt;&gt;"BM",0,SUMPRODUCT(OFFSET(BM!$O$15,$A23,0,$B23)*(OFFSET(BM!$A$15,$A23,0,$B23)="S")*OFFSET(ORÇAMENTO!AA$15,$A23,0,$B23)/(OFFSET(ORÇAMENTO!$X$15,$A23,0,$B23)+10^-12)))</f>
        <v>0</v>
      </c>
      <c r="AN23" s="183" cm="1">
        <f t="array" aca="1" ref="AN23" ca="1">IF(ACOMPANHAMENTO&lt;&gt;"BM",0,SUMPRODUCT(OFFSET(BM!$O$15,$A23,0,$B23)*(OFFSET(BM!$A$15,$A23,0,$B23)="S")*OFFSET(ORÇAMENTO!AB$15,$A23,0,$B23)/(OFFSET(ORÇAMENTO!$X$15,$A23,0,$B23)+10^-12)))</f>
        <v>0</v>
      </c>
      <c r="AO23" s="183">
        <f ca="1">IF(ACOMPANHAMENTO&lt;&gt;"BM",0,OFFSET(BM!$O$15,$A23,0))</f>
        <v>0</v>
      </c>
    </row>
    <row r="24" spans="1:41" ht="12.95" customHeight="1" x14ac:dyDescent="0.2">
      <c r="D24" t="s">
        <v>536</v>
      </c>
      <c r="E24" s="1"/>
      <c r="F24" s="1"/>
      <c r="G24" s="1"/>
      <c r="H24" s="1"/>
      <c r="I24" s="2"/>
      <c r="J24" s="903" t="s">
        <v>889</v>
      </c>
      <c r="K24" s="904"/>
      <c r="L24" s="369">
        <f ca="1">IF(ISERROR(L28/$L28),0,ROUND(L28/$L28,4))</f>
        <v>1</v>
      </c>
      <c r="M24" s="371">
        <f ca="1">IF(ISERROR(M28/$L28),0,ROUND(M28/$L28,4))</f>
        <v>0</v>
      </c>
      <c r="N24" s="370">
        <f ca="1">IF(ISERROR(N28/$L28),0,ROUND(N28/$L28,4))</f>
        <v>0</v>
      </c>
      <c r="O24" s="372">
        <f ca="1">IF(ISERROR(O28/$L28),0,ROUND(O28/$L28,4))</f>
        <v>0</v>
      </c>
      <c r="P24" s="905">
        <f ca="1">O28/(L28+10^-12)</f>
        <v>0</v>
      </c>
      <c r="X24" s="302"/>
      <c r="Y24" s="304"/>
      <c r="Z24" s="305"/>
    </row>
    <row r="25" spans="1:41" ht="12.95" customHeight="1" x14ac:dyDescent="0.2">
      <c r="D25" t="s">
        <v>536</v>
      </c>
      <c r="I25" s="4"/>
      <c r="J25" s="906" t="str">
        <f>IF(import.recurso="FGTS","Financiamento","Repasse")</f>
        <v>Repasse</v>
      </c>
      <c r="K25" s="907"/>
      <c r="L25" s="286">
        <f ca="1">QCI!L24</f>
        <v>4985084.83</v>
      </c>
      <c r="M25" s="283">
        <f ca="1">M28-M27-M26</f>
        <v>0</v>
      </c>
      <c r="N25" s="284">
        <f ca="1">O25-M25</f>
        <v>0</v>
      </c>
      <c r="O25" s="285">
        <f ca="1">O28-O27-O26</f>
        <v>0</v>
      </c>
      <c r="P25" s="905"/>
      <c r="X25" s="373"/>
      <c r="Y25" s="374" t="s">
        <v>890</v>
      </c>
      <c r="Z25" s="375" t="s">
        <v>891</v>
      </c>
      <c r="AC25" s="376" t="s">
        <v>892</v>
      </c>
      <c r="AD25" s="376" t="s">
        <v>893</v>
      </c>
    </row>
    <row r="26" spans="1:41" ht="12.95" customHeight="1" x14ac:dyDescent="0.2">
      <c r="D26" t="s">
        <v>536</v>
      </c>
      <c r="I26" s="4"/>
      <c r="J26" s="908" t="s">
        <v>894</v>
      </c>
      <c r="K26" s="909"/>
      <c r="L26" s="377">
        <f ca="1">QCI!M24</f>
        <v>0</v>
      </c>
      <c r="M26" s="378">
        <f ca="1">ROUND(IF(OFFSET($X$26,0,1)&lt;&gt;"",OFFSET($X$26,0,1),SUM(R13:OFFSET(R24,-1,0))),2)</f>
        <v>0</v>
      </c>
      <c r="N26" s="379">
        <f ca="1">O26-M26</f>
        <v>0</v>
      </c>
      <c r="O26" s="380">
        <f ca="1">IF(OFFSET($X$26,0,2)&lt;&gt;"",OFFSET($X$26,0,2),$AE$3)</f>
        <v>0</v>
      </c>
      <c r="P26" s="905"/>
      <c r="X26" s="381" t="s">
        <v>456</v>
      </c>
      <c r="Y26" s="444"/>
      <c r="Z26" s="445"/>
      <c r="AC26" s="382">
        <f ca="1">MIN($L26,$O$28-OFFSET($X$27,0,1))</f>
        <v>0</v>
      </c>
      <c r="AD26" s="382">
        <f ca="1">MIN($L26,$O$28-OFFSET($X$27,0,2))</f>
        <v>0</v>
      </c>
    </row>
    <row r="27" spans="1:41" ht="12.95" customHeight="1" x14ac:dyDescent="0.2">
      <c r="D27" t="s">
        <v>536</v>
      </c>
      <c r="I27" s="4"/>
      <c r="J27" s="910" t="s">
        <v>871</v>
      </c>
      <c r="K27" s="911"/>
      <c r="L27" s="383">
        <f ca="1">QCI!N24</f>
        <v>0</v>
      </c>
      <c r="M27" s="384">
        <f ca="1">ROUND(IF(OFFSET($X$27,0,1)&lt;&gt;"",OFFSET($X$27,0,1),SUM(S13:OFFSET(S24,-1,0))),2)</f>
        <v>0</v>
      </c>
      <c r="N27" s="385">
        <f ca="1">O27-M27</f>
        <v>0</v>
      </c>
      <c r="O27" s="386">
        <f ca="1">IF(OFFSET($X$27,0,2)&lt;&gt;"",OFFSET($X$27,0,2),$AE$4)</f>
        <v>0</v>
      </c>
      <c r="P27" s="905"/>
      <c r="X27" s="387" t="s">
        <v>794</v>
      </c>
      <c r="Y27" s="446"/>
      <c r="Z27" s="447"/>
      <c r="AC27" s="382">
        <f ca="1">MIN($L27,$O$28-OFFSET($X$26,0,1))</f>
        <v>0</v>
      </c>
      <c r="AD27" s="382">
        <f ca="1">MIN($L27,$O$28-OFFSET($X$26,0,2))</f>
        <v>0</v>
      </c>
    </row>
    <row r="28" spans="1:41" ht="15" x14ac:dyDescent="0.2">
      <c r="D28" t="s">
        <v>536</v>
      </c>
      <c r="I28" s="4"/>
      <c r="J28" s="912" t="s">
        <v>873</v>
      </c>
      <c r="K28" s="913"/>
      <c r="L28" s="388">
        <f ca="1">SUM(L13:OFFSET(L24,-1,0))</f>
        <v>4985084.83</v>
      </c>
      <c r="M28" s="648">
        <f ca="1">ROUND(SUM(M13:OFFSET(M24,-1,0)),2)</f>
        <v>0</v>
      </c>
      <c r="N28" s="649">
        <f ca="1">O28-M28</f>
        <v>0</v>
      </c>
      <c r="O28" s="389">
        <f ca="1">SUM(O13:OFFSET(O24,-1,0))</f>
        <v>0</v>
      </c>
      <c r="P28" s="905"/>
      <c r="X28" s="314"/>
      <c r="Y28" s="316"/>
      <c r="Z28" s="317"/>
    </row>
    <row r="29" spans="1:41" x14ac:dyDescent="0.2">
      <c r="O29" s="914" t="str">
        <f ca="1">"Acumulado Anterior:  "&amp;TEXT($M$28/($L$28+10^-12),"0,00%")</f>
        <v>Acumulado Anterior:  0,00%</v>
      </c>
      <c r="P29" s="914"/>
    </row>
    <row r="30" spans="1:41" ht="14.25" x14ac:dyDescent="0.2">
      <c r="E30" s="135" t="s">
        <v>689</v>
      </c>
      <c r="P30" s="414"/>
    </row>
    <row r="31" spans="1:41" ht="12.75" customHeight="1" x14ac:dyDescent="0.2">
      <c r="E31" s="897"/>
      <c r="F31" s="898"/>
      <c r="G31" s="898"/>
      <c r="H31" s="898"/>
      <c r="I31" s="898"/>
      <c r="J31" s="898"/>
      <c r="K31" s="898"/>
      <c r="L31" s="898"/>
      <c r="M31" s="898"/>
      <c r="N31" s="898"/>
      <c r="O31" s="898"/>
      <c r="P31" s="899"/>
    </row>
    <row r="32" spans="1:41" ht="12.75" customHeight="1" x14ac:dyDescent="0.2">
      <c r="E32" s="897"/>
      <c r="F32" s="898"/>
      <c r="G32" s="898"/>
      <c r="H32" s="898"/>
      <c r="I32" s="898"/>
      <c r="J32" s="898"/>
      <c r="K32" s="898"/>
      <c r="L32" s="898"/>
      <c r="M32" s="898"/>
      <c r="N32" s="898"/>
      <c r="O32" s="898"/>
      <c r="P32" s="899"/>
      <c r="Y32" s="390"/>
      <c r="Z32" s="390"/>
    </row>
    <row r="33" spans="5:16" ht="12.75" customHeight="1" x14ac:dyDescent="0.2">
      <c r="E33" s="900"/>
      <c r="F33" s="901"/>
      <c r="G33" s="901"/>
      <c r="H33" s="901"/>
      <c r="I33" s="901"/>
      <c r="J33" s="901"/>
      <c r="K33" s="901"/>
      <c r="L33" s="901"/>
      <c r="M33" s="901"/>
      <c r="N33" s="901"/>
      <c r="O33" s="901"/>
      <c r="P33" s="902"/>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800" t="str">
        <f>Import.Município</f>
        <v>BOA ESPERANÇA</v>
      </c>
      <c r="F35" s="800"/>
      <c r="G35" s="800"/>
      <c r="I35" s="391"/>
      <c r="K35" s="584"/>
      <c r="L35" s="848">
        <f>DADOS!$C$48</f>
        <v>0</v>
      </c>
      <c r="M35" s="848"/>
      <c r="N35" s="848"/>
      <c r="O35" s="848"/>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t="str">
        <f>IF(CAIXA.Modo,DADOS!C60,DADOS!C28)</f>
        <v xml:space="preserve">AROLDO MEDEIROS </v>
      </c>
      <c r="L40" s="77" t="s">
        <v>240</v>
      </c>
      <c r="M40" s="883">
        <f>IF(CAIXA.Modo,BM!X203,DADOS!C51)</f>
        <v>0</v>
      </c>
      <c r="N40" s="883"/>
      <c r="O40" s="883"/>
    </row>
    <row r="41" spans="5:16" x14ac:dyDescent="0.2">
      <c r="E41" s="77" t="str">
        <f>IF(CAIXA.Modo,"Função:","Cargo:")</f>
        <v>Cargo:</v>
      </c>
      <c r="F41" s="271" t="str">
        <f>IF(CAIXA.Modo,DADOS!C61,DADOS!C29)</f>
        <v>PREFEITO</v>
      </c>
      <c r="L41" s="77" t="str">
        <f>IF(CAIXA.Modo,"Matrícula:","Profissão:")</f>
        <v>Profissão:</v>
      </c>
      <c r="M41" s="883">
        <f>IF(CAIXA.Modo,BM!X204,DADOS!C52)</f>
        <v>0</v>
      </c>
      <c r="N41" s="883"/>
      <c r="O41" s="883"/>
    </row>
    <row r="42" spans="5:16" x14ac:dyDescent="0.2">
      <c r="L42" s="77" t="s">
        <v>243</v>
      </c>
      <c r="M42" s="883">
        <f>IF(CAIXA.Modo,BM!X205,DADOS!C53)</f>
        <v>0</v>
      </c>
      <c r="N42" s="883"/>
      <c r="O42" s="883"/>
    </row>
    <row r="43" spans="5:16" x14ac:dyDescent="0.2">
      <c r="L43" s="77" t="str">
        <f>IF(CAIXA.Modo,"","ART/RRT:")</f>
        <v>ART/RRT:</v>
      </c>
      <c r="M43" s="12">
        <f>IF(CAIXA.Modo,"",DADOS!C54)</f>
        <v>0</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82"/>
      <c r="G47" s="882"/>
      <c r="L47" s="77" t="s">
        <v>240</v>
      </c>
      <c r="M47" s="882"/>
      <c r="N47" s="882"/>
      <c r="O47" s="882"/>
    </row>
    <row r="48" spans="5:16" x14ac:dyDescent="0.2">
      <c r="E48" s="77" t="str">
        <f>IF(CAIXA.Modo,"Função:","Cargo:")</f>
        <v>Cargo:</v>
      </c>
      <c r="F48" s="882"/>
      <c r="G48" s="882"/>
      <c r="L48" s="77" t="str">
        <f>IF(CAIXA.Modo,"Função:","Cargo:")</f>
        <v>Cargo:</v>
      </c>
      <c r="M48" s="882"/>
      <c r="N48" s="882"/>
      <c r="O48" s="882"/>
    </row>
    <row r="49" spans="5:15" x14ac:dyDescent="0.2">
      <c r="E49" s="77" t="str">
        <f>IF(CAIXA.Modo,"Matr:","")</f>
        <v/>
      </c>
      <c r="F49" s="882"/>
      <c r="G49" s="882"/>
      <c r="L49" s="77" t="str">
        <f>IF(CAIXA.Modo,"Matrícula:","")</f>
        <v/>
      </c>
      <c r="M49" s="882"/>
      <c r="N49" s="882"/>
      <c r="O49" s="882"/>
    </row>
  </sheetData>
  <sheetProtection algorithmName="SHA-512" hashValue="rgUcBXmHTvxwrhZ0Q1/gHhegEzhtuejJSNJUA4T5h5ZchLE5Ngb/x/Khn+BUkYshCd6px95Fvcd+E1TpxbKeCw==" saltValue="wgdDMJsUyU0eYrkZ+46NQg=="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47" priority="486" stopIfTrue="1">
      <formula>OR($C12="Automático",$C12="Branco")</formula>
    </cfRule>
  </conditionalFormatting>
  <conditionalFormatting sqref="F49:G49 M49:O49">
    <cfRule type="expression" dxfId="46" priority="487" stopIfTrue="1">
      <formula>CAIXA.Modo=FALSE</formula>
    </cfRule>
  </conditionalFormatting>
  <conditionalFormatting sqref="M12 M25:M28 O12 O25:O28">
    <cfRule type="cellIs" dxfId="45" priority="488" stopIfTrue="1" operator="notBetween">
      <formula>0</formula>
      <formula>$L12</formula>
    </cfRule>
  </conditionalFormatting>
  <conditionalFormatting sqref="M10:N10">
    <cfRule type="cellIs" dxfId="44" priority="489" stopIfTrue="1" operator="lessThan">
      <formula>0</formula>
    </cfRule>
  </conditionalFormatting>
  <conditionalFormatting sqref="X14:Z22">
    <cfRule type="expression" dxfId="43" priority="3" stopIfTrue="1">
      <formula>OR($C14="Automático",$C14="Branco")</formula>
    </cfRule>
  </conditionalFormatting>
  <conditionalFormatting sqref="M14:M22 O14:O22">
    <cfRule type="cellIs" dxfId="42" priority="4" stopIfTrue="1" operator="notBetween">
      <formula>0</formula>
      <formula>$L14</formula>
    </cfRule>
  </conditionalFormatting>
  <conditionalFormatting sqref="X23:Z23">
    <cfRule type="expression" dxfId="41" priority="1" stopIfTrue="1">
      <formula>OR($C23="Automático",$C23="Branco")</formula>
    </cfRule>
  </conditionalFormatting>
  <conditionalFormatting sqref="M23 O23">
    <cfRule type="cellIs" dxfId="40"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939"/>
      <c r="C1" s="939"/>
      <c r="D1" s="49"/>
      <c r="E1" s="49"/>
      <c r="F1" s="49"/>
      <c r="G1" s="52" t="s">
        <v>644</v>
      </c>
    </row>
    <row r="2" spans="2:13" x14ac:dyDescent="0.2">
      <c r="B2" s="939"/>
      <c r="C2" s="939"/>
      <c r="D2" s="49"/>
      <c r="E2" s="49"/>
      <c r="F2" s="49"/>
      <c r="G2" s="11" t="s">
        <v>895</v>
      </c>
    </row>
    <row r="3" spans="2:13" ht="26.1" customHeight="1" x14ac:dyDescent="0.2">
      <c r="B3" s="939"/>
      <c r="C3" s="939"/>
      <c r="D3" s="49"/>
      <c r="E3" s="49"/>
      <c r="F3" s="49"/>
      <c r="G3" s="393"/>
    </row>
    <row r="4" spans="2:13" ht="12.75" customHeight="1" x14ac:dyDescent="0.2">
      <c r="B4" s="939"/>
      <c r="C4" s="939"/>
      <c r="D4" s="49"/>
      <c r="E4" s="49"/>
      <c r="F4" s="49"/>
      <c r="G4" s="49"/>
    </row>
    <row r="5" spans="2:13" x14ac:dyDescent="0.2">
      <c r="C5" s="571" t="str">
        <f>IF(Import.Ofício.Num=0,"Preencher o número do Ofício","")</f>
        <v>Preencher o número do Ofício</v>
      </c>
    </row>
    <row r="6" spans="2:13" x14ac:dyDescent="0.2">
      <c r="B6" s="394" t="s">
        <v>896</v>
      </c>
      <c r="C6" s="937"/>
      <c r="D6" s="937"/>
      <c r="E6" s="394"/>
      <c r="F6" s="394"/>
      <c r="G6" s="49"/>
      <c r="J6" s="9"/>
    </row>
    <row r="7" spans="2:13" x14ac:dyDescent="0.2">
      <c r="B7" s="49"/>
      <c r="C7" s="49"/>
      <c r="D7" s="49"/>
      <c r="E7" s="49"/>
      <c r="F7" s="49"/>
      <c r="G7" s="49"/>
    </row>
    <row r="8" spans="2:13" x14ac:dyDescent="0.2">
      <c r="B8" s="938" t="str">
        <f>CONCATENATE(RRE!$E$35,", ",TEXT(RRE!$L$35,"dd"" de ""mmmm"" de ""aaaa"))</f>
        <v>BOA ESPERANÇA, 00 de janeiro de 1900</v>
      </c>
      <c r="C8" s="938"/>
      <c r="D8" s="938"/>
      <c r="E8" s="938"/>
      <c r="F8" s="938"/>
      <c r="G8" s="938"/>
      <c r="H8" s="395"/>
      <c r="J8" s="395"/>
      <c r="K8" s="395"/>
      <c r="L8" s="395"/>
      <c r="M8" s="395"/>
    </row>
    <row r="9" spans="2:13" x14ac:dyDescent="0.2">
      <c r="B9" s="396" t="s">
        <v>897</v>
      </c>
      <c r="C9" s="49"/>
      <c r="D9" s="49"/>
      <c r="G9" s="49"/>
      <c r="H9" s="395"/>
      <c r="J9" s="395"/>
      <c r="K9" s="395"/>
      <c r="L9" s="395"/>
      <c r="M9" s="395"/>
    </row>
    <row r="10" spans="2:13" x14ac:dyDescent="0.2">
      <c r="B10" s="932" t="s">
        <v>898</v>
      </c>
      <c r="C10" s="932"/>
      <c r="D10" s="932"/>
      <c r="G10" s="49"/>
      <c r="H10" s="395"/>
      <c r="J10" s="395"/>
      <c r="K10" s="395"/>
      <c r="L10" s="395"/>
      <c r="M10" s="395"/>
    </row>
    <row r="11" spans="2:13" x14ac:dyDescent="0.2">
      <c r="B11" s="397" t="s">
        <v>899</v>
      </c>
      <c r="C11" s="882"/>
      <c r="D11" s="882"/>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932" t="str" cm="1">
        <f t="array" aca="1" ref="C14" ca="1">CONCATENATE(RRE.Numero,"ª"," Solicitação de ",IF(import.recurso="OGU","Desbloqueio","Desembolso")," de Recursos.")</f>
        <v>1ª Solicitação de Desbloqueio de Recursos.</v>
      </c>
      <c r="D14" s="932"/>
      <c r="E14" s="932"/>
      <c r="F14" s="932"/>
      <c r="G14" s="932"/>
    </row>
    <row r="15" spans="2:13" ht="12.75" customHeight="1" x14ac:dyDescent="0.2">
      <c r="B15" s="396" t="s">
        <v>901</v>
      </c>
      <c r="C15" s="933" t="str">
        <f>CONCATENATE("Contrato de ",IF(import.recurso="OGU","Repasse","Financiamento")," - Operação nº ",Import.CR,IF(Import.TransfereGOV="","",CONCATENATE(" - TransfereGOV nº ",Import.TransfereGOV)))</f>
        <v>Contrato de Repasse - Operação nº 56000000966/2023 - TransfereGOV nº 27488/2025</v>
      </c>
      <c r="D15" s="933"/>
      <c r="E15" s="933"/>
      <c r="F15" s="933"/>
      <c r="G15" s="933"/>
    </row>
    <row r="16" spans="2:13" x14ac:dyDescent="0.2">
      <c r="B16" s="396"/>
      <c r="C16" s="933"/>
      <c r="D16" s="933"/>
      <c r="E16" s="933"/>
      <c r="F16" s="933"/>
      <c r="G16" s="933"/>
    </row>
    <row r="17" spans="2:7" x14ac:dyDescent="0.2">
      <c r="B17" s="49"/>
      <c r="C17" s="49"/>
      <c r="D17" s="49"/>
      <c r="E17" s="49"/>
      <c r="F17" s="49"/>
      <c r="G17" s="49"/>
    </row>
    <row r="18" spans="2:7" ht="12.75" customHeight="1" x14ac:dyDescent="0.2">
      <c r="B18" s="271" t="s">
        <v>902</v>
      </c>
      <c r="C18" s="934" t="str">
        <f>Import.DescLote</f>
        <v>Ampliação e modernização do sistema de abastecimento de água do Município de Boa Esperança.</v>
      </c>
      <c r="D18" s="934"/>
      <c r="E18" s="934"/>
      <c r="F18" s="934"/>
      <c r="G18" s="934"/>
    </row>
    <row r="19" spans="2:7" ht="12.75" customHeight="1" x14ac:dyDescent="0.2">
      <c r="B19" s="930" t="s">
        <v>903</v>
      </c>
      <c r="C19" s="931" t="str">
        <f>Import.Proponente</f>
        <v>MUNICIPIO DE BOA ESPERANCA</v>
      </c>
      <c r="D19" s="931"/>
      <c r="E19" s="931"/>
      <c r="F19" s="931"/>
      <c r="G19" s="931"/>
    </row>
    <row r="20" spans="2:7" x14ac:dyDescent="0.2">
      <c r="B20" s="930"/>
      <c r="C20" s="931"/>
      <c r="D20" s="931"/>
      <c r="E20" s="931"/>
      <c r="F20" s="931"/>
      <c r="G20" s="931"/>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934"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934"/>
      <c r="D24" s="934"/>
      <c r="E24" s="934"/>
      <c r="F24" s="934"/>
      <c r="G24" s="934"/>
    </row>
    <row r="25" spans="2:7" x14ac:dyDescent="0.2">
      <c r="B25" s="934"/>
      <c r="C25" s="934"/>
      <c r="D25" s="934"/>
      <c r="E25" s="934"/>
      <c r="F25" s="934"/>
      <c r="G25" s="934"/>
    </row>
    <row r="26" spans="2:7" x14ac:dyDescent="0.2">
      <c r="B26" s="934"/>
      <c r="C26" s="934"/>
      <c r="D26" s="934"/>
      <c r="E26" s="934"/>
      <c r="F26" s="934"/>
      <c r="G26" s="934"/>
    </row>
    <row r="27" spans="2:7" x14ac:dyDescent="0.2">
      <c r="B27" s="49"/>
      <c r="C27" s="49"/>
      <c r="D27" s="49"/>
      <c r="E27" s="49"/>
      <c r="F27" s="49"/>
      <c r="G27" s="49"/>
    </row>
    <row r="28" spans="2:7" ht="12.75" customHeight="1" x14ac:dyDescent="0.2">
      <c r="B28" s="929"/>
      <c r="C28" s="929"/>
      <c r="D28" s="935" t="s">
        <v>904</v>
      </c>
      <c r="E28" s="935" t="str" cm="1">
        <f t="array" aca="1" ref="E28" ca="1">"Evolução da "&amp;RRE.Numero&amp;"ª Medição"</f>
        <v>Evolução da 1ª Medição</v>
      </c>
      <c r="F28" s="936" t="s">
        <v>905</v>
      </c>
      <c r="G28" s="936"/>
    </row>
    <row r="29" spans="2:7" x14ac:dyDescent="0.2">
      <c r="B29" s="929"/>
      <c r="C29" s="929"/>
      <c r="D29" s="935"/>
      <c r="E29" s="935"/>
      <c r="F29" s="936"/>
      <c r="G29" s="936"/>
    </row>
    <row r="30" spans="2:7" x14ac:dyDescent="0.2">
      <c r="B30" s="924" t="str">
        <f>IF(import.recurso="FGTS","Financiamento:","Repasse:")</f>
        <v>Repasse:</v>
      </c>
      <c r="C30" s="924"/>
      <c r="D30" s="399">
        <f ca="1">RRE!L25</f>
        <v>4985084.83</v>
      </c>
      <c r="E30" s="399">
        <f ca="1">RRE!N25</f>
        <v>0</v>
      </c>
      <c r="F30" s="925">
        <f ca="1">RRE!O25</f>
        <v>0</v>
      </c>
      <c r="G30" s="925"/>
    </row>
    <row r="31" spans="2:7" x14ac:dyDescent="0.2">
      <c r="B31" s="924" t="s">
        <v>906</v>
      </c>
      <c r="C31" s="924"/>
      <c r="D31" s="399">
        <f ca="1">RRE!L26</f>
        <v>0</v>
      </c>
      <c r="E31" s="399">
        <f ca="1">RRE!N26</f>
        <v>0</v>
      </c>
      <c r="F31" s="925">
        <f ca="1">RRE!O26</f>
        <v>0</v>
      </c>
      <c r="G31" s="925"/>
    </row>
    <row r="32" spans="2:7" x14ac:dyDescent="0.2">
      <c r="B32" s="924" t="s">
        <v>801</v>
      </c>
      <c r="C32" s="924"/>
      <c r="D32" s="399">
        <f ca="1">RRE!L27</f>
        <v>0</v>
      </c>
      <c r="E32" s="399">
        <f ca="1">RRE!N27</f>
        <v>0</v>
      </c>
      <c r="F32" s="925">
        <f ca="1">RRE!O27</f>
        <v>0</v>
      </c>
      <c r="G32" s="925"/>
    </row>
    <row r="33" spans="2:7" x14ac:dyDescent="0.2">
      <c r="B33" s="924" t="s">
        <v>802</v>
      </c>
      <c r="C33" s="924"/>
      <c r="D33" s="399">
        <f ca="1">RRE!L28</f>
        <v>4985084.83</v>
      </c>
      <c r="E33" s="399">
        <f ca="1">RRE!N28</f>
        <v>0</v>
      </c>
      <c r="F33" s="925">
        <f ca="1">RRE!O28</f>
        <v>0</v>
      </c>
      <c r="G33" s="925"/>
    </row>
    <row r="34" spans="2:7" x14ac:dyDescent="0.2">
      <c r="B34" s="926" t="s">
        <v>907</v>
      </c>
      <c r="C34" s="926"/>
      <c r="D34" s="400" t="s">
        <v>688</v>
      </c>
      <c r="E34" s="401">
        <f ca="1">RRE!$N$28/(RRE!$L$28+10^-12)</f>
        <v>0</v>
      </c>
      <c r="F34" s="927">
        <f ca="1">RRE!P24</f>
        <v>0</v>
      </c>
      <c r="G34" s="927"/>
    </row>
    <row r="35" spans="2:7" x14ac:dyDescent="0.2">
      <c r="B35" s="181"/>
      <c r="C35" s="49"/>
      <c r="D35" s="49"/>
      <c r="E35" s="49"/>
      <c r="F35" s="49"/>
      <c r="G35" s="49"/>
    </row>
    <row r="36" spans="2:7" x14ac:dyDescent="0.2">
      <c r="B36" s="181"/>
      <c r="C36" s="181"/>
      <c r="D36" s="181"/>
      <c r="E36" s="181"/>
      <c r="F36" s="181"/>
      <c r="G36" s="49"/>
    </row>
    <row r="37" spans="2:7" x14ac:dyDescent="0.2">
      <c r="B37" s="928" t="str" cm="1">
        <f t="array" aca="1" ref="B37" ca="1">IF(RRE.Numero&gt;1,"2. Encaminhamos ainda a documentação relativa à prestação de contas da etapa físico-financeira anterior.","")</f>
        <v/>
      </c>
      <c r="C37" s="928"/>
      <c r="D37" s="928"/>
      <c r="E37" s="928"/>
      <c r="F37" s="928"/>
      <c r="G37" s="928"/>
    </row>
    <row r="38" spans="2:7" x14ac:dyDescent="0.2">
      <c r="B38" s="928"/>
      <c r="C38" s="928"/>
      <c r="D38" s="928"/>
      <c r="E38" s="928"/>
      <c r="F38" s="928"/>
      <c r="G38" s="928"/>
    </row>
    <row r="39" spans="2:7" ht="12.75" customHeight="1" x14ac:dyDescent="0.2">
      <c r="B39" s="928" t="str" cm="1">
        <f t="array" aca="1" ref="B39" ca="1">IF(AND(RRE.Numero&gt;1,NOT(ISBLANK(Import.TransfereGOV))),"3. Na oportunidade, informamos que a execução financeira da parcela anterior está devidamente comprovada no TransfereGOV.","")</f>
        <v/>
      </c>
      <c r="C39" s="928"/>
      <c r="D39" s="928"/>
      <c r="E39" s="928"/>
      <c r="F39" s="928"/>
      <c r="G39" s="928"/>
    </row>
    <row r="40" spans="2:7" x14ac:dyDescent="0.2">
      <c r="B40" s="928"/>
      <c r="C40" s="928"/>
      <c r="D40" s="928"/>
      <c r="E40" s="928"/>
      <c r="F40" s="928"/>
      <c r="G40" s="928"/>
    </row>
    <row r="41" spans="2:7" x14ac:dyDescent="0.2">
      <c r="B41" s="402"/>
      <c r="C41" s="397"/>
      <c r="D41" s="397"/>
      <c r="E41" s="397"/>
      <c r="F41" s="397"/>
      <c r="G41" s="397"/>
    </row>
    <row r="42" spans="2:7" ht="12.75" customHeight="1" x14ac:dyDescent="0.2">
      <c r="B42" s="928"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928"/>
      <c r="D42" s="928"/>
      <c r="E42" s="928"/>
      <c r="F42" s="928"/>
      <c r="G42" s="928"/>
    </row>
    <row r="43" spans="2:7" x14ac:dyDescent="0.2">
      <c r="B43" s="928"/>
      <c r="C43" s="928"/>
      <c r="D43" s="928"/>
      <c r="E43" s="928"/>
      <c r="F43" s="928"/>
      <c r="G43" s="928"/>
    </row>
    <row r="44" spans="2:7" x14ac:dyDescent="0.2">
      <c r="B44" s="928"/>
      <c r="C44" s="928"/>
      <c r="D44" s="928"/>
      <c r="E44" s="928"/>
      <c r="F44" s="928"/>
      <c r="G44" s="928"/>
    </row>
    <row r="45" spans="2:7" x14ac:dyDescent="0.2">
      <c r="B45" s="928"/>
      <c r="C45" s="928"/>
      <c r="D45" s="928"/>
      <c r="E45" s="928"/>
      <c r="F45" s="928"/>
      <c r="G45" s="928"/>
    </row>
    <row r="46" spans="2:7" x14ac:dyDescent="0.2">
      <c r="B46" s="928"/>
      <c r="C46" s="928"/>
      <c r="D46" s="928"/>
      <c r="E46" s="928"/>
      <c r="F46" s="928"/>
      <c r="G46" s="928"/>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922" t="str">
        <f>DADOS!$C$28</f>
        <v xml:space="preserve">AROLDO MEDEIROS </v>
      </c>
      <c r="C54" s="922"/>
      <c r="D54" s="922"/>
      <c r="E54" s="922"/>
      <c r="F54" s="922"/>
      <c r="G54" s="922"/>
    </row>
    <row r="55" spans="2:7" x14ac:dyDescent="0.2">
      <c r="B55" s="922" t="str">
        <f>DADOS!$C$29</f>
        <v>PREFEITO</v>
      </c>
      <c r="C55" s="922"/>
      <c r="D55" s="922"/>
      <c r="E55" s="922"/>
      <c r="F55" s="922"/>
      <c r="G55" s="922"/>
    </row>
    <row r="56" spans="2:7" x14ac:dyDescent="0.2">
      <c r="B56" s="923"/>
      <c r="C56" s="923"/>
      <c r="D56" s="923"/>
      <c r="E56" s="923"/>
      <c r="F56" s="923"/>
      <c r="G56" s="923"/>
    </row>
  </sheetData>
  <sheetProtection algorithmName="SHA-512" hashValue="+wr3xpzyUTpRU/gfk1LE0qJkxZHTONVJSN9e0syzl40E/V8eA/2fcpDNHv9wQ0T1BlY/jCgpwEeduULjmeIMgQ==" saltValue="h7JQx3aNFmVk6z4LZN8LEQ=="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9"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1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742" t="s">
        <v>929</v>
      </c>
      <c r="B2" s="743" t="s">
        <v>1367</v>
      </c>
      <c r="C2" s="742"/>
      <c r="D2" s="742"/>
      <c r="E2" s="742" t="s">
        <v>1262</v>
      </c>
      <c r="F2" s="744"/>
      <c r="G2" s="742"/>
      <c r="H2" s="745"/>
      <c r="I2" s="745"/>
      <c r="J2" s="746"/>
      <c r="K2" s="747"/>
      <c r="L2" s="748">
        <f>17998.6</f>
        <v>17998.599999999999</v>
      </c>
      <c r="M2" s="742"/>
      <c r="N2" s="749"/>
      <c r="O2" s="742"/>
      <c r="P2" s="749"/>
      <c r="Q2" s="742"/>
      <c r="R2" s="750"/>
      <c r="S2" s="747"/>
    </row>
    <row r="3" spans="1:19" ht="45" customHeight="1" x14ac:dyDescent="0.25">
      <c r="A3" s="742" t="s">
        <v>705</v>
      </c>
      <c r="B3" s="743" t="s">
        <v>1368</v>
      </c>
      <c r="C3" s="742" t="s">
        <v>750</v>
      </c>
      <c r="D3" s="742" t="s">
        <v>1079</v>
      </c>
      <c r="E3" s="742" t="s">
        <v>1369</v>
      </c>
      <c r="F3" s="744">
        <f>6.48</f>
        <v>6.48</v>
      </c>
      <c r="G3" s="742" t="s">
        <v>623</v>
      </c>
      <c r="H3" s="745">
        <v>430.02</v>
      </c>
      <c r="I3" s="745">
        <v>430.02</v>
      </c>
      <c r="J3" s="746">
        <v>0.24</v>
      </c>
      <c r="K3" s="747">
        <f>533.22</f>
        <v>533.22</v>
      </c>
      <c r="L3" s="748">
        <f>3455.27</f>
        <v>3455.27</v>
      </c>
      <c r="M3" s="742" t="s">
        <v>250</v>
      </c>
      <c r="N3" s="749">
        <v>3</v>
      </c>
      <c r="O3" s="742" t="s">
        <v>1269</v>
      </c>
      <c r="P3" s="749">
        <v>2</v>
      </c>
      <c r="Q3" s="742" t="s">
        <v>1327</v>
      </c>
      <c r="R3" s="750">
        <v>6.48</v>
      </c>
      <c r="S3" s="747">
        <f>3455.27</f>
        <v>3455.27</v>
      </c>
    </row>
    <row r="4" spans="1:19" ht="45" customHeight="1" x14ac:dyDescent="0.25">
      <c r="A4" s="742" t="s">
        <v>705</v>
      </c>
      <c r="B4" s="743" t="s">
        <v>1370</v>
      </c>
      <c r="C4" s="742" t="s">
        <v>871</v>
      </c>
      <c r="D4" s="742" t="s">
        <v>1371</v>
      </c>
      <c r="E4" s="742" t="s">
        <v>1372</v>
      </c>
      <c r="F4" s="744">
        <f>12</f>
        <v>12</v>
      </c>
      <c r="G4" s="742" t="s">
        <v>629</v>
      </c>
      <c r="H4" s="745">
        <v>858.71</v>
      </c>
      <c r="I4" s="745">
        <v>858.71</v>
      </c>
      <c r="J4" s="746">
        <v>0.24</v>
      </c>
      <c r="K4" s="747">
        <f>1064.8</f>
        <v>1064.8</v>
      </c>
      <c r="L4" s="748">
        <f>12777.6</f>
        <v>12777.6</v>
      </c>
      <c r="M4" s="742" t="s">
        <v>250</v>
      </c>
      <c r="N4" s="749">
        <v>3</v>
      </c>
      <c r="O4" s="742" t="s">
        <v>1269</v>
      </c>
      <c r="P4" s="749">
        <v>2</v>
      </c>
      <c r="Q4" s="742" t="s">
        <v>1327</v>
      </c>
      <c r="R4" s="750">
        <v>12</v>
      </c>
      <c r="S4" s="747">
        <f>12777.6</f>
        <v>12777.6</v>
      </c>
    </row>
    <row r="5" spans="1:19" ht="45" customHeight="1" x14ac:dyDescent="0.25">
      <c r="A5" s="742" t="s">
        <v>705</v>
      </c>
      <c r="B5" s="743" t="s">
        <v>1373</v>
      </c>
      <c r="C5" s="742" t="s">
        <v>871</v>
      </c>
      <c r="D5" s="742" t="s">
        <v>1374</v>
      </c>
      <c r="E5" s="742" t="s">
        <v>1375</v>
      </c>
      <c r="F5" s="744">
        <f>1</f>
        <v>1</v>
      </c>
      <c r="G5" s="742" t="s">
        <v>639</v>
      </c>
      <c r="H5" s="745">
        <v>830.96</v>
      </c>
      <c r="I5" s="745">
        <v>830.96</v>
      </c>
      <c r="J5" s="746">
        <v>0.24</v>
      </c>
      <c r="K5" s="747">
        <f>1030.39</f>
        <v>1030.3900000000001</v>
      </c>
      <c r="L5" s="748">
        <f>1030.39</f>
        <v>1030.3900000000001</v>
      </c>
      <c r="M5" s="742" t="s">
        <v>250</v>
      </c>
      <c r="N5" s="749">
        <v>3</v>
      </c>
      <c r="O5" s="742" t="s">
        <v>1269</v>
      </c>
      <c r="P5" s="749">
        <v>2</v>
      </c>
      <c r="Q5" s="742" t="s">
        <v>1327</v>
      </c>
      <c r="R5" s="750">
        <v>1</v>
      </c>
      <c r="S5" s="747">
        <f>1030.39</f>
        <v>1030.3900000000001</v>
      </c>
    </row>
    <row r="6" spans="1:19" ht="45" customHeight="1" x14ac:dyDescent="0.25">
      <c r="A6" s="742" t="s">
        <v>705</v>
      </c>
      <c r="B6" s="743" t="s">
        <v>1376</v>
      </c>
      <c r="C6" s="742" t="s">
        <v>871</v>
      </c>
      <c r="D6" s="742" t="s">
        <v>1377</v>
      </c>
      <c r="E6" s="742" t="s">
        <v>1378</v>
      </c>
      <c r="F6" s="744">
        <f>1</f>
        <v>1</v>
      </c>
      <c r="G6" s="742" t="s">
        <v>639</v>
      </c>
      <c r="H6" s="745">
        <v>593.02</v>
      </c>
      <c r="I6" s="745">
        <v>593.02</v>
      </c>
      <c r="J6" s="746">
        <v>0.24</v>
      </c>
      <c r="K6" s="747">
        <f>735.34</f>
        <v>735.34</v>
      </c>
      <c r="L6" s="748">
        <f>735.34</f>
        <v>735.34</v>
      </c>
      <c r="M6" s="742" t="s">
        <v>250</v>
      </c>
      <c r="N6" s="749">
        <v>3</v>
      </c>
      <c r="O6" s="742" t="s">
        <v>1269</v>
      </c>
      <c r="P6" s="749">
        <v>2</v>
      </c>
      <c r="Q6" s="742" t="s">
        <v>1327</v>
      </c>
      <c r="R6" s="750">
        <v>1</v>
      </c>
      <c r="S6" s="747">
        <f>735.34</f>
        <v>735.34</v>
      </c>
    </row>
    <row r="7" spans="1:19" ht="45" customHeight="1" x14ac:dyDescent="0.25">
      <c r="A7" s="742" t="s">
        <v>929</v>
      </c>
      <c r="B7" s="743" t="s">
        <v>1379</v>
      </c>
      <c r="C7" s="742"/>
      <c r="D7" s="742"/>
      <c r="E7" s="742" t="s">
        <v>1261</v>
      </c>
      <c r="F7" s="744"/>
      <c r="G7" s="742"/>
      <c r="H7" s="745"/>
      <c r="I7" s="745"/>
      <c r="J7" s="746"/>
      <c r="K7" s="747"/>
      <c r="L7" s="748">
        <f>22366.32</f>
        <v>22366.32</v>
      </c>
      <c r="M7" s="742"/>
      <c r="N7" s="749"/>
      <c r="O7" s="742"/>
      <c r="P7" s="749"/>
      <c r="Q7" s="742"/>
      <c r="R7" s="750"/>
      <c r="S7" s="747"/>
    </row>
    <row r="8" spans="1:19" ht="45" customHeight="1" x14ac:dyDescent="0.25">
      <c r="A8" s="742" t="s">
        <v>705</v>
      </c>
      <c r="B8" s="743" t="s">
        <v>1380</v>
      </c>
      <c r="C8" s="742" t="s">
        <v>750</v>
      </c>
      <c r="D8" s="742" t="s">
        <v>1009</v>
      </c>
      <c r="E8" s="742" t="s">
        <v>1381</v>
      </c>
      <c r="F8" s="744">
        <f>100</f>
        <v>100</v>
      </c>
      <c r="G8" s="742" t="s">
        <v>621</v>
      </c>
      <c r="H8" s="745">
        <v>77.430000000000007</v>
      </c>
      <c r="I8" s="745">
        <v>77.430000000000007</v>
      </c>
      <c r="J8" s="746">
        <v>0.24</v>
      </c>
      <c r="K8" s="747">
        <f>96.01</f>
        <v>96.01</v>
      </c>
      <c r="L8" s="748">
        <f>9601</f>
        <v>9601</v>
      </c>
      <c r="M8" s="742" t="s">
        <v>250</v>
      </c>
      <c r="N8" s="749">
        <v>4</v>
      </c>
      <c r="O8" s="742" t="s">
        <v>1268</v>
      </c>
      <c r="P8" s="749">
        <v>2</v>
      </c>
      <c r="Q8" s="742" t="s">
        <v>1327</v>
      </c>
      <c r="R8" s="750">
        <v>100</v>
      </c>
      <c r="S8" s="747">
        <f>9601</f>
        <v>9601</v>
      </c>
    </row>
    <row r="9" spans="1:19" ht="45" customHeight="1" x14ac:dyDescent="0.25">
      <c r="A9" s="742" t="s">
        <v>705</v>
      </c>
      <c r="B9" s="743" t="s">
        <v>1382</v>
      </c>
      <c r="C9" s="742" t="s">
        <v>750</v>
      </c>
      <c r="D9" s="742" t="s">
        <v>1010</v>
      </c>
      <c r="E9" s="742" t="s">
        <v>1383</v>
      </c>
      <c r="F9" s="744">
        <f>600</f>
        <v>600</v>
      </c>
      <c r="G9" s="742" t="s">
        <v>623</v>
      </c>
      <c r="H9" s="745">
        <v>5.3</v>
      </c>
      <c r="I9" s="745">
        <v>5.3</v>
      </c>
      <c r="J9" s="746">
        <v>0.24</v>
      </c>
      <c r="K9" s="747">
        <f>6.57</f>
        <v>6.57</v>
      </c>
      <c r="L9" s="748">
        <f>3942</f>
        <v>3942</v>
      </c>
      <c r="M9" s="742" t="s">
        <v>250</v>
      </c>
      <c r="N9" s="749">
        <v>4</v>
      </c>
      <c r="O9" s="742" t="s">
        <v>1268</v>
      </c>
      <c r="P9" s="749">
        <v>3</v>
      </c>
      <c r="Q9" s="742" t="s">
        <v>1263</v>
      </c>
      <c r="R9" s="750">
        <v>600</v>
      </c>
      <c r="S9" s="747">
        <f>3942</f>
        <v>3942</v>
      </c>
    </row>
    <row r="10" spans="1:19" ht="45" customHeight="1" x14ac:dyDescent="0.25">
      <c r="A10" s="742" t="s">
        <v>705</v>
      </c>
      <c r="B10" s="743" t="s">
        <v>1384</v>
      </c>
      <c r="C10" s="742" t="s">
        <v>871</v>
      </c>
      <c r="D10" s="742" t="s">
        <v>1385</v>
      </c>
      <c r="E10" s="742" t="s">
        <v>1386</v>
      </c>
      <c r="F10" s="744">
        <f>4</f>
        <v>4</v>
      </c>
      <c r="G10" s="742" t="s">
        <v>639</v>
      </c>
      <c r="H10" s="745">
        <v>43.64</v>
      </c>
      <c r="I10" s="745">
        <v>43.64</v>
      </c>
      <c r="J10" s="746">
        <v>0.24</v>
      </c>
      <c r="K10" s="747">
        <f>54.11</f>
        <v>54.11</v>
      </c>
      <c r="L10" s="748">
        <f>216.44</f>
        <v>216.44</v>
      </c>
      <c r="M10" s="742" t="s">
        <v>250</v>
      </c>
      <c r="N10" s="749">
        <v>4</v>
      </c>
      <c r="O10" s="742" t="s">
        <v>1268</v>
      </c>
      <c r="P10" s="749">
        <v>3</v>
      </c>
      <c r="Q10" s="742" t="s">
        <v>1263</v>
      </c>
      <c r="R10" s="750">
        <v>1</v>
      </c>
      <c r="S10" s="747">
        <f>54.11</f>
        <v>54.11</v>
      </c>
    </row>
    <row r="11" spans="1:19" ht="45" customHeight="1" x14ac:dyDescent="0.25">
      <c r="A11" s="742"/>
      <c r="B11" s="743"/>
      <c r="C11" s="742"/>
      <c r="D11" s="742"/>
      <c r="E11" s="742"/>
      <c r="F11" s="744"/>
      <c r="G11" s="742"/>
      <c r="H11" s="745"/>
      <c r="I11" s="745"/>
      <c r="J11" s="746"/>
      <c r="K11" s="747"/>
      <c r="L11" s="748"/>
      <c r="M11" s="742"/>
      <c r="N11" s="749"/>
      <c r="O11" s="742"/>
      <c r="P11" s="749">
        <v>5</v>
      </c>
      <c r="Q11" s="742" t="s">
        <v>1264</v>
      </c>
      <c r="R11" s="750">
        <v>1</v>
      </c>
      <c r="S11" s="747">
        <f>54.11</f>
        <v>54.11</v>
      </c>
    </row>
    <row r="12" spans="1:19" ht="45" customHeight="1" x14ac:dyDescent="0.25">
      <c r="A12" s="742"/>
      <c r="B12" s="743"/>
      <c r="C12" s="742"/>
      <c r="D12" s="742"/>
      <c r="E12" s="742"/>
      <c r="F12" s="744"/>
      <c r="G12" s="742"/>
      <c r="H12" s="745"/>
      <c r="I12" s="745"/>
      <c r="J12" s="746"/>
      <c r="K12" s="747"/>
      <c r="L12" s="748"/>
      <c r="M12" s="742"/>
      <c r="N12" s="749"/>
      <c r="O12" s="742"/>
      <c r="P12" s="749">
        <v>6</v>
      </c>
      <c r="Q12" s="742" t="s">
        <v>1265</v>
      </c>
      <c r="R12" s="750">
        <v>1</v>
      </c>
      <c r="S12" s="747">
        <f>54.11</f>
        <v>54.11</v>
      </c>
    </row>
    <row r="13" spans="1:19" ht="45" customHeight="1" x14ac:dyDescent="0.25">
      <c r="A13" s="742"/>
      <c r="B13" s="743"/>
      <c r="C13" s="742"/>
      <c r="D13" s="742"/>
      <c r="E13" s="742"/>
      <c r="F13" s="744"/>
      <c r="G13" s="742"/>
      <c r="H13" s="745"/>
      <c r="I13" s="745"/>
      <c r="J13" s="746"/>
      <c r="K13" s="747"/>
      <c r="L13" s="748"/>
      <c r="M13" s="742"/>
      <c r="N13" s="749"/>
      <c r="O13" s="742"/>
      <c r="P13" s="749">
        <v>7</v>
      </c>
      <c r="Q13" s="742" t="s">
        <v>1266</v>
      </c>
      <c r="R13" s="750">
        <v>1</v>
      </c>
      <c r="S13" s="747">
        <f>54.11</f>
        <v>54.11</v>
      </c>
    </row>
    <row r="14" spans="1:19" ht="45" customHeight="1" x14ac:dyDescent="0.25">
      <c r="A14" s="742" t="s">
        <v>705</v>
      </c>
      <c r="B14" s="743" t="s">
        <v>1387</v>
      </c>
      <c r="C14" s="742" t="s">
        <v>871</v>
      </c>
      <c r="D14" s="742" t="s">
        <v>1388</v>
      </c>
      <c r="E14" s="742" t="s">
        <v>1389</v>
      </c>
      <c r="F14" s="744">
        <f>834</f>
        <v>834</v>
      </c>
      <c r="G14" s="742" t="s">
        <v>623</v>
      </c>
      <c r="H14" s="745">
        <v>8.32</v>
      </c>
      <c r="I14" s="745">
        <v>8.32</v>
      </c>
      <c r="J14" s="746">
        <v>0.24</v>
      </c>
      <c r="K14" s="747">
        <f>10.32</f>
        <v>10.32</v>
      </c>
      <c r="L14" s="748">
        <f>8606.88</f>
        <v>8606.8799999999992</v>
      </c>
      <c r="M14" s="742" t="s">
        <v>250</v>
      </c>
      <c r="N14" s="749">
        <v>30</v>
      </c>
      <c r="O14" s="742" t="s">
        <v>1285</v>
      </c>
      <c r="P14" s="749">
        <v>2</v>
      </c>
      <c r="Q14" s="742" t="s">
        <v>1327</v>
      </c>
      <c r="R14" s="750">
        <v>834</v>
      </c>
      <c r="S14" s="747">
        <f>8606.88</f>
        <v>8606.8799999999992</v>
      </c>
    </row>
    <row r="15" spans="1:19" ht="45" customHeight="1" x14ac:dyDescent="0.25">
      <c r="A15" s="742" t="s">
        <v>929</v>
      </c>
      <c r="B15" s="743" t="s">
        <v>1390</v>
      </c>
      <c r="C15" s="742"/>
      <c r="D15" s="742"/>
      <c r="E15" s="742" t="s">
        <v>1078</v>
      </c>
      <c r="F15" s="744"/>
      <c r="G15" s="742"/>
      <c r="H15" s="745"/>
      <c r="I15" s="745"/>
      <c r="J15" s="746"/>
      <c r="K15" s="747"/>
      <c r="L15" s="748">
        <f>239264.48</f>
        <v>239264.48</v>
      </c>
      <c r="M15" s="742"/>
      <c r="N15" s="749"/>
      <c r="O15" s="742"/>
      <c r="P15" s="749"/>
      <c r="Q15" s="742"/>
      <c r="R15" s="750"/>
      <c r="S15" s="747"/>
    </row>
    <row r="16" spans="1:19" ht="45" customHeight="1" x14ac:dyDescent="0.25">
      <c r="A16" s="742" t="s">
        <v>705</v>
      </c>
      <c r="B16" s="743" t="s">
        <v>1391</v>
      </c>
      <c r="C16" s="742" t="s">
        <v>750</v>
      </c>
      <c r="D16" s="742" t="s">
        <v>1215</v>
      </c>
      <c r="E16" s="742" t="s">
        <v>1392</v>
      </c>
      <c r="F16" s="744">
        <f>0.2</f>
        <v>0.2</v>
      </c>
      <c r="G16" s="742" t="s">
        <v>628</v>
      </c>
      <c r="H16" s="745">
        <v>8904.85</v>
      </c>
      <c r="I16" s="745">
        <v>8904.85</v>
      </c>
      <c r="J16" s="746">
        <v>0.24</v>
      </c>
      <c r="K16" s="747">
        <f>11042.01</f>
        <v>11042.01</v>
      </c>
      <c r="L16" s="748">
        <f>2208.4</f>
        <v>2208.4</v>
      </c>
      <c r="M16" s="742" t="s">
        <v>250</v>
      </c>
      <c r="N16" s="749">
        <v>5</v>
      </c>
      <c r="O16" s="742" t="s">
        <v>784</v>
      </c>
      <c r="P16" s="749">
        <v>2</v>
      </c>
      <c r="Q16" s="742" t="s">
        <v>1327</v>
      </c>
      <c r="R16" s="750">
        <v>0.01</v>
      </c>
      <c r="S16" s="747">
        <f>110.42</f>
        <v>110.42</v>
      </c>
    </row>
    <row r="17" spans="1:19" ht="45" customHeight="1" x14ac:dyDescent="0.25">
      <c r="A17" s="742"/>
      <c r="B17" s="743"/>
      <c r="C17" s="742"/>
      <c r="D17" s="742"/>
      <c r="E17" s="742"/>
      <c r="F17" s="744"/>
      <c r="G17" s="742"/>
      <c r="H17" s="745"/>
      <c r="I17" s="745"/>
      <c r="J17" s="746"/>
      <c r="K17" s="747"/>
      <c r="L17" s="748"/>
      <c r="M17" s="742"/>
      <c r="N17" s="749"/>
      <c r="O17" s="742"/>
      <c r="P17" s="749">
        <v>4</v>
      </c>
      <c r="Q17" s="742" t="s">
        <v>1271</v>
      </c>
      <c r="R17" s="750">
        <v>0.02</v>
      </c>
      <c r="S17" s="747">
        <f>220.84</f>
        <v>220.84</v>
      </c>
    </row>
    <row r="18" spans="1:19" ht="45" customHeight="1" x14ac:dyDescent="0.25">
      <c r="A18" s="742"/>
      <c r="B18" s="743"/>
      <c r="C18" s="742"/>
      <c r="D18" s="742"/>
      <c r="E18" s="742"/>
      <c r="F18" s="744"/>
      <c r="G18" s="742"/>
      <c r="H18" s="745"/>
      <c r="I18" s="745"/>
      <c r="J18" s="746"/>
      <c r="K18" s="747"/>
      <c r="L18" s="748"/>
      <c r="M18" s="742"/>
      <c r="N18" s="749"/>
      <c r="O18" s="742"/>
      <c r="P18" s="749">
        <v>5</v>
      </c>
      <c r="Q18" s="742" t="s">
        <v>1264</v>
      </c>
      <c r="R18" s="750">
        <v>0.01</v>
      </c>
      <c r="S18" s="747">
        <f>110.42</f>
        <v>110.42</v>
      </c>
    </row>
    <row r="19" spans="1:19" ht="45" customHeight="1" x14ac:dyDescent="0.25">
      <c r="A19" s="742"/>
      <c r="B19" s="743"/>
      <c r="C19" s="742"/>
      <c r="D19" s="742"/>
      <c r="E19" s="742"/>
      <c r="F19" s="744"/>
      <c r="G19" s="742"/>
      <c r="H19" s="745"/>
      <c r="I19" s="745"/>
      <c r="J19" s="746"/>
      <c r="K19" s="747"/>
      <c r="L19" s="748"/>
      <c r="M19" s="742"/>
      <c r="N19" s="749"/>
      <c r="O19" s="742"/>
      <c r="P19" s="749">
        <v>6</v>
      </c>
      <c r="Q19" s="742" t="s">
        <v>1265</v>
      </c>
      <c r="R19" s="750">
        <v>0.06</v>
      </c>
      <c r="S19" s="747">
        <f>662.52</f>
        <v>662.52</v>
      </c>
    </row>
    <row r="20" spans="1:19" ht="45" customHeight="1" x14ac:dyDescent="0.25">
      <c r="A20" s="742"/>
      <c r="B20" s="743"/>
      <c r="C20" s="742"/>
      <c r="D20" s="742"/>
      <c r="E20" s="742"/>
      <c r="F20" s="744"/>
      <c r="G20" s="742"/>
      <c r="H20" s="745"/>
      <c r="I20" s="745"/>
      <c r="J20" s="746"/>
      <c r="K20" s="747"/>
      <c r="L20" s="748"/>
      <c r="M20" s="742"/>
      <c r="N20" s="749"/>
      <c r="O20" s="742"/>
      <c r="P20" s="749">
        <v>7</v>
      </c>
      <c r="Q20" s="742" t="s">
        <v>1266</v>
      </c>
      <c r="R20" s="750">
        <v>0.01</v>
      </c>
      <c r="S20" s="747">
        <f>110.42</f>
        <v>110.42</v>
      </c>
    </row>
    <row r="21" spans="1:19" ht="45" customHeight="1" x14ac:dyDescent="0.25">
      <c r="A21" s="742"/>
      <c r="B21" s="743"/>
      <c r="C21" s="742"/>
      <c r="D21" s="742"/>
      <c r="E21" s="742"/>
      <c r="F21" s="744"/>
      <c r="G21" s="742"/>
      <c r="H21" s="745"/>
      <c r="I21" s="745"/>
      <c r="J21" s="746"/>
      <c r="K21" s="747"/>
      <c r="L21" s="748"/>
      <c r="M21" s="742"/>
      <c r="N21" s="749"/>
      <c r="O21" s="742"/>
      <c r="P21" s="749">
        <v>8</v>
      </c>
      <c r="Q21" s="742" t="s">
        <v>1328</v>
      </c>
      <c r="R21" s="750">
        <v>0.03</v>
      </c>
      <c r="S21" s="747">
        <f>331.26</f>
        <v>331.26</v>
      </c>
    </row>
    <row r="22" spans="1:19" ht="45" customHeight="1" x14ac:dyDescent="0.25">
      <c r="A22" s="742"/>
      <c r="B22" s="743"/>
      <c r="C22" s="742"/>
      <c r="D22" s="742"/>
      <c r="E22" s="742"/>
      <c r="F22" s="744"/>
      <c r="G22" s="742"/>
      <c r="H22" s="745"/>
      <c r="I22" s="745"/>
      <c r="J22" s="746"/>
      <c r="K22" s="747"/>
      <c r="L22" s="748"/>
      <c r="M22" s="742"/>
      <c r="N22" s="749"/>
      <c r="O22" s="742"/>
      <c r="P22" s="749">
        <v>9</v>
      </c>
      <c r="Q22" s="742" t="s">
        <v>1329</v>
      </c>
      <c r="R22" s="750">
        <v>0.02</v>
      </c>
      <c r="S22" s="747">
        <f>220.84</f>
        <v>220.84</v>
      </c>
    </row>
    <row r="23" spans="1:19" ht="45" customHeight="1" x14ac:dyDescent="0.25">
      <c r="A23" s="742"/>
      <c r="B23" s="743"/>
      <c r="C23" s="742"/>
      <c r="D23" s="742"/>
      <c r="E23" s="742"/>
      <c r="F23" s="744"/>
      <c r="G23" s="742"/>
      <c r="H23" s="745"/>
      <c r="I23" s="745"/>
      <c r="J23" s="746"/>
      <c r="K23" s="747"/>
      <c r="L23" s="748"/>
      <c r="M23" s="742"/>
      <c r="N23" s="749"/>
      <c r="O23" s="742"/>
      <c r="P23" s="749">
        <v>10</v>
      </c>
      <c r="Q23" s="742" t="s">
        <v>1330</v>
      </c>
      <c r="R23" s="750">
        <v>0.01</v>
      </c>
      <c r="S23" s="747">
        <f>110.42</f>
        <v>110.42</v>
      </c>
    </row>
    <row r="24" spans="1:19" ht="45" customHeight="1" x14ac:dyDescent="0.25">
      <c r="A24" s="742"/>
      <c r="B24" s="743"/>
      <c r="C24" s="742"/>
      <c r="D24" s="742"/>
      <c r="E24" s="742"/>
      <c r="F24" s="744"/>
      <c r="G24" s="742"/>
      <c r="H24" s="745"/>
      <c r="I24" s="745"/>
      <c r="J24" s="746"/>
      <c r="K24" s="747"/>
      <c r="L24" s="748"/>
      <c r="M24" s="742"/>
      <c r="N24" s="749"/>
      <c r="O24" s="742"/>
      <c r="P24" s="749">
        <v>11</v>
      </c>
      <c r="Q24" s="742" t="s">
        <v>1331</v>
      </c>
      <c r="R24" s="750">
        <v>0.03</v>
      </c>
      <c r="S24" s="747">
        <f>331.26</f>
        <v>331.26</v>
      </c>
    </row>
    <row r="25" spans="1:19" ht="45" customHeight="1" x14ac:dyDescent="0.25">
      <c r="A25" s="742" t="s">
        <v>705</v>
      </c>
      <c r="B25" s="743" t="s">
        <v>1393</v>
      </c>
      <c r="C25" s="742" t="s">
        <v>750</v>
      </c>
      <c r="D25" s="742" t="s">
        <v>1217</v>
      </c>
      <c r="E25" s="742" t="s">
        <v>1394</v>
      </c>
      <c r="F25" s="744">
        <f>0.2</f>
        <v>0.2</v>
      </c>
      <c r="G25" s="742" t="s">
        <v>628</v>
      </c>
      <c r="H25" s="745">
        <v>8570.4599999999991</v>
      </c>
      <c r="I25" s="745">
        <v>8570.4599999999991</v>
      </c>
      <c r="J25" s="746">
        <v>0.24</v>
      </c>
      <c r="K25" s="747">
        <f>10627.37</f>
        <v>10627.37</v>
      </c>
      <c r="L25" s="748">
        <f>2125.46</f>
        <v>2125.46</v>
      </c>
      <c r="M25" s="742" t="s">
        <v>250</v>
      </c>
      <c r="N25" s="749">
        <v>5</v>
      </c>
      <c r="O25" s="742" t="s">
        <v>784</v>
      </c>
      <c r="P25" s="749">
        <v>2</v>
      </c>
      <c r="Q25" s="742" t="s">
        <v>1327</v>
      </c>
      <c r="R25" s="750">
        <v>0.01</v>
      </c>
      <c r="S25" s="747">
        <f>106.27</f>
        <v>106.27</v>
      </c>
    </row>
    <row r="26" spans="1:19" ht="45" customHeight="1" x14ac:dyDescent="0.25">
      <c r="A26" s="742"/>
      <c r="B26" s="743"/>
      <c r="C26" s="742"/>
      <c r="D26" s="742"/>
      <c r="E26" s="742"/>
      <c r="F26" s="744"/>
      <c r="G26" s="742"/>
      <c r="H26" s="745"/>
      <c r="I26" s="745"/>
      <c r="J26" s="746"/>
      <c r="K26" s="747"/>
      <c r="L26" s="748"/>
      <c r="M26" s="742"/>
      <c r="N26" s="749"/>
      <c r="O26" s="742"/>
      <c r="P26" s="749">
        <v>4</v>
      </c>
      <c r="Q26" s="742" t="s">
        <v>1271</v>
      </c>
      <c r="R26" s="750">
        <v>0.02</v>
      </c>
      <c r="S26" s="747">
        <f>212.55</f>
        <v>212.55</v>
      </c>
    </row>
    <row r="27" spans="1:19" ht="45" customHeight="1" x14ac:dyDescent="0.25">
      <c r="A27" s="742"/>
      <c r="B27" s="743"/>
      <c r="C27" s="742"/>
      <c r="D27" s="742"/>
      <c r="E27" s="742"/>
      <c r="F27" s="744"/>
      <c r="G27" s="742"/>
      <c r="H27" s="745"/>
      <c r="I27" s="745"/>
      <c r="J27" s="746"/>
      <c r="K27" s="747"/>
      <c r="L27" s="748"/>
      <c r="M27" s="742"/>
      <c r="N27" s="749"/>
      <c r="O27" s="742"/>
      <c r="P27" s="749">
        <v>5</v>
      </c>
      <c r="Q27" s="742" t="s">
        <v>1264</v>
      </c>
      <c r="R27" s="750">
        <v>0.01</v>
      </c>
      <c r="S27" s="747">
        <f>106.27</f>
        <v>106.27</v>
      </c>
    </row>
    <row r="28" spans="1:19" ht="45" customHeight="1" x14ac:dyDescent="0.25">
      <c r="A28" s="742"/>
      <c r="B28" s="743"/>
      <c r="C28" s="742"/>
      <c r="D28" s="742"/>
      <c r="E28" s="742"/>
      <c r="F28" s="744"/>
      <c r="G28" s="742"/>
      <c r="H28" s="745"/>
      <c r="I28" s="745"/>
      <c r="J28" s="746"/>
      <c r="K28" s="747"/>
      <c r="L28" s="748"/>
      <c r="M28" s="742"/>
      <c r="N28" s="749"/>
      <c r="O28" s="742"/>
      <c r="P28" s="749">
        <v>6</v>
      </c>
      <c r="Q28" s="742" t="s">
        <v>1265</v>
      </c>
      <c r="R28" s="750">
        <v>0.06</v>
      </c>
      <c r="S28" s="747">
        <f>637.64</f>
        <v>637.64</v>
      </c>
    </row>
    <row r="29" spans="1:19" ht="45" customHeight="1" x14ac:dyDescent="0.25">
      <c r="A29" s="742"/>
      <c r="B29" s="743"/>
      <c r="C29" s="742"/>
      <c r="D29" s="742"/>
      <c r="E29" s="742"/>
      <c r="F29" s="744"/>
      <c r="G29" s="742"/>
      <c r="H29" s="745"/>
      <c r="I29" s="745"/>
      <c r="J29" s="746"/>
      <c r="K29" s="747"/>
      <c r="L29" s="748"/>
      <c r="M29" s="742"/>
      <c r="N29" s="749"/>
      <c r="O29" s="742"/>
      <c r="P29" s="749">
        <v>7</v>
      </c>
      <c r="Q29" s="742" t="s">
        <v>1266</v>
      </c>
      <c r="R29" s="750">
        <v>0.01</v>
      </c>
      <c r="S29" s="747">
        <f>106.27</f>
        <v>106.27</v>
      </c>
    </row>
    <row r="30" spans="1:19" ht="45" customHeight="1" x14ac:dyDescent="0.25">
      <c r="A30" s="742"/>
      <c r="B30" s="743"/>
      <c r="C30" s="742"/>
      <c r="D30" s="742"/>
      <c r="E30" s="742"/>
      <c r="F30" s="744"/>
      <c r="G30" s="742"/>
      <c r="H30" s="745"/>
      <c r="I30" s="745"/>
      <c r="J30" s="746"/>
      <c r="K30" s="747"/>
      <c r="L30" s="748"/>
      <c r="M30" s="742"/>
      <c r="N30" s="749"/>
      <c r="O30" s="742"/>
      <c r="P30" s="749">
        <v>8</v>
      </c>
      <c r="Q30" s="742" t="s">
        <v>1328</v>
      </c>
      <c r="R30" s="750">
        <v>0.03</v>
      </c>
      <c r="S30" s="747">
        <f>318.82</f>
        <v>318.82</v>
      </c>
    </row>
    <row r="31" spans="1:19" ht="45" customHeight="1" x14ac:dyDescent="0.25">
      <c r="A31" s="742"/>
      <c r="B31" s="743"/>
      <c r="C31" s="742"/>
      <c r="D31" s="742"/>
      <c r="E31" s="742"/>
      <c r="F31" s="744"/>
      <c r="G31" s="742"/>
      <c r="H31" s="745"/>
      <c r="I31" s="745"/>
      <c r="J31" s="746"/>
      <c r="K31" s="747"/>
      <c r="L31" s="748"/>
      <c r="M31" s="742"/>
      <c r="N31" s="749"/>
      <c r="O31" s="742"/>
      <c r="P31" s="749">
        <v>9</v>
      </c>
      <c r="Q31" s="742" t="s">
        <v>1329</v>
      </c>
      <c r="R31" s="750">
        <v>0.02</v>
      </c>
      <c r="S31" s="747">
        <f>212.55</f>
        <v>212.55</v>
      </c>
    </row>
    <row r="32" spans="1:19" ht="45" customHeight="1" x14ac:dyDescent="0.25">
      <c r="A32" s="742"/>
      <c r="B32" s="743"/>
      <c r="C32" s="742"/>
      <c r="D32" s="742"/>
      <c r="E32" s="742"/>
      <c r="F32" s="744"/>
      <c r="G32" s="742"/>
      <c r="H32" s="745"/>
      <c r="I32" s="745"/>
      <c r="J32" s="746"/>
      <c r="K32" s="747"/>
      <c r="L32" s="748"/>
      <c r="M32" s="742"/>
      <c r="N32" s="749"/>
      <c r="O32" s="742"/>
      <c r="P32" s="749">
        <v>10</v>
      </c>
      <c r="Q32" s="742" t="s">
        <v>1330</v>
      </c>
      <c r="R32" s="750">
        <v>0.01</v>
      </c>
      <c r="S32" s="747">
        <f>106.27</f>
        <v>106.27</v>
      </c>
    </row>
    <row r="33" spans="1:19" ht="45" customHeight="1" x14ac:dyDescent="0.25">
      <c r="A33" s="742"/>
      <c r="B33" s="743"/>
      <c r="C33" s="742"/>
      <c r="D33" s="742"/>
      <c r="E33" s="742"/>
      <c r="F33" s="744"/>
      <c r="G33" s="742"/>
      <c r="H33" s="745"/>
      <c r="I33" s="745"/>
      <c r="J33" s="746"/>
      <c r="K33" s="747"/>
      <c r="L33" s="748"/>
      <c r="M33" s="742"/>
      <c r="N33" s="749"/>
      <c r="O33" s="742"/>
      <c r="P33" s="749">
        <v>11</v>
      </c>
      <c r="Q33" s="742" t="s">
        <v>1331</v>
      </c>
      <c r="R33" s="750">
        <v>0.03</v>
      </c>
      <c r="S33" s="747">
        <f>318.82</f>
        <v>318.82</v>
      </c>
    </row>
    <row r="34" spans="1:19" ht="45" customHeight="1" x14ac:dyDescent="0.25">
      <c r="A34" s="742" t="s">
        <v>705</v>
      </c>
      <c r="B34" s="743" t="s">
        <v>1395</v>
      </c>
      <c r="C34" s="742" t="s">
        <v>750</v>
      </c>
      <c r="D34" s="742" t="s">
        <v>1213</v>
      </c>
      <c r="E34" s="742" t="s">
        <v>1396</v>
      </c>
      <c r="F34" s="744">
        <f>12</f>
        <v>12</v>
      </c>
      <c r="G34" s="742" t="s">
        <v>628</v>
      </c>
      <c r="H34" s="745">
        <v>11519.29</v>
      </c>
      <c r="I34" s="745">
        <v>11519.29</v>
      </c>
      <c r="J34" s="746">
        <v>0.24</v>
      </c>
      <c r="K34" s="747">
        <f>14283.92</f>
        <v>14283.92</v>
      </c>
      <c r="L34" s="748">
        <f>171407.03</f>
        <v>171407.03</v>
      </c>
      <c r="M34" s="742" t="s">
        <v>250</v>
      </c>
      <c r="N34" s="749">
        <v>5</v>
      </c>
      <c r="O34" s="742" t="s">
        <v>784</v>
      </c>
      <c r="P34" s="749">
        <v>2</v>
      </c>
      <c r="Q34" s="742" t="s">
        <v>1327</v>
      </c>
      <c r="R34" s="750">
        <v>0.6</v>
      </c>
      <c r="S34" s="747">
        <f>8570.35</f>
        <v>8570.35</v>
      </c>
    </row>
    <row r="35" spans="1:19" ht="45" customHeight="1" x14ac:dyDescent="0.25">
      <c r="A35" s="742"/>
      <c r="B35" s="743"/>
      <c r="C35" s="742"/>
      <c r="D35" s="742"/>
      <c r="E35" s="742"/>
      <c r="F35" s="744"/>
      <c r="G35" s="742"/>
      <c r="H35" s="745"/>
      <c r="I35" s="745"/>
      <c r="J35" s="746"/>
      <c r="K35" s="747"/>
      <c r="L35" s="748"/>
      <c r="M35" s="742"/>
      <c r="N35" s="749"/>
      <c r="O35" s="742"/>
      <c r="P35" s="749">
        <v>4</v>
      </c>
      <c r="Q35" s="742" t="s">
        <v>1271</v>
      </c>
      <c r="R35" s="750">
        <v>1.2</v>
      </c>
      <c r="S35" s="747">
        <f>17140.7</f>
        <v>17140.7</v>
      </c>
    </row>
    <row r="36" spans="1:19" ht="45" customHeight="1" x14ac:dyDescent="0.25">
      <c r="A36" s="742"/>
      <c r="B36" s="743"/>
      <c r="C36" s="742"/>
      <c r="D36" s="742"/>
      <c r="E36" s="742"/>
      <c r="F36" s="744"/>
      <c r="G36" s="742"/>
      <c r="H36" s="745"/>
      <c r="I36" s="745"/>
      <c r="J36" s="746"/>
      <c r="K36" s="747"/>
      <c r="L36" s="748"/>
      <c r="M36" s="742"/>
      <c r="N36" s="749"/>
      <c r="O36" s="742"/>
      <c r="P36" s="749">
        <v>5</v>
      </c>
      <c r="Q36" s="742" t="s">
        <v>1264</v>
      </c>
      <c r="R36" s="750">
        <v>0.6</v>
      </c>
      <c r="S36" s="747">
        <f>8570.35</f>
        <v>8570.35</v>
      </c>
    </row>
    <row r="37" spans="1:19" ht="45" customHeight="1" x14ac:dyDescent="0.25">
      <c r="A37" s="742"/>
      <c r="B37" s="743"/>
      <c r="C37" s="742"/>
      <c r="D37" s="742"/>
      <c r="E37" s="742"/>
      <c r="F37" s="744"/>
      <c r="G37" s="742"/>
      <c r="H37" s="745"/>
      <c r="I37" s="745"/>
      <c r="J37" s="746"/>
      <c r="K37" s="747"/>
      <c r="L37" s="748"/>
      <c r="M37" s="742"/>
      <c r="N37" s="749"/>
      <c r="O37" s="742"/>
      <c r="P37" s="749">
        <v>6</v>
      </c>
      <c r="Q37" s="742" t="s">
        <v>1265</v>
      </c>
      <c r="R37" s="750">
        <v>3.6</v>
      </c>
      <c r="S37" s="747">
        <f>51422.11</f>
        <v>51422.11</v>
      </c>
    </row>
    <row r="38" spans="1:19" ht="45" customHeight="1" x14ac:dyDescent="0.25">
      <c r="A38" s="742"/>
      <c r="B38" s="743"/>
      <c r="C38" s="742"/>
      <c r="D38" s="742"/>
      <c r="E38" s="742"/>
      <c r="F38" s="744"/>
      <c r="G38" s="742"/>
      <c r="H38" s="745"/>
      <c r="I38" s="745"/>
      <c r="J38" s="746"/>
      <c r="K38" s="747"/>
      <c r="L38" s="748"/>
      <c r="M38" s="742"/>
      <c r="N38" s="749"/>
      <c r="O38" s="742"/>
      <c r="P38" s="749">
        <v>7</v>
      </c>
      <c r="Q38" s="742" t="s">
        <v>1266</v>
      </c>
      <c r="R38" s="750">
        <v>0.6</v>
      </c>
      <c r="S38" s="747">
        <f>8570.35</f>
        <v>8570.35</v>
      </c>
    </row>
    <row r="39" spans="1:19" ht="45" customHeight="1" x14ac:dyDescent="0.25">
      <c r="A39" s="742"/>
      <c r="B39" s="743"/>
      <c r="C39" s="742"/>
      <c r="D39" s="742"/>
      <c r="E39" s="742"/>
      <c r="F39" s="744"/>
      <c r="G39" s="742"/>
      <c r="H39" s="745"/>
      <c r="I39" s="745"/>
      <c r="J39" s="746"/>
      <c r="K39" s="747"/>
      <c r="L39" s="748"/>
      <c r="M39" s="742"/>
      <c r="N39" s="749"/>
      <c r="O39" s="742"/>
      <c r="P39" s="749">
        <v>8</v>
      </c>
      <c r="Q39" s="742" t="s">
        <v>1328</v>
      </c>
      <c r="R39" s="750">
        <v>1.8</v>
      </c>
      <c r="S39" s="747">
        <f>25711.06</f>
        <v>25711.06</v>
      </c>
    </row>
    <row r="40" spans="1:19" ht="45" customHeight="1" x14ac:dyDescent="0.25">
      <c r="A40" s="742"/>
      <c r="B40" s="743"/>
      <c r="C40" s="742"/>
      <c r="D40" s="742"/>
      <c r="E40" s="742"/>
      <c r="F40" s="744"/>
      <c r="G40" s="742"/>
      <c r="H40" s="745"/>
      <c r="I40" s="745"/>
      <c r="J40" s="746"/>
      <c r="K40" s="747"/>
      <c r="L40" s="748"/>
      <c r="M40" s="742"/>
      <c r="N40" s="749"/>
      <c r="O40" s="742"/>
      <c r="P40" s="749">
        <v>9</v>
      </c>
      <c r="Q40" s="742" t="s">
        <v>1329</v>
      </c>
      <c r="R40" s="750">
        <v>1.2</v>
      </c>
      <c r="S40" s="747">
        <f>17140.7</f>
        <v>17140.7</v>
      </c>
    </row>
    <row r="41" spans="1:19" ht="45" customHeight="1" x14ac:dyDescent="0.25">
      <c r="A41" s="742"/>
      <c r="B41" s="743"/>
      <c r="C41" s="742"/>
      <c r="D41" s="742"/>
      <c r="E41" s="742"/>
      <c r="F41" s="744"/>
      <c r="G41" s="742"/>
      <c r="H41" s="745"/>
      <c r="I41" s="745"/>
      <c r="J41" s="746"/>
      <c r="K41" s="747"/>
      <c r="L41" s="748"/>
      <c r="M41" s="742"/>
      <c r="N41" s="749"/>
      <c r="O41" s="742"/>
      <c r="P41" s="749">
        <v>10</v>
      </c>
      <c r="Q41" s="742" t="s">
        <v>1330</v>
      </c>
      <c r="R41" s="750">
        <v>0.6</v>
      </c>
      <c r="S41" s="747">
        <f>8570.35</f>
        <v>8570.35</v>
      </c>
    </row>
    <row r="42" spans="1:19" ht="45" customHeight="1" x14ac:dyDescent="0.25">
      <c r="A42" s="742"/>
      <c r="B42" s="743"/>
      <c r="C42" s="742"/>
      <c r="D42" s="742"/>
      <c r="E42" s="742"/>
      <c r="F42" s="744"/>
      <c r="G42" s="742"/>
      <c r="H42" s="745"/>
      <c r="I42" s="745"/>
      <c r="J42" s="746"/>
      <c r="K42" s="747"/>
      <c r="L42" s="748"/>
      <c r="M42" s="742"/>
      <c r="N42" s="749"/>
      <c r="O42" s="742"/>
      <c r="P42" s="749">
        <v>11</v>
      </c>
      <c r="Q42" s="742" t="s">
        <v>1331</v>
      </c>
      <c r="R42" s="750">
        <v>1.8</v>
      </c>
      <c r="S42" s="747">
        <f>25711.06</f>
        <v>25711.06</v>
      </c>
    </row>
    <row r="43" spans="1:19" ht="45" customHeight="1" x14ac:dyDescent="0.25">
      <c r="A43" s="742" t="s">
        <v>705</v>
      </c>
      <c r="B43" s="743" t="s">
        <v>1397</v>
      </c>
      <c r="C43" s="742" t="s">
        <v>750</v>
      </c>
      <c r="D43" s="742" t="s">
        <v>1214</v>
      </c>
      <c r="E43" s="742" t="s">
        <v>1398</v>
      </c>
      <c r="F43" s="744">
        <f>2</f>
        <v>2</v>
      </c>
      <c r="G43" s="742" t="s">
        <v>628</v>
      </c>
      <c r="H43" s="745">
        <v>25614.35</v>
      </c>
      <c r="I43" s="745">
        <v>25614.35</v>
      </c>
      <c r="J43" s="746">
        <v>0.24</v>
      </c>
      <c r="K43" s="747">
        <f>31761.79</f>
        <v>31761.79</v>
      </c>
      <c r="L43" s="748">
        <f>63523.59</f>
        <v>63523.59</v>
      </c>
      <c r="M43" s="742" t="s">
        <v>250</v>
      </c>
      <c r="N43" s="749">
        <v>5</v>
      </c>
      <c r="O43" s="742" t="s">
        <v>784</v>
      </c>
      <c r="P43" s="749">
        <v>2</v>
      </c>
      <c r="Q43" s="742" t="s">
        <v>1327</v>
      </c>
      <c r="R43" s="750">
        <v>0.1</v>
      </c>
      <c r="S43" s="747">
        <f>3176.18</f>
        <v>3176.18</v>
      </c>
    </row>
    <row r="44" spans="1:19" ht="45" customHeight="1" x14ac:dyDescent="0.25">
      <c r="A44" s="742"/>
      <c r="B44" s="743"/>
      <c r="C44" s="742"/>
      <c r="D44" s="742"/>
      <c r="E44" s="742"/>
      <c r="F44" s="744"/>
      <c r="G44" s="742"/>
      <c r="H44" s="745"/>
      <c r="I44" s="745"/>
      <c r="J44" s="746"/>
      <c r="K44" s="747"/>
      <c r="L44" s="748"/>
      <c r="M44" s="742"/>
      <c r="N44" s="749"/>
      <c r="O44" s="742"/>
      <c r="P44" s="749">
        <v>4</v>
      </c>
      <c r="Q44" s="742" t="s">
        <v>1271</v>
      </c>
      <c r="R44" s="750">
        <v>0.2</v>
      </c>
      <c r="S44" s="747">
        <f>6352.36</f>
        <v>6352.36</v>
      </c>
    </row>
    <row r="45" spans="1:19" ht="45" customHeight="1" x14ac:dyDescent="0.25">
      <c r="A45" s="742"/>
      <c r="B45" s="743"/>
      <c r="C45" s="742"/>
      <c r="D45" s="742"/>
      <c r="E45" s="742"/>
      <c r="F45" s="744"/>
      <c r="G45" s="742"/>
      <c r="H45" s="745"/>
      <c r="I45" s="745"/>
      <c r="J45" s="746"/>
      <c r="K45" s="747"/>
      <c r="L45" s="748"/>
      <c r="M45" s="742"/>
      <c r="N45" s="749"/>
      <c r="O45" s="742"/>
      <c r="P45" s="749">
        <v>5</v>
      </c>
      <c r="Q45" s="742" t="s">
        <v>1264</v>
      </c>
      <c r="R45" s="750">
        <v>0.1</v>
      </c>
      <c r="S45" s="747">
        <f>3176.18</f>
        <v>3176.18</v>
      </c>
    </row>
    <row r="46" spans="1:19" ht="45" customHeight="1" x14ac:dyDescent="0.25">
      <c r="A46" s="742"/>
      <c r="B46" s="743"/>
      <c r="C46" s="742"/>
      <c r="D46" s="742"/>
      <c r="E46" s="742"/>
      <c r="F46" s="744"/>
      <c r="G46" s="742"/>
      <c r="H46" s="745"/>
      <c r="I46" s="745"/>
      <c r="J46" s="746"/>
      <c r="K46" s="747"/>
      <c r="L46" s="748"/>
      <c r="M46" s="742"/>
      <c r="N46" s="749"/>
      <c r="O46" s="742"/>
      <c r="P46" s="749">
        <v>6</v>
      </c>
      <c r="Q46" s="742" t="s">
        <v>1265</v>
      </c>
      <c r="R46" s="750">
        <v>0.6</v>
      </c>
      <c r="S46" s="747">
        <f>19057.07</f>
        <v>19057.07</v>
      </c>
    </row>
    <row r="47" spans="1:19" ht="45" customHeight="1" x14ac:dyDescent="0.25">
      <c r="A47" s="742"/>
      <c r="B47" s="743"/>
      <c r="C47" s="742"/>
      <c r="D47" s="742"/>
      <c r="E47" s="742"/>
      <c r="F47" s="744"/>
      <c r="G47" s="742"/>
      <c r="H47" s="745"/>
      <c r="I47" s="745"/>
      <c r="J47" s="746"/>
      <c r="K47" s="747"/>
      <c r="L47" s="748"/>
      <c r="M47" s="742"/>
      <c r="N47" s="749"/>
      <c r="O47" s="742"/>
      <c r="P47" s="749">
        <v>7</v>
      </c>
      <c r="Q47" s="742" t="s">
        <v>1266</v>
      </c>
      <c r="R47" s="750">
        <v>0.1</v>
      </c>
      <c r="S47" s="747">
        <f>3176.18</f>
        <v>3176.18</v>
      </c>
    </row>
    <row r="48" spans="1:19" ht="45" customHeight="1" x14ac:dyDescent="0.25">
      <c r="A48" s="742"/>
      <c r="B48" s="743"/>
      <c r="C48" s="742"/>
      <c r="D48" s="742"/>
      <c r="E48" s="742"/>
      <c r="F48" s="744"/>
      <c r="G48" s="742"/>
      <c r="H48" s="745"/>
      <c r="I48" s="745"/>
      <c r="J48" s="746"/>
      <c r="K48" s="747"/>
      <c r="L48" s="748"/>
      <c r="M48" s="742"/>
      <c r="N48" s="749"/>
      <c r="O48" s="742"/>
      <c r="P48" s="749">
        <v>8</v>
      </c>
      <c r="Q48" s="742" t="s">
        <v>1328</v>
      </c>
      <c r="R48" s="750">
        <v>0.3</v>
      </c>
      <c r="S48" s="747">
        <f>9528.54</f>
        <v>9528.5400000000009</v>
      </c>
    </row>
    <row r="49" spans="1:19" ht="45" customHeight="1" x14ac:dyDescent="0.25">
      <c r="A49" s="742"/>
      <c r="B49" s="743"/>
      <c r="C49" s="742"/>
      <c r="D49" s="742"/>
      <c r="E49" s="742"/>
      <c r="F49" s="744"/>
      <c r="G49" s="742"/>
      <c r="H49" s="745"/>
      <c r="I49" s="745"/>
      <c r="J49" s="746"/>
      <c r="K49" s="747"/>
      <c r="L49" s="748"/>
      <c r="M49" s="742"/>
      <c r="N49" s="749"/>
      <c r="O49" s="742"/>
      <c r="P49" s="749">
        <v>9</v>
      </c>
      <c r="Q49" s="742" t="s">
        <v>1329</v>
      </c>
      <c r="R49" s="750">
        <v>0.2</v>
      </c>
      <c r="S49" s="747">
        <f>6352.36</f>
        <v>6352.36</v>
      </c>
    </row>
    <row r="50" spans="1:19" ht="45" customHeight="1" x14ac:dyDescent="0.25">
      <c r="A50" s="742"/>
      <c r="B50" s="743"/>
      <c r="C50" s="742"/>
      <c r="D50" s="742"/>
      <c r="E50" s="742"/>
      <c r="F50" s="744"/>
      <c r="G50" s="742"/>
      <c r="H50" s="745"/>
      <c r="I50" s="745"/>
      <c r="J50" s="746"/>
      <c r="K50" s="747"/>
      <c r="L50" s="748"/>
      <c r="M50" s="742"/>
      <c r="N50" s="749"/>
      <c r="O50" s="742"/>
      <c r="P50" s="749">
        <v>10</v>
      </c>
      <c r="Q50" s="742" t="s">
        <v>1330</v>
      </c>
      <c r="R50" s="750">
        <v>0.1</v>
      </c>
      <c r="S50" s="747">
        <f>3176.18</f>
        <v>3176.18</v>
      </c>
    </row>
    <row r="51" spans="1:19" ht="45" customHeight="1" x14ac:dyDescent="0.25">
      <c r="A51" s="742"/>
      <c r="B51" s="743"/>
      <c r="C51" s="742"/>
      <c r="D51" s="742"/>
      <c r="E51" s="742"/>
      <c r="F51" s="744"/>
      <c r="G51" s="742"/>
      <c r="H51" s="745"/>
      <c r="I51" s="745"/>
      <c r="J51" s="746"/>
      <c r="K51" s="747"/>
      <c r="L51" s="748"/>
      <c r="M51" s="742"/>
      <c r="N51" s="749"/>
      <c r="O51" s="742"/>
      <c r="P51" s="749">
        <v>11</v>
      </c>
      <c r="Q51" s="742" t="s">
        <v>1331</v>
      </c>
      <c r="R51" s="750">
        <v>0.3</v>
      </c>
      <c r="S51" s="747">
        <f>9528.54</f>
        <v>9528.5400000000009</v>
      </c>
    </row>
    <row r="52" spans="1:19" ht="45" customHeight="1" x14ac:dyDescent="0.25">
      <c r="A52" s="742" t="s">
        <v>929</v>
      </c>
      <c r="B52" s="743" t="s">
        <v>1399</v>
      </c>
      <c r="C52" s="742"/>
      <c r="D52" s="742"/>
      <c r="E52" s="742" t="s">
        <v>1297</v>
      </c>
      <c r="F52" s="744"/>
      <c r="G52" s="742"/>
      <c r="H52" s="745"/>
      <c r="I52" s="745"/>
      <c r="J52" s="746"/>
      <c r="K52" s="747"/>
      <c r="L52" s="748">
        <f>249565.41</f>
        <v>249565.41</v>
      </c>
      <c r="M52" s="742"/>
      <c r="N52" s="749"/>
      <c r="O52" s="742"/>
      <c r="P52" s="749"/>
      <c r="Q52" s="742"/>
      <c r="R52" s="750"/>
      <c r="S52" s="747"/>
    </row>
    <row r="53" spans="1:19" ht="45" customHeight="1" x14ac:dyDescent="0.25">
      <c r="A53" s="742" t="s">
        <v>705</v>
      </c>
      <c r="B53" s="743" t="s">
        <v>1400</v>
      </c>
      <c r="C53" s="742" t="s">
        <v>750</v>
      </c>
      <c r="D53" s="742" t="s">
        <v>1014</v>
      </c>
      <c r="E53" s="742" t="s">
        <v>1401</v>
      </c>
      <c r="F53" s="744">
        <f>120</f>
        <v>120</v>
      </c>
      <c r="G53" s="742" t="s">
        <v>625</v>
      </c>
      <c r="H53" s="745">
        <v>167.07</v>
      </c>
      <c r="I53" s="745">
        <v>167.07</v>
      </c>
      <c r="J53" s="746">
        <v>0.24</v>
      </c>
      <c r="K53" s="747">
        <f>207.17</f>
        <v>207.17</v>
      </c>
      <c r="L53" s="748">
        <f>24860.4</f>
        <v>24860.400000000001</v>
      </c>
      <c r="M53" s="742" t="s">
        <v>250</v>
      </c>
      <c r="N53" s="749">
        <v>7</v>
      </c>
      <c r="O53" s="742" t="s">
        <v>1280</v>
      </c>
      <c r="P53" s="749">
        <v>3</v>
      </c>
      <c r="Q53" s="742" t="s">
        <v>1263</v>
      </c>
      <c r="R53" s="750">
        <v>120</v>
      </c>
      <c r="S53" s="747">
        <f>24860.4</f>
        <v>24860.400000000001</v>
      </c>
    </row>
    <row r="54" spans="1:19" ht="45" customHeight="1" x14ac:dyDescent="0.25">
      <c r="A54" s="742" t="s">
        <v>705</v>
      </c>
      <c r="B54" s="743" t="s">
        <v>1402</v>
      </c>
      <c r="C54" s="742" t="s">
        <v>750</v>
      </c>
      <c r="D54" s="742" t="s">
        <v>1015</v>
      </c>
      <c r="E54" s="742" t="s">
        <v>1403</v>
      </c>
      <c r="F54" s="744">
        <f>63</f>
        <v>63</v>
      </c>
      <c r="G54" s="742" t="s">
        <v>625</v>
      </c>
      <c r="H54" s="745">
        <v>1058.93</v>
      </c>
      <c r="I54" s="745">
        <v>1058.93</v>
      </c>
      <c r="J54" s="746">
        <v>0.24</v>
      </c>
      <c r="K54" s="747">
        <f>1313.07</f>
        <v>1313.07</v>
      </c>
      <c r="L54" s="748">
        <f>82723.41</f>
        <v>82723.41</v>
      </c>
      <c r="M54" s="742" t="s">
        <v>250</v>
      </c>
      <c r="N54" s="749">
        <v>13</v>
      </c>
      <c r="O54" s="742" t="s">
        <v>1296</v>
      </c>
      <c r="P54" s="749">
        <v>3</v>
      </c>
      <c r="Q54" s="742" t="s">
        <v>1263</v>
      </c>
      <c r="R54" s="750">
        <v>63</v>
      </c>
      <c r="S54" s="747">
        <f>82723.41</f>
        <v>82723.41</v>
      </c>
    </row>
    <row r="55" spans="1:19" ht="45" customHeight="1" x14ac:dyDescent="0.25">
      <c r="A55" s="742" t="s">
        <v>705</v>
      </c>
      <c r="B55" s="743" t="s">
        <v>1404</v>
      </c>
      <c r="C55" s="742" t="s">
        <v>871</v>
      </c>
      <c r="D55" s="742" t="s">
        <v>1405</v>
      </c>
      <c r="E55" s="742" t="s">
        <v>1406</v>
      </c>
      <c r="F55" s="744">
        <f>40</f>
        <v>40</v>
      </c>
      <c r="G55" s="742" t="s">
        <v>625</v>
      </c>
      <c r="H55" s="745">
        <v>764.55</v>
      </c>
      <c r="I55" s="745">
        <v>764.55</v>
      </c>
      <c r="J55" s="746">
        <v>0.24</v>
      </c>
      <c r="K55" s="747">
        <f>948.04</f>
        <v>948.04</v>
      </c>
      <c r="L55" s="748">
        <f>37921.6</f>
        <v>37921.599999999999</v>
      </c>
      <c r="M55" s="742" t="s">
        <v>250</v>
      </c>
      <c r="N55" s="749">
        <v>12</v>
      </c>
      <c r="O55" s="742" t="s">
        <v>1284</v>
      </c>
      <c r="P55" s="749">
        <v>3</v>
      </c>
      <c r="Q55" s="742" t="s">
        <v>1263</v>
      </c>
      <c r="R55" s="750">
        <v>40</v>
      </c>
      <c r="S55" s="747">
        <f>37921.6</f>
        <v>37921.599999999999</v>
      </c>
    </row>
    <row r="56" spans="1:19" ht="45" customHeight="1" x14ac:dyDescent="0.25">
      <c r="A56" s="742" t="s">
        <v>705</v>
      </c>
      <c r="B56" s="743" t="s">
        <v>1407</v>
      </c>
      <c r="C56" s="742" t="s">
        <v>750</v>
      </c>
      <c r="D56" s="742" t="s">
        <v>1247</v>
      </c>
      <c r="E56" s="742" t="s">
        <v>1408</v>
      </c>
      <c r="F56" s="744">
        <f>4400</f>
        <v>4400</v>
      </c>
      <c r="G56" s="742" t="s">
        <v>617</v>
      </c>
      <c r="H56" s="745">
        <v>9</v>
      </c>
      <c r="I56" s="745">
        <v>9</v>
      </c>
      <c r="J56" s="746" t="s">
        <v>1409</v>
      </c>
      <c r="K56" s="747">
        <f>10.51</f>
        <v>10.51</v>
      </c>
      <c r="L56" s="748">
        <f>46244</f>
        <v>46244</v>
      </c>
      <c r="M56" s="742" t="s">
        <v>250</v>
      </c>
      <c r="N56" s="749">
        <v>11</v>
      </c>
      <c r="O56" s="742" t="s">
        <v>1283</v>
      </c>
      <c r="P56" s="749">
        <v>3</v>
      </c>
      <c r="Q56" s="742" t="s">
        <v>1263</v>
      </c>
      <c r="R56" s="750">
        <v>4400</v>
      </c>
      <c r="S56" s="747">
        <f>46244</f>
        <v>46244</v>
      </c>
    </row>
    <row r="57" spans="1:19" ht="45" customHeight="1" x14ac:dyDescent="0.25">
      <c r="A57" s="742" t="s">
        <v>705</v>
      </c>
      <c r="B57" s="743" t="s">
        <v>1410</v>
      </c>
      <c r="C57" s="742" t="s">
        <v>750</v>
      </c>
      <c r="D57" s="742" t="s">
        <v>1224</v>
      </c>
      <c r="E57" s="742" t="s">
        <v>1411</v>
      </c>
      <c r="F57" s="744">
        <f>4400</f>
        <v>4400</v>
      </c>
      <c r="G57" s="742" t="s">
        <v>617</v>
      </c>
      <c r="H57" s="745">
        <v>10.6</v>
      </c>
      <c r="I57" s="745">
        <v>10.6</v>
      </c>
      <c r="J57" s="746">
        <v>0.24</v>
      </c>
      <c r="K57" s="747">
        <f>13.14</f>
        <v>13.14</v>
      </c>
      <c r="L57" s="748">
        <f>57816</f>
        <v>57816</v>
      </c>
      <c r="M57" s="742" t="s">
        <v>250</v>
      </c>
      <c r="N57" s="749">
        <v>11</v>
      </c>
      <c r="O57" s="742" t="s">
        <v>1283</v>
      </c>
      <c r="P57" s="749">
        <v>3</v>
      </c>
      <c r="Q57" s="742" t="s">
        <v>1263</v>
      </c>
      <c r="R57" s="750">
        <v>4400</v>
      </c>
      <c r="S57" s="747">
        <f>57816</f>
        <v>57816</v>
      </c>
    </row>
    <row r="58" spans="1:19" ht="45" customHeight="1" x14ac:dyDescent="0.25">
      <c r="A58" s="742" t="s">
        <v>929</v>
      </c>
      <c r="B58" s="743" t="s">
        <v>1412</v>
      </c>
      <c r="C58" s="742"/>
      <c r="D58" s="742"/>
      <c r="E58" s="742" t="s">
        <v>1298</v>
      </c>
      <c r="F58" s="744"/>
      <c r="G58" s="742"/>
      <c r="H58" s="745"/>
      <c r="I58" s="745"/>
      <c r="J58" s="746"/>
      <c r="K58" s="747"/>
      <c r="L58" s="748">
        <f>102850.02</f>
        <v>102850.02</v>
      </c>
      <c r="M58" s="742"/>
      <c r="N58" s="749"/>
      <c r="O58" s="742"/>
      <c r="P58" s="749"/>
      <c r="Q58" s="742"/>
      <c r="R58" s="750"/>
      <c r="S58" s="747"/>
    </row>
    <row r="59" spans="1:19" ht="45" customHeight="1" x14ac:dyDescent="0.25">
      <c r="A59" s="742" t="s">
        <v>705</v>
      </c>
      <c r="B59" s="743" t="s">
        <v>1413</v>
      </c>
      <c r="C59" s="742" t="s">
        <v>750</v>
      </c>
      <c r="D59" s="742" t="s">
        <v>1083</v>
      </c>
      <c r="E59" s="742" t="s">
        <v>1414</v>
      </c>
      <c r="F59" s="744">
        <f>17.5</f>
        <v>17.5</v>
      </c>
      <c r="G59" s="742" t="s">
        <v>625</v>
      </c>
      <c r="H59" s="745">
        <v>673.94</v>
      </c>
      <c r="I59" s="745">
        <v>673.94</v>
      </c>
      <c r="J59" s="746">
        <v>0.24</v>
      </c>
      <c r="K59" s="747">
        <f>835.69</f>
        <v>835.69</v>
      </c>
      <c r="L59" s="748">
        <f>14624.58</f>
        <v>14624.58</v>
      </c>
      <c r="M59" s="742" t="s">
        <v>250</v>
      </c>
      <c r="N59" s="749">
        <v>16</v>
      </c>
      <c r="O59" s="742" t="s">
        <v>1275</v>
      </c>
      <c r="P59" s="749">
        <v>3</v>
      </c>
      <c r="Q59" s="742" t="s">
        <v>1263</v>
      </c>
      <c r="R59" s="750">
        <v>17.5</v>
      </c>
      <c r="S59" s="747">
        <f>14624.58</f>
        <v>14624.58</v>
      </c>
    </row>
    <row r="60" spans="1:19" ht="45" customHeight="1" x14ac:dyDescent="0.25">
      <c r="A60" s="742" t="s">
        <v>705</v>
      </c>
      <c r="B60" s="743" t="s">
        <v>1415</v>
      </c>
      <c r="C60" s="742" t="s">
        <v>871</v>
      </c>
      <c r="D60" s="742" t="s">
        <v>1405</v>
      </c>
      <c r="E60" s="742" t="s">
        <v>1406</v>
      </c>
      <c r="F60" s="744">
        <f>91</f>
        <v>91</v>
      </c>
      <c r="G60" s="742" t="s">
        <v>625</v>
      </c>
      <c r="H60" s="745">
        <v>764.55</v>
      </c>
      <c r="I60" s="745">
        <v>764.55</v>
      </c>
      <c r="J60" s="746">
        <v>0.24</v>
      </c>
      <c r="K60" s="747">
        <f>948.04</f>
        <v>948.04</v>
      </c>
      <c r="L60" s="748">
        <f>86271.64</f>
        <v>86271.64</v>
      </c>
      <c r="M60" s="742" t="s">
        <v>250</v>
      </c>
      <c r="N60" s="749">
        <v>16</v>
      </c>
      <c r="O60" s="742" t="s">
        <v>1275</v>
      </c>
      <c r="P60" s="749">
        <v>3</v>
      </c>
      <c r="Q60" s="742" t="s">
        <v>1263</v>
      </c>
      <c r="R60" s="750">
        <v>91</v>
      </c>
      <c r="S60" s="747">
        <f>86271.64</f>
        <v>86271.64</v>
      </c>
    </row>
    <row r="61" spans="1:19" ht="45" customHeight="1" x14ac:dyDescent="0.25">
      <c r="A61" s="742" t="s">
        <v>705</v>
      </c>
      <c r="B61" s="743" t="s">
        <v>1416</v>
      </c>
      <c r="C61" s="742" t="s">
        <v>871</v>
      </c>
      <c r="D61" s="742" t="s">
        <v>1417</v>
      </c>
      <c r="E61" s="742" t="s">
        <v>1418</v>
      </c>
      <c r="F61" s="744">
        <f>20</f>
        <v>20</v>
      </c>
      <c r="G61" s="742" t="s">
        <v>623</v>
      </c>
      <c r="H61" s="745">
        <v>78.78</v>
      </c>
      <c r="I61" s="745">
        <v>78.78</v>
      </c>
      <c r="J61" s="746">
        <v>0.24</v>
      </c>
      <c r="K61" s="747">
        <f>97.69</f>
        <v>97.69</v>
      </c>
      <c r="L61" s="748">
        <f>1953.8</f>
        <v>1953.8</v>
      </c>
      <c r="M61" s="742" t="s">
        <v>250</v>
      </c>
      <c r="N61" s="749">
        <v>14</v>
      </c>
      <c r="O61" s="742" t="s">
        <v>1273</v>
      </c>
      <c r="P61" s="749">
        <v>3</v>
      </c>
      <c r="Q61" s="742" t="s">
        <v>1263</v>
      </c>
      <c r="R61" s="750">
        <v>20</v>
      </c>
      <c r="S61" s="747">
        <f>1953.8</f>
        <v>1953.8</v>
      </c>
    </row>
    <row r="62" spans="1:19" ht="45" customHeight="1" x14ac:dyDescent="0.25">
      <c r="A62" s="742" t="s">
        <v>929</v>
      </c>
      <c r="B62" s="743" t="s">
        <v>1419</v>
      </c>
      <c r="C62" s="742"/>
      <c r="D62" s="742"/>
      <c r="E62" s="742" t="s">
        <v>1420</v>
      </c>
      <c r="F62" s="744"/>
      <c r="G62" s="742"/>
      <c r="H62" s="745"/>
      <c r="I62" s="745"/>
      <c r="J62" s="746"/>
      <c r="K62" s="747"/>
      <c r="L62" s="748">
        <f>513137.44</f>
        <v>513137.44</v>
      </c>
      <c r="M62" s="742"/>
      <c r="N62" s="749"/>
      <c r="O62" s="742"/>
      <c r="P62" s="749"/>
      <c r="Q62" s="742"/>
      <c r="R62" s="750"/>
      <c r="S62" s="747"/>
    </row>
    <row r="63" spans="1:19" ht="45" customHeight="1" x14ac:dyDescent="0.25">
      <c r="A63" s="742" t="s">
        <v>705</v>
      </c>
      <c r="B63" s="743" t="s">
        <v>1421</v>
      </c>
      <c r="C63" s="742" t="s">
        <v>957</v>
      </c>
      <c r="D63" s="742" t="s">
        <v>1080</v>
      </c>
      <c r="E63" s="742" t="s">
        <v>1422</v>
      </c>
      <c r="F63" s="744">
        <f>1</f>
        <v>1</v>
      </c>
      <c r="G63" s="742" t="s">
        <v>639</v>
      </c>
      <c r="H63" s="745">
        <v>439330</v>
      </c>
      <c r="I63" s="745">
        <v>439330</v>
      </c>
      <c r="J63" s="746" t="s">
        <v>1409</v>
      </c>
      <c r="K63" s="747">
        <f>513137.44</f>
        <v>513137.44</v>
      </c>
      <c r="L63" s="748">
        <f>513137.44</f>
        <v>513137.44</v>
      </c>
      <c r="M63" s="742" t="s">
        <v>250</v>
      </c>
      <c r="N63" s="749">
        <v>18</v>
      </c>
      <c r="O63" s="742" t="s">
        <v>1270</v>
      </c>
      <c r="P63" s="749">
        <v>3</v>
      </c>
      <c r="Q63" s="742" t="s">
        <v>1263</v>
      </c>
      <c r="R63" s="750">
        <v>1</v>
      </c>
      <c r="S63" s="747">
        <f>513137.44</f>
        <v>513137.44</v>
      </c>
    </row>
    <row r="64" spans="1:19" ht="45" customHeight="1" x14ac:dyDescent="0.25">
      <c r="A64" s="742" t="s">
        <v>929</v>
      </c>
      <c r="B64" s="743" t="s">
        <v>1423</v>
      </c>
      <c r="C64" s="742"/>
      <c r="D64" s="742"/>
      <c r="E64" s="742" t="s">
        <v>1299</v>
      </c>
      <c r="F64" s="744"/>
      <c r="G64" s="742"/>
      <c r="H64" s="745"/>
      <c r="I64" s="745"/>
      <c r="J64" s="746"/>
      <c r="K64" s="747"/>
      <c r="L64" s="748">
        <f>105007.97</f>
        <v>105007.97</v>
      </c>
      <c r="M64" s="742"/>
      <c r="N64" s="749"/>
      <c r="O64" s="742"/>
      <c r="P64" s="749"/>
      <c r="Q64" s="742"/>
      <c r="R64" s="750"/>
      <c r="S64" s="747"/>
    </row>
    <row r="65" spans="1:19" ht="45" customHeight="1" x14ac:dyDescent="0.25">
      <c r="A65" s="742" t="s">
        <v>705</v>
      </c>
      <c r="B65" s="743" t="s">
        <v>1424</v>
      </c>
      <c r="C65" s="742" t="s">
        <v>957</v>
      </c>
      <c r="D65" s="742" t="s">
        <v>1106</v>
      </c>
      <c r="E65" s="742" t="s">
        <v>1425</v>
      </c>
      <c r="F65" s="744">
        <f>20</f>
        <v>20</v>
      </c>
      <c r="G65" s="742" t="s">
        <v>639</v>
      </c>
      <c r="H65" s="745">
        <v>3414.29</v>
      </c>
      <c r="I65" s="745">
        <v>3414.29</v>
      </c>
      <c r="J65" s="746" t="s">
        <v>1409</v>
      </c>
      <c r="K65" s="747">
        <f>3987.89</f>
        <v>3987.89</v>
      </c>
      <c r="L65" s="748">
        <f>79757.8</f>
        <v>79757.8</v>
      </c>
      <c r="M65" s="742" t="s">
        <v>250</v>
      </c>
      <c r="N65" s="749">
        <v>24</v>
      </c>
      <c r="O65" s="742" t="s">
        <v>1276</v>
      </c>
      <c r="P65" s="749">
        <v>3</v>
      </c>
      <c r="Q65" s="742" t="s">
        <v>1263</v>
      </c>
      <c r="R65" s="750">
        <v>20</v>
      </c>
      <c r="S65" s="747">
        <f>79757.8</f>
        <v>79757.8</v>
      </c>
    </row>
    <row r="66" spans="1:19" ht="45" customHeight="1" x14ac:dyDescent="0.25">
      <c r="A66" s="742" t="s">
        <v>705</v>
      </c>
      <c r="B66" s="743" t="s">
        <v>1426</v>
      </c>
      <c r="C66" s="742" t="s">
        <v>750</v>
      </c>
      <c r="D66" s="742" t="s">
        <v>1228</v>
      </c>
      <c r="E66" s="742" t="s">
        <v>1427</v>
      </c>
      <c r="F66" s="744">
        <f>20</f>
        <v>20</v>
      </c>
      <c r="G66" s="742" t="s">
        <v>621</v>
      </c>
      <c r="H66" s="745">
        <v>10.61</v>
      </c>
      <c r="I66" s="745">
        <v>10.61</v>
      </c>
      <c r="J66" s="746">
        <v>0.24</v>
      </c>
      <c r="K66" s="747">
        <f>13.16</f>
        <v>13.16</v>
      </c>
      <c r="L66" s="748">
        <f>263.2</f>
        <v>263.2</v>
      </c>
      <c r="M66" s="742" t="s">
        <v>250</v>
      </c>
      <c r="N66" s="749">
        <v>24</v>
      </c>
      <c r="O66" s="742" t="s">
        <v>1276</v>
      </c>
      <c r="P66" s="749">
        <v>3</v>
      </c>
      <c r="Q66" s="742" t="s">
        <v>1263</v>
      </c>
      <c r="R66" s="750">
        <v>20</v>
      </c>
      <c r="S66" s="747">
        <f>263.2</f>
        <v>263.2</v>
      </c>
    </row>
    <row r="67" spans="1:19" ht="45" customHeight="1" x14ac:dyDescent="0.25">
      <c r="A67" s="742" t="s">
        <v>705</v>
      </c>
      <c r="B67" s="743" t="s">
        <v>1428</v>
      </c>
      <c r="C67" s="742" t="s">
        <v>957</v>
      </c>
      <c r="D67" s="742" t="s">
        <v>1229</v>
      </c>
      <c r="E67" s="742" t="s">
        <v>1429</v>
      </c>
      <c r="F67" s="744">
        <f>3</f>
        <v>3</v>
      </c>
      <c r="G67" s="742" t="s">
        <v>639</v>
      </c>
      <c r="H67" s="745">
        <v>1134.43</v>
      </c>
      <c r="I67" s="745">
        <v>1134.43</v>
      </c>
      <c r="J67" s="746">
        <v>0.24</v>
      </c>
      <c r="K67" s="747">
        <f>1406.69</f>
        <v>1406.69</v>
      </c>
      <c r="L67" s="748">
        <f>4220.07</f>
        <v>4220.07</v>
      </c>
      <c r="M67" s="742" t="s">
        <v>250</v>
      </c>
      <c r="N67" s="749">
        <v>24</v>
      </c>
      <c r="O67" s="742" t="s">
        <v>1276</v>
      </c>
      <c r="P67" s="749">
        <v>3</v>
      </c>
      <c r="Q67" s="742" t="s">
        <v>1263</v>
      </c>
      <c r="R67" s="750">
        <v>3</v>
      </c>
      <c r="S67" s="747">
        <f>4220.07</f>
        <v>4220.07</v>
      </c>
    </row>
    <row r="68" spans="1:19" ht="45" customHeight="1" x14ac:dyDescent="0.25">
      <c r="A68" s="742" t="s">
        <v>705</v>
      </c>
      <c r="B68" s="743" t="s">
        <v>1430</v>
      </c>
      <c r="C68" s="742" t="s">
        <v>957</v>
      </c>
      <c r="D68" s="742" t="s">
        <v>1109</v>
      </c>
      <c r="E68" s="742" t="s">
        <v>1431</v>
      </c>
      <c r="F68" s="744">
        <f>12</f>
        <v>12</v>
      </c>
      <c r="G68" s="742" t="s">
        <v>639</v>
      </c>
      <c r="H68" s="745">
        <v>438.85</v>
      </c>
      <c r="I68" s="745">
        <v>438.85</v>
      </c>
      <c r="J68" s="746">
        <v>0.24</v>
      </c>
      <c r="K68" s="747">
        <f>544.17</f>
        <v>544.16999999999996</v>
      </c>
      <c r="L68" s="748">
        <f>6530.04</f>
        <v>6530.04</v>
      </c>
      <c r="M68" s="742" t="s">
        <v>250</v>
      </c>
      <c r="N68" s="749">
        <v>24</v>
      </c>
      <c r="O68" s="742" t="s">
        <v>1276</v>
      </c>
      <c r="P68" s="749">
        <v>3</v>
      </c>
      <c r="Q68" s="742" t="s">
        <v>1263</v>
      </c>
      <c r="R68" s="750">
        <v>12</v>
      </c>
      <c r="S68" s="747">
        <f>6530.04</f>
        <v>6530.04</v>
      </c>
    </row>
    <row r="69" spans="1:19" ht="45" customHeight="1" x14ac:dyDescent="0.25">
      <c r="A69" s="742" t="s">
        <v>705</v>
      </c>
      <c r="B69" s="743" t="s">
        <v>1432</v>
      </c>
      <c r="C69" s="742" t="s">
        <v>957</v>
      </c>
      <c r="D69" s="742" t="s">
        <v>1230</v>
      </c>
      <c r="E69" s="742" t="s">
        <v>1433</v>
      </c>
      <c r="F69" s="744">
        <f>3</f>
        <v>3</v>
      </c>
      <c r="G69" s="742" t="s">
        <v>639</v>
      </c>
      <c r="H69" s="745">
        <v>3706.92</v>
      </c>
      <c r="I69" s="745">
        <v>3706.92</v>
      </c>
      <c r="J69" s="746">
        <v>0.24</v>
      </c>
      <c r="K69" s="747">
        <f>4596.58</f>
        <v>4596.58</v>
      </c>
      <c r="L69" s="748">
        <f>13789.74</f>
        <v>13789.74</v>
      </c>
      <c r="M69" s="742" t="s">
        <v>250</v>
      </c>
      <c r="N69" s="749">
        <v>24</v>
      </c>
      <c r="O69" s="742" t="s">
        <v>1276</v>
      </c>
      <c r="P69" s="749">
        <v>3</v>
      </c>
      <c r="Q69" s="742" t="s">
        <v>1263</v>
      </c>
      <c r="R69" s="750">
        <v>3</v>
      </c>
      <c r="S69" s="747">
        <f>13789.74</f>
        <v>13789.74</v>
      </c>
    </row>
    <row r="70" spans="1:19" ht="45" customHeight="1" x14ac:dyDescent="0.25">
      <c r="A70" s="742" t="s">
        <v>705</v>
      </c>
      <c r="B70" s="743" t="s">
        <v>1434</v>
      </c>
      <c r="C70" s="742" t="s">
        <v>957</v>
      </c>
      <c r="D70" s="742" t="s">
        <v>1212</v>
      </c>
      <c r="E70" s="742" t="s">
        <v>1219</v>
      </c>
      <c r="F70" s="744">
        <f>18</f>
        <v>18</v>
      </c>
      <c r="G70" s="742" t="s">
        <v>639</v>
      </c>
      <c r="H70" s="745">
        <v>20.03</v>
      </c>
      <c r="I70" s="745">
        <v>20.03</v>
      </c>
      <c r="J70" s="746">
        <v>0.24</v>
      </c>
      <c r="K70" s="747">
        <f>24.84</f>
        <v>24.84</v>
      </c>
      <c r="L70" s="748">
        <f>447.12</f>
        <v>447.12</v>
      </c>
      <c r="M70" s="742" t="s">
        <v>250</v>
      </c>
      <c r="N70" s="749">
        <v>24</v>
      </c>
      <c r="O70" s="742" t="s">
        <v>1276</v>
      </c>
      <c r="P70" s="749">
        <v>3</v>
      </c>
      <c r="Q70" s="742" t="s">
        <v>1263</v>
      </c>
      <c r="R70" s="750">
        <v>18</v>
      </c>
      <c r="S70" s="747">
        <f>447.12</f>
        <v>447.12</v>
      </c>
    </row>
    <row r="71" spans="1:19" ht="45" customHeight="1" x14ac:dyDescent="0.25">
      <c r="A71" s="742" t="s">
        <v>929</v>
      </c>
      <c r="B71" s="743" t="s">
        <v>1435</v>
      </c>
      <c r="C71" s="742"/>
      <c r="D71" s="742"/>
      <c r="E71" s="742" t="s">
        <v>1436</v>
      </c>
      <c r="F71" s="744"/>
      <c r="G71" s="742"/>
      <c r="H71" s="745"/>
      <c r="I71" s="745"/>
      <c r="J71" s="746"/>
      <c r="K71" s="747"/>
      <c r="L71" s="748">
        <f>192295.65</f>
        <v>192295.65</v>
      </c>
      <c r="M71" s="742"/>
      <c r="N71" s="749"/>
      <c r="O71" s="742"/>
      <c r="P71" s="749"/>
      <c r="Q71" s="742"/>
      <c r="R71" s="750"/>
      <c r="S71" s="747"/>
    </row>
    <row r="72" spans="1:19" ht="45" customHeight="1" x14ac:dyDescent="0.25">
      <c r="A72" s="742" t="s">
        <v>705</v>
      </c>
      <c r="B72" s="743" t="s">
        <v>1437</v>
      </c>
      <c r="C72" s="742" t="s">
        <v>750</v>
      </c>
      <c r="D72" s="742" t="s">
        <v>1018</v>
      </c>
      <c r="E72" s="742" t="s">
        <v>1438</v>
      </c>
      <c r="F72" s="744">
        <f>210.1</f>
        <v>210.1</v>
      </c>
      <c r="G72" s="742" t="s">
        <v>623</v>
      </c>
      <c r="H72" s="745">
        <v>36.130000000000003</v>
      </c>
      <c r="I72" s="745">
        <v>36.130000000000003</v>
      </c>
      <c r="J72" s="746">
        <v>0.24</v>
      </c>
      <c r="K72" s="747">
        <f>44.8</f>
        <v>44.8</v>
      </c>
      <c r="L72" s="748">
        <f>9412.48</f>
        <v>9412.48</v>
      </c>
      <c r="M72" s="742" t="s">
        <v>250</v>
      </c>
      <c r="N72" s="749">
        <v>6</v>
      </c>
      <c r="O72" s="742" t="s">
        <v>1277</v>
      </c>
      <c r="P72" s="749">
        <v>4</v>
      </c>
      <c r="Q72" s="742" t="s">
        <v>1271</v>
      </c>
      <c r="R72" s="750">
        <v>210.1</v>
      </c>
      <c r="S72" s="747">
        <f>9412.48</f>
        <v>9412.48</v>
      </c>
    </row>
    <row r="73" spans="1:19" ht="45" customHeight="1" x14ac:dyDescent="0.25">
      <c r="A73" s="742" t="s">
        <v>705</v>
      </c>
      <c r="B73" s="743" t="s">
        <v>1439</v>
      </c>
      <c r="C73" s="742" t="s">
        <v>871</v>
      </c>
      <c r="D73" s="742" t="s">
        <v>1388</v>
      </c>
      <c r="E73" s="742" t="s">
        <v>1389</v>
      </c>
      <c r="F73" s="744">
        <f>1.98</f>
        <v>1.98</v>
      </c>
      <c r="G73" s="742" t="s">
        <v>623</v>
      </c>
      <c r="H73" s="745">
        <v>8.32</v>
      </c>
      <c r="I73" s="745">
        <v>8.32</v>
      </c>
      <c r="J73" s="746">
        <v>0.24</v>
      </c>
      <c r="K73" s="747">
        <f>10.32</f>
        <v>10.32</v>
      </c>
      <c r="L73" s="748">
        <f>20.43</f>
        <v>20.43</v>
      </c>
      <c r="M73" s="742" t="s">
        <v>250</v>
      </c>
      <c r="N73" s="749">
        <v>30</v>
      </c>
      <c r="O73" s="742" t="s">
        <v>1285</v>
      </c>
      <c r="P73" s="749">
        <v>4</v>
      </c>
      <c r="Q73" s="742" t="s">
        <v>1271</v>
      </c>
      <c r="R73" s="750">
        <v>1.98</v>
      </c>
      <c r="S73" s="747">
        <f>20.43</f>
        <v>20.43</v>
      </c>
    </row>
    <row r="74" spans="1:19" ht="45" customHeight="1" x14ac:dyDescent="0.25">
      <c r="A74" s="742" t="s">
        <v>705</v>
      </c>
      <c r="B74" s="743" t="s">
        <v>1440</v>
      </c>
      <c r="C74" s="742" t="s">
        <v>750</v>
      </c>
      <c r="D74" s="742" t="s">
        <v>1019</v>
      </c>
      <c r="E74" s="742" t="s">
        <v>1441</v>
      </c>
      <c r="F74" s="744">
        <f>59.53</f>
        <v>59.53</v>
      </c>
      <c r="G74" s="742" t="s">
        <v>625</v>
      </c>
      <c r="H74" s="745">
        <v>98.41</v>
      </c>
      <c r="I74" s="745">
        <v>98.41</v>
      </c>
      <c r="J74" s="746">
        <v>0.24</v>
      </c>
      <c r="K74" s="747">
        <f>122.03</f>
        <v>122.03</v>
      </c>
      <c r="L74" s="748">
        <f>7264.45</f>
        <v>7264.45</v>
      </c>
      <c r="M74" s="742" t="s">
        <v>250</v>
      </c>
      <c r="N74" s="749">
        <v>7</v>
      </c>
      <c r="O74" s="742" t="s">
        <v>1280</v>
      </c>
      <c r="P74" s="749">
        <v>4</v>
      </c>
      <c r="Q74" s="742" t="s">
        <v>1271</v>
      </c>
      <c r="R74" s="750">
        <v>59.53</v>
      </c>
      <c r="S74" s="747">
        <f>7264.45</f>
        <v>7264.45</v>
      </c>
    </row>
    <row r="75" spans="1:19" ht="45" customHeight="1" x14ac:dyDescent="0.25">
      <c r="A75" s="742" t="s">
        <v>705</v>
      </c>
      <c r="B75" s="743" t="s">
        <v>1442</v>
      </c>
      <c r="C75" s="742" t="s">
        <v>871</v>
      </c>
      <c r="D75" s="742" t="s">
        <v>1443</v>
      </c>
      <c r="E75" s="742" t="s">
        <v>1444</v>
      </c>
      <c r="F75" s="744">
        <f>43.21</f>
        <v>43.21</v>
      </c>
      <c r="G75" s="742" t="s">
        <v>625</v>
      </c>
      <c r="H75" s="745">
        <v>77.290000000000006</v>
      </c>
      <c r="I75" s="745">
        <v>77.290000000000006</v>
      </c>
      <c r="J75" s="746">
        <v>0.24</v>
      </c>
      <c r="K75" s="747">
        <f>95.84</f>
        <v>95.84</v>
      </c>
      <c r="L75" s="748">
        <f>4141.25</f>
        <v>4141.25</v>
      </c>
      <c r="M75" s="742" t="s">
        <v>250</v>
      </c>
      <c r="N75" s="749">
        <v>9</v>
      </c>
      <c r="O75" s="742" t="s">
        <v>1278</v>
      </c>
      <c r="P75" s="749">
        <v>4</v>
      </c>
      <c r="Q75" s="742" t="s">
        <v>1271</v>
      </c>
      <c r="R75" s="750">
        <v>43.21</v>
      </c>
      <c r="S75" s="747">
        <f>4141.25</f>
        <v>4141.25</v>
      </c>
    </row>
    <row r="76" spans="1:19" ht="45" customHeight="1" x14ac:dyDescent="0.25">
      <c r="A76" s="742" t="s">
        <v>705</v>
      </c>
      <c r="B76" s="743" t="s">
        <v>1445</v>
      </c>
      <c r="C76" s="742" t="s">
        <v>871</v>
      </c>
      <c r="D76" s="742" t="s">
        <v>1446</v>
      </c>
      <c r="E76" s="742" t="s">
        <v>1447</v>
      </c>
      <c r="F76" s="744">
        <f>300</f>
        <v>300</v>
      </c>
      <c r="G76" s="742" t="s">
        <v>623</v>
      </c>
      <c r="H76" s="745">
        <v>86.83</v>
      </c>
      <c r="I76" s="745">
        <v>86.83</v>
      </c>
      <c r="J76" s="746">
        <v>0.24</v>
      </c>
      <c r="K76" s="747">
        <f>107.67</f>
        <v>107.67</v>
      </c>
      <c r="L76" s="748">
        <f>32301</f>
        <v>32301</v>
      </c>
      <c r="M76" s="742" t="s">
        <v>250</v>
      </c>
      <c r="N76" s="749">
        <v>17</v>
      </c>
      <c r="O76" s="742" t="s">
        <v>1290</v>
      </c>
      <c r="P76" s="749">
        <v>4</v>
      </c>
      <c r="Q76" s="742" t="s">
        <v>1271</v>
      </c>
      <c r="R76" s="750">
        <v>300</v>
      </c>
      <c r="S76" s="747">
        <f>32301</f>
        <v>32301</v>
      </c>
    </row>
    <row r="77" spans="1:19" ht="45" customHeight="1" x14ac:dyDescent="0.25">
      <c r="A77" s="742" t="s">
        <v>705</v>
      </c>
      <c r="B77" s="743" t="s">
        <v>1448</v>
      </c>
      <c r="C77" s="742" t="s">
        <v>750</v>
      </c>
      <c r="D77" s="742" t="s">
        <v>1248</v>
      </c>
      <c r="E77" s="742" t="s">
        <v>1449</v>
      </c>
      <c r="F77" s="744">
        <f>1.7</f>
        <v>1.7</v>
      </c>
      <c r="G77" s="742" t="s">
        <v>625</v>
      </c>
      <c r="H77" s="745">
        <v>747.66</v>
      </c>
      <c r="I77" s="745">
        <v>747.66</v>
      </c>
      <c r="J77" s="746">
        <v>0.24</v>
      </c>
      <c r="K77" s="747">
        <f>927.1</f>
        <v>927.1</v>
      </c>
      <c r="L77" s="748">
        <f>1576.07</f>
        <v>1576.07</v>
      </c>
      <c r="M77" s="742" t="s">
        <v>250</v>
      </c>
      <c r="N77" s="749">
        <v>16</v>
      </c>
      <c r="O77" s="742" t="s">
        <v>1275</v>
      </c>
      <c r="P77" s="749">
        <v>4</v>
      </c>
      <c r="Q77" s="742" t="s">
        <v>1271</v>
      </c>
      <c r="R77" s="750">
        <v>1.7</v>
      </c>
      <c r="S77" s="747">
        <f>1576.07</f>
        <v>1576.07</v>
      </c>
    </row>
    <row r="78" spans="1:19" ht="45" customHeight="1" x14ac:dyDescent="0.25">
      <c r="A78" s="742" t="s">
        <v>705</v>
      </c>
      <c r="B78" s="743" t="s">
        <v>1450</v>
      </c>
      <c r="C78" s="742" t="s">
        <v>750</v>
      </c>
      <c r="D78" s="742" t="s">
        <v>1221</v>
      </c>
      <c r="E78" s="742" t="s">
        <v>1451</v>
      </c>
      <c r="F78" s="744">
        <f>28.3</f>
        <v>28.3</v>
      </c>
      <c r="G78" s="742" t="s">
        <v>625</v>
      </c>
      <c r="H78" s="745">
        <v>48.55</v>
      </c>
      <c r="I78" s="745">
        <v>48.55</v>
      </c>
      <c r="J78" s="746">
        <v>0.24</v>
      </c>
      <c r="K78" s="747">
        <f>60.2</f>
        <v>60.2</v>
      </c>
      <c r="L78" s="748">
        <f>1703.66</f>
        <v>1703.66</v>
      </c>
      <c r="M78" s="742" t="s">
        <v>250</v>
      </c>
      <c r="N78" s="749">
        <v>16</v>
      </c>
      <c r="O78" s="742" t="s">
        <v>1275</v>
      </c>
      <c r="P78" s="749">
        <v>4</v>
      </c>
      <c r="Q78" s="742" t="s">
        <v>1271</v>
      </c>
      <c r="R78" s="750">
        <v>28.3</v>
      </c>
      <c r="S78" s="747">
        <f>1703.66</f>
        <v>1703.66</v>
      </c>
    </row>
    <row r="79" spans="1:19" ht="45" customHeight="1" x14ac:dyDescent="0.25">
      <c r="A79" s="742" t="s">
        <v>705</v>
      </c>
      <c r="B79" s="743" t="s">
        <v>1452</v>
      </c>
      <c r="C79" s="742" t="s">
        <v>750</v>
      </c>
      <c r="D79" s="742" t="s">
        <v>1248</v>
      </c>
      <c r="E79" s="742" t="s">
        <v>1449</v>
      </c>
      <c r="F79" s="744">
        <f>26.6</f>
        <v>26.6</v>
      </c>
      <c r="G79" s="742" t="s">
        <v>625</v>
      </c>
      <c r="H79" s="745">
        <v>747.66</v>
      </c>
      <c r="I79" s="745">
        <v>747.66</v>
      </c>
      <c r="J79" s="746">
        <v>0.24</v>
      </c>
      <c r="K79" s="747">
        <f>927.1</f>
        <v>927.1</v>
      </c>
      <c r="L79" s="748">
        <f>24660.86</f>
        <v>24660.86</v>
      </c>
      <c r="M79" s="742" t="s">
        <v>250</v>
      </c>
      <c r="N79" s="749">
        <v>16</v>
      </c>
      <c r="O79" s="742" t="s">
        <v>1275</v>
      </c>
      <c r="P79" s="749">
        <v>4</v>
      </c>
      <c r="Q79" s="742" t="s">
        <v>1271</v>
      </c>
      <c r="R79" s="750">
        <v>26.6</v>
      </c>
      <c r="S79" s="747">
        <f>24660.86</f>
        <v>24660.86</v>
      </c>
    </row>
    <row r="80" spans="1:19" ht="45" customHeight="1" x14ac:dyDescent="0.25">
      <c r="A80" s="742" t="s">
        <v>705</v>
      </c>
      <c r="B80" s="743" t="s">
        <v>1453</v>
      </c>
      <c r="C80" s="742" t="s">
        <v>750</v>
      </c>
      <c r="D80" s="742" t="s">
        <v>1020</v>
      </c>
      <c r="E80" s="742" t="s">
        <v>1454</v>
      </c>
      <c r="F80" s="744">
        <f>281.94</f>
        <v>281.94</v>
      </c>
      <c r="G80" s="742" t="s">
        <v>623</v>
      </c>
      <c r="H80" s="745">
        <v>173.86</v>
      </c>
      <c r="I80" s="745">
        <v>173.86</v>
      </c>
      <c r="J80" s="746">
        <v>0.24</v>
      </c>
      <c r="K80" s="747">
        <f>215.59</f>
        <v>215.59</v>
      </c>
      <c r="L80" s="748">
        <f>60783.44</f>
        <v>60783.44</v>
      </c>
      <c r="M80" s="742" t="s">
        <v>250</v>
      </c>
      <c r="N80" s="749">
        <v>14</v>
      </c>
      <c r="O80" s="742" t="s">
        <v>1273</v>
      </c>
      <c r="P80" s="749">
        <v>4</v>
      </c>
      <c r="Q80" s="742" t="s">
        <v>1271</v>
      </c>
      <c r="R80" s="750">
        <v>281.94</v>
      </c>
      <c r="S80" s="747">
        <f>60783.44</f>
        <v>60783.44</v>
      </c>
    </row>
    <row r="81" spans="1:19" ht="45" customHeight="1" x14ac:dyDescent="0.25">
      <c r="A81" s="742" t="s">
        <v>705</v>
      </c>
      <c r="B81" s="743" t="s">
        <v>1455</v>
      </c>
      <c r="C81" s="742" t="s">
        <v>750</v>
      </c>
      <c r="D81" s="742" t="s">
        <v>1247</v>
      </c>
      <c r="E81" s="742" t="s">
        <v>1408</v>
      </c>
      <c r="F81" s="744">
        <f>1791.8</f>
        <v>1791.8</v>
      </c>
      <c r="G81" s="742" t="s">
        <v>617</v>
      </c>
      <c r="H81" s="745">
        <v>9</v>
      </c>
      <c r="I81" s="745">
        <v>9</v>
      </c>
      <c r="J81" s="746" t="s">
        <v>1409</v>
      </c>
      <c r="K81" s="747">
        <f>10.51</f>
        <v>10.51</v>
      </c>
      <c r="L81" s="748">
        <f>18831.82</f>
        <v>18831.82</v>
      </c>
      <c r="M81" s="742" t="s">
        <v>250</v>
      </c>
      <c r="N81" s="749">
        <v>11</v>
      </c>
      <c r="O81" s="742" t="s">
        <v>1283</v>
      </c>
      <c r="P81" s="749">
        <v>4</v>
      </c>
      <c r="Q81" s="742" t="s">
        <v>1271</v>
      </c>
      <c r="R81" s="750">
        <v>1791.8</v>
      </c>
      <c r="S81" s="747">
        <f>18831.82</f>
        <v>18831.82</v>
      </c>
    </row>
    <row r="82" spans="1:19" ht="45" customHeight="1" x14ac:dyDescent="0.25">
      <c r="A82" s="742" t="s">
        <v>705</v>
      </c>
      <c r="B82" s="743" t="s">
        <v>1456</v>
      </c>
      <c r="C82" s="742" t="s">
        <v>750</v>
      </c>
      <c r="D82" s="742" t="s">
        <v>1224</v>
      </c>
      <c r="E82" s="742" t="s">
        <v>1411</v>
      </c>
      <c r="F82" s="744">
        <f>1791.8</f>
        <v>1791.8</v>
      </c>
      <c r="G82" s="742" t="s">
        <v>617</v>
      </c>
      <c r="H82" s="745">
        <v>10.6</v>
      </c>
      <c r="I82" s="745">
        <v>10.6</v>
      </c>
      <c r="J82" s="746">
        <v>0.24</v>
      </c>
      <c r="K82" s="747">
        <f>13.14</f>
        <v>13.14</v>
      </c>
      <c r="L82" s="748">
        <f>23544.25</f>
        <v>23544.25</v>
      </c>
      <c r="M82" s="742" t="s">
        <v>250</v>
      </c>
      <c r="N82" s="749">
        <v>11</v>
      </c>
      <c r="O82" s="742" t="s">
        <v>1283</v>
      </c>
      <c r="P82" s="749">
        <v>4</v>
      </c>
      <c r="Q82" s="742" t="s">
        <v>1271</v>
      </c>
      <c r="R82" s="750">
        <v>1791.8</v>
      </c>
      <c r="S82" s="747">
        <f>23544.25</f>
        <v>23544.25</v>
      </c>
    </row>
    <row r="83" spans="1:19" ht="45" customHeight="1" x14ac:dyDescent="0.25">
      <c r="A83" s="742" t="s">
        <v>705</v>
      </c>
      <c r="B83" s="743" t="s">
        <v>1457</v>
      </c>
      <c r="C83" s="742" t="s">
        <v>871</v>
      </c>
      <c r="D83" s="742" t="s">
        <v>1458</v>
      </c>
      <c r="E83" s="742" t="s">
        <v>1459</v>
      </c>
      <c r="F83" s="744">
        <f>19.2</f>
        <v>19.2</v>
      </c>
      <c r="G83" s="742" t="s">
        <v>623</v>
      </c>
      <c r="H83" s="745">
        <v>338.37</v>
      </c>
      <c r="I83" s="745">
        <v>338.37</v>
      </c>
      <c r="J83" s="746">
        <v>0.24</v>
      </c>
      <c r="K83" s="747">
        <f>419.58</f>
        <v>419.58</v>
      </c>
      <c r="L83" s="748">
        <f>8055.94</f>
        <v>8055.94</v>
      </c>
      <c r="M83" s="742" t="s">
        <v>250</v>
      </c>
      <c r="N83" s="749">
        <v>27</v>
      </c>
      <c r="O83" s="742" t="s">
        <v>1292</v>
      </c>
      <c r="P83" s="749">
        <v>4</v>
      </c>
      <c r="Q83" s="742" t="s">
        <v>1271</v>
      </c>
      <c r="R83" s="750">
        <v>19.2</v>
      </c>
      <c r="S83" s="747">
        <f>8055.94</f>
        <v>8055.94</v>
      </c>
    </row>
    <row r="84" spans="1:19" ht="45" customHeight="1" x14ac:dyDescent="0.25">
      <c r="A84" s="742" t="s">
        <v>929</v>
      </c>
      <c r="B84" s="743" t="s">
        <v>1460</v>
      </c>
      <c r="C84" s="742"/>
      <c r="D84" s="742"/>
      <c r="E84" s="742" t="s">
        <v>1300</v>
      </c>
      <c r="F84" s="744"/>
      <c r="G84" s="742"/>
      <c r="H84" s="745"/>
      <c r="I84" s="745"/>
      <c r="J84" s="746"/>
      <c r="K84" s="747"/>
      <c r="L84" s="748">
        <f>1126964.55</f>
        <v>1126964.55</v>
      </c>
      <c r="M84" s="742"/>
      <c r="N84" s="749"/>
      <c r="O84" s="742"/>
      <c r="P84" s="749"/>
      <c r="Q84" s="742"/>
      <c r="R84" s="750"/>
      <c r="S84" s="747"/>
    </row>
    <row r="85" spans="1:19" ht="45" customHeight="1" x14ac:dyDescent="0.25">
      <c r="A85" s="742" t="s">
        <v>705</v>
      </c>
      <c r="B85" s="743" t="s">
        <v>1461</v>
      </c>
      <c r="C85" s="742" t="s">
        <v>750</v>
      </c>
      <c r="D85" s="742" t="s">
        <v>1021</v>
      </c>
      <c r="E85" s="742" t="s">
        <v>1462</v>
      </c>
      <c r="F85" s="744">
        <f>3390</f>
        <v>3390</v>
      </c>
      <c r="G85" s="742" t="s">
        <v>621</v>
      </c>
      <c r="H85" s="745">
        <v>254.33</v>
      </c>
      <c r="I85" s="745">
        <v>254.33</v>
      </c>
      <c r="J85" s="746" t="s">
        <v>1409</v>
      </c>
      <c r="K85" s="747">
        <f>297.06</f>
        <v>297.06</v>
      </c>
      <c r="L85" s="748">
        <f>1007033.4</f>
        <v>1007033.4</v>
      </c>
      <c r="M85" s="742" t="s">
        <v>250</v>
      </c>
      <c r="N85" s="749">
        <v>19</v>
      </c>
      <c r="O85" s="742" t="s">
        <v>1286</v>
      </c>
      <c r="P85" s="749">
        <v>5</v>
      </c>
      <c r="Q85" s="742" t="s">
        <v>1264</v>
      </c>
      <c r="R85" s="750">
        <v>3390</v>
      </c>
      <c r="S85" s="747">
        <f>1007033.4</f>
        <v>1007033.4</v>
      </c>
    </row>
    <row r="86" spans="1:19" ht="45" customHeight="1" x14ac:dyDescent="0.25">
      <c r="A86" s="742" t="s">
        <v>705</v>
      </c>
      <c r="B86" s="743" t="s">
        <v>1463</v>
      </c>
      <c r="C86" s="742" t="s">
        <v>750</v>
      </c>
      <c r="D86" s="742" t="s">
        <v>1228</v>
      </c>
      <c r="E86" s="742" t="s">
        <v>1427</v>
      </c>
      <c r="F86" s="744">
        <f>3390</f>
        <v>3390</v>
      </c>
      <c r="G86" s="742" t="s">
        <v>621</v>
      </c>
      <c r="H86" s="745">
        <v>10.61</v>
      </c>
      <c r="I86" s="745">
        <v>10.61</v>
      </c>
      <c r="J86" s="746">
        <v>0.24</v>
      </c>
      <c r="K86" s="747">
        <f>13.16</f>
        <v>13.16</v>
      </c>
      <c r="L86" s="748">
        <f>44612.4</f>
        <v>44612.4</v>
      </c>
      <c r="M86" s="742" t="s">
        <v>250</v>
      </c>
      <c r="N86" s="749">
        <v>19</v>
      </c>
      <c r="O86" s="742" t="s">
        <v>1286</v>
      </c>
      <c r="P86" s="749">
        <v>5</v>
      </c>
      <c r="Q86" s="742" t="s">
        <v>1264</v>
      </c>
      <c r="R86" s="750">
        <v>3390</v>
      </c>
      <c r="S86" s="747">
        <f>44612.4</f>
        <v>44612.4</v>
      </c>
    </row>
    <row r="87" spans="1:19" ht="45" customHeight="1" x14ac:dyDescent="0.25">
      <c r="A87" s="742" t="s">
        <v>705</v>
      </c>
      <c r="B87" s="743" t="s">
        <v>1464</v>
      </c>
      <c r="C87" s="742" t="s">
        <v>957</v>
      </c>
      <c r="D87" s="742" t="s">
        <v>1090</v>
      </c>
      <c r="E87" s="742" t="s">
        <v>1670</v>
      </c>
      <c r="F87" s="744">
        <f>6</f>
        <v>6</v>
      </c>
      <c r="G87" s="742" t="s">
        <v>639</v>
      </c>
      <c r="H87" s="745">
        <v>1134.43</v>
      </c>
      <c r="I87" s="745">
        <v>1134.43</v>
      </c>
      <c r="J87" s="746" t="s">
        <v>1409</v>
      </c>
      <c r="K87" s="747">
        <f>1325.01</f>
        <v>1325.01</v>
      </c>
      <c r="L87" s="748">
        <f>7950.06</f>
        <v>7950.06</v>
      </c>
      <c r="M87" s="742" t="s">
        <v>250</v>
      </c>
      <c r="N87" s="749">
        <v>19</v>
      </c>
      <c r="O87" s="742" t="s">
        <v>1286</v>
      </c>
      <c r="P87" s="749">
        <v>5</v>
      </c>
      <c r="Q87" s="742" t="s">
        <v>1264</v>
      </c>
      <c r="R87" s="750">
        <v>6</v>
      </c>
      <c r="S87" s="747">
        <f>7950.06</f>
        <v>7950.06</v>
      </c>
    </row>
    <row r="88" spans="1:19" ht="45" customHeight="1" x14ac:dyDescent="0.25">
      <c r="A88" s="742" t="s">
        <v>705</v>
      </c>
      <c r="B88" s="743" t="s">
        <v>1465</v>
      </c>
      <c r="C88" s="742" t="s">
        <v>957</v>
      </c>
      <c r="D88" s="742" t="s">
        <v>1091</v>
      </c>
      <c r="E88" s="742" t="s">
        <v>1466</v>
      </c>
      <c r="F88" s="744">
        <f>3</f>
        <v>3</v>
      </c>
      <c r="G88" s="742" t="s">
        <v>639</v>
      </c>
      <c r="H88" s="745">
        <v>1050.69</v>
      </c>
      <c r="I88" s="745">
        <v>1050.69</v>
      </c>
      <c r="J88" s="746" t="s">
        <v>1409</v>
      </c>
      <c r="K88" s="747">
        <f>1227.21</f>
        <v>1227.21</v>
      </c>
      <c r="L88" s="748">
        <f>3681.63</f>
        <v>3681.63</v>
      </c>
      <c r="M88" s="742" t="s">
        <v>250</v>
      </c>
      <c r="N88" s="749">
        <v>19</v>
      </c>
      <c r="O88" s="742" t="s">
        <v>1286</v>
      </c>
      <c r="P88" s="749">
        <v>5</v>
      </c>
      <c r="Q88" s="742" t="s">
        <v>1264</v>
      </c>
      <c r="R88" s="750">
        <v>3</v>
      </c>
      <c r="S88" s="747">
        <f>3681.63</f>
        <v>3681.63</v>
      </c>
    </row>
    <row r="89" spans="1:19" ht="45" customHeight="1" x14ac:dyDescent="0.25">
      <c r="A89" s="742" t="s">
        <v>705</v>
      </c>
      <c r="B89" s="743" t="s">
        <v>1467</v>
      </c>
      <c r="C89" s="742" t="s">
        <v>957</v>
      </c>
      <c r="D89" s="742" t="s">
        <v>1092</v>
      </c>
      <c r="E89" s="742" t="s">
        <v>1468</v>
      </c>
      <c r="F89" s="744">
        <f>1</f>
        <v>1</v>
      </c>
      <c r="G89" s="742" t="s">
        <v>639</v>
      </c>
      <c r="H89" s="745">
        <v>1647.15</v>
      </c>
      <c r="I89" s="745">
        <v>1647.15</v>
      </c>
      <c r="J89" s="746" t="s">
        <v>1409</v>
      </c>
      <c r="K89" s="747">
        <f>1923.87</f>
        <v>1923.87</v>
      </c>
      <c r="L89" s="748">
        <f>1923.87</f>
        <v>1923.87</v>
      </c>
      <c r="M89" s="742" t="s">
        <v>250</v>
      </c>
      <c r="N89" s="749">
        <v>19</v>
      </c>
      <c r="O89" s="742" t="s">
        <v>1286</v>
      </c>
      <c r="P89" s="749">
        <v>5</v>
      </c>
      <c r="Q89" s="742" t="s">
        <v>1264</v>
      </c>
      <c r="R89" s="750">
        <v>1</v>
      </c>
      <c r="S89" s="747">
        <f>1923.87</f>
        <v>1923.87</v>
      </c>
    </row>
    <row r="90" spans="1:19" ht="45" customHeight="1" x14ac:dyDescent="0.25">
      <c r="A90" s="742" t="s">
        <v>705</v>
      </c>
      <c r="B90" s="743" t="s">
        <v>1469</v>
      </c>
      <c r="C90" s="742" t="s">
        <v>957</v>
      </c>
      <c r="D90" s="742" t="s">
        <v>1093</v>
      </c>
      <c r="E90" s="742" t="s">
        <v>1470</v>
      </c>
      <c r="F90" s="744">
        <f>50</f>
        <v>50</v>
      </c>
      <c r="G90" s="742" t="s">
        <v>639</v>
      </c>
      <c r="H90" s="745">
        <v>438.85</v>
      </c>
      <c r="I90" s="745">
        <v>438.85</v>
      </c>
      <c r="J90" s="746" t="s">
        <v>1409</v>
      </c>
      <c r="K90" s="747">
        <f>512.58</f>
        <v>512.58000000000004</v>
      </c>
      <c r="L90" s="748">
        <f>25629</f>
        <v>25629</v>
      </c>
      <c r="M90" s="742" t="s">
        <v>250</v>
      </c>
      <c r="N90" s="749">
        <v>19</v>
      </c>
      <c r="O90" s="742" t="s">
        <v>1286</v>
      </c>
      <c r="P90" s="749">
        <v>5</v>
      </c>
      <c r="Q90" s="742" t="s">
        <v>1264</v>
      </c>
      <c r="R90" s="750">
        <v>50</v>
      </c>
      <c r="S90" s="747">
        <f>25629</f>
        <v>25629</v>
      </c>
    </row>
    <row r="91" spans="1:19" ht="45" customHeight="1" x14ac:dyDescent="0.25">
      <c r="A91" s="742" t="s">
        <v>705</v>
      </c>
      <c r="B91" s="743" t="s">
        <v>1471</v>
      </c>
      <c r="C91" s="742" t="s">
        <v>957</v>
      </c>
      <c r="D91" s="742" t="s">
        <v>1094</v>
      </c>
      <c r="E91" s="742" t="s">
        <v>1472</v>
      </c>
      <c r="F91" s="744">
        <f>7</f>
        <v>7</v>
      </c>
      <c r="G91" s="742" t="s">
        <v>639</v>
      </c>
      <c r="H91" s="745">
        <v>3706.92</v>
      </c>
      <c r="I91" s="745">
        <v>3706.92</v>
      </c>
      <c r="J91" s="746" t="s">
        <v>1409</v>
      </c>
      <c r="K91" s="747">
        <f>4329.68</f>
        <v>4329.68</v>
      </c>
      <c r="L91" s="748">
        <f>30307.76</f>
        <v>30307.759999999998</v>
      </c>
      <c r="M91" s="742" t="s">
        <v>250</v>
      </c>
      <c r="N91" s="749">
        <v>19</v>
      </c>
      <c r="O91" s="742" t="s">
        <v>1286</v>
      </c>
      <c r="P91" s="749">
        <v>5</v>
      </c>
      <c r="Q91" s="742" t="s">
        <v>1264</v>
      </c>
      <c r="R91" s="750">
        <v>7</v>
      </c>
      <c r="S91" s="747">
        <f>30307.76</f>
        <v>30307.759999999998</v>
      </c>
    </row>
    <row r="92" spans="1:19" ht="45" customHeight="1" x14ac:dyDescent="0.25">
      <c r="A92" s="742" t="s">
        <v>705</v>
      </c>
      <c r="B92" s="743" t="s">
        <v>1473</v>
      </c>
      <c r="C92" s="742" t="s">
        <v>957</v>
      </c>
      <c r="D92" s="742" t="s">
        <v>1257</v>
      </c>
      <c r="E92" s="742" t="s">
        <v>1474</v>
      </c>
      <c r="F92" s="744">
        <f>8</f>
        <v>8</v>
      </c>
      <c r="G92" s="742" t="s">
        <v>639</v>
      </c>
      <c r="H92" s="745">
        <v>169.33</v>
      </c>
      <c r="I92" s="745">
        <v>169.33</v>
      </c>
      <c r="J92" s="746" t="s">
        <v>1409</v>
      </c>
      <c r="K92" s="747">
        <f>197.78</f>
        <v>197.78</v>
      </c>
      <c r="L92" s="748">
        <f>1582.24</f>
        <v>1582.24</v>
      </c>
      <c r="M92" s="742" t="s">
        <v>250</v>
      </c>
      <c r="N92" s="749">
        <v>19</v>
      </c>
      <c r="O92" s="742" t="s">
        <v>1286</v>
      </c>
      <c r="P92" s="749">
        <v>5</v>
      </c>
      <c r="Q92" s="742" t="s">
        <v>1264</v>
      </c>
      <c r="R92" s="750">
        <v>8</v>
      </c>
      <c r="S92" s="747">
        <f>1582.24</f>
        <v>1582.24</v>
      </c>
    </row>
    <row r="93" spans="1:19" ht="45" customHeight="1" x14ac:dyDescent="0.25">
      <c r="A93" s="742" t="s">
        <v>705</v>
      </c>
      <c r="B93" s="743" t="s">
        <v>1475</v>
      </c>
      <c r="C93" s="742" t="s">
        <v>750</v>
      </c>
      <c r="D93" s="742" t="s">
        <v>1258</v>
      </c>
      <c r="E93" s="742" t="s">
        <v>1476</v>
      </c>
      <c r="F93" s="744">
        <f>63</f>
        <v>63</v>
      </c>
      <c r="G93" s="742" t="s">
        <v>639</v>
      </c>
      <c r="H93" s="745">
        <v>30.93</v>
      </c>
      <c r="I93" s="745">
        <v>30.93</v>
      </c>
      <c r="J93" s="746" t="s">
        <v>1409</v>
      </c>
      <c r="K93" s="747">
        <f>36.13</f>
        <v>36.130000000000003</v>
      </c>
      <c r="L93" s="748">
        <f>2276.19</f>
        <v>2276.19</v>
      </c>
      <c r="M93" s="742" t="s">
        <v>250</v>
      </c>
      <c r="N93" s="749">
        <v>19</v>
      </c>
      <c r="O93" s="742" t="s">
        <v>1286</v>
      </c>
      <c r="P93" s="749">
        <v>5</v>
      </c>
      <c r="Q93" s="742" t="s">
        <v>1264</v>
      </c>
      <c r="R93" s="750">
        <v>63</v>
      </c>
      <c r="S93" s="747">
        <f>2276.19</f>
        <v>2276.19</v>
      </c>
    </row>
    <row r="94" spans="1:19" ht="45" customHeight="1" x14ac:dyDescent="0.25">
      <c r="A94" s="742" t="s">
        <v>705</v>
      </c>
      <c r="B94" s="743" t="s">
        <v>1477</v>
      </c>
      <c r="C94" s="742" t="s">
        <v>956</v>
      </c>
      <c r="D94" s="742" t="s">
        <v>1241</v>
      </c>
      <c r="E94" s="742" t="s">
        <v>1219</v>
      </c>
      <c r="F94" s="744">
        <f>75</f>
        <v>75</v>
      </c>
      <c r="G94" s="742" t="s">
        <v>639</v>
      </c>
      <c r="H94" s="745">
        <v>21.16</v>
      </c>
      <c r="I94" s="745">
        <v>21.16</v>
      </c>
      <c r="J94" s="746">
        <v>0.24</v>
      </c>
      <c r="K94" s="747">
        <f>26.24</f>
        <v>26.24</v>
      </c>
      <c r="L94" s="748">
        <f>1968</f>
        <v>1968</v>
      </c>
      <c r="M94" s="742" t="s">
        <v>250</v>
      </c>
      <c r="N94" s="749">
        <v>19</v>
      </c>
      <c r="O94" s="742" t="s">
        <v>1286</v>
      </c>
      <c r="P94" s="749">
        <v>5</v>
      </c>
      <c r="Q94" s="742" t="s">
        <v>1264</v>
      </c>
      <c r="R94" s="750">
        <v>75</v>
      </c>
      <c r="S94" s="747">
        <f>1968</f>
        <v>1968</v>
      </c>
    </row>
    <row r="95" spans="1:19" ht="45" customHeight="1" x14ac:dyDescent="0.25">
      <c r="A95" s="742" t="s">
        <v>929</v>
      </c>
      <c r="B95" s="743" t="s">
        <v>1096</v>
      </c>
      <c r="C95" s="742"/>
      <c r="D95" s="742"/>
      <c r="E95" s="742" t="s">
        <v>1301</v>
      </c>
      <c r="F95" s="744"/>
      <c r="G95" s="742"/>
      <c r="H95" s="745"/>
      <c r="I95" s="745"/>
      <c r="J95" s="746"/>
      <c r="K95" s="747"/>
      <c r="L95" s="748">
        <f>653944.93</f>
        <v>653944.93000000005</v>
      </c>
      <c r="M95" s="742"/>
      <c r="N95" s="749"/>
      <c r="O95" s="742"/>
      <c r="P95" s="749"/>
      <c r="Q95" s="742"/>
      <c r="R95" s="750"/>
      <c r="S95" s="747"/>
    </row>
    <row r="96" spans="1:19" ht="45" customHeight="1" x14ac:dyDescent="0.25">
      <c r="A96" s="742" t="s">
        <v>705</v>
      </c>
      <c r="B96" s="743" t="s">
        <v>1478</v>
      </c>
      <c r="C96" s="742" t="s">
        <v>750</v>
      </c>
      <c r="D96" s="742" t="s">
        <v>1022</v>
      </c>
      <c r="E96" s="742" t="s">
        <v>1479</v>
      </c>
      <c r="F96" s="744">
        <f>5424</f>
        <v>5424</v>
      </c>
      <c r="G96" s="742" t="s">
        <v>625</v>
      </c>
      <c r="H96" s="745">
        <v>13.35</v>
      </c>
      <c r="I96" s="745">
        <v>13.35</v>
      </c>
      <c r="J96" s="746">
        <v>0.24</v>
      </c>
      <c r="K96" s="747">
        <f>16.55</f>
        <v>16.55</v>
      </c>
      <c r="L96" s="748">
        <f>89767.2</f>
        <v>89767.2</v>
      </c>
      <c r="M96" s="742" t="s">
        <v>250</v>
      </c>
      <c r="N96" s="749">
        <v>7</v>
      </c>
      <c r="O96" s="742" t="s">
        <v>1280</v>
      </c>
      <c r="P96" s="749">
        <v>5</v>
      </c>
      <c r="Q96" s="742" t="s">
        <v>1264</v>
      </c>
      <c r="R96" s="750">
        <v>5424</v>
      </c>
      <c r="S96" s="747">
        <f>89767.2</f>
        <v>89767.2</v>
      </c>
    </row>
    <row r="97" spans="1:19" ht="45" customHeight="1" x14ac:dyDescent="0.25">
      <c r="A97" s="742" t="s">
        <v>705</v>
      </c>
      <c r="B97" s="743" t="s">
        <v>1480</v>
      </c>
      <c r="C97" s="742" t="s">
        <v>750</v>
      </c>
      <c r="D97" s="742" t="s">
        <v>1023</v>
      </c>
      <c r="E97" s="742" t="s">
        <v>1481</v>
      </c>
      <c r="F97" s="744">
        <f>3390</f>
        <v>3390</v>
      </c>
      <c r="G97" s="742" t="s">
        <v>623</v>
      </c>
      <c r="H97" s="745">
        <v>8.8000000000000007</v>
      </c>
      <c r="I97" s="745">
        <v>8.8000000000000007</v>
      </c>
      <c r="J97" s="746">
        <v>0.24</v>
      </c>
      <c r="K97" s="747">
        <f>10.91</f>
        <v>10.91</v>
      </c>
      <c r="L97" s="748">
        <f>36984.9</f>
        <v>36984.9</v>
      </c>
      <c r="M97" s="742" t="s">
        <v>250</v>
      </c>
      <c r="N97" s="749">
        <v>7</v>
      </c>
      <c r="O97" s="742" t="s">
        <v>1280</v>
      </c>
      <c r="P97" s="749">
        <v>5</v>
      </c>
      <c r="Q97" s="742" t="s">
        <v>1264</v>
      </c>
      <c r="R97" s="750">
        <v>3390</v>
      </c>
      <c r="S97" s="747">
        <f>36984.9</f>
        <v>36984.9</v>
      </c>
    </row>
    <row r="98" spans="1:19" ht="45" customHeight="1" x14ac:dyDescent="0.25">
      <c r="A98" s="742" t="s">
        <v>705</v>
      </c>
      <c r="B98" s="743" t="s">
        <v>1482</v>
      </c>
      <c r="C98" s="742" t="s">
        <v>750</v>
      </c>
      <c r="D98" s="742" t="s">
        <v>1024</v>
      </c>
      <c r="E98" s="742" t="s">
        <v>1483</v>
      </c>
      <c r="F98" s="744">
        <f>5424</f>
        <v>5424</v>
      </c>
      <c r="G98" s="742" t="s">
        <v>625</v>
      </c>
      <c r="H98" s="745">
        <v>27.85</v>
      </c>
      <c r="I98" s="745">
        <v>27.85</v>
      </c>
      <c r="J98" s="746">
        <v>0.24</v>
      </c>
      <c r="K98" s="747">
        <f>34.53</f>
        <v>34.53</v>
      </c>
      <c r="L98" s="748">
        <f>187290.72</f>
        <v>187290.72</v>
      </c>
      <c r="M98" s="742" t="s">
        <v>250</v>
      </c>
      <c r="N98" s="749">
        <v>9</v>
      </c>
      <c r="O98" s="742" t="s">
        <v>1278</v>
      </c>
      <c r="P98" s="749">
        <v>5</v>
      </c>
      <c r="Q98" s="742" t="s">
        <v>1264</v>
      </c>
      <c r="R98" s="750">
        <v>5424</v>
      </c>
      <c r="S98" s="747">
        <f>187290.72</f>
        <v>187290.72</v>
      </c>
    </row>
    <row r="99" spans="1:19" ht="45" customHeight="1" x14ac:dyDescent="0.25">
      <c r="A99" s="742" t="s">
        <v>705</v>
      </c>
      <c r="B99" s="743" t="s">
        <v>1484</v>
      </c>
      <c r="C99" s="742" t="s">
        <v>750</v>
      </c>
      <c r="D99" s="742" t="s">
        <v>1025</v>
      </c>
      <c r="E99" s="742" t="s">
        <v>1485</v>
      </c>
      <c r="F99" s="744">
        <f>3390</f>
        <v>3390</v>
      </c>
      <c r="G99" s="742" t="s">
        <v>621</v>
      </c>
      <c r="H99" s="745">
        <v>11.37</v>
      </c>
      <c r="I99" s="745">
        <v>11.37</v>
      </c>
      <c r="J99" s="746">
        <v>0.24</v>
      </c>
      <c r="K99" s="747">
        <f>14.1</f>
        <v>14.1</v>
      </c>
      <c r="L99" s="748">
        <f>47799</f>
        <v>47799</v>
      </c>
      <c r="M99" s="742" t="s">
        <v>250</v>
      </c>
      <c r="N99" s="749">
        <v>8</v>
      </c>
      <c r="O99" s="742" t="s">
        <v>1281</v>
      </c>
      <c r="P99" s="749">
        <v>5</v>
      </c>
      <c r="Q99" s="742" t="s">
        <v>1264</v>
      </c>
      <c r="R99" s="750">
        <v>3390</v>
      </c>
      <c r="S99" s="747">
        <f>47799</f>
        <v>47799</v>
      </c>
    </row>
    <row r="100" spans="1:19" ht="45" customHeight="1" x14ac:dyDescent="0.25">
      <c r="A100" s="742" t="s">
        <v>705</v>
      </c>
      <c r="B100" s="743" t="s">
        <v>1486</v>
      </c>
      <c r="C100" s="742" t="s">
        <v>871</v>
      </c>
      <c r="D100" s="742" t="s">
        <v>1487</v>
      </c>
      <c r="E100" s="742" t="s">
        <v>1488</v>
      </c>
      <c r="F100" s="744">
        <f>54.14</f>
        <v>54.14</v>
      </c>
      <c r="G100" s="742" t="s">
        <v>625</v>
      </c>
      <c r="H100" s="745">
        <v>1800.12</v>
      </c>
      <c r="I100" s="745">
        <v>1800.12</v>
      </c>
      <c r="J100" s="746">
        <v>0.24</v>
      </c>
      <c r="K100" s="747">
        <f>2232.15</f>
        <v>2232.15</v>
      </c>
      <c r="L100" s="748">
        <f>120848.6</f>
        <v>120848.6</v>
      </c>
      <c r="M100" s="742" t="s">
        <v>250</v>
      </c>
      <c r="N100" s="749">
        <v>28</v>
      </c>
      <c r="O100" s="742" t="s">
        <v>102</v>
      </c>
      <c r="P100" s="749">
        <v>5</v>
      </c>
      <c r="Q100" s="742" t="s">
        <v>1264</v>
      </c>
      <c r="R100" s="750">
        <v>54.14</v>
      </c>
      <c r="S100" s="747">
        <f>120848.6</f>
        <v>120848.6</v>
      </c>
    </row>
    <row r="101" spans="1:19" ht="45" customHeight="1" x14ac:dyDescent="0.25">
      <c r="A101" s="742" t="s">
        <v>705</v>
      </c>
      <c r="B101" s="743" t="s">
        <v>1489</v>
      </c>
      <c r="C101" s="742" t="s">
        <v>750</v>
      </c>
      <c r="D101" s="742" t="s">
        <v>1242</v>
      </c>
      <c r="E101" s="742" t="s">
        <v>1490</v>
      </c>
      <c r="F101" s="744">
        <f>989</f>
        <v>989</v>
      </c>
      <c r="G101" s="742" t="s">
        <v>623</v>
      </c>
      <c r="H101" s="745">
        <v>87.54</v>
      </c>
      <c r="I101" s="745">
        <v>87.54</v>
      </c>
      <c r="J101" s="746">
        <v>0.24</v>
      </c>
      <c r="K101" s="747">
        <f>108.55</f>
        <v>108.55</v>
      </c>
      <c r="L101" s="748">
        <f>107355.95</f>
        <v>107355.95</v>
      </c>
      <c r="M101" s="742" t="s">
        <v>250</v>
      </c>
      <c r="N101" s="749">
        <v>10</v>
      </c>
      <c r="O101" s="742" t="s">
        <v>1282</v>
      </c>
      <c r="P101" s="749">
        <v>5</v>
      </c>
      <c r="Q101" s="742" t="s">
        <v>1264</v>
      </c>
      <c r="R101" s="750">
        <v>989</v>
      </c>
      <c r="S101" s="747">
        <f>107355.95</f>
        <v>107355.95</v>
      </c>
    </row>
    <row r="102" spans="1:19" ht="45" customHeight="1" x14ac:dyDescent="0.25">
      <c r="A102" s="742" t="s">
        <v>705</v>
      </c>
      <c r="B102" s="743" t="s">
        <v>1491</v>
      </c>
      <c r="C102" s="742" t="s">
        <v>957</v>
      </c>
      <c r="D102" s="742" t="s">
        <v>1095</v>
      </c>
      <c r="E102" s="742" t="s">
        <v>1492</v>
      </c>
      <c r="F102" s="744">
        <f>18</f>
        <v>18</v>
      </c>
      <c r="G102" s="742" t="s">
        <v>623</v>
      </c>
      <c r="H102" s="745">
        <v>2862.84</v>
      </c>
      <c r="I102" s="745">
        <v>2862.84</v>
      </c>
      <c r="J102" s="746">
        <v>0.24</v>
      </c>
      <c r="K102" s="747">
        <f>3549.92</f>
        <v>3549.92</v>
      </c>
      <c r="L102" s="748">
        <f>63898.56</f>
        <v>63898.559999999998</v>
      </c>
      <c r="M102" s="742" t="s">
        <v>250</v>
      </c>
      <c r="N102" s="749">
        <v>7</v>
      </c>
      <c r="O102" s="742" t="s">
        <v>1280</v>
      </c>
      <c r="P102" s="749">
        <v>5</v>
      </c>
      <c r="Q102" s="742" t="s">
        <v>1264</v>
      </c>
      <c r="R102" s="750">
        <v>18</v>
      </c>
      <c r="S102" s="747">
        <f>63898.56</f>
        <v>63898.559999999998</v>
      </c>
    </row>
    <row r="103" spans="1:19" ht="45" customHeight="1" x14ac:dyDescent="0.25">
      <c r="A103" s="742" t="s">
        <v>929</v>
      </c>
      <c r="B103" s="743" t="s">
        <v>1097</v>
      </c>
      <c r="C103" s="742"/>
      <c r="D103" s="742"/>
      <c r="E103" s="742" t="s">
        <v>1302</v>
      </c>
      <c r="F103" s="744"/>
      <c r="G103" s="742"/>
      <c r="H103" s="745"/>
      <c r="I103" s="745"/>
      <c r="J103" s="746"/>
      <c r="K103" s="747"/>
      <c r="L103" s="748">
        <f>103363.95</f>
        <v>103363.95</v>
      </c>
      <c r="M103" s="742"/>
      <c r="N103" s="749"/>
      <c r="O103" s="742"/>
      <c r="P103" s="749"/>
      <c r="Q103" s="742"/>
      <c r="R103" s="750"/>
      <c r="S103" s="747"/>
    </row>
    <row r="104" spans="1:19" ht="45" customHeight="1" x14ac:dyDescent="0.25">
      <c r="A104" s="742" t="s">
        <v>705</v>
      </c>
      <c r="B104" s="743" t="s">
        <v>1493</v>
      </c>
      <c r="C104" s="742" t="s">
        <v>750</v>
      </c>
      <c r="D104" s="742" t="s">
        <v>1038</v>
      </c>
      <c r="E104" s="742" t="s">
        <v>1494</v>
      </c>
      <c r="F104" s="744">
        <f>17</f>
        <v>17</v>
      </c>
      <c r="G104" s="742" t="s">
        <v>625</v>
      </c>
      <c r="H104" s="745">
        <v>553.34</v>
      </c>
      <c r="I104" s="745">
        <v>553.34</v>
      </c>
      <c r="J104" s="746">
        <v>0.24</v>
      </c>
      <c r="K104" s="747">
        <f>686.14</f>
        <v>686.14</v>
      </c>
      <c r="L104" s="748">
        <f>11664.38</f>
        <v>11664.38</v>
      </c>
      <c r="M104" s="742" t="s">
        <v>250</v>
      </c>
      <c r="N104" s="749">
        <v>12</v>
      </c>
      <c r="O104" s="742" t="s">
        <v>1284</v>
      </c>
      <c r="P104" s="749">
        <v>5</v>
      </c>
      <c r="Q104" s="742" t="s">
        <v>1264</v>
      </c>
      <c r="R104" s="750">
        <v>17</v>
      </c>
      <c r="S104" s="747">
        <f>11664.38</f>
        <v>11664.38</v>
      </c>
    </row>
    <row r="105" spans="1:19" ht="45" customHeight="1" x14ac:dyDescent="0.25">
      <c r="A105" s="742" t="s">
        <v>705</v>
      </c>
      <c r="B105" s="743" t="s">
        <v>1495</v>
      </c>
      <c r="C105" s="742" t="s">
        <v>750</v>
      </c>
      <c r="D105" s="742" t="s">
        <v>1221</v>
      </c>
      <c r="E105" s="742" t="s">
        <v>1451</v>
      </c>
      <c r="F105" s="744">
        <f>17</f>
        <v>17</v>
      </c>
      <c r="G105" s="742" t="s">
        <v>625</v>
      </c>
      <c r="H105" s="745">
        <v>48.55</v>
      </c>
      <c r="I105" s="745">
        <v>48.55</v>
      </c>
      <c r="J105" s="746">
        <v>0.24</v>
      </c>
      <c r="K105" s="747">
        <f>60.2</f>
        <v>60.2</v>
      </c>
      <c r="L105" s="748">
        <f>1023.4</f>
        <v>1023.4</v>
      </c>
      <c r="M105" s="742" t="s">
        <v>250</v>
      </c>
      <c r="N105" s="749">
        <v>12</v>
      </c>
      <c r="O105" s="742" t="s">
        <v>1284</v>
      </c>
      <c r="P105" s="749">
        <v>5</v>
      </c>
      <c r="Q105" s="742" t="s">
        <v>1264</v>
      </c>
      <c r="R105" s="750">
        <v>17</v>
      </c>
      <c r="S105" s="747">
        <f>1023.4</f>
        <v>1023.4</v>
      </c>
    </row>
    <row r="106" spans="1:19" ht="45" customHeight="1" x14ac:dyDescent="0.25">
      <c r="A106" s="742" t="s">
        <v>705</v>
      </c>
      <c r="B106" s="743" t="s">
        <v>1496</v>
      </c>
      <c r="C106" s="742" t="s">
        <v>750</v>
      </c>
      <c r="D106" s="742" t="s">
        <v>1082</v>
      </c>
      <c r="E106" s="742" t="s">
        <v>1497</v>
      </c>
      <c r="F106" s="744">
        <f>1200</f>
        <v>1200</v>
      </c>
      <c r="G106" s="742" t="s">
        <v>617</v>
      </c>
      <c r="H106" s="745">
        <v>11.7</v>
      </c>
      <c r="I106" s="745">
        <v>11.7</v>
      </c>
      <c r="J106" s="746">
        <v>0.24</v>
      </c>
      <c r="K106" s="747">
        <f>14.51</f>
        <v>14.51</v>
      </c>
      <c r="L106" s="748">
        <f>17412</f>
        <v>17412</v>
      </c>
      <c r="M106" s="742" t="s">
        <v>250</v>
      </c>
      <c r="N106" s="749">
        <v>11</v>
      </c>
      <c r="O106" s="742" t="s">
        <v>1283</v>
      </c>
      <c r="P106" s="749">
        <v>5</v>
      </c>
      <c r="Q106" s="742" t="s">
        <v>1264</v>
      </c>
      <c r="R106" s="750">
        <v>1200</v>
      </c>
      <c r="S106" s="747">
        <f>17412</f>
        <v>17412</v>
      </c>
    </row>
    <row r="107" spans="1:19" ht="45" customHeight="1" x14ac:dyDescent="0.25">
      <c r="A107" s="742" t="s">
        <v>705</v>
      </c>
      <c r="B107" s="743" t="s">
        <v>1498</v>
      </c>
      <c r="C107" s="742" t="s">
        <v>750</v>
      </c>
      <c r="D107" s="742" t="s">
        <v>1026</v>
      </c>
      <c r="E107" s="742" t="s">
        <v>1499</v>
      </c>
      <c r="F107" s="744">
        <f>112</f>
        <v>112</v>
      </c>
      <c r="G107" s="742" t="s">
        <v>623</v>
      </c>
      <c r="H107" s="745">
        <v>128.82</v>
      </c>
      <c r="I107" s="745">
        <v>128.82</v>
      </c>
      <c r="J107" s="746">
        <v>0.24</v>
      </c>
      <c r="K107" s="747">
        <f>159.74</f>
        <v>159.74</v>
      </c>
      <c r="L107" s="748">
        <f>17890.88</f>
        <v>17890.88</v>
      </c>
      <c r="M107" s="742" t="s">
        <v>250</v>
      </c>
      <c r="N107" s="749">
        <v>10</v>
      </c>
      <c r="O107" s="742" t="s">
        <v>1282</v>
      </c>
      <c r="P107" s="749">
        <v>5</v>
      </c>
      <c r="Q107" s="742" t="s">
        <v>1264</v>
      </c>
      <c r="R107" s="750">
        <v>112</v>
      </c>
      <c r="S107" s="747">
        <f>17890.88</f>
        <v>17890.88</v>
      </c>
    </row>
    <row r="108" spans="1:19" ht="45" customHeight="1" x14ac:dyDescent="0.25">
      <c r="A108" s="742" t="s">
        <v>705</v>
      </c>
      <c r="B108" s="743" t="s">
        <v>1500</v>
      </c>
      <c r="C108" s="742" t="s">
        <v>750</v>
      </c>
      <c r="D108" s="742" t="s">
        <v>1027</v>
      </c>
      <c r="E108" s="742" t="s">
        <v>1501</v>
      </c>
      <c r="F108" s="744">
        <f>77.3</f>
        <v>77.3</v>
      </c>
      <c r="G108" s="742" t="s">
        <v>625</v>
      </c>
      <c r="H108" s="745">
        <v>14.08</v>
      </c>
      <c r="I108" s="745">
        <v>14.08</v>
      </c>
      <c r="J108" s="746">
        <v>0.24</v>
      </c>
      <c r="K108" s="747">
        <f>17.46</f>
        <v>17.46</v>
      </c>
      <c r="L108" s="748">
        <f>1349.66</f>
        <v>1349.66</v>
      </c>
      <c r="M108" s="742" t="s">
        <v>250</v>
      </c>
      <c r="N108" s="749">
        <v>7</v>
      </c>
      <c r="O108" s="742" t="s">
        <v>1280</v>
      </c>
      <c r="P108" s="749">
        <v>5</v>
      </c>
      <c r="Q108" s="742" t="s">
        <v>1264</v>
      </c>
      <c r="R108" s="750">
        <v>77.3</v>
      </c>
      <c r="S108" s="747">
        <f>1349.66</f>
        <v>1349.66</v>
      </c>
    </row>
    <row r="109" spans="1:19" ht="45" customHeight="1" x14ac:dyDescent="0.25">
      <c r="A109" s="742" t="s">
        <v>705</v>
      </c>
      <c r="B109" s="743" t="s">
        <v>1502</v>
      </c>
      <c r="C109" s="742" t="s">
        <v>750</v>
      </c>
      <c r="D109" s="742" t="s">
        <v>1028</v>
      </c>
      <c r="E109" s="742" t="s">
        <v>1503</v>
      </c>
      <c r="F109" s="744">
        <f>8.7</f>
        <v>8.6999999999999993</v>
      </c>
      <c r="G109" s="742" t="s">
        <v>621</v>
      </c>
      <c r="H109" s="745">
        <v>133.03</v>
      </c>
      <c r="I109" s="745">
        <v>133.03</v>
      </c>
      <c r="J109" s="746">
        <v>0.24</v>
      </c>
      <c r="K109" s="747">
        <f>164.96</f>
        <v>164.96</v>
      </c>
      <c r="L109" s="748">
        <f>1435.15</f>
        <v>1435.15</v>
      </c>
      <c r="M109" s="742" t="s">
        <v>250</v>
      </c>
      <c r="N109" s="749">
        <v>13</v>
      </c>
      <c r="O109" s="742" t="s">
        <v>1296</v>
      </c>
      <c r="P109" s="749">
        <v>5</v>
      </c>
      <c r="Q109" s="742" t="s">
        <v>1264</v>
      </c>
      <c r="R109" s="750">
        <v>8.6999999999999993</v>
      </c>
      <c r="S109" s="747">
        <f>1435.15</f>
        <v>1435.15</v>
      </c>
    </row>
    <row r="110" spans="1:19" ht="45" customHeight="1" x14ac:dyDescent="0.25">
      <c r="A110" s="742" t="s">
        <v>705</v>
      </c>
      <c r="B110" s="743" t="s">
        <v>1504</v>
      </c>
      <c r="C110" s="742" t="s">
        <v>750</v>
      </c>
      <c r="D110" s="742" t="s">
        <v>1029</v>
      </c>
      <c r="E110" s="742" t="s">
        <v>1505</v>
      </c>
      <c r="F110" s="744">
        <f>112</f>
        <v>112</v>
      </c>
      <c r="G110" s="742" t="s">
        <v>623</v>
      </c>
      <c r="H110" s="745">
        <v>378.66</v>
      </c>
      <c r="I110" s="745">
        <v>378.66</v>
      </c>
      <c r="J110" s="746">
        <v>0.24</v>
      </c>
      <c r="K110" s="747">
        <f>469.54</f>
        <v>469.54</v>
      </c>
      <c r="L110" s="748">
        <f>52588.48</f>
        <v>52588.480000000003</v>
      </c>
      <c r="M110" s="742" t="s">
        <v>250</v>
      </c>
      <c r="N110" s="749">
        <v>14</v>
      </c>
      <c r="O110" s="742" t="s">
        <v>1273</v>
      </c>
      <c r="P110" s="749">
        <v>5</v>
      </c>
      <c r="Q110" s="742" t="s">
        <v>1264</v>
      </c>
      <c r="R110" s="750">
        <v>112</v>
      </c>
      <c r="S110" s="747">
        <f>52588.48</f>
        <v>52588.480000000003</v>
      </c>
    </row>
    <row r="111" spans="1:19" ht="45" customHeight="1" x14ac:dyDescent="0.25">
      <c r="A111" s="742" t="s">
        <v>929</v>
      </c>
      <c r="B111" s="743" t="s">
        <v>1098</v>
      </c>
      <c r="C111" s="742"/>
      <c r="D111" s="742"/>
      <c r="E111" s="742" t="s">
        <v>1303</v>
      </c>
      <c r="F111" s="744"/>
      <c r="G111" s="742"/>
      <c r="H111" s="745"/>
      <c r="I111" s="745"/>
      <c r="J111" s="746"/>
      <c r="K111" s="747"/>
      <c r="L111" s="748">
        <f>281457.41</f>
        <v>281457.40999999997</v>
      </c>
      <c r="M111" s="742"/>
      <c r="N111" s="749"/>
      <c r="O111" s="742"/>
      <c r="P111" s="749"/>
      <c r="Q111" s="742"/>
      <c r="R111" s="750"/>
      <c r="S111" s="747"/>
    </row>
    <row r="112" spans="1:19" ht="45" customHeight="1" x14ac:dyDescent="0.25">
      <c r="A112" s="742" t="s">
        <v>705</v>
      </c>
      <c r="B112" s="743" t="s">
        <v>1506</v>
      </c>
      <c r="C112" s="742" t="s">
        <v>750</v>
      </c>
      <c r="D112" s="742" t="s">
        <v>1081</v>
      </c>
      <c r="E112" s="742" t="s">
        <v>1507</v>
      </c>
      <c r="F112" s="744">
        <f>1881.45</f>
        <v>1881.45</v>
      </c>
      <c r="G112" s="742" t="s">
        <v>625</v>
      </c>
      <c r="H112" s="745">
        <v>8.91</v>
      </c>
      <c r="I112" s="745">
        <v>8.91</v>
      </c>
      <c r="J112" s="746">
        <v>0.24</v>
      </c>
      <c r="K112" s="747">
        <f>11.05</f>
        <v>11.05</v>
      </c>
      <c r="L112" s="748">
        <f>20790.02</f>
        <v>20790.02</v>
      </c>
      <c r="M112" s="742" t="s">
        <v>250</v>
      </c>
      <c r="N112" s="749">
        <v>28</v>
      </c>
      <c r="O112" s="742" t="s">
        <v>102</v>
      </c>
      <c r="P112" s="749">
        <v>5</v>
      </c>
      <c r="Q112" s="742" t="s">
        <v>1264</v>
      </c>
      <c r="R112" s="750">
        <v>1881.45</v>
      </c>
      <c r="S112" s="747">
        <f>20790.02</f>
        <v>20790.02</v>
      </c>
    </row>
    <row r="113" spans="1:19" ht="45" customHeight="1" x14ac:dyDescent="0.25">
      <c r="A113" s="742" t="s">
        <v>705</v>
      </c>
      <c r="B113" s="743" t="s">
        <v>1508</v>
      </c>
      <c r="C113" s="742" t="s">
        <v>750</v>
      </c>
      <c r="D113" s="742" t="s">
        <v>1030</v>
      </c>
      <c r="E113" s="742" t="s">
        <v>1509</v>
      </c>
      <c r="F113" s="744">
        <f>824.07</f>
        <v>824.07</v>
      </c>
      <c r="G113" s="742" t="s">
        <v>627</v>
      </c>
      <c r="H113" s="745">
        <v>1.01</v>
      </c>
      <c r="I113" s="745">
        <v>1.01</v>
      </c>
      <c r="J113" s="746">
        <v>0.24</v>
      </c>
      <c r="K113" s="747">
        <f>1.25</f>
        <v>1.25</v>
      </c>
      <c r="L113" s="748">
        <f>1030.09</f>
        <v>1030.0899999999999</v>
      </c>
      <c r="M113" s="742" t="s">
        <v>250</v>
      </c>
      <c r="N113" s="749">
        <v>28</v>
      </c>
      <c r="O113" s="742" t="s">
        <v>102</v>
      </c>
      <c r="P113" s="749">
        <v>5</v>
      </c>
      <c r="Q113" s="742" t="s">
        <v>1264</v>
      </c>
      <c r="R113" s="750">
        <v>824.07</v>
      </c>
      <c r="S113" s="747">
        <f>1030.09</f>
        <v>1030.0899999999999</v>
      </c>
    </row>
    <row r="114" spans="1:19" ht="45" customHeight="1" x14ac:dyDescent="0.25">
      <c r="A114" s="742" t="s">
        <v>705</v>
      </c>
      <c r="B114" s="743" t="s">
        <v>1510</v>
      </c>
      <c r="C114" s="742" t="s">
        <v>750</v>
      </c>
      <c r="D114" s="742" t="s">
        <v>1031</v>
      </c>
      <c r="E114" s="742" t="s">
        <v>1511</v>
      </c>
      <c r="F114" s="744">
        <f>824.07</f>
        <v>824.07</v>
      </c>
      <c r="G114" s="742" t="s">
        <v>625</v>
      </c>
      <c r="H114" s="745">
        <v>1.51</v>
      </c>
      <c r="I114" s="745">
        <v>1.51</v>
      </c>
      <c r="J114" s="746">
        <v>0.24</v>
      </c>
      <c r="K114" s="747">
        <f>1.87</f>
        <v>1.87</v>
      </c>
      <c r="L114" s="748">
        <f>1541.01</f>
        <v>1541.01</v>
      </c>
      <c r="M114" s="742" t="s">
        <v>250</v>
      </c>
      <c r="N114" s="749">
        <v>28</v>
      </c>
      <c r="O114" s="742" t="s">
        <v>102</v>
      </c>
      <c r="P114" s="749">
        <v>5</v>
      </c>
      <c r="Q114" s="742" t="s">
        <v>1264</v>
      </c>
      <c r="R114" s="750">
        <v>824.07</v>
      </c>
      <c r="S114" s="747">
        <f>1541.01</f>
        <v>1541.01</v>
      </c>
    </row>
    <row r="115" spans="1:19" ht="45" customHeight="1" x14ac:dyDescent="0.25">
      <c r="A115" s="742" t="s">
        <v>705</v>
      </c>
      <c r="B115" s="743" t="s">
        <v>1512</v>
      </c>
      <c r="C115" s="742" t="s">
        <v>750</v>
      </c>
      <c r="D115" s="742" t="s">
        <v>1032</v>
      </c>
      <c r="E115" s="742" t="s">
        <v>1513</v>
      </c>
      <c r="F115" s="744">
        <f>1220.4</f>
        <v>1220.4000000000001</v>
      </c>
      <c r="G115" s="742" t="s">
        <v>625</v>
      </c>
      <c r="H115" s="745">
        <v>134.36000000000001</v>
      </c>
      <c r="I115" s="745">
        <v>134.36000000000001</v>
      </c>
      <c r="J115" s="746">
        <v>0.24</v>
      </c>
      <c r="K115" s="747">
        <f>166.61</f>
        <v>166.61</v>
      </c>
      <c r="L115" s="748">
        <f>203330.84</f>
        <v>203330.84</v>
      </c>
      <c r="M115" s="742" t="s">
        <v>250</v>
      </c>
      <c r="N115" s="749">
        <v>28</v>
      </c>
      <c r="O115" s="742" t="s">
        <v>102</v>
      </c>
      <c r="P115" s="749">
        <v>5</v>
      </c>
      <c r="Q115" s="742" t="s">
        <v>1264</v>
      </c>
      <c r="R115" s="750">
        <v>1220.4000000000001</v>
      </c>
      <c r="S115" s="747">
        <f>203330.84</f>
        <v>203330.84</v>
      </c>
    </row>
    <row r="116" spans="1:19" ht="45" customHeight="1" x14ac:dyDescent="0.25">
      <c r="A116" s="742" t="s">
        <v>705</v>
      </c>
      <c r="B116" s="743" t="s">
        <v>1514</v>
      </c>
      <c r="C116" s="742" t="s">
        <v>871</v>
      </c>
      <c r="D116" s="742" t="s">
        <v>1515</v>
      </c>
      <c r="E116" s="742" t="s">
        <v>1516</v>
      </c>
      <c r="F116" s="744">
        <f>15255</f>
        <v>15255</v>
      </c>
      <c r="G116" s="742" t="s">
        <v>623</v>
      </c>
      <c r="H116" s="745">
        <v>2.2799999999999998</v>
      </c>
      <c r="I116" s="745">
        <v>2.2799999999999998</v>
      </c>
      <c r="J116" s="746">
        <v>0.24</v>
      </c>
      <c r="K116" s="747">
        <f>2.83</f>
        <v>2.83</v>
      </c>
      <c r="L116" s="748">
        <f>43171.65</f>
        <v>43171.65</v>
      </c>
      <c r="M116" s="742" t="s">
        <v>250</v>
      </c>
      <c r="N116" s="749">
        <v>28</v>
      </c>
      <c r="O116" s="742" t="s">
        <v>102</v>
      </c>
      <c r="P116" s="749">
        <v>5</v>
      </c>
      <c r="Q116" s="742" t="s">
        <v>1264</v>
      </c>
      <c r="R116" s="750">
        <v>15255</v>
      </c>
      <c r="S116" s="747">
        <f>43171.65</f>
        <v>43171.65</v>
      </c>
    </row>
    <row r="117" spans="1:19" ht="45" customHeight="1" x14ac:dyDescent="0.25">
      <c r="A117" s="742" t="s">
        <v>705</v>
      </c>
      <c r="B117" s="743" t="s">
        <v>1517</v>
      </c>
      <c r="C117" s="742" t="s">
        <v>871</v>
      </c>
      <c r="D117" s="742" t="s">
        <v>1518</v>
      </c>
      <c r="E117" s="742" t="s">
        <v>1519</v>
      </c>
      <c r="F117" s="744">
        <f>15255</f>
        <v>15255</v>
      </c>
      <c r="G117" s="742" t="s">
        <v>623</v>
      </c>
      <c r="H117" s="745">
        <v>0.61</v>
      </c>
      <c r="I117" s="745">
        <v>0.61</v>
      </c>
      <c r="J117" s="746">
        <v>0.24</v>
      </c>
      <c r="K117" s="747">
        <f>0.76</f>
        <v>0.76</v>
      </c>
      <c r="L117" s="748">
        <f>11593.8</f>
        <v>11593.8</v>
      </c>
      <c r="M117" s="742" t="s">
        <v>250</v>
      </c>
      <c r="N117" s="749">
        <v>28</v>
      </c>
      <c r="O117" s="742" t="s">
        <v>102</v>
      </c>
      <c r="P117" s="749">
        <v>5</v>
      </c>
      <c r="Q117" s="742" t="s">
        <v>1264</v>
      </c>
      <c r="R117" s="750">
        <v>15255</v>
      </c>
      <c r="S117" s="747">
        <f>11593.8</f>
        <v>11593.8</v>
      </c>
    </row>
    <row r="118" spans="1:19" ht="45" customHeight="1" x14ac:dyDescent="0.25">
      <c r="A118" s="742" t="s">
        <v>929</v>
      </c>
      <c r="B118" s="743" t="s">
        <v>1099</v>
      </c>
      <c r="C118" s="742"/>
      <c r="D118" s="742"/>
      <c r="E118" s="742" t="s">
        <v>1304</v>
      </c>
      <c r="F118" s="744"/>
      <c r="G118" s="742"/>
      <c r="H118" s="745"/>
      <c r="I118" s="745"/>
      <c r="J118" s="746"/>
      <c r="K118" s="747"/>
      <c r="L118" s="748">
        <f>47354.25</f>
        <v>47354.25</v>
      </c>
      <c r="M118" s="742"/>
      <c r="N118" s="749"/>
      <c r="O118" s="742"/>
      <c r="P118" s="749"/>
      <c r="Q118" s="742"/>
      <c r="R118" s="750"/>
      <c r="S118" s="747"/>
    </row>
    <row r="119" spans="1:19" ht="45" customHeight="1" x14ac:dyDescent="0.25">
      <c r="A119" s="742" t="s">
        <v>705</v>
      </c>
      <c r="B119" s="743" t="s">
        <v>1520</v>
      </c>
      <c r="C119" s="742" t="s">
        <v>750</v>
      </c>
      <c r="D119" s="742" t="s">
        <v>1014</v>
      </c>
      <c r="E119" s="742" t="s">
        <v>1401</v>
      </c>
      <c r="F119" s="744">
        <f>5.12</f>
        <v>5.12</v>
      </c>
      <c r="G119" s="742" t="s">
        <v>625</v>
      </c>
      <c r="H119" s="745">
        <v>167.07</v>
      </c>
      <c r="I119" s="745">
        <v>167.07</v>
      </c>
      <c r="J119" s="746">
        <v>0.24</v>
      </c>
      <c r="K119" s="747">
        <f>207.17</f>
        <v>207.17</v>
      </c>
      <c r="L119" s="748">
        <f>1060.71</f>
        <v>1060.71</v>
      </c>
      <c r="M119" s="742" t="s">
        <v>250</v>
      </c>
      <c r="N119" s="749">
        <v>7</v>
      </c>
      <c r="O119" s="742" t="s">
        <v>1280</v>
      </c>
      <c r="P119" s="749">
        <v>6</v>
      </c>
      <c r="Q119" s="742" t="s">
        <v>1265</v>
      </c>
      <c r="R119" s="750">
        <v>5.12</v>
      </c>
      <c r="S119" s="747">
        <f>1060.71</f>
        <v>1060.71</v>
      </c>
    </row>
    <row r="120" spans="1:19" ht="45" customHeight="1" x14ac:dyDescent="0.25">
      <c r="A120" s="742" t="s">
        <v>705</v>
      </c>
      <c r="B120" s="743" t="s">
        <v>1521</v>
      </c>
      <c r="C120" s="742" t="s">
        <v>750</v>
      </c>
      <c r="D120" s="742" t="s">
        <v>1035</v>
      </c>
      <c r="E120" s="742" t="s">
        <v>1522</v>
      </c>
      <c r="F120" s="744">
        <f>128</f>
        <v>128</v>
      </c>
      <c r="G120" s="742" t="s">
        <v>621</v>
      </c>
      <c r="H120" s="745">
        <v>235.77</v>
      </c>
      <c r="I120" s="745">
        <v>235.77</v>
      </c>
      <c r="J120" s="746">
        <v>0.24</v>
      </c>
      <c r="K120" s="747">
        <f>292.35</f>
        <v>292.35000000000002</v>
      </c>
      <c r="L120" s="748">
        <f>37420.8</f>
        <v>37420.800000000003</v>
      </c>
      <c r="M120" s="742" t="s">
        <v>250</v>
      </c>
      <c r="N120" s="749">
        <v>13</v>
      </c>
      <c r="O120" s="742" t="s">
        <v>1296</v>
      </c>
      <c r="P120" s="749">
        <v>6</v>
      </c>
      <c r="Q120" s="742" t="s">
        <v>1265</v>
      </c>
      <c r="R120" s="750">
        <v>128</v>
      </c>
      <c r="S120" s="747">
        <f>37420.8</f>
        <v>37420.800000000003</v>
      </c>
    </row>
    <row r="121" spans="1:19" ht="45" customHeight="1" x14ac:dyDescent="0.25">
      <c r="A121" s="742" t="s">
        <v>705</v>
      </c>
      <c r="B121" s="743" t="s">
        <v>1523</v>
      </c>
      <c r="C121" s="742" t="s">
        <v>750</v>
      </c>
      <c r="D121" s="742" t="s">
        <v>1036</v>
      </c>
      <c r="E121" s="742" t="s">
        <v>1524</v>
      </c>
      <c r="F121" s="744">
        <f>3.38</f>
        <v>3.38</v>
      </c>
      <c r="G121" s="742" t="s">
        <v>625</v>
      </c>
      <c r="H121" s="745">
        <v>715.84</v>
      </c>
      <c r="I121" s="745">
        <v>715.84</v>
      </c>
      <c r="J121" s="746">
        <v>0.24</v>
      </c>
      <c r="K121" s="747">
        <f>887.64</f>
        <v>887.64</v>
      </c>
      <c r="L121" s="748">
        <f>3000.22</f>
        <v>3000.22</v>
      </c>
      <c r="M121" s="742" t="s">
        <v>250</v>
      </c>
      <c r="N121" s="749">
        <v>12</v>
      </c>
      <c r="O121" s="742" t="s">
        <v>1284</v>
      </c>
      <c r="P121" s="749">
        <v>6</v>
      </c>
      <c r="Q121" s="742" t="s">
        <v>1265</v>
      </c>
      <c r="R121" s="750">
        <v>3.38</v>
      </c>
      <c r="S121" s="747">
        <f>3000.22</f>
        <v>3000.22</v>
      </c>
    </row>
    <row r="122" spans="1:19" ht="45" customHeight="1" x14ac:dyDescent="0.25">
      <c r="A122" s="742" t="s">
        <v>705</v>
      </c>
      <c r="B122" s="743" t="s">
        <v>1525</v>
      </c>
      <c r="C122" s="742" t="s">
        <v>750</v>
      </c>
      <c r="D122" s="742" t="s">
        <v>1037</v>
      </c>
      <c r="E122" s="742" t="s">
        <v>1526</v>
      </c>
      <c r="F122" s="744">
        <f>1.5</f>
        <v>1.5</v>
      </c>
      <c r="G122" s="742" t="s">
        <v>625</v>
      </c>
      <c r="H122" s="745">
        <v>677.83</v>
      </c>
      <c r="I122" s="745">
        <v>677.83</v>
      </c>
      <c r="J122" s="746">
        <v>0.24</v>
      </c>
      <c r="K122" s="747">
        <f>840.51</f>
        <v>840.51</v>
      </c>
      <c r="L122" s="748">
        <f>1260.77</f>
        <v>1260.77</v>
      </c>
      <c r="M122" s="742" t="s">
        <v>250</v>
      </c>
      <c r="N122" s="749">
        <v>12</v>
      </c>
      <c r="O122" s="742" t="s">
        <v>1284</v>
      </c>
      <c r="P122" s="749">
        <v>6</v>
      </c>
      <c r="Q122" s="742" t="s">
        <v>1265</v>
      </c>
      <c r="R122" s="750">
        <v>1.5</v>
      </c>
      <c r="S122" s="747">
        <f>1260.77</f>
        <v>1260.77</v>
      </c>
    </row>
    <row r="123" spans="1:19" ht="45" customHeight="1" x14ac:dyDescent="0.25">
      <c r="A123" s="742" t="s">
        <v>705</v>
      </c>
      <c r="B123" s="743" t="s">
        <v>1527</v>
      </c>
      <c r="C123" s="742" t="s">
        <v>750</v>
      </c>
      <c r="D123" s="742" t="s">
        <v>1247</v>
      </c>
      <c r="E123" s="742" t="s">
        <v>1408</v>
      </c>
      <c r="F123" s="744">
        <f>195</f>
        <v>195</v>
      </c>
      <c r="G123" s="742" t="s">
        <v>617</v>
      </c>
      <c r="H123" s="745">
        <v>9</v>
      </c>
      <c r="I123" s="745">
        <v>9</v>
      </c>
      <c r="J123" s="746" t="s">
        <v>1409</v>
      </c>
      <c r="K123" s="747">
        <f>10.51</f>
        <v>10.51</v>
      </c>
      <c r="L123" s="748">
        <f>2049.45</f>
        <v>2049.4499999999998</v>
      </c>
      <c r="M123" s="742" t="s">
        <v>250</v>
      </c>
      <c r="N123" s="749">
        <v>11</v>
      </c>
      <c r="O123" s="742" t="s">
        <v>1283</v>
      </c>
      <c r="P123" s="749">
        <v>6</v>
      </c>
      <c r="Q123" s="742" t="s">
        <v>1265</v>
      </c>
      <c r="R123" s="750">
        <v>195</v>
      </c>
      <c r="S123" s="747">
        <f>2049.45</f>
        <v>2049.4499999999998</v>
      </c>
    </row>
    <row r="124" spans="1:19" ht="45" customHeight="1" x14ac:dyDescent="0.25">
      <c r="A124" s="742" t="s">
        <v>705</v>
      </c>
      <c r="B124" s="743" t="s">
        <v>1528</v>
      </c>
      <c r="C124" s="742" t="s">
        <v>750</v>
      </c>
      <c r="D124" s="742" t="s">
        <v>1224</v>
      </c>
      <c r="E124" s="742" t="s">
        <v>1411</v>
      </c>
      <c r="F124" s="744">
        <f>195</f>
        <v>195</v>
      </c>
      <c r="G124" s="742" t="s">
        <v>617</v>
      </c>
      <c r="H124" s="745">
        <v>10.6</v>
      </c>
      <c r="I124" s="745">
        <v>10.6</v>
      </c>
      <c r="J124" s="746">
        <v>0.24</v>
      </c>
      <c r="K124" s="747">
        <f>13.14</f>
        <v>13.14</v>
      </c>
      <c r="L124" s="748">
        <f>2562.3</f>
        <v>2562.3000000000002</v>
      </c>
      <c r="M124" s="742" t="s">
        <v>250</v>
      </c>
      <c r="N124" s="749">
        <v>11</v>
      </c>
      <c r="O124" s="742" t="s">
        <v>1283</v>
      </c>
      <c r="P124" s="749">
        <v>6</v>
      </c>
      <c r="Q124" s="742" t="s">
        <v>1265</v>
      </c>
      <c r="R124" s="750">
        <v>195</v>
      </c>
      <c r="S124" s="747">
        <f>2562.3</f>
        <v>2562.3000000000002</v>
      </c>
    </row>
    <row r="125" spans="1:19" ht="45" customHeight="1" x14ac:dyDescent="0.25">
      <c r="A125" s="742" t="s">
        <v>929</v>
      </c>
      <c r="B125" s="743" t="s">
        <v>1100</v>
      </c>
      <c r="C125" s="742"/>
      <c r="D125" s="742"/>
      <c r="E125" s="742" t="s">
        <v>1305</v>
      </c>
      <c r="F125" s="744"/>
      <c r="G125" s="742"/>
      <c r="H125" s="745"/>
      <c r="I125" s="745"/>
      <c r="J125" s="746"/>
      <c r="K125" s="747"/>
      <c r="L125" s="748">
        <f>21144.84</f>
        <v>21144.84</v>
      </c>
      <c r="M125" s="742"/>
      <c r="N125" s="749"/>
      <c r="O125" s="742"/>
      <c r="P125" s="749"/>
      <c r="Q125" s="742"/>
      <c r="R125" s="750"/>
      <c r="S125" s="747"/>
    </row>
    <row r="126" spans="1:19" ht="45" customHeight="1" x14ac:dyDescent="0.25">
      <c r="A126" s="742" t="s">
        <v>705</v>
      </c>
      <c r="B126" s="743" t="s">
        <v>1529</v>
      </c>
      <c r="C126" s="742" t="s">
        <v>750</v>
      </c>
      <c r="D126" s="742" t="s">
        <v>1038</v>
      </c>
      <c r="E126" s="742" t="s">
        <v>1494</v>
      </c>
      <c r="F126" s="744">
        <f>6</f>
        <v>6</v>
      </c>
      <c r="G126" s="742" t="s">
        <v>625</v>
      </c>
      <c r="H126" s="745">
        <v>553.34</v>
      </c>
      <c r="I126" s="745">
        <v>553.34</v>
      </c>
      <c r="J126" s="746">
        <v>0.24</v>
      </c>
      <c r="K126" s="747">
        <f>686.14</f>
        <v>686.14</v>
      </c>
      <c r="L126" s="748">
        <f>4116.84</f>
        <v>4116.84</v>
      </c>
      <c r="M126" s="742" t="s">
        <v>250</v>
      </c>
      <c r="N126" s="749">
        <v>16</v>
      </c>
      <c r="O126" s="742" t="s">
        <v>1275</v>
      </c>
      <c r="P126" s="749">
        <v>6</v>
      </c>
      <c r="Q126" s="742" t="s">
        <v>1265</v>
      </c>
      <c r="R126" s="750">
        <v>6</v>
      </c>
      <c r="S126" s="747">
        <f>4116.84</f>
        <v>4116.84</v>
      </c>
    </row>
    <row r="127" spans="1:19" ht="45" customHeight="1" x14ac:dyDescent="0.25">
      <c r="A127" s="742" t="s">
        <v>705</v>
      </c>
      <c r="B127" s="743" t="s">
        <v>1530</v>
      </c>
      <c r="C127" s="742" t="s">
        <v>750</v>
      </c>
      <c r="D127" s="742" t="s">
        <v>1247</v>
      </c>
      <c r="E127" s="742" t="s">
        <v>1408</v>
      </c>
      <c r="F127" s="744">
        <f>720</f>
        <v>720</v>
      </c>
      <c r="G127" s="742" t="s">
        <v>617</v>
      </c>
      <c r="H127" s="745">
        <v>9</v>
      </c>
      <c r="I127" s="745">
        <v>9</v>
      </c>
      <c r="J127" s="746" t="s">
        <v>1409</v>
      </c>
      <c r="K127" s="747">
        <f>10.51</f>
        <v>10.51</v>
      </c>
      <c r="L127" s="748">
        <f>7567.2</f>
        <v>7567.2</v>
      </c>
      <c r="M127" s="742" t="s">
        <v>250</v>
      </c>
      <c r="N127" s="749">
        <v>15</v>
      </c>
      <c r="O127" s="742" t="s">
        <v>1274</v>
      </c>
      <c r="P127" s="749">
        <v>6</v>
      </c>
      <c r="Q127" s="742" t="s">
        <v>1265</v>
      </c>
      <c r="R127" s="750">
        <v>720</v>
      </c>
      <c r="S127" s="747">
        <f>7567.2</f>
        <v>7567.2</v>
      </c>
    </row>
    <row r="128" spans="1:19" ht="45" customHeight="1" x14ac:dyDescent="0.25">
      <c r="A128" s="742" t="s">
        <v>705</v>
      </c>
      <c r="B128" s="743" t="s">
        <v>1531</v>
      </c>
      <c r="C128" s="742" t="s">
        <v>750</v>
      </c>
      <c r="D128" s="742" t="s">
        <v>1224</v>
      </c>
      <c r="E128" s="742" t="s">
        <v>1411</v>
      </c>
      <c r="F128" s="744">
        <f>720</f>
        <v>720</v>
      </c>
      <c r="G128" s="742" t="s">
        <v>617</v>
      </c>
      <c r="H128" s="745">
        <v>10.6</v>
      </c>
      <c r="I128" s="745">
        <v>10.6</v>
      </c>
      <c r="J128" s="746">
        <v>0.24</v>
      </c>
      <c r="K128" s="747">
        <f>13.14</f>
        <v>13.14</v>
      </c>
      <c r="L128" s="748">
        <f>9460.8</f>
        <v>9460.7999999999993</v>
      </c>
      <c r="M128" s="742" t="s">
        <v>250</v>
      </c>
      <c r="N128" s="749">
        <v>15</v>
      </c>
      <c r="O128" s="742" t="s">
        <v>1274</v>
      </c>
      <c r="P128" s="749">
        <v>6</v>
      </c>
      <c r="Q128" s="742" t="s">
        <v>1265</v>
      </c>
      <c r="R128" s="750">
        <v>720</v>
      </c>
      <c r="S128" s="747">
        <f>9460.8</f>
        <v>9460.7999999999993</v>
      </c>
    </row>
    <row r="129" spans="1:19" ht="45" customHeight="1" x14ac:dyDescent="0.25">
      <c r="A129" s="742" t="s">
        <v>929</v>
      </c>
      <c r="B129" s="743" t="s">
        <v>1101</v>
      </c>
      <c r="C129" s="742"/>
      <c r="D129" s="742"/>
      <c r="E129" s="742" t="s">
        <v>1306</v>
      </c>
      <c r="F129" s="744"/>
      <c r="G129" s="742"/>
      <c r="H129" s="745"/>
      <c r="I129" s="745"/>
      <c r="J129" s="746"/>
      <c r="K129" s="747"/>
      <c r="L129" s="748">
        <f>30663.74</f>
        <v>30663.74</v>
      </c>
      <c r="M129" s="742"/>
      <c r="N129" s="749"/>
      <c r="O129" s="742"/>
      <c r="P129" s="749"/>
      <c r="Q129" s="742"/>
      <c r="R129" s="750"/>
      <c r="S129" s="747"/>
    </row>
    <row r="130" spans="1:19" ht="45" customHeight="1" x14ac:dyDescent="0.25">
      <c r="A130" s="742" t="s">
        <v>705</v>
      </c>
      <c r="B130" s="743" t="s">
        <v>1532</v>
      </c>
      <c r="C130" s="742" t="s">
        <v>871</v>
      </c>
      <c r="D130" s="742" t="s">
        <v>1533</v>
      </c>
      <c r="E130" s="742" t="s">
        <v>1534</v>
      </c>
      <c r="F130" s="744">
        <f>94</f>
        <v>94</v>
      </c>
      <c r="G130" s="742" t="s">
        <v>623</v>
      </c>
      <c r="H130" s="745">
        <v>263.07</v>
      </c>
      <c r="I130" s="745">
        <v>263.07</v>
      </c>
      <c r="J130" s="746">
        <v>0.24</v>
      </c>
      <c r="K130" s="747">
        <f>326.21</f>
        <v>326.20999999999998</v>
      </c>
      <c r="L130" s="748">
        <f>30663.74</f>
        <v>30663.74</v>
      </c>
      <c r="M130" s="742" t="s">
        <v>250</v>
      </c>
      <c r="N130" s="749">
        <v>20</v>
      </c>
      <c r="O130" s="742" t="s">
        <v>1287</v>
      </c>
      <c r="P130" s="749">
        <v>6</v>
      </c>
      <c r="Q130" s="742" t="s">
        <v>1265</v>
      </c>
      <c r="R130" s="750">
        <v>94</v>
      </c>
      <c r="S130" s="747">
        <f>30663.74</f>
        <v>30663.74</v>
      </c>
    </row>
    <row r="131" spans="1:19" ht="45" customHeight="1" x14ac:dyDescent="0.25">
      <c r="A131" s="742" t="s">
        <v>929</v>
      </c>
      <c r="B131" s="743" t="s">
        <v>1102</v>
      </c>
      <c r="C131" s="742"/>
      <c r="D131" s="742"/>
      <c r="E131" s="742" t="s">
        <v>1307</v>
      </c>
      <c r="F131" s="744"/>
      <c r="G131" s="742"/>
      <c r="H131" s="745"/>
      <c r="I131" s="745"/>
      <c r="J131" s="746"/>
      <c r="K131" s="747"/>
      <c r="L131" s="748">
        <f>22241.98</f>
        <v>22241.98</v>
      </c>
      <c r="M131" s="742"/>
      <c r="N131" s="749"/>
      <c r="O131" s="742"/>
      <c r="P131" s="749"/>
      <c r="Q131" s="742"/>
      <c r="R131" s="750"/>
      <c r="S131" s="747"/>
    </row>
    <row r="132" spans="1:19" ht="45" customHeight="1" x14ac:dyDescent="0.25">
      <c r="A132" s="742" t="s">
        <v>705</v>
      </c>
      <c r="B132" s="743" t="s">
        <v>1535</v>
      </c>
      <c r="C132" s="742" t="s">
        <v>871</v>
      </c>
      <c r="D132" s="742" t="s">
        <v>1536</v>
      </c>
      <c r="E132" s="742" t="s">
        <v>1537</v>
      </c>
      <c r="F132" s="744">
        <f>74.5</f>
        <v>74.5</v>
      </c>
      <c r="G132" s="742" t="s">
        <v>623</v>
      </c>
      <c r="H132" s="745">
        <v>205.59</v>
      </c>
      <c r="I132" s="745">
        <v>205.59</v>
      </c>
      <c r="J132" s="746">
        <v>0.24</v>
      </c>
      <c r="K132" s="747">
        <f>254.93</f>
        <v>254.93</v>
      </c>
      <c r="L132" s="748">
        <f>18992.29</f>
        <v>18992.29</v>
      </c>
      <c r="M132" s="742" t="s">
        <v>250</v>
      </c>
      <c r="N132" s="749">
        <v>21</v>
      </c>
      <c r="O132" s="742" t="s">
        <v>1289</v>
      </c>
      <c r="P132" s="749">
        <v>6</v>
      </c>
      <c r="Q132" s="742" t="s">
        <v>1265</v>
      </c>
      <c r="R132" s="750">
        <v>74.5</v>
      </c>
      <c r="S132" s="747">
        <f>18992.29</f>
        <v>18992.29</v>
      </c>
    </row>
    <row r="133" spans="1:19" ht="45" customHeight="1" x14ac:dyDescent="0.25">
      <c r="A133" s="742" t="s">
        <v>705</v>
      </c>
      <c r="B133" s="743" t="s">
        <v>1538</v>
      </c>
      <c r="C133" s="742" t="s">
        <v>750</v>
      </c>
      <c r="D133" s="742" t="s">
        <v>1040</v>
      </c>
      <c r="E133" s="742" t="s">
        <v>1539</v>
      </c>
      <c r="F133" s="744">
        <f>74.5</f>
        <v>74.5</v>
      </c>
      <c r="G133" s="742" t="s">
        <v>623</v>
      </c>
      <c r="H133" s="745">
        <v>35.18</v>
      </c>
      <c r="I133" s="745">
        <v>35.18</v>
      </c>
      <c r="J133" s="746">
        <v>0.24</v>
      </c>
      <c r="K133" s="747">
        <f>43.62</f>
        <v>43.62</v>
      </c>
      <c r="L133" s="748">
        <f>3249.69</f>
        <v>3249.69</v>
      </c>
      <c r="M133" s="742" t="s">
        <v>250</v>
      </c>
      <c r="N133" s="749">
        <v>21</v>
      </c>
      <c r="O133" s="742" t="s">
        <v>1289</v>
      </c>
      <c r="P133" s="749">
        <v>6</v>
      </c>
      <c r="Q133" s="742" t="s">
        <v>1265</v>
      </c>
      <c r="R133" s="750">
        <v>74.5</v>
      </c>
      <c r="S133" s="747">
        <f>3249.69</f>
        <v>3249.69</v>
      </c>
    </row>
    <row r="134" spans="1:19" ht="45" customHeight="1" x14ac:dyDescent="0.25">
      <c r="A134" s="742" t="s">
        <v>929</v>
      </c>
      <c r="B134" s="743" t="s">
        <v>1103</v>
      </c>
      <c r="C134" s="742"/>
      <c r="D134" s="742"/>
      <c r="E134" s="742" t="s">
        <v>1312</v>
      </c>
      <c r="F134" s="744"/>
      <c r="G134" s="742"/>
      <c r="H134" s="745"/>
      <c r="I134" s="745"/>
      <c r="J134" s="746"/>
      <c r="K134" s="747"/>
      <c r="L134" s="748">
        <f>136074.57</f>
        <v>136074.57</v>
      </c>
      <c r="M134" s="742"/>
      <c r="N134" s="749"/>
      <c r="O134" s="742"/>
      <c r="P134" s="749"/>
      <c r="Q134" s="742"/>
      <c r="R134" s="750"/>
      <c r="S134" s="747"/>
    </row>
    <row r="135" spans="1:19" ht="45" customHeight="1" x14ac:dyDescent="0.25">
      <c r="A135" s="742" t="s">
        <v>705</v>
      </c>
      <c r="B135" s="743" t="s">
        <v>1540</v>
      </c>
      <c r="C135" s="742" t="s">
        <v>871</v>
      </c>
      <c r="D135" s="742" t="s">
        <v>1541</v>
      </c>
      <c r="E135" s="742" t="s">
        <v>1542</v>
      </c>
      <c r="F135" s="744">
        <f>4</f>
        <v>4</v>
      </c>
      <c r="G135" s="742" t="s">
        <v>621</v>
      </c>
      <c r="H135" s="745">
        <v>46.96</v>
      </c>
      <c r="I135" s="745">
        <v>46.96</v>
      </c>
      <c r="J135" s="746">
        <v>0.24</v>
      </c>
      <c r="K135" s="747">
        <f>58.23</f>
        <v>58.23</v>
      </c>
      <c r="L135" s="748">
        <f>232.92</f>
        <v>232.92</v>
      </c>
      <c r="M135" s="742" t="s">
        <v>250</v>
      </c>
      <c r="N135" s="749">
        <v>25</v>
      </c>
      <c r="O135" s="742" t="s">
        <v>1291</v>
      </c>
      <c r="P135" s="749">
        <v>6</v>
      </c>
      <c r="Q135" s="742" t="s">
        <v>1265</v>
      </c>
      <c r="R135" s="750">
        <v>4</v>
      </c>
      <c r="S135" s="747">
        <f>232.92</f>
        <v>232.92</v>
      </c>
    </row>
    <row r="136" spans="1:19" ht="45" customHeight="1" x14ac:dyDescent="0.25">
      <c r="A136" s="742" t="s">
        <v>705</v>
      </c>
      <c r="B136" s="743" t="s">
        <v>1543</v>
      </c>
      <c r="C136" s="742" t="s">
        <v>871</v>
      </c>
      <c r="D136" s="742" t="s">
        <v>1544</v>
      </c>
      <c r="E136" s="742" t="s">
        <v>1545</v>
      </c>
      <c r="F136" s="744">
        <f>5</f>
        <v>5</v>
      </c>
      <c r="G136" s="742" t="s">
        <v>621</v>
      </c>
      <c r="H136" s="745">
        <v>44.68</v>
      </c>
      <c r="I136" s="745">
        <v>44.68</v>
      </c>
      <c r="J136" s="746">
        <v>0.24</v>
      </c>
      <c r="K136" s="747">
        <f>55.4</f>
        <v>55.4</v>
      </c>
      <c r="L136" s="748">
        <f>277</f>
        <v>277</v>
      </c>
      <c r="M136" s="742" t="s">
        <v>250</v>
      </c>
      <c r="N136" s="749">
        <v>25</v>
      </c>
      <c r="O136" s="742" t="s">
        <v>1291</v>
      </c>
      <c r="P136" s="749">
        <v>6</v>
      </c>
      <c r="Q136" s="742" t="s">
        <v>1265</v>
      </c>
      <c r="R136" s="750">
        <v>5</v>
      </c>
      <c r="S136" s="747">
        <f>277</f>
        <v>277</v>
      </c>
    </row>
    <row r="137" spans="1:19" ht="45" customHeight="1" x14ac:dyDescent="0.25">
      <c r="A137" s="742" t="s">
        <v>705</v>
      </c>
      <c r="B137" s="743" t="s">
        <v>1546</v>
      </c>
      <c r="C137" s="742" t="s">
        <v>957</v>
      </c>
      <c r="D137" s="742" t="s">
        <v>1096</v>
      </c>
      <c r="E137" s="742" t="s">
        <v>1547</v>
      </c>
      <c r="F137" s="744">
        <f>32</f>
        <v>32</v>
      </c>
      <c r="G137" s="742" t="s">
        <v>639</v>
      </c>
      <c r="H137" s="745">
        <v>116.46</v>
      </c>
      <c r="I137" s="745">
        <v>116.46</v>
      </c>
      <c r="J137" s="746">
        <v>0.24</v>
      </c>
      <c r="K137" s="747">
        <f>144.41</f>
        <v>144.41</v>
      </c>
      <c r="L137" s="748">
        <f>4621.12</f>
        <v>4621.12</v>
      </c>
      <c r="M137" s="742" t="s">
        <v>250</v>
      </c>
      <c r="N137" s="749">
        <v>25</v>
      </c>
      <c r="O137" s="742" t="s">
        <v>1291</v>
      </c>
      <c r="P137" s="749">
        <v>6</v>
      </c>
      <c r="Q137" s="742" t="s">
        <v>1265</v>
      </c>
      <c r="R137" s="750">
        <v>32</v>
      </c>
      <c r="S137" s="747">
        <f>4621.12</f>
        <v>4621.12</v>
      </c>
    </row>
    <row r="138" spans="1:19" ht="45" customHeight="1" x14ac:dyDescent="0.25">
      <c r="A138" s="742" t="s">
        <v>705</v>
      </c>
      <c r="B138" s="743" t="s">
        <v>1548</v>
      </c>
      <c r="C138" s="742" t="s">
        <v>871</v>
      </c>
      <c r="D138" s="742" t="s">
        <v>1549</v>
      </c>
      <c r="E138" s="742" t="s">
        <v>1550</v>
      </c>
      <c r="F138" s="744">
        <f>65</f>
        <v>65</v>
      </c>
      <c r="G138" s="742" t="s">
        <v>621</v>
      </c>
      <c r="H138" s="745">
        <v>7.22</v>
      </c>
      <c r="I138" s="745">
        <v>7.22</v>
      </c>
      <c r="J138" s="746">
        <v>0.24</v>
      </c>
      <c r="K138" s="747">
        <f>8.95</f>
        <v>8.9499999999999993</v>
      </c>
      <c r="L138" s="748">
        <f>581.75</f>
        <v>581.75</v>
      </c>
      <c r="M138" s="742" t="s">
        <v>250</v>
      </c>
      <c r="N138" s="749">
        <v>25</v>
      </c>
      <c r="O138" s="742" t="s">
        <v>1291</v>
      </c>
      <c r="P138" s="749">
        <v>6</v>
      </c>
      <c r="Q138" s="742" t="s">
        <v>1265</v>
      </c>
      <c r="R138" s="750">
        <v>65</v>
      </c>
      <c r="S138" s="747">
        <f>581.75</f>
        <v>581.75</v>
      </c>
    </row>
    <row r="139" spans="1:19" ht="45" customHeight="1" x14ac:dyDescent="0.25">
      <c r="A139" s="742" t="s">
        <v>705</v>
      </c>
      <c r="B139" s="743" t="s">
        <v>1551</v>
      </c>
      <c r="C139" s="742" t="s">
        <v>750</v>
      </c>
      <c r="D139" s="742" t="s">
        <v>1043</v>
      </c>
      <c r="E139" s="742" t="s">
        <v>1552</v>
      </c>
      <c r="F139" s="744">
        <f>8</f>
        <v>8</v>
      </c>
      <c r="G139" s="742" t="s">
        <v>621</v>
      </c>
      <c r="H139" s="745">
        <v>7.93</v>
      </c>
      <c r="I139" s="745">
        <v>7.93</v>
      </c>
      <c r="J139" s="746">
        <v>0.24</v>
      </c>
      <c r="K139" s="747">
        <f>9.83</f>
        <v>9.83</v>
      </c>
      <c r="L139" s="748">
        <f>78.64</f>
        <v>78.64</v>
      </c>
      <c r="M139" s="742" t="s">
        <v>250</v>
      </c>
      <c r="N139" s="749">
        <v>25</v>
      </c>
      <c r="O139" s="742" t="s">
        <v>1291</v>
      </c>
      <c r="P139" s="749">
        <v>6</v>
      </c>
      <c r="Q139" s="742" t="s">
        <v>1265</v>
      </c>
      <c r="R139" s="750">
        <v>8</v>
      </c>
      <c r="S139" s="747">
        <f>78.64</f>
        <v>78.64</v>
      </c>
    </row>
    <row r="140" spans="1:19" ht="45" customHeight="1" x14ac:dyDescent="0.25">
      <c r="A140" s="742" t="s">
        <v>705</v>
      </c>
      <c r="B140" s="743" t="s">
        <v>1553</v>
      </c>
      <c r="C140" s="742" t="s">
        <v>750</v>
      </c>
      <c r="D140" s="742" t="s">
        <v>1044</v>
      </c>
      <c r="E140" s="742" t="s">
        <v>1554</v>
      </c>
      <c r="F140" s="744">
        <f>250</f>
        <v>250</v>
      </c>
      <c r="G140" s="742" t="s">
        <v>621</v>
      </c>
      <c r="H140" s="745">
        <v>11.26</v>
      </c>
      <c r="I140" s="745">
        <v>11.26</v>
      </c>
      <c r="J140" s="746">
        <v>0.24</v>
      </c>
      <c r="K140" s="747">
        <f>13.96</f>
        <v>13.96</v>
      </c>
      <c r="L140" s="748">
        <f>3490</f>
        <v>3490</v>
      </c>
      <c r="M140" s="742" t="s">
        <v>250</v>
      </c>
      <c r="N140" s="749">
        <v>25</v>
      </c>
      <c r="O140" s="742" t="s">
        <v>1291</v>
      </c>
      <c r="P140" s="749">
        <v>6</v>
      </c>
      <c r="Q140" s="742" t="s">
        <v>1265</v>
      </c>
      <c r="R140" s="750">
        <v>250</v>
      </c>
      <c r="S140" s="747">
        <f>3490</f>
        <v>3490</v>
      </c>
    </row>
    <row r="141" spans="1:19" ht="45" customHeight="1" x14ac:dyDescent="0.25">
      <c r="A141" s="742" t="s">
        <v>705</v>
      </c>
      <c r="B141" s="743" t="s">
        <v>1555</v>
      </c>
      <c r="C141" s="742" t="s">
        <v>750</v>
      </c>
      <c r="D141" s="742" t="s">
        <v>1045</v>
      </c>
      <c r="E141" s="742" t="s">
        <v>1556</v>
      </c>
      <c r="F141" s="744">
        <f>55</f>
        <v>55</v>
      </c>
      <c r="G141" s="742" t="s">
        <v>621</v>
      </c>
      <c r="H141" s="745">
        <v>16.940000000000001</v>
      </c>
      <c r="I141" s="745">
        <v>16.940000000000001</v>
      </c>
      <c r="J141" s="746">
        <v>0.24</v>
      </c>
      <c r="K141" s="747">
        <f>21.01</f>
        <v>21.01</v>
      </c>
      <c r="L141" s="748">
        <f>1155.55</f>
        <v>1155.55</v>
      </c>
      <c r="M141" s="742" t="s">
        <v>250</v>
      </c>
      <c r="N141" s="749">
        <v>25</v>
      </c>
      <c r="O141" s="742" t="s">
        <v>1291</v>
      </c>
      <c r="P141" s="749">
        <v>6</v>
      </c>
      <c r="Q141" s="742" t="s">
        <v>1265</v>
      </c>
      <c r="R141" s="750">
        <v>55</v>
      </c>
      <c r="S141" s="747">
        <f>1155.55</f>
        <v>1155.55</v>
      </c>
    </row>
    <row r="142" spans="1:19" ht="45" customHeight="1" x14ac:dyDescent="0.25">
      <c r="A142" s="742" t="s">
        <v>705</v>
      </c>
      <c r="B142" s="743" t="s">
        <v>1557</v>
      </c>
      <c r="C142" s="742" t="s">
        <v>750</v>
      </c>
      <c r="D142" s="742" t="s">
        <v>1046</v>
      </c>
      <c r="E142" s="742" t="s">
        <v>1558</v>
      </c>
      <c r="F142" s="744">
        <f>5</f>
        <v>5</v>
      </c>
      <c r="G142" s="742" t="s">
        <v>639</v>
      </c>
      <c r="H142" s="745">
        <v>498.43</v>
      </c>
      <c r="I142" s="745">
        <v>498.43</v>
      </c>
      <c r="J142" s="746">
        <v>0.24</v>
      </c>
      <c r="K142" s="747">
        <f>618.05</f>
        <v>618.04999999999995</v>
      </c>
      <c r="L142" s="748">
        <f>3090.25</f>
        <v>3090.25</v>
      </c>
      <c r="M142" s="742" t="s">
        <v>250</v>
      </c>
      <c r="N142" s="749">
        <v>25</v>
      </c>
      <c r="O142" s="742" t="s">
        <v>1291</v>
      </c>
      <c r="P142" s="749">
        <v>6</v>
      </c>
      <c r="Q142" s="742" t="s">
        <v>1265</v>
      </c>
      <c r="R142" s="750">
        <v>5</v>
      </c>
      <c r="S142" s="747">
        <f>3090.25</f>
        <v>3090.25</v>
      </c>
    </row>
    <row r="143" spans="1:19" ht="45" customHeight="1" x14ac:dyDescent="0.25">
      <c r="A143" s="742" t="s">
        <v>705</v>
      </c>
      <c r="B143" s="743" t="s">
        <v>1559</v>
      </c>
      <c r="C143" s="742" t="s">
        <v>750</v>
      </c>
      <c r="D143" s="742" t="s">
        <v>1047</v>
      </c>
      <c r="E143" s="742" t="s">
        <v>1560</v>
      </c>
      <c r="F143" s="744">
        <f>5</f>
        <v>5</v>
      </c>
      <c r="G143" s="742" t="s">
        <v>639</v>
      </c>
      <c r="H143" s="745">
        <v>2448.69</v>
      </c>
      <c r="I143" s="745">
        <v>2448.69</v>
      </c>
      <c r="J143" s="746">
        <v>0.24</v>
      </c>
      <c r="K143" s="747">
        <f>3036.38</f>
        <v>3036.38</v>
      </c>
      <c r="L143" s="748">
        <f>15181.9</f>
        <v>15181.9</v>
      </c>
      <c r="M143" s="742" t="s">
        <v>250</v>
      </c>
      <c r="N143" s="749">
        <v>25</v>
      </c>
      <c r="O143" s="742" t="s">
        <v>1291</v>
      </c>
      <c r="P143" s="749">
        <v>6</v>
      </c>
      <c r="Q143" s="742" t="s">
        <v>1265</v>
      </c>
      <c r="R143" s="750">
        <v>5</v>
      </c>
      <c r="S143" s="747">
        <f>15181.9</f>
        <v>15181.9</v>
      </c>
    </row>
    <row r="144" spans="1:19" ht="45" customHeight="1" x14ac:dyDescent="0.25">
      <c r="A144" s="742" t="s">
        <v>705</v>
      </c>
      <c r="B144" s="743" t="s">
        <v>1561</v>
      </c>
      <c r="C144" s="742" t="s">
        <v>957</v>
      </c>
      <c r="D144" s="742" t="s">
        <v>1097</v>
      </c>
      <c r="E144" s="742" t="s">
        <v>1562</v>
      </c>
      <c r="F144" s="744">
        <f>2</f>
        <v>2</v>
      </c>
      <c r="G144" s="742" t="s">
        <v>639</v>
      </c>
      <c r="H144" s="745">
        <v>105.18</v>
      </c>
      <c r="I144" s="745">
        <v>105.18</v>
      </c>
      <c r="J144" s="746">
        <v>0.24</v>
      </c>
      <c r="K144" s="747">
        <f>130.42</f>
        <v>130.41999999999999</v>
      </c>
      <c r="L144" s="748">
        <f>260.84</f>
        <v>260.83999999999997</v>
      </c>
      <c r="M144" s="742" t="s">
        <v>250</v>
      </c>
      <c r="N144" s="749">
        <v>25</v>
      </c>
      <c r="O144" s="742" t="s">
        <v>1291</v>
      </c>
      <c r="P144" s="749">
        <v>6</v>
      </c>
      <c r="Q144" s="742" t="s">
        <v>1265</v>
      </c>
      <c r="R144" s="750">
        <v>2</v>
      </c>
      <c r="S144" s="747">
        <f>260.84</f>
        <v>260.83999999999997</v>
      </c>
    </row>
    <row r="145" spans="1:19" ht="45" customHeight="1" x14ac:dyDescent="0.25">
      <c r="A145" s="742" t="s">
        <v>705</v>
      </c>
      <c r="B145" s="743" t="s">
        <v>1563</v>
      </c>
      <c r="C145" s="742" t="s">
        <v>750</v>
      </c>
      <c r="D145" s="742" t="s">
        <v>1048</v>
      </c>
      <c r="E145" s="742" t="s">
        <v>1564</v>
      </c>
      <c r="F145" s="744">
        <f>200</f>
        <v>200</v>
      </c>
      <c r="G145" s="742" t="s">
        <v>621</v>
      </c>
      <c r="H145" s="745">
        <v>5.45</v>
      </c>
      <c r="I145" s="745">
        <v>5.45</v>
      </c>
      <c r="J145" s="746">
        <v>0.24</v>
      </c>
      <c r="K145" s="747">
        <f>6.76</f>
        <v>6.76</v>
      </c>
      <c r="L145" s="748">
        <f>1352</f>
        <v>1352</v>
      </c>
      <c r="M145" s="742" t="s">
        <v>250</v>
      </c>
      <c r="N145" s="749">
        <v>25</v>
      </c>
      <c r="O145" s="742" t="s">
        <v>1291</v>
      </c>
      <c r="P145" s="749">
        <v>6</v>
      </c>
      <c r="Q145" s="742" t="s">
        <v>1265</v>
      </c>
      <c r="R145" s="750">
        <v>200</v>
      </c>
      <c r="S145" s="747">
        <f>1352</f>
        <v>1352</v>
      </c>
    </row>
    <row r="146" spans="1:19" ht="45" customHeight="1" x14ac:dyDescent="0.25">
      <c r="A146" s="742" t="s">
        <v>705</v>
      </c>
      <c r="B146" s="743" t="s">
        <v>1565</v>
      </c>
      <c r="C146" s="742" t="s">
        <v>750</v>
      </c>
      <c r="D146" s="742" t="s">
        <v>1049</v>
      </c>
      <c r="E146" s="742" t="s">
        <v>1566</v>
      </c>
      <c r="F146" s="744">
        <f>52</f>
        <v>52</v>
      </c>
      <c r="G146" s="742" t="s">
        <v>621</v>
      </c>
      <c r="H146" s="745">
        <v>11.2</v>
      </c>
      <c r="I146" s="745">
        <v>11.2</v>
      </c>
      <c r="J146" s="746">
        <v>0.24</v>
      </c>
      <c r="K146" s="747">
        <f>13.89</f>
        <v>13.89</v>
      </c>
      <c r="L146" s="748">
        <f>722.28</f>
        <v>722.28</v>
      </c>
      <c r="M146" s="742" t="s">
        <v>250</v>
      </c>
      <c r="N146" s="749">
        <v>25</v>
      </c>
      <c r="O146" s="742" t="s">
        <v>1291</v>
      </c>
      <c r="P146" s="749">
        <v>6</v>
      </c>
      <c r="Q146" s="742" t="s">
        <v>1265</v>
      </c>
      <c r="R146" s="750">
        <v>52</v>
      </c>
      <c r="S146" s="747">
        <f>722.28</f>
        <v>722.28</v>
      </c>
    </row>
    <row r="147" spans="1:19" ht="45" customHeight="1" x14ac:dyDescent="0.25">
      <c r="A147" s="742" t="s">
        <v>705</v>
      </c>
      <c r="B147" s="743" t="s">
        <v>1567</v>
      </c>
      <c r="C147" s="742" t="s">
        <v>750</v>
      </c>
      <c r="D147" s="742" t="s">
        <v>1050</v>
      </c>
      <c r="E147" s="742" t="s">
        <v>1568</v>
      </c>
      <c r="F147" s="744">
        <f>230</f>
        <v>230</v>
      </c>
      <c r="G147" s="742" t="s">
        <v>621</v>
      </c>
      <c r="H147" s="745">
        <v>28.26</v>
      </c>
      <c r="I147" s="745">
        <v>28.26</v>
      </c>
      <c r="J147" s="746">
        <v>0.24</v>
      </c>
      <c r="K147" s="747">
        <f>35.04</f>
        <v>35.04</v>
      </c>
      <c r="L147" s="748">
        <f>8059.2</f>
        <v>8059.2</v>
      </c>
      <c r="M147" s="742" t="s">
        <v>250</v>
      </c>
      <c r="N147" s="749">
        <v>25</v>
      </c>
      <c r="O147" s="742" t="s">
        <v>1291</v>
      </c>
      <c r="P147" s="749">
        <v>6</v>
      </c>
      <c r="Q147" s="742" t="s">
        <v>1265</v>
      </c>
      <c r="R147" s="750">
        <v>230</v>
      </c>
      <c r="S147" s="747">
        <f>8059.2</f>
        <v>8059.2</v>
      </c>
    </row>
    <row r="148" spans="1:19" ht="45" customHeight="1" x14ac:dyDescent="0.25">
      <c r="A148" s="742" t="s">
        <v>705</v>
      </c>
      <c r="B148" s="743" t="s">
        <v>1569</v>
      </c>
      <c r="C148" s="742" t="s">
        <v>750</v>
      </c>
      <c r="D148" s="742" t="s">
        <v>1051</v>
      </c>
      <c r="E148" s="742" t="s">
        <v>1570</v>
      </c>
      <c r="F148" s="744">
        <f>21</f>
        <v>21</v>
      </c>
      <c r="G148" s="742" t="s">
        <v>621</v>
      </c>
      <c r="H148" s="745">
        <v>30.58</v>
      </c>
      <c r="I148" s="745">
        <v>30.58</v>
      </c>
      <c r="J148" s="746">
        <v>0.24</v>
      </c>
      <c r="K148" s="747">
        <f>37.92</f>
        <v>37.92</v>
      </c>
      <c r="L148" s="748">
        <f>796.32</f>
        <v>796.32</v>
      </c>
      <c r="M148" s="742" t="s">
        <v>250</v>
      </c>
      <c r="N148" s="749">
        <v>25</v>
      </c>
      <c r="O148" s="742" t="s">
        <v>1291</v>
      </c>
      <c r="P148" s="749">
        <v>6</v>
      </c>
      <c r="Q148" s="742" t="s">
        <v>1265</v>
      </c>
      <c r="R148" s="750">
        <v>21</v>
      </c>
      <c r="S148" s="747">
        <f>796.32</f>
        <v>796.32</v>
      </c>
    </row>
    <row r="149" spans="1:19" ht="45" customHeight="1" x14ac:dyDescent="0.25">
      <c r="A149" s="742" t="s">
        <v>705</v>
      </c>
      <c r="B149" s="743" t="s">
        <v>1571</v>
      </c>
      <c r="C149" s="742" t="s">
        <v>750</v>
      </c>
      <c r="D149" s="742" t="s">
        <v>1052</v>
      </c>
      <c r="E149" s="742" t="s">
        <v>1572</v>
      </c>
      <c r="F149" s="744">
        <f>975</f>
        <v>975</v>
      </c>
      <c r="G149" s="742" t="s">
        <v>621</v>
      </c>
      <c r="H149" s="745">
        <v>42.19</v>
      </c>
      <c r="I149" s="745">
        <v>42.19</v>
      </c>
      <c r="J149" s="746">
        <v>0.24</v>
      </c>
      <c r="K149" s="747">
        <f>52.32</f>
        <v>52.32</v>
      </c>
      <c r="L149" s="748">
        <f>51012</f>
        <v>51012</v>
      </c>
      <c r="M149" s="742" t="s">
        <v>250</v>
      </c>
      <c r="N149" s="749">
        <v>25</v>
      </c>
      <c r="O149" s="742" t="s">
        <v>1291</v>
      </c>
      <c r="P149" s="749">
        <v>6</v>
      </c>
      <c r="Q149" s="742" t="s">
        <v>1265</v>
      </c>
      <c r="R149" s="750">
        <v>975</v>
      </c>
      <c r="S149" s="747">
        <f>51012</f>
        <v>51012</v>
      </c>
    </row>
    <row r="150" spans="1:19" ht="45" customHeight="1" x14ac:dyDescent="0.25">
      <c r="A150" s="742" t="s">
        <v>705</v>
      </c>
      <c r="B150" s="743" t="s">
        <v>1573</v>
      </c>
      <c r="C150" s="742" t="s">
        <v>750</v>
      </c>
      <c r="D150" s="742" t="s">
        <v>1053</v>
      </c>
      <c r="E150" s="742" t="s">
        <v>1574</v>
      </c>
      <c r="F150" s="744">
        <f>63</f>
        <v>63</v>
      </c>
      <c r="G150" s="742" t="s">
        <v>621</v>
      </c>
      <c r="H150" s="745">
        <v>57.45</v>
      </c>
      <c r="I150" s="745">
        <v>57.45</v>
      </c>
      <c r="J150" s="746">
        <v>0.24</v>
      </c>
      <c r="K150" s="747">
        <f>71.24</f>
        <v>71.239999999999995</v>
      </c>
      <c r="L150" s="748">
        <f>4488.12</f>
        <v>4488.12</v>
      </c>
      <c r="M150" s="742" t="s">
        <v>250</v>
      </c>
      <c r="N150" s="749">
        <v>25</v>
      </c>
      <c r="O150" s="742" t="s">
        <v>1291</v>
      </c>
      <c r="P150" s="749">
        <v>6</v>
      </c>
      <c r="Q150" s="742" t="s">
        <v>1265</v>
      </c>
      <c r="R150" s="750">
        <v>63</v>
      </c>
      <c r="S150" s="747">
        <f>4488.12</f>
        <v>4488.12</v>
      </c>
    </row>
    <row r="151" spans="1:19" ht="45" customHeight="1" x14ac:dyDescent="0.25">
      <c r="A151" s="742" t="s">
        <v>705</v>
      </c>
      <c r="B151" s="743" t="s">
        <v>1575</v>
      </c>
      <c r="C151" s="742" t="s">
        <v>750</v>
      </c>
      <c r="D151" s="742" t="s">
        <v>1054</v>
      </c>
      <c r="E151" s="742" t="s">
        <v>1576</v>
      </c>
      <c r="F151" s="744">
        <f>220</f>
        <v>220</v>
      </c>
      <c r="G151" s="742" t="s">
        <v>621</v>
      </c>
      <c r="H151" s="745">
        <v>80.33</v>
      </c>
      <c r="I151" s="745">
        <v>80.33</v>
      </c>
      <c r="J151" s="746">
        <v>0.24</v>
      </c>
      <c r="K151" s="747">
        <f>99.61</f>
        <v>99.61</v>
      </c>
      <c r="L151" s="748">
        <f>21914.2</f>
        <v>21914.2</v>
      </c>
      <c r="M151" s="742" t="s">
        <v>250</v>
      </c>
      <c r="N151" s="749">
        <v>25</v>
      </c>
      <c r="O151" s="742" t="s">
        <v>1291</v>
      </c>
      <c r="P151" s="749">
        <v>6</v>
      </c>
      <c r="Q151" s="742" t="s">
        <v>1265</v>
      </c>
      <c r="R151" s="750">
        <v>220</v>
      </c>
      <c r="S151" s="747">
        <f>21914.2</f>
        <v>21914.2</v>
      </c>
    </row>
    <row r="152" spans="1:19" ht="45" customHeight="1" x14ac:dyDescent="0.25">
      <c r="A152" s="742" t="s">
        <v>705</v>
      </c>
      <c r="B152" s="743" t="s">
        <v>1577</v>
      </c>
      <c r="C152" s="742" t="s">
        <v>957</v>
      </c>
      <c r="D152" s="742" t="s">
        <v>1098</v>
      </c>
      <c r="E152" s="742" t="s">
        <v>1578</v>
      </c>
      <c r="F152" s="744">
        <f>2</f>
        <v>2</v>
      </c>
      <c r="G152" s="742" t="s">
        <v>639</v>
      </c>
      <c r="H152" s="745">
        <v>446.2</v>
      </c>
      <c r="I152" s="745">
        <v>446.2</v>
      </c>
      <c r="J152" s="746">
        <v>0.24</v>
      </c>
      <c r="K152" s="747">
        <f>553.29</f>
        <v>553.29</v>
      </c>
      <c r="L152" s="748">
        <f>1106.58</f>
        <v>1106.58</v>
      </c>
      <c r="M152" s="742" t="s">
        <v>250</v>
      </c>
      <c r="N152" s="749">
        <v>25</v>
      </c>
      <c r="O152" s="742" t="s">
        <v>1291</v>
      </c>
      <c r="P152" s="749">
        <v>6</v>
      </c>
      <c r="Q152" s="742" t="s">
        <v>1265</v>
      </c>
      <c r="R152" s="750">
        <v>2</v>
      </c>
      <c r="S152" s="747">
        <f>1106.58</f>
        <v>1106.58</v>
      </c>
    </row>
    <row r="153" spans="1:19" ht="45" customHeight="1" x14ac:dyDescent="0.25">
      <c r="A153" s="742" t="s">
        <v>705</v>
      </c>
      <c r="B153" s="743" t="s">
        <v>1579</v>
      </c>
      <c r="C153" s="742" t="s">
        <v>957</v>
      </c>
      <c r="D153" s="742" t="s">
        <v>1099</v>
      </c>
      <c r="E153" s="742" t="s">
        <v>1580</v>
      </c>
      <c r="F153" s="744">
        <f>2</f>
        <v>2</v>
      </c>
      <c r="G153" s="742" t="s">
        <v>639</v>
      </c>
      <c r="H153" s="745">
        <v>5714.62</v>
      </c>
      <c r="I153" s="745">
        <v>5714.62</v>
      </c>
      <c r="J153" s="746">
        <v>0.24</v>
      </c>
      <c r="K153" s="747">
        <f>7086.13</f>
        <v>7086.13</v>
      </c>
      <c r="L153" s="748">
        <f>14172.26</f>
        <v>14172.26</v>
      </c>
      <c r="M153" s="742" t="s">
        <v>250</v>
      </c>
      <c r="N153" s="749">
        <v>25</v>
      </c>
      <c r="O153" s="742" t="s">
        <v>1291</v>
      </c>
      <c r="P153" s="749">
        <v>6</v>
      </c>
      <c r="Q153" s="742" t="s">
        <v>1265</v>
      </c>
      <c r="R153" s="750">
        <v>2</v>
      </c>
      <c r="S153" s="747">
        <f>14172.26</f>
        <v>14172.26</v>
      </c>
    </row>
    <row r="154" spans="1:19" ht="45" customHeight="1" x14ac:dyDescent="0.25">
      <c r="A154" s="742" t="s">
        <v>705</v>
      </c>
      <c r="B154" s="743" t="s">
        <v>1581</v>
      </c>
      <c r="C154" s="742" t="s">
        <v>957</v>
      </c>
      <c r="D154" s="742" t="s">
        <v>1100</v>
      </c>
      <c r="E154" s="742" t="s">
        <v>1582</v>
      </c>
      <c r="F154" s="744">
        <f>2</f>
        <v>2</v>
      </c>
      <c r="G154" s="742" t="s">
        <v>639</v>
      </c>
      <c r="H154" s="745">
        <v>120.69</v>
      </c>
      <c r="I154" s="745">
        <v>120.69</v>
      </c>
      <c r="J154" s="746">
        <v>0.24</v>
      </c>
      <c r="K154" s="747">
        <f>149.66</f>
        <v>149.66</v>
      </c>
      <c r="L154" s="748">
        <f>299.32</f>
        <v>299.32</v>
      </c>
      <c r="M154" s="742" t="s">
        <v>250</v>
      </c>
      <c r="N154" s="749">
        <v>25</v>
      </c>
      <c r="O154" s="742" t="s">
        <v>1291</v>
      </c>
      <c r="P154" s="749">
        <v>6</v>
      </c>
      <c r="Q154" s="742" t="s">
        <v>1265</v>
      </c>
      <c r="R154" s="750">
        <v>2</v>
      </c>
      <c r="S154" s="747">
        <f>299.32</f>
        <v>299.32</v>
      </c>
    </row>
    <row r="155" spans="1:19" ht="45" customHeight="1" x14ac:dyDescent="0.25">
      <c r="A155" s="742" t="s">
        <v>705</v>
      </c>
      <c r="B155" s="743" t="s">
        <v>1583</v>
      </c>
      <c r="C155" s="742" t="s">
        <v>750</v>
      </c>
      <c r="D155" s="742" t="s">
        <v>1055</v>
      </c>
      <c r="E155" s="742" t="s">
        <v>1584</v>
      </c>
      <c r="F155" s="744">
        <f>2</f>
        <v>2</v>
      </c>
      <c r="G155" s="742" t="s">
        <v>639</v>
      </c>
      <c r="H155" s="745">
        <v>599.89</v>
      </c>
      <c r="I155" s="745">
        <v>599.89</v>
      </c>
      <c r="J155" s="746">
        <v>0.24</v>
      </c>
      <c r="K155" s="747">
        <f>743.86</f>
        <v>743.86</v>
      </c>
      <c r="L155" s="748">
        <f>1487.72</f>
        <v>1487.72</v>
      </c>
      <c r="M155" s="742" t="s">
        <v>250</v>
      </c>
      <c r="N155" s="749">
        <v>25</v>
      </c>
      <c r="O155" s="742" t="s">
        <v>1291</v>
      </c>
      <c r="P155" s="749">
        <v>6</v>
      </c>
      <c r="Q155" s="742" t="s">
        <v>1265</v>
      </c>
      <c r="R155" s="750">
        <v>2</v>
      </c>
      <c r="S155" s="747">
        <f>1487.72</f>
        <v>1487.72</v>
      </c>
    </row>
    <row r="156" spans="1:19" ht="45" customHeight="1" x14ac:dyDescent="0.25">
      <c r="A156" s="742" t="s">
        <v>705</v>
      </c>
      <c r="B156" s="743" t="s">
        <v>1585</v>
      </c>
      <c r="C156" s="742" t="s">
        <v>957</v>
      </c>
      <c r="D156" s="742" t="s">
        <v>1101</v>
      </c>
      <c r="E156" s="742" t="s">
        <v>1586</v>
      </c>
      <c r="F156" s="744">
        <f>6</f>
        <v>6</v>
      </c>
      <c r="G156" s="742" t="s">
        <v>639</v>
      </c>
      <c r="H156" s="745">
        <v>66.34</v>
      </c>
      <c r="I156" s="745">
        <v>66.34</v>
      </c>
      <c r="J156" s="746">
        <v>0.24</v>
      </c>
      <c r="K156" s="747">
        <f>82.26</f>
        <v>82.26</v>
      </c>
      <c r="L156" s="748">
        <f>493.56</f>
        <v>493.56</v>
      </c>
      <c r="M156" s="742" t="s">
        <v>250</v>
      </c>
      <c r="N156" s="749">
        <v>25</v>
      </c>
      <c r="O156" s="742" t="s">
        <v>1291</v>
      </c>
      <c r="P156" s="749">
        <v>6</v>
      </c>
      <c r="Q156" s="742" t="s">
        <v>1265</v>
      </c>
      <c r="R156" s="750">
        <v>6</v>
      </c>
      <c r="S156" s="747">
        <f>493.56</f>
        <v>493.56</v>
      </c>
    </row>
    <row r="157" spans="1:19" ht="45" customHeight="1" x14ac:dyDescent="0.25">
      <c r="A157" s="742" t="s">
        <v>705</v>
      </c>
      <c r="B157" s="743" t="s">
        <v>1587</v>
      </c>
      <c r="C157" s="742" t="s">
        <v>957</v>
      </c>
      <c r="D157" s="742" t="s">
        <v>1102</v>
      </c>
      <c r="E157" s="742" t="s">
        <v>1588</v>
      </c>
      <c r="F157" s="744">
        <f>1</f>
        <v>1</v>
      </c>
      <c r="G157" s="742" t="s">
        <v>639</v>
      </c>
      <c r="H157" s="745">
        <v>114.41</v>
      </c>
      <c r="I157" s="745">
        <v>114.41</v>
      </c>
      <c r="J157" s="746">
        <v>0.24</v>
      </c>
      <c r="K157" s="747">
        <f>141.87</f>
        <v>141.87</v>
      </c>
      <c r="L157" s="748">
        <f>141.87</f>
        <v>141.87</v>
      </c>
      <c r="M157" s="742" t="s">
        <v>250</v>
      </c>
      <c r="N157" s="749">
        <v>25</v>
      </c>
      <c r="O157" s="742" t="s">
        <v>1291</v>
      </c>
      <c r="P157" s="749">
        <v>6</v>
      </c>
      <c r="Q157" s="742" t="s">
        <v>1265</v>
      </c>
      <c r="R157" s="750">
        <v>1</v>
      </c>
      <c r="S157" s="747">
        <f>141.87</f>
        <v>141.87</v>
      </c>
    </row>
    <row r="158" spans="1:19" ht="45" customHeight="1" x14ac:dyDescent="0.25">
      <c r="A158" s="742" t="s">
        <v>705</v>
      </c>
      <c r="B158" s="743" t="s">
        <v>1589</v>
      </c>
      <c r="C158" s="742" t="s">
        <v>957</v>
      </c>
      <c r="D158" s="742" t="s">
        <v>1103</v>
      </c>
      <c r="E158" s="742" t="s">
        <v>1590</v>
      </c>
      <c r="F158" s="744">
        <f>1</f>
        <v>1</v>
      </c>
      <c r="G158" s="742" t="s">
        <v>639</v>
      </c>
      <c r="H158" s="745">
        <v>410.94</v>
      </c>
      <c r="I158" s="745">
        <v>410.94</v>
      </c>
      <c r="J158" s="746">
        <v>0.24</v>
      </c>
      <c r="K158" s="747">
        <f>509.57</f>
        <v>509.57</v>
      </c>
      <c r="L158" s="748">
        <f>509.57</f>
        <v>509.57</v>
      </c>
      <c r="M158" s="742" t="s">
        <v>250</v>
      </c>
      <c r="N158" s="749">
        <v>25</v>
      </c>
      <c r="O158" s="742" t="s">
        <v>1291</v>
      </c>
      <c r="P158" s="749">
        <v>6</v>
      </c>
      <c r="Q158" s="742" t="s">
        <v>1265</v>
      </c>
      <c r="R158" s="750">
        <v>1</v>
      </c>
      <c r="S158" s="747">
        <f>509.57</f>
        <v>509.57</v>
      </c>
    </row>
    <row r="159" spans="1:19" ht="45" customHeight="1" x14ac:dyDescent="0.25">
      <c r="A159" s="742" t="s">
        <v>705</v>
      </c>
      <c r="B159" s="743" t="s">
        <v>1591</v>
      </c>
      <c r="C159" s="742" t="s">
        <v>957</v>
      </c>
      <c r="D159" s="742" t="s">
        <v>1104</v>
      </c>
      <c r="E159" s="742" t="s">
        <v>1592</v>
      </c>
      <c r="F159" s="744">
        <f>1</f>
        <v>1</v>
      </c>
      <c r="G159" s="742" t="s">
        <v>639</v>
      </c>
      <c r="H159" s="745">
        <v>207.69</v>
      </c>
      <c r="I159" s="745">
        <v>207.69</v>
      </c>
      <c r="J159" s="746">
        <v>0.24</v>
      </c>
      <c r="K159" s="747">
        <f>257.54</f>
        <v>257.54000000000002</v>
      </c>
      <c r="L159" s="748">
        <f>257.54</f>
        <v>257.54000000000002</v>
      </c>
      <c r="M159" s="742" t="s">
        <v>250</v>
      </c>
      <c r="N159" s="749">
        <v>25</v>
      </c>
      <c r="O159" s="742" t="s">
        <v>1291</v>
      </c>
      <c r="P159" s="749">
        <v>6</v>
      </c>
      <c r="Q159" s="742" t="s">
        <v>1265</v>
      </c>
      <c r="R159" s="750">
        <v>1</v>
      </c>
      <c r="S159" s="747">
        <f>257.54</f>
        <v>257.54000000000002</v>
      </c>
    </row>
    <row r="160" spans="1:19" ht="45" customHeight="1" x14ac:dyDescent="0.25">
      <c r="A160" s="742" t="s">
        <v>705</v>
      </c>
      <c r="B160" s="743" t="s">
        <v>1593</v>
      </c>
      <c r="C160" s="742" t="s">
        <v>957</v>
      </c>
      <c r="D160" s="742" t="s">
        <v>1105</v>
      </c>
      <c r="E160" s="742" t="s">
        <v>1594</v>
      </c>
      <c r="F160" s="744">
        <f>1</f>
        <v>1</v>
      </c>
      <c r="G160" s="742" t="s">
        <v>639</v>
      </c>
      <c r="H160" s="745">
        <v>235.53</v>
      </c>
      <c r="I160" s="745">
        <v>235.53</v>
      </c>
      <c r="J160" s="746">
        <v>0.24</v>
      </c>
      <c r="K160" s="747">
        <f>292.06</f>
        <v>292.06</v>
      </c>
      <c r="L160" s="748">
        <f>292.06</f>
        <v>292.06</v>
      </c>
      <c r="M160" s="742" t="s">
        <v>250</v>
      </c>
      <c r="N160" s="749">
        <v>25</v>
      </c>
      <c r="O160" s="742" t="s">
        <v>1291</v>
      </c>
      <c r="P160" s="749">
        <v>6</v>
      </c>
      <c r="Q160" s="742" t="s">
        <v>1265</v>
      </c>
      <c r="R160" s="750">
        <v>1</v>
      </c>
      <c r="S160" s="747">
        <f>292.06</f>
        <v>292.06</v>
      </c>
    </row>
    <row r="161" spans="1:19" ht="45" customHeight="1" x14ac:dyDescent="0.25">
      <c r="A161" s="742" t="s">
        <v>929</v>
      </c>
      <c r="B161" s="743" t="s">
        <v>1104</v>
      </c>
      <c r="C161" s="742"/>
      <c r="D161" s="742"/>
      <c r="E161" s="742" t="s">
        <v>1308</v>
      </c>
      <c r="F161" s="744"/>
      <c r="G161" s="742"/>
      <c r="H161" s="745"/>
      <c r="I161" s="745"/>
      <c r="J161" s="746"/>
      <c r="K161" s="747"/>
      <c r="L161" s="748">
        <f>2542.14</f>
        <v>2542.14</v>
      </c>
      <c r="M161" s="742"/>
      <c r="N161" s="749"/>
      <c r="O161" s="742"/>
      <c r="P161" s="749"/>
      <c r="Q161" s="742"/>
      <c r="R161" s="750"/>
      <c r="S161" s="747"/>
    </row>
    <row r="162" spans="1:19" ht="45" customHeight="1" x14ac:dyDescent="0.25">
      <c r="A162" s="742" t="s">
        <v>705</v>
      </c>
      <c r="B162" s="743" t="s">
        <v>1595</v>
      </c>
      <c r="C162" s="742" t="s">
        <v>750</v>
      </c>
      <c r="D162" s="742" t="s">
        <v>1250</v>
      </c>
      <c r="E162" s="742" t="s">
        <v>1596</v>
      </c>
      <c r="F162" s="744">
        <f>2</f>
        <v>2</v>
      </c>
      <c r="G162" s="742" t="s">
        <v>623</v>
      </c>
      <c r="H162" s="745">
        <v>319.20999999999998</v>
      </c>
      <c r="I162" s="745">
        <v>319.20999999999998</v>
      </c>
      <c r="J162" s="746">
        <v>0.24</v>
      </c>
      <c r="K162" s="747">
        <f>395.82</f>
        <v>395.82</v>
      </c>
      <c r="L162" s="748">
        <f>791.64</f>
        <v>791.64</v>
      </c>
      <c r="M162" s="742" t="s">
        <v>250</v>
      </c>
      <c r="N162" s="749">
        <v>27</v>
      </c>
      <c r="O162" s="742" t="s">
        <v>1292</v>
      </c>
      <c r="P162" s="749">
        <v>6</v>
      </c>
      <c r="Q162" s="742" t="s">
        <v>1265</v>
      </c>
      <c r="R162" s="750">
        <v>2</v>
      </c>
      <c r="S162" s="747">
        <f>791.64</f>
        <v>791.64</v>
      </c>
    </row>
    <row r="163" spans="1:19" ht="45" customHeight="1" x14ac:dyDescent="0.25">
      <c r="A163" s="742" t="s">
        <v>705</v>
      </c>
      <c r="B163" s="743" t="s">
        <v>1597</v>
      </c>
      <c r="C163" s="742" t="s">
        <v>750</v>
      </c>
      <c r="D163" s="742" t="s">
        <v>1252</v>
      </c>
      <c r="E163" s="742" t="s">
        <v>1598</v>
      </c>
      <c r="F163" s="744">
        <f>1</f>
        <v>1</v>
      </c>
      <c r="G163" s="742" t="s">
        <v>639</v>
      </c>
      <c r="H163" s="745">
        <v>912.7</v>
      </c>
      <c r="I163" s="745">
        <v>912.7</v>
      </c>
      <c r="J163" s="746">
        <v>0.24</v>
      </c>
      <c r="K163" s="747">
        <f>1131.75</f>
        <v>1131.75</v>
      </c>
      <c r="L163" s="748">
        <f>1131.75</f>
        <v>1131.75</v>
      </c>
      <c r="M163" s="742" t="s">
        <v>250</v>
      </c>
      <c r="N163" s="749">
        <v>27</v>
      </c>
      <c r="O163" s="742" t="s">
        <v>1292</v>
      </c>
      <c r="P163" s="749">
        <v>6</v>
      </c>
      <c r="Q163" s="742" t="s">
        <v>1265</v>
      </c>
      <c r="R163" s="750">
        <v>1</v>
      </c>
      <c r="S163" s="747">
        <f>1131.75</f>
        <v>1131.75</v>
      </c>
    </row>
    <row r="164" spans="1:19" ht="45" customHeight="1" x14ac:dyDescent="0.25">
      <c r="A164" s="742" t="s">
        <v>705</v>
      </c>
      <c r="B164" s="743" t="s">
        <v>1599</v>
      </c>
      <c r="C164" s="742" t="s">
        <v>750</v>
      </c>
      <c r="D164" s="742" t="s">
        <v>1251</v>
      </c>
      <c r="E164" s="742" t="s">
        <v>1600</v>
      </c>
      <c r="F164" s="744">
        <f>1</f>
        <v>1</v>
      </c>
      <c r="G164" s="742" t="s">
        <v>623</v>
      </c>
      <c r="H164" s="745">
        <v>498.99</v>
      </c>
      <c r="I164" s="745">
        <v>498.99</v>
      </c>
      <c r="J164" s="746">
        <v>0.24</v>
      </c>
      <c r="K164" s="747">
        <f>618.75</f>
        <v>618.75</v>
      </c>
      <c r="L164" s="748">
        <f>618.75</f>
        <v>618.75</v>
      </c>
      <c r="M164" s="742" t="s">
        <v>250</v>
      </c>
      <c r="N164" s="749">
        <v>27</v>
      </c>
      <c r="O164" s="742" t="s">
        <v>1292</v>
      </c>
      <c r="P164" s="749">
        <v>6</v>
      </c>
      <c r="Q164" s="742" t="s">
        <v>1265</v>
      </c>
      <c r="R164" s="750">
        <v>1</v>
      </c>
      <c r="S164" s="747">
        <f>618.75</f>
        <v>618.75</v>
      </c>
    </row>
    <row r="165" spans="1:19" ht="45" customHeight="1" x14ac:dyDescent="0.25">
      <c r="A165" s="742" t="s">
        <v>929</v>
      </c>
      <c r="B165" s="743" t="s">
        <v>1105</v>
      </c>
      <c r="C165" s="742"/>
      <c r="D165" s="742"/>
      <c r="E165" s="742" t="s">
        <v>1309</v>
      </c>
      <c r="F165" s="744"/>
      <c r="G165" s="742"/>
      <c r="H165" s="745"/>
      <c r="I165" s="745"/>
      <c r="J165" s="746"/>
      <c r="K165" s="747"/>
      <c r="L165" s="748">
        <f>12552.34</f>
        <v>12552.34</v>
      </c>
      <c r="M165" s="742"/>
      <c r="N165" s="749"/>
      <c r="O165" s="742"/>
      <c r="P165" s="749"/>
      <c r="Q165" s="742"/>
      <c r="R165" s="750"/>
      <c r="S165" s="747"/>
    </row>
    <row r="166" spans="1:19" ht="45" customHeight="1" x14ac:dyDescent="0.25">
      <c r="A166" s="742" t="s">
        <v>705</v>
      </c>
      <c r="B166" s="743" t="s">
        <v>1601</v>
      </c>
      <c r="C166" s="742" t="s">
        <v>750</v>
      </c>
      <c r="D166" s="742" t="s">
        <v>1056</v>
      </c>
      <c r="E166" s="742" t="s">
        <v>1602</v>
      </c>
      <c r="F166" s="744">
        <f>188.44</f>
        <v>188.44</v>
      </c>
      <c r="G166" s="742" t="s">
        <v>623</v>
      </c>
      <c r="H166" s="745">
        <v>5.23</v>
      </c>
      <c r="I166" s="745">
        <v>5.23</v>
      </c>
      <c r="J166" s="746">
        <v>0.24</v>
      </c>
      <c r="K166" s="747">
        <f>6.49</f>
        <v>6.49</v>
      </c>
      <c r="L166" s="748">
        <f>1222.98</f>
        <v>1222.98</v>
      </c>
      <c r="M166" s="742" t="s">
        <v>250</v>
      </c>
      <c r="N166" s="749">
        <v>22</v>
      </c>
      <c r="O166" s="742" t="s">
        <v>1294</v>
      </c>
      <c r="P166" s="749">
        <v>6</v>
      </c>
      <c r="Q166" s="742" t="s">
        <v>1265</v>
      </c>
      <c r="R166" s="750">
        <v>188.44</v>
      </c>
      <c r="S166" s="747">
        <f>1222.98</f>
        <v>1222.98</v>
      </c>
    </row>
    <row r="167" spans="1:19" ht="45" customHeight="1" x14ac:dyDescent="0.25">
      <c r="A167" s="742" t="s">
        <v>705</v>
      </c>
      <c r="B167" s="743" t="s">
        <v>1603</v>
      </c>
      <c r="C167" s="742" t="s">
        <v>750</v>
      </c>
      <c r="D167" s="742" t="s">
        <v>1057</v>
      </c>
      <c r="E167" s="742" t="s">
        <v>1604</v>
      </c>
      <c r="F167" s="744">
        <f>188.44</f>
        <v>188.44</v>
      </c>
      <c r="G167" s="742" t="s">
        <v>623</v>
      </c>
      <c r="H167" s="745">
        <v>32.130000000000003</v>
      </c>
      <c r="I167" s="745">
        <v>32.130000000000003</v>
      </c>
      <c r="J167" s="746">
        <v>0.24</v>
      </c>
      <c r="K167" s="747">
        <f>39.84</f>
        <v>39.840000000000003</v>
      </c>
      <c r="L167" s="748">
        <f>7507.45</f>
        <v>7507.45</v>
      </c>
      <c r="M167" s="742" t="s">
        <v>250</v>
      </c>
      <c r="N167" s="749">
        <v>22</v>
      </c>
      <c r="O167" s="742" t="s">
        <v>1294</v>
      </c>
      <c r="P167" s="749">
        <v>6</v>
      </c>
      <c r="Q167" s="742" t="s">
        <v>1265</v>
      </c>
      <c r="R167" s="750">
        <v>188.44</v>
      </c>
      <c r="S167" s="747">
        <f>7507.45</f>
        <v>7507.45</v>
      </c>
    </row>
    <row r="168" spans="1:19" ht="45" customHeight="1" x14ac:dyDescent="0.25">
      <c r="A168" s="742" t="s">
        <v>705</v>
      </c>
      <c r="B168" s="743" t="s">
        <v>1605</v>
      </c>
      <c r="C168" s="742" t="s">
        <v>750</v>
      </c>
      <c r="D168" s="742" t="s">
        <v>1058</v>
      </c>
      <c r="E168" s="742" t="s">
        <v>1606</v>
      </c>
      <c r="F168" s="744">
        <f>46.45</f>
        <v>46.45</v>
      </c>
      <c r="G168" s="742" t="s">
        <v>623</v>
      </c>
      <c r="H168" s="745">
        <v>53.8</v>
      </c>
      <c r="I168" s="745">
        <v>53.8</v>
      </c>
      <c r="J168" s="746">
        <v>0.24</v>
      </c>
      <c r="K168" s="747">
        <f>66.71</f>
        <v>66.709999999999994</v>
      </c>
      <c r="L168" s="748">
        <f>3098.68</f>
        <v>3098.68</v>
      </c>
      <c r="M168" s="742" t="s">
        <v>250</v>
      </c>
      <c r="N168" s="749">
        <v>23</v>
      </c>
      <c r="O168" s="742" t="s">
        <v>1295</v>
      </c>
      <c r="P168" s="749">
        <v>6</v>
      </c>
      <c r="Q168" s="742" t="s">
        <v>1265</v>
      </c>
      <c r="R168" s="750">
        <v>46.45</v>
      </c>
      <c r="S168" s="747">
        <f>3098.68</f>
        <v>3098.68</v>
      </c>
    </row>
    <row r="169" spans="1:19" ht="45" customHeight="1" x14ac:dyDescent="0.25">
      <c r="A169" s="742" t="s">
        <v>705</v>
      </c>
      <c r="B169" s="743" t="s">
        <v>1607</v>
      </c>
      <c r="C169" s="742" t="s">
        <v>750</v>
      </c>
      <c r="D169" s="742" t="s">
        <v>1059</v>
      </c>
      <c r="E169" s="742" t="s">
        <v>1608</v>
      </c>
      <c r="F169" s="744">
        <f>27.7</f>
        <v>27.7</v>
      </c>
      <c r="G169" s="742" t="s">
        <v>621</v>
      </c>
      <c r="H169" s="745">
        <v>8.07</v>
      </c>
      <c r="I169" s="745">
        <v>8.07</v>
      </c>
      <c r="J169" s="746">
        <v>0.24</v>
      </c>
      <c r="K169" s="747">
        <f>10.01</f>
        <v>10.01</v>
      </c>
      <c r="L169" s="748">
        <f>277.28</f>
        <v>277.27999999999997</v>
      </c>
      <c r="M169" s="742" t="s">
        <v>250</v>
      </c>
      <c r="N169" s="749">
        <v>23</v>
      </c>
      <c r="O169" s="742" t="s">
        <v>1295</v>
      </c>
      <c r="P169" s="749">
        <v>6</v>
      </c>
      <c r="Q169" s="742" t="s">
        <v>1265</v>
      </c>
      <c r="R169" s="750">
        <v>27.7</v>
      </c>
      <c r="S169" s="747">
        <f>277.28</f>
        <v>277.27999999999997</v>
      </c>
    </row>
    <row r="170" spans="1:19" ht="45" customHeight="1" x14ac:dyDescent="0.25">
      <c r="A170" s="742" t="s">
        <v>705</v>
      </c>
      <c r="B170" s="743" t="s">
        <v>1609</v>
      </c>
      <c r="C170" s="742" t="s">
        <v>750</v>
      </c>
      <c r="D170" s="742" t="s">
        <v>1243</v>
      </c>
      <c r="E170" s="742" t="s">
        <v>1610</v>
      </c>
      <c r="F170" s="744">
        <f>13</f>
        <v>13</v>
      </c>
      <c r="G170" s="742" t="s">
        <v>623</v>
      </c>
      <c r="H170" s="745">
        <v>5.03</v>
      </c>
      <c r="I170" s="745">
        <v>5.03</v>
      </c>
      <c r="J170" s="746">
        <v>0.24</v>
      </c>
      <c r="K170" s="747">
        <f>6.24</f>
        <v>6.24</v>
      </c>
      <c r="L170" s="748">
        <f>81.12</f>
        <v>81.12</v>
      </c>
      <c r="M170" s="742" t="s">
        <v>250</v>
      </c>
      <c r="N170" s="749">
        <v>29</v>
      </c>
      <c r="O170" s="742" t="s">
        <v>1288</v>
      </c>
      <c r="P170" s="749">
        <v>6</v>
      </c>
      <c r="Q170" s="742" t="s">
        <v>1265</v>
      </c>
      <c r="R170" s="750">
        <v>13</v>
      </c>
      <c r="S170" s="747">
        <f>81.12</f>
        <v>81.12</v>
      </c>
    </row>
    <row r="171" spans="1:19" ht="45" customHeight="1" x14ac:dyDescent="0.25">
      <c r="A171" s="742" t="s">
        <v>705</v>
      </c>
      <c r="B171" s="743" t="s">
        <v>1611</v>
      </c>
      <c r="C171" s="742" t="s">
        <v>750</v>
      </c>
      <c r="D171" s="742" t="s">
        <v>1244</v>
      </c>
      <c r="E171" s="742" t="s">
        <v>1612</v>
      </c>
      <c r="F171" s="744">
        <f>13</f>
        <v>13</v>
      </c>
      <c r="G171" s="742" t="s">
        <v>623</v>
      </c>
      <c r="H171" s="745">
        <v>10.95</v>
      </c>
      <c r="I171" s="745">
        <v>10.95</v>
      </c>
      <c r="J171" s="746">
        <v>0.24</v>
      </c>
      <c r="K171" s="747">
        <f>13.58</f>
        <v>13.58</v>
      </c>
      <c r="L171" s="748">
        <f>176.54</f>
        <v>176.54</v>
      </c>
      <c r="M171" s="742" t="s">
        <v>250</v>
      </c>
      <c r="N171" s="749">
        <v>29</v>
      </c>
      <c r="O171" s="742" t="s">
        <v>1288</v>
      </c>
      <c r="P171" s="749">
        <v>6</v>
      </c>
      <c r="Q171" s="742" t="s">
        <v>1265</v>
      </c>
      <c r="R171" s="750">
        <v>13</v>
      </c>
      <c r="S171" s="747">
        <f>176.54</f>
        <v>176.54</v>
      </c>
    </row>
    <row r="172" spans="1:19" ht="45" customHeight="1" x14ac:dyDescent="0.25">
      <c r="A172" s="742" t="s">
        <v>705</v>
      </c>
      <c r="B172" s="743" t="s">
        <v>1613</v>
      </c>
      <c r="C172" s="742" t="s">
        <v>750</v>
      </c>
      <c r="D172" s="742" t="s">
        <v>1245</v>
      </c>
      <c r="E172" s="742" t="s">
        <v>1614</v>
      </c>
      <c r="F172" s="744">
        <f>11</f>
        <v>11</v>
      </c>
      <c r="G172" s="742" t="s">
        <v>623</v>
      </c>
      <c r="H172" s="745">
        <v>12.44</v>
      </c>
      <c r="I172" s="745">
        <v>12.44</v>
      </c>
      <c r="J172" s="746">
        <v>0.24</v>
      </c>
      <c r="K172" s="747">
        <f>15.43</f>
        <v>15.43</v>
      </c>
      <c r="L172" s="748">
        <f>169.73</f>
        <v>169.73</v>
      </c>
      <c r="M172" s="742" t="s">
        <v>250</v>
      </c>
      <c r="N172" s="749">
        <v>29</v>
      </c>
      <c r="O172" s="742" t="s">
        <v>1288</v>
      </c>
      <c r="P172" s="749">
        <v>6</v>
      </c>
      <c r="Q172" s="742" t="s">
        <v>1265</v>
      </c>
      <c r="R172" s="750">
        <v>11</v>
      </c>
      <c r="S172" s="747">
        <f>169.73</f>
        <v>169.73</v>
      </c>
    </row>
    <row r="173" spans="1:19" ht="45" customHeight="1" x14ac:dyDescent="0.25">
      <c r="A173" s="742" t="s">
        <v>705</v>
      </c>
      <c r="B173" s="743" t="s">
        <v>1615</v>
      </c>
      <c r="C173" s="742" t="s">
        <v>750</v>
      </c>
      <c r="D173" s="742" t="s">
        <v>1246</v>
      </c>
      <c r="E173" s="742" t="s">
        <v>1616</v>
      </c>
      <c r="F173" s="744">
        <f>1</f>
        <v>1</v>
      </c>
      <c r="G173" s="742" t="s">
        <v>623</v>
      </c>
      <c r="H173" s="745">
        <v>14.97</v>
      </c>
      <c r="I173" s="745">
        <v>14.97</v>
      </c>
      <c r="J173" s="746">
        <v>0.24</v>
      </c>
      <c r="K173" s="747">
        <f>18.56</f>
        <v>18.559999999999999</v>
      </c>
      <c r="L173" s="748">
        <f>18.56</f>
        <v>18.559999999999999</v>
      </c>
      <c r="M173" s="742" t="s">
        <v>250</v>
      </c>
      <c r="N173" s="749">
        <v>29</v>
      </c>
      <c r="O173" s="742" t="s">
        <v>1288</v>
      </c>
      <c r="P173" s="749">
        <v>6</v>
      </c>
      <c r="Q173" s="742" t="s">
        <v>1265</v>
      </c>
      <c r="R173" s="750">
        <v>1</v>
      </c>
      <c r="S173" s="747">
        <f>18.56</f>
        <v>18.559999999999999</v>
      </c>
    </row>
    <row r="174" spans="1:19" ht="45" customHeight="1" x14ac:dyDescent="0.25">
      <c r="A174" s="742" t="s">
        <v>929</v>
      </c>
      <c r="B174" s="743" t="s">
        <v>1106</v>
      </c>
      <c r="C174" s="742"/>
      <c r="D174" s="742"/>
      <c r="E174" s="742" t="s">
        <v>1310</v>
      </c>
      <c r="F174" s="744"/>
      <c r="G174" s="742"/>
      <c r="H174" s="745"/>
      <c r="I174" s="745"/>
      <c r="J174" s="746"/>
      <c r="K174" s="747"/>
      <c r="L174" s="748">
        <f>5078.09</f>
        <v>5078.09</v>
      </c>
      <c r="M174" s="742"/>
      <c r="N174" s="749"/>
      <c r="O174" s="742"/>
      <c r="P174" s="749"/>
      <c r="Q174" s="742"/>
      <c r="R174" s="750"/>
      <c r="S174" s="747"/>
    </row>
    <row r="175" spans="1:19" ht="45" customHeight="1" x14ac:dyDescent="0.25">
      <c r="A175" s="742" t="s">
        <v>705</v>
      </c>
      <c r="B175" s="743" t="s">
        <v>1617</v>
      </c>
      <c r="C175" s="742" t="s">
        <v>956</v>
      </c>
      <c r="D175" s="742" t="s">
        <v>1254</v>
      </c>
      <c r="E175" s="742" t="s">
        <v>1618</v>
      </c>
      <c r="F175" s="744">
        <f>42.24</f>
        <v>42.24</v>
      </c>
      <c r="G175" s="742" t="s">
        <v>623</v>
      </c>
      <c r="H175" s="745">
        <v>96.95</v>
      </c>
      <c r="I175" s="745">
        <v>96.95</v>
      </c>
      <c r="J175" s="746">
        <v>0.24</v>
      </c>
      <c r="K175" s="747">
        <f>120.22</f>
        <v>120.22</v>
      </c>
      <c r="L175" s="748">
        <f>5078.09</f>
        <v>5078.09</v>
      </c>
      <c r="M175" s="742" t="s">
        <v>250</v>
      </c>
      <c r="N175" s="749">
        <v>28</v>
      </c>
      <c r="O175" s="742" t="s">
        <v>102</v>
      </c>
      <c r="P175" s="749">
        <v>6</v>
      </c>
      <c r="Q175" s="742" t="s">
        <v>1265</v>
      </c>
      <c r="R175" s="750">
        <v>42.24</v>
      </c>
      <c r="S175" s="747">
        <f>5078.09</f>
        <v>5078.09</v>
      </c>
    </row>
    <row r="176" spans="1:19" ht="45" customHeight="1" x14ac:dyDescent="0.25">
      <c r="A176" s="742" t="s">
        <v>929</v>
      </c>
      <c r="B176" s="743" t="s">
        <v>1107</v>
      </c>
      <c r="C176" s="742"/>
      <c r="D176" s="742"/>
      <c r="E176" s="742" t="s">
        <v>1313</v>
      </c>
      <c r="F176" s="744"/>
      <c r="G176" s="742"/>
      <c r="H176" s="745"/>
      <c r="I176" s="745"/>
      <c r="J176" s="746"/>
      <c r="K176" s="747"/>
      <c r="L176" s="748">
        <f>40811.35</f>
        <v>40811.35</v>
      </c>
      <c r="M176" s="742"/>
      <c r="N176" s="749"/>
      <c r="O176" s="742"/>
      <c r="P176" s="749"/>
      <c r="Q176" s="742"/>
      <c r="R176" s="750"/>
      <c r="S176" s="747"/>
    </row>
    <row r="177" spans="1:19" ht="45" customHeight="1" x14ac:dyDescent="0.25">
      <c r="A177" s="742" t="s">
        <v>705</v>
      </c>
      <c r="B177" s="743" t="s">
        <v>1619</v>
      </c>
      <c r="C177" s="742" t="s">
        <v>957</v>
      </c>
      <c r="D177" s="742" t="s">
        <v>1106</v>
      </c>
      <c r="E177" s="742" t="s">
        <v>1425</v>
      </c>
      <c r="F177" s="744">
        <f>2</f>
        <v>2</v>
      </c>
      <c r="G177" s="742" t="s">
        <v>639</v>
      </c>
      <c r="H177" s="745">
        <v>3414.29</v>
      </c>
      <c r="I177" s="745">
        <v>3414.29</v>
      </c>
      <c r="J177" s="746" t="s">
        <v>1409</v>
      </c>
      <c r="K177" s="747">
        <f>3987.89</f>
        <v>3987.89</v>
      </c>
      <c r="L177" s="748">
        <f>7975.78</f>
        <v>7975.78</v>
      </c>
      <c r="M177" s="742" t="s">
        <v>250</v>
      </c>
      <c r="N177" s="749">
        <v>24</v>
      </c>
      <c r="O177" s="742" t="s">
        <v>1276</v>
      </c>
      <c r="P177" s="749">
        <v>6</v>
      </c>
      <c r="Q177" s="742" t="s">
        <v>1265</v>
      </c>
      <c r="R177" s="750">
        <v>2</v>
      </c>
      <c r="S177" s="747">
        <f>7975.78</f>
        <v>7975.78</v>
      </c>
    </row>
    <row r="178" spans="1:19" ht="45" customHeight="1" x14ac:dyDescent="0.25">
      <c r="A178" s="742" t="s">
        <v>705</v>
      </c>
      <c r="B178" s="743" t="s">
        <v>1620</v>
      </c>
      <c r="C178" s="742" t="s">
        <v>957</v>
      </c>
      <c r="D178" s="742" t="s">
        <v>1107</v>
      </c>
      <c r="E178" s="742" t="s">
        <v>1621</v>
      </c>
      <c r="F178" s="744">
        <f>3</f>
        <v>3</v>
      </c>
      <c r="G178" s="742" t="s">
        <v>639</v>
      </c>
      <c r="H178" s="745">
        <v>1134.43</v>
      </c>
      <c r="I178" s="745">
        <v>1134.43</v>
      </c>
      <c r="J178" s="746" t="s">
        <v>1409</v>
      </c>
      <c r="K178" s="747">
        <f>1325.01</f>
        <v>1325.01</v>
      </c>
      <c r="L178" s="748">
        <f>3975.03</f>
        <v>3975.03</v>
      </c>
      <c r="M178" s="742" t="s">
        <v>250</v>
      </c>
      <c r="N178" s="749">
        <v>24</v>
      </c>
      <c r="O178" s="742" t="s">
        <v>1276</v>
      </c>
      <c r="P178" s="749">
        <v>6</v>
      </c>
      <c r="Q178" s="742" t="s">
        <v>1265</v>
      </c>
      <c r="R178" s="750">
        <v>3</v>
      </c>
      <c r="S178" s="747">
        <f>3975.03</f>
        <v>3975.03</v>
      </c>
    </row>
    <row r="179" spans="1:19" ht="45" customHeight="1" x14ac:dyDescent="0.25">
      <c r="A179" s="742" t="s">
        <v>705</v>
      </c>
      <c r="B179" s="743" t="s">
        <v>1622</v>
      </c>
      <c r="C179" s="742" t="s">
        <v>957</v>
      </c>
      <c r="D179" s="742" t="s">
        <v>1108</v>
      </c>
      <c r="E179" s="742" t="s">
        <v>1623</v>
      </c>
      <c r="F179" s="744">
        <f>2</f>
        <v>2</v>
      </c>
      <c r="G179" s="742" t="s">
        <v>639</v>
      </c>
      <c r="H179" s="745">
        <v>1415.42</v>
      </c>
      <c r="I179" s="745">
        <v>1415.42</v>
      </c>
      <c r="J179" s="746" t="s">
        <v>1409</v>
      </c>
      <c r="K179" s="747">
        <f>1653.21</f>
        <v>1653.21</v>
      </c>
      <c r="L179" s="748">
        <f>3306.42</f>
        <v>3306.42</v>
      </c>
      <c r="M179" s="742" t="s">
        <v>250</v>
      </c>
      <c r="N179" s="749">
        <v>24</v>
      </c>
      <c r="O179" s="742" t="s">
        <v>1276</v>
      </c>
      <c r="P179" s="749">
        <v>6</v>
      </c>
      <c r="Q179" s="742" t="s">
        <v>1265</v>
      </c>
      <c r="R179" s="750">
        <v>2</v>
      </c>
      <c r="S179" s="747">
        <f>3306.42</f>
        <v>3306.42</v>
      </c>
    </row>
    <row r="180" spans="1:19" ht="45" customHeight="1" x14ac:dyDescent="0.25">
      <c r="A180" s="742" t="s">
        <v>705</v>
      </c>
      <c r="B180" s="743" t="s">
        <v>1624</v>
      </c>
      <c r="C180" s="742" t="s">
        <v>957</v>
      </c>
      <c r="D180" s="742" t="s">
        <v>1109</v>
      </c>
      <c r="E180" s="742" t="s">
        <v>1431</v>
      </c>
      <c r="F180" s="744">
        <f>8</f>
        <v>8</v>
      </c>
      <c r="G180" s="742" t="s">
        <v>639</v>
      </c>
      <c r="H180" s="745">
        <v>438.85</v>
      </c>
      <c r="I180" s="745">
        <v>438.85</v>
      </c>
      <c r="J180" s="746">
        <v>0.24</v>
      </c>
      <c r="K180" s="747">
        <f>544.17</f>
        <v>544.16999999999996</v>
      </c>
      <c r="L180" s="748">
        <f>4353.36</f>
        <v>4353.3599999999997</v>
      </c>
      <c r="M180" s="742" t="s">
        <v>250</v>
      </c>
      <c r="N180" s="749">
        <v>24</v>
      </c>
      <c r="O180" s="742" t="s">
        <v>1276</v>
      </c>
      <c r="P180" s="749">
        <v>6</v>
      </c>
      <c r="Q180" s="742" t="s">
        <v>1265</v>
      </c>
      <c r="R180" s="750">
        <v>8</v>
      </c>
      <c r="S180" s="747">
        <f>4353.36</f>
        <v>4353.3599999999997</v>
      </c>
    </row>
    <row r="181" spans="1:19" ht="45" customHeight="1" x14ac:dyDescent="0.25">
      <c r="A181" s="742" t="s">
        <v>705</v>
      </c>
      <c r="B181" s="743" t="s">
        <v>1625</v>
      </c>
      <c r="C181" s="742" t="s">
        <v>957</v>
      </c>
      <c r="D181" s="742" t="s">
        <v>1110</v>
      </c>
      <c r="E181" s="742" t="s">
        <v>1626</v>
      </c>
      <c r="F181" s="744">
        <f>2</f>
        <v>2</v>
      </c>
      <c r="G181" s="742" t="s">
        <v>639</v>
      </c>
      <c r="H181" s="745">
        <v>467.38</v>
      </c>
      <c r="I181" s="745">
        <v>467.38</v>
      </c>
      <c r="J181" s="746" t="s">
        <v>1409</v>
      </c>
      <c r="K181" s="747">
        <f>545.9</f>
        <v>545.9</v>
      </c>
      <c r="L181" s="748">
        <f>1091.8</f>
        <v>1091.8</v>
      </c>
      <c r="M181" s="742" t="s">
        <v>250</v>
      </c>
      <c r="N181" s="749">
        <v>24</v>
      </c>
      <c r="O181" s="742" t="s">
        <v>1276</v>
      </c>
      <c r="P181" s="749">
        <v>6</v>
      </c>
      <c r="Q181" s="742" t="s">
        <v>1265</v>
      </c>
      <c r="R181" s="750">
        <v>2</v>
      </c>
      <c r="S181" s="747">
        <f>1091.8</f>
        <v>1091.8</v>
      </c>
    </row>
    <row r="182" spans="1:19" ht="45" customHeight="1" x14ac:dyDescent="0.25">
      <c r="A182" s="742" t="s">
        <v>705</v>
      </c>
      <c r="B182" s="743" t="s">
        <v>1627</v>
      </c>
      <c r="C182" s="742" t="s">
        <v>957</v>
      </c>
      <c r="D182" s="742" t="s">
        <v>1111</v>
      </c>
      <c r="E182" s="742" t="s">
        <v>1628</v>
      </c>
      <c r="F182" s="744">
        <f>2</f>
        <v>2</v>
      </c>
      <c r="G182" s="742" t="s">
        <v>639</v>
      </c>
      <c r="H182" s="745">
        <v>2081.4699999999998</v>
      </c>
      <c r="I182" s="745">
        <v>2081.4699999999998</v>
      </c>
      <c r="J182" s="746" t="s">
        <v>1409</v>
      </c>
      <c r="K182" s="747">
        <f>2431.16</f>
        <v>2431.16</v>
      </c>
      <c r="L182" s="748">
        <f>4862.32</f>
        <v>4862.32</v>
      </c>
      <c r="M182" s="742" t="s">
        <v>250</v>
      </c>
      <c r="N182" s="749">
        <v>24</v>
      </c>
      <c r="O182" s="742" t="s">
        <v>1276</v>
      </c>
      <c r="P182" s="749">
        <v>6</v>
      </c>
      <c r="Q182" s="742" t="s">
        <v>1265</v>
      </c>
      <c r="R182" s="750">
        <v>2</v>
      </c>
      <c r="S182" s="747">
        <f>4862.32</f>
        <v>4862.32</v>
      </c>
    </row>
    <row r="183" spans="1:19" ht="45" customHeight="1" x14ac:dyDescent="0.25">
      <c r="A183" s="742" t="s">
        <v>705</v>
      </c>
      <c r="B183" s="743" t="s">
        <v>1629</v>
      </c>
      <c r="C183" s="742" t="s">
        <v>957</v>
      </c>
      <c r="D183" s="742" t="s">
        <v>1094</v>
      </c>
      <c r="E183" s="742" t="s">
        <v>1472</v>
      </c>
      <c r="F183" s="744">
        <f>3</f>
        <v>3</v>
      </c>
      <c r="G183" s="742" t="s">
        <v>639</v>
      </c>
      <c r="H183" s="745">
        <v>3706.92</v>
      </c>
      <c r="I183" s="745">
        <v>3706.92</v>
      </c>
      <c r="J183" s="746" t="s">
        <v>1409</v>
      </c>
      <c r="K183" s="747">
        <f>4329.68</f>
        <v>4329.68</v>
      </c>
      <c r="L183" s="748">
        <f>12989.04</f>
        <v>12989.04</v>
      </c>
      <c r="M183" s="742" t="s">
        <v>250</v>
      </c>
      <c r="N183" s="749">
        <v>24</v>
      </c>
      <c r="O183" s="742" t="s">
        <v>1276</v>
      </c>
      <c r="P183" s="749">
        <v>6</v>
      </c>
      <c r="Q183" s="742" t="s">
        <v>1265</v>
      </c>
      <c r="R183" s="750">
        <v>3</v>
      </c>
      <c r="S183" s="747">
        <f>12989.04</f>
        <v>12989.04</v>
      </c>
    </row>
    <row r="184" spans="1:19" ht="45" customHeight="1" x14ac:dyDescent="0.25">
      <c r="A184" s="742" t="s">
        <v>705</v>
      </c>
      <c r="B184" s="743" t="s">
        <v>1630</v>
      </c>
      <c r="C184" s="742" t="s">
        <v>750</v>
      </c>
      <c r="D184" s="742" t="s">
        <v>1260</v>
      </c>
      <c r="E184" s="742" t="s">
        <v>1631</v>
      </c>
      <c r="F184" s="744">
        <f>240</f>
        <v>240</v>
      </c>
      <c r="G184" s="742" t="s">
        <v>639</v>
      </c>
      <c r="H184" s="745">
        <v>6.18</v>
      </c>
      <c r="I184" s="745">
        <v>6.18</v>
      </c>
      <c r="J184" s="746" t="s">
        <v>1409</v>
      </c>
      <c r="K184" s="747">
        <f>7.22</f>
        <v>7.22</v>
      </c>
      <c r="L184" s="748">
        <f>1732.8</f>
        <v>1732.8</v>
      </c>
      <c r="M184" s="742" t="s">
        <v>250</v>
      </c>
      <c r="N184" s="749">
        <v>24</v>
      </c>
      <c r="O184" s="742" t="s">
        <v>1276</v>
      </c>
      <c r="P184" s="749">
        <v>6</v>
      </c>
      <c r="Q184" s="742" t="s">
        <v>1265</v>
      </c>
      <c r="R184" s="750">
        <v>240</v>
      </c>
      <c r="S184" s="747">
        <f>1732.8</f>
        <v>1732.8</v>
      </c>
    </row>
    <row r="185" spans="1:19" ht="45" customHeight="1" x14ac:dyDescent="0.25">
      <c r="A185" s="742" t="s">
        <v>705</v>
      </c>
      <c r="B185" s="743" t="s">
        <v>1632</v>
      </c>
      <c r="C185" s="742" t="s">
        <v>956</v>
      </c>
      <c r="D185" s="742" t="s">
        <v>1241</v>
      </c>
      <c r="E185" s="742" t="s">
        <v>1219</v>
      </c>
      <c r="F185" s="744">
        <f>20</f>
        <v>20</v>
      </c>
      <c r="G185" s="742" t="s">
        <v>639</v>
      </c>
      <c r="H185" s="745">
        <v>21.16</v>
      </c>
      <c r="I185" s="745">
        <v>21.16</v>
      </c>
      <c r="J185" s="746">
        <v>0.24</v>
      </c>
      <c r="K185" s="747">
        <f>26.24</f>
        <v>26.24</v>
      </c>
      <c r="L185" s="748">
        <f>524.8</f>
        <v>524.79999999999995</v>
      </c>
      <c r="M185" s="742" t="s">
        <v>250</v>
      </c>
      <c r="N185" s="749">
        <v>24</v>
      </c>
      <c r="O185" s="742" t="s">
        <v>1276</v>
      </c>
      <c r="P185" s="749">
        <v>6</v>
      </c>
      <c r="Q185" s="742" t="s">
        <v>1265</v>
      </c>
      <c r="R185" s="750">
        <v>20</v>
      </c>
      <c r="S185" s="747">
        <f>524.8</f>
        <v>524.79999999999995</v>
      </c>
    </row>
    <row r="186" spans="1:19" ht="45" customHeight="1" x14ac:dyDescent="0.25">
      <c r="A186" s="742" t="s">
        <v>929</v>
      </c>
      <c r="B186" s="743" t="s">
        <v>1108</v>
      </c>
      <c r="C186" s="742"/>
      <c r="D186" s="742"/>
      <c r="E186" s="742" t="s">
        <v>1311</v>
      </c>
      <c r="F186" s="744"/>
      <c r="G186" s="742"/>
      <c r="H186" s="745"/>
      <c r="I186" s="745"/>
      <c r="J186" s="746"/>
      <c r="K186" s="747"/>
      <c r="L186" s="748">
        <f>191714.02</f>
        <v>191714.02</v>
      </c>
      <c r="M186" s="742"/>
      <c r="N186" s="749"/>
      <c r="O186" s="742"/>
      <c r="P186" s="749"/>
      <c r="Q186" s="742"/>
      <c r="R186" s="750"/>
      <c r="S186" s="747"/>
    </row>
    <row r="187" spans="1:19" ht="45" customHeight="1" x14ac:dyDescent="0.25">
      <c r="A187" s="742" t="s">
        <v>705</v>
      </c>
      <c r="B187" s="743" t="s">
        <v>1633</v>
      </c>
      <c r="C187" s="742" t="s">
        <v>957</v>
      </c>
      <c r="D187" s="742" t="s">
        <v>1112</v>
      </c>
      <c r="E187" s="742" t="s">
        <v>1634</v>
      </c>
      <c r="F187" s="744">
        <f>2</f>
        <v>2</v>
      </c>
      <c r="G187" s="742" t="s">
        <v>639</v>
      </c>
      <c r="H187" s="745">
        <v>55879.08</v>
      </c>
      <c r="I187" s="745">
        <v>55879.08</v>
      </c>
      <c r="J187" s="746" t="s">
        <v>1409</v>
      </c>
      <c r="K187" s="747">
        <f>65266.77</f>
        <v>65266.77</v>
      </c>
      <c r="L187" s="748">
        <f>130533.54</f>
        <v>130533.54</v>
      </c>
      <c r="M187" s="742" t="s">
        <v>250</v>
      </c>
      <c r="N187" s="749">
        <v>26</v>
      </c>
      <c r="O187" s="742" t="s">
        <v>1293</v>
      </c>
      <c r="P187" s="749">
        <v>6</v>
      </c>
      <c r="Q187" s="742" t="s">
        <v>1265</v>
      </c>
      <c r="R187" s="750">
        <v>2</v>
      </c>
      <c r="S187" s="747">
        <f>130533.54</f>
        <v>130533.54</v>
      </c>
    </row>
    <row r="188" spans="1:19" ht="45" customHeight="1" x14ac:dyDescent="0.25">
      <c r="A188" s="742" t="s">
        <v>705</v>
      </c>
      <c r="B188" s="743" t="s">
        <v>1635</v>
      </c>
      <c r="C188" s="742" t="s">
        <v>957</v>
      </c>
      <c r="D188" s="742" t="s">
        <v>1113</v>
      </c>
      <c r="E188" s="742" t="s">
        <v>1636</v>
      </c>
      <c r="F188" s="744">
        <f>2</f>
        <v>2</v>
      </c>
      <c r="G188" s="742" t="s">
        <v>639</v>
      </c>
      <c r="H188" s="745">
        <v>25396.61</v>
      </c>
      <c r="I188" s="745">
        <v>25396.61</v>
      </c>
      <c r="J188" s="746" t="s">
        <v>1409</v>
      </c>
      <c r="K188" s="747">
        <f>29663.24</f>
        <v>29663.24</v>
      </c>
      <c r="L188" s="748">
        <f>59326.48</f>
        <v>59326.48</v>
      </c>
      <c r="M188" s="742" t="s">
        <v>250</v>
      </c>
      <c r="N188" s="749">
        <v>26</v>
      </c>
      <c r="O188" s="742" t="s">
        <v>1293</v>
      </c>
      <c r="P188" s="749">
        <v>6</v>
      </c>
      <c r="Q188" s="742" t="s">
        <v>1265</v>
      </c>
      <c r="R188" s="750">
        <v>2</v>
      </c>
      <c r="S188" s="747">
        <f>59326.48</f>
        <v>59326.48</v>
      </c>
    </row>
    <row r="189" spans="1:19" ht="45" customHeight="1" x14ac:dyDescent="0.25">
      <c r="A189" s="742" t="s">
        <v>705</v>
      </c>
      <c r="B189" s="743" t="s">
        <v>1637</v>
      </c>
      <c r="C189" s="742" t="s">
        <v>957</v>
      </c>
      <c r="D189" s="742" t="s">
        <v>1115</v>
      </c>
      <c r="E189" s="742" t="s">
        <v>1114</v>
      </c>
      <c r="F189" s="744">
        <f>4</f>
        <v>4</v>
      </c>
      <c r="G189" s="742" t="s">
        <v>639</v>
      </c>
      <c r="H189" s="745">
        <v>373.79</v>
      </c>
      <c r="I189" s="745">
        <v>373.79</v>
      </c>
      <c r="J189" s="746">
        <v>0.24</v>
      </c>
      <c r="K189" s="747">
        <f>463.5</f>
        <v>463.5</v>
      </c>
      <c r="L189" s="748">
        <f>1854</f>
        <v>1854</v>
      </c>
      <c r="M189" s="742" t="s">
        <v>250</v>
      </c>
      <c r="N189" s="749">
        <v>26</v>
      </c>
      <c r="O189" s="742" t="s">
        <v>1293</v>
      </c>
      <c r="P189" s="749">
        <v>6</v>
      </c>
      <c r="Q189" s="742" t="s">
        <v>1265</v>
      </c>
      <c r="R189" s="750">
        <v>4</v>
      </c>
      <c r="S189" s="747">
        <f>1854</f>
        <v>1854</v>
      </c>
    </row>
    <row r="190" spans="1:19" ht="45" customHeight="1" x14ac:dyDescent="0.25">
      <c r="A190" s="742" t="s">
        <v>929</v>
      </c>
      <c r="B190" s="743" t="s">
        <v>1109</v>
      </c>
      <c r="C190" s="742"/>
      <c r="D190" s="742"/>
      <c r="E190" s="742" t="s">
        <v>1070</v>
      </c>
      <c r="F190" s="744"/>
      <c r="G190" s="742"/>
      <c r="H190" s="745"/>
      <c r="I190" s="745"/>
      <c r="J190" s="746"/>
      <c r="K190" s="747"/>
      <c r="L190" s="748">
        <f>731511.22</f>
        <v>731511.22</v>
      </c>
      <c r="M190" s="742"/>
      <c r="N190" s="749"/>
      <c r="O190" s="742"/>
      <c r="P190" s="749"/>
      <c r="Q190" s="742"/>
      <c r="R190" s="750"/>
      <c r="S190" s="747"/>
    </row>
    <row r="191" spans="1:19" ht="45" customHeight="1" x14ac:dyDescent="0.25">
      <c r="A191" s="742" t="s">
        <v>705</v>
      </c>
      <c r="B191" s="743" t="s">
        <v>1638</v>
      </c>
      <c r="C191" s="742" t="s">
        <v>750</v>
      </c>
      <c r="D191" s="742" t="s">
        <v>1060</v>
      </c>
      <c r="E191" s="742" t="s">
        <v>1639</v>
      </c>
      <c r="F191" s="744">
        <f>6000</f>
        <v>6000</v>
      </c>
      <c r="G191" s="742" t="s">
        <v>621</v>
      </c>
      <c r="H191" s="745">
        <v>30.04</v>
      </c>
      <c r="I191" s="745">
        <v>30.04</v>
      </c>
      <c r="J191" s="746" t="s">
        <v>1409</v>
      </c>
      <c r="K191" s="747">
        <f>35.09</f>
        <v>35.090000000000003</v>
      </c>
      <c r="L191" s="748">
        <f>210540</f>
        <v>210540</v>
      </c>
      <c r="M191" s="742" t="s">
        <v>250</v>
      </c>
      <c r="N191" s="749">
        <v>8</v>
      </c>
      <c r="O191" s="742" t="s">
        <v>1281</v>
      </c>
      <c r="P191" s="749">
        <v>7</v>
      </c>
      <c r="Q191" s="742" t="s">
        <v>1266</v>
      </c>
      <c r="R191" s="750">
        <v>6000</v>
      </c>
      <c r="S191" s="747">
        <f>210540</f>
        <v>210540</v>
      </c>
    </row>
    <row r="192" spans="1:19" ht="45" customHeight="1" x14ac:dyDescent="0.25">
      <c r="A192" s="742" t="s">
        <v>705</v>
      </c>
      <c r="B192" s="743" t="s">
        <v>1640</v>
      </c>
      <c r="C192" s="742" t="s">
        <v>750</v>
      </c>
      <c r="D192" s="742" t="s">
        <v>1061</v>
      </c>
      <c r="E192" s="742" t="s">
        <v>1641</v>
      </c>
      <c r="F192" s="744">
        <f>6000</f>
        <v>6000</v>
      </c>
      <c r="G192" s="742" t="s">
        <v>621</v>
      </c>
      <c r="H192" s="745">
        <v>3.38</v>
      </c>
      <c r="I192" s="745">
        <v>3.38</v>
      </c>
      <c r="J192" s="746">
        <v>0.24</v>
      </c>
      <c r="K192" s="747">
        <f>4.19</f>
        <v>4.1900000000000004</v>
      </c>
      <c r="L192" s="748">
        <f>25140</f>
        <v>25140</v>
      </c>
      <c r="M192" s="742" t="s">
        <v>250</v>
      </c>
      <c r="N192" s="749">
        <v>8</v>
      </c>
      <c r="O192" s="742" t="s">
        <v>1281</v>
      </c>
      <c r="P192" s="749">
        <v>7</v>
      </c>
      <c r="Q192" s="742" t="s">
        <v>1266</v>
      </c>
      <c r="R192" s="750">
        <v>6000</v>
      </c>
      <c r="S192" s="747">
        <f>25140</f>
        <v>25140</v>
      </c>
    </row>
    <row r="193" spans="1:19" ht="45" customHeight="1" x14ac:dyDescent="0.25">
      <c r="A193" s="742" t="s">
        <v>705</v>
      </c>
      <c r="B193" s="743" t="s">
        <v>1642</v>
      </c>
      <c r="C193" s="742" t="s">
        <v>750</v>
      </c>
      <c r="D193" s="742" t="s">
        <v>1071</v>
      </c>
      <c r="E193" s="742" t="s">
        <v>1643</v>
      </c>
      <c r="F193" s="744">
        <f>4</f>
        <v>4</v>
      </c>
      <c r="G193" s="742" t="s">
        <v>639</v>
      </c>
      <c r="H193" s="745">
        <v>22.19</v>
      </c>
      <c r="I193" s="745">
        <v>22.19</v>
      </c>
      <c r="J193" s="746">
        <v>0.24</v>
      </c>
      <c r="K193" s="747">
        <f>27.52</f>
        <v>27.52</v>
      </c>
      <c r="L193" s="748">
        <f>110.08</f>
        <v>110.08</v>
      </c>
      <c r="M193" s="742" t="s">
        <v>250</v>
      </c>
      <c r="N193" s="749">
        <v>8</v>
      </c>
      <c r="O193" s="742" t="s">
        <v>1281</v>
      </c>
      <c r="P193" s="749">
        <v>7</v>
      </c>
      <c r="Q193" s="742" t="s">
        <v>1266</v>
      </c>
      <c r="R193" s="750">
        <v>4</v>
      </c>
      <c r="S193" s="747">
        <f>110.08</f>
        <v>110.08</v>
      </c>
    </row>
    <row r="194" spans="1:19" ht="45" customHeight="1" x14ac:dyDescent="0.25">
      <c r="A194" s="742" t="s">
        <v>705</v>
      </c>
      <c r="B194" s="743" t="s">
        <v>1644</v>
      </c>
      <c r="C194" s="742" t="s">
        <v>750</v>
      </c>
      <c r="D194" s="742" t="s">
        <v>1072</v>
      </c>
      <c r="E194" s="742" t="s">
        <v>1645</v>
      </c>
      <c r="F194" s="744">
        <f>4</f>
        <v>4</v>
      </c>
      <c r="G194" s="742" t="s">
        <v>639</v>
      </c>
      <c r="H194" s="745">
        <v>36.56</v>
      </c>
      <c r="I194" s="745">
        <v>36.56</v>
      </c>
      <c r="J194" s="746">
        <v>0.24</v>
      </c>
      <c r="K194" s="747">
        <f>45.33</f>
        <v>45.33</v>
      </c>
      <c r="L194" s="748">
        <f>181.32</f>
        <v>181.32</v>
      </c>
      <c r="M194" s="742" t="s">
        <v>250</v>
      </c>
      <c r="N194" s="749">
        <v>8</v>
      </c>
      <c r="O194" s="742" t="s">
        <v>1281</v>
      </c>
      <c r="P194" s="749">
        <v>7</v>
      </c>
      <c r="Q194" s="742" t="s">
        <v>1266</v>
      </c>
      <c r="R194" s="750">
        <v>4</v>
      </c>
      <c r="S194" s="747">
        <f>181.32</f>
        <v>181.32</v>
      </c>
    </row>
    <row r="195" spans="1:19" ht="45" customHeight="1" x14ac:dyDescent="0.25">
      <c r="A195" s="742" t="s">
        <v>705</v>
      </c>
      <c r="B195" s="743" t="s">
        <v>1646</v>
      </c>
      <c r="C195" s="742" t="s">
        <v>957</v>
      </c>
      <c r="D195" s="742" t="s">
        <v>1119</v>
      </c>
      <c r="E195" s="742" t="s">
        <v>1647</v>
      </c>
      <c r="F195" s="744">
        <f>5</f>
        <v>5</v>
      </c>
      <c r="G195" s="742" t="s">
        <v>639</v>
      </c>
      <c r="H195" s="745">
        <v>71.400000000000006</v>
      </c>
      <c r="I195" s="745">
        <v>71.400000000000006</v>
      </c>
      <c r="J195" s="746">
        <v>0.24</v>
      </c>
      <c r="K195" s="747">
        <f>88.54</f>
        <v>88.54</v>
      </c>
      <c r="L195" s="748">
        <f>442.7</f>
        <v>442.7</v>
      </c>
      <c r="M195" s="742" t="s">
        <v>250</v>
      </c>
      <c r="N195" s="749">
        <v>8</v>
      </c>
      <c r="O195" s="742" t="s">
        <v>1281</v>
      </c>
      <c r="P195" s="749">
        <v>7</v>
      </c>
      <c r="Q195" s="742" t="s">
        <v>1266</v>
      </c>
      <c r="R195" s="750">
        <v>5</v>
      </c>
      <c r="S195" s="747">
        <f>442.7</f>
        <v>442.7</v>
      </c>
    </row>
    <row r="196" spans="1:19" ht="45" customHeight="1" x14ac:dyDescent="0.25">
      <c r="A196" s="742" t="s">
        <v>705</v>
      </c>
      <c r="B196" s="743" t="s">
        <v>1648</v>
      </c>
      <c r="C196" s="742" t="s">
        <v>750</v>
      </c>
      <c r="D196" s="742" t="s">
        <v>1258</v>
      </c>
      <c r="E196" s="742" t="s">
        <v>1476</v>
      </c>
      <c r="F196" s="744">
        <f>110</f>
        <v>110</v>
      </c>
      <c r="G196" s="742" t="s">
        <v>639</v>
      </c>
      <c r="H196" s="745">
        <v>30.93</v>
      </c>
      <c r="I196" s="745">
        <v>30.93</v>
      </c>
      <c r="J196" s="746" t="s">
        <v>1409</v>
      </c>
      <c r="K196" s="747">
        <f>36.13</f>
        <v>36.130000000000003</v>
      </c>
      <c r="L196" s="748">
        <f>3974.3</f>
        <v>3974.3</v>
      </c>
      <c r="M196" s="742" t="s">
        <v>250</v>
      </c>
      <c r="N196" s="749">
        <v>8</v>
      </c>
      <c r="O196" s="742" t="s">
        <v>1281</v>
      </c>
      <c r="P196" s="749">
        <v>7</v>
      </c>
      <c r="Q196" s="742" t="s">
        <v>1266</v>
      </c>
      <c r="R196" s="750">
        <v>110</v>
      </c>
      <c r="S196" s="747">
        <f>3974.3</f>
        <v>3974.3</v>
      </c>
    </row>
    <row r="197" spans="1:19" ht="45" customHeight="1" x14ac:dyDescent="0.25">
      <c r="A197" s="742" t="s">
        <v>705</v>
      </c>
      <c r="B197" s="743" t="s">
        <v>1649</v>
      </c>
      <c r="C197" s="742" t="s">
        <v>750</v>
      </c>
      <c r="D197" s="742" t="s">
        <v>1253</v>
      </c>
      <c r="E197" s="742" t="s">
        <v>1650</v>
      </c>
      <c r="F197" s="744">
        <f>8</f>
        <v>8</v>
      </c>
      <c r="G197" s="742" t="s">
        <v>639</v>
      </c>
      <c r="H197" s="745">
        <v>269.11</v>
      </c>
      <c r="I197" s="745">
        <v>269.11</v>
      </c>
      <c r="J197" s="746">
        <v>0.24</v>
      </c>
      <c r="K197" s="747">
        <f>333.7</f>
        <v>333.7</v>
      </c>
      <c r="L197" s="748">
        <f>2669.6</f>
        <v>2669.6</v>
      </c>
      <c r="M197" s="742" t="s">
        <v>250</v>
      </c>
      <c r="N197" s="749">
        <v>8</v>
      </c>
      <c r="O197" s="742" t="s">
        <v>1281</v>
      </c>
      <c r="P197" s="749">
        <v>7</v>
      </c>
      <c r="Q197" s="742" t="s">
        <v>1266</v>
      </c>
      <c r="R197" s="750">
        <v>8</v>
      </c>
      <c r="S197" s="747">
        <f>2669.6</f>
        <v>2669.6</v>
      </c>
    </row>
    <row r="198" spans="1:19" ht="45" customHeight="1" x14ac:dyDescent="0.25">
      <c r="A198" s="742" t="s">
        <v>705</v>
      </c>
      <c r="B198" s="743" t="s">
        <v>1651</v>
      </c>
      <c r="C198" s="742" t="s">
        <v>957</v>
      </c>
      <c r="D198" s="742" t="s">
        <v>1120</v>
      </c>
      <c r="E198" s="742" t="s">
        <v>1652</v>
      </c>
      <c r="F198" s="744">
        <f>18</f>
        <v>18</v>
      </c>
      <c r="G198" s="742" t="s">
        <v>639</v>
      </c>
      <c r="H198" s="745">
        <v>25.29</v>
      </c>
      <c r="I198" s="745">
        <v>25.29</v>
      </c>
      <c r="J198" s="746">
        <v>0.24</v>
      </c>
      <c r="K198" s="747">
        <f>31.36</f>
        <v>31.36</v>
      </c>
      <c r="L198" s="748">
        <f>564.48</f>
        <v>564.48</v>
      </c>
      <c r="M198" s="742" t="s">
        <v>250</v>
      </c>
      <c r="N198" s="749">
        <v>8</v>
      </c>
      <c r="O198" s="742" t="s">
        <v>1281</v>
      </c>
      <c r="P198" s="749">
        <v>7</v>
      </c>
      <c r="Q198" s="742" t="s">
        <v>1266</v>
      </c>
      <c r="R198" s="750">
        <v>18</v>
      </c>
      <c r="S198" s="747">
        <f>564.48</f>
        <v>564.48</v>
      </c>
    </row>
    <row r="199" spans="1:19" ht="45" customHeight="1" x14ac:dyDescent="0.25">
      <c r="A199" s="742" t="s">
        <v>705</v>
      </c>
      <c r="B199" s="743" t="s">
        <v>1653</v>
      </c>
      <c r="C199" s="742" t="s">
        <v>750</v>
      </c>
      <c r="D199" s="742" t="s">
        <v>1314</v>
      </c>
      <c r="E199" s="742" t="s">
        <v>1654</v>
      </c>
      <c r="F199" s="744">
        <f>9000</f>
        <v>9000</v>
      </c>
      <c r="G199" s="742" t="s">
        <v>625</v>
      </c>
      <c r="H199" s="745">
        <v>7.87</v>
      </c>
      <c r="I199" s="745">
        <v>7.87</v>
      </c>
      <c r="J199" s="746">
        <v>0.24</v>
      </c>
      <c r="K199" s="747">
        <f>9.76</f>
        <v>9.76</v>
      </c>
      <c r="L199" s="748">
        <f>87840</f>
        <v>87840</v>
      </c>
      <c r="M199" s="742" t="s">
        <v>250</v>
      </c>
      <c r="N199" s="749">
        <v>7</v>
      </c>
      <c r="O199" s="742" t="s">
        <v>1280</v>
      </c>
      <c r="P199" s="749">
        <v>7</v>
      </c>
      <c r="Q199" s="742" t="s">
        <v>1266</v>
      </c>
      <c r="R199" s="750">
        <v>9000</v>
      </c>
      <c r="S199" s="747">
        <f>87840</f>
        <v>87840</v>
      </c>
    </row>
    <row r="200" spans="1:19" ht="45" customHeight="1" x14ac:dyDescent="0.25">
      <c r="A200" s="742" t="s">
        <v>705</v>
      </c>
      <c r="B200" s="743" t="s">
        <v>1655</v>
      </c>
      <c r="C200" s="742" t="s">
        <v>750</v>
      </c>
      <c r="D200" s="742" t="s">
        <v>1023</v>
      </c>
      <c r="E200" s="742" t="s">
        <v>1481</v>
      </c>
      <c r="F200" s="744">
        <f>6000</f>
        <v>6000</v>
      </c>
      <c r="G200" s="742" t="s">
        <v>623</v>
      </c>
      <c r="H200" s="745">
        <v>8.8000000000000007</v>
      </c>
      <c r="I200" s="745">
        <v>8.8000000000000007</v>
      </c>
      <c r="J200" s="746">
        <v>0.24</v>
      </c>
      <c r="K200" s="747">
        <f>10.91</f>
        <v>10.91</v>
      </c>
      <c r="L200" s="748">
        <f>65460</f>
        <v>65460</v>
      </c>
      <c r="M200" s="742" t="s">
        <v>250</v>
      </c>
      <c r="N200" s="749">
        <v>7</v>
      </c>
      <c r="O200" s="742" t="s">
        <v>1280</v>
      </c>
      <c r="P200" s="749">
        <v>7</v>
      </c>
      <c r="Q200" s="742" t="s">
        <v>1266</v>
      </c>
      <c r="R200" s="750">
        <v>6000</v>
      </c>
      <c r="S200" s="747">
        <f>65460</f>
        <v>65460</v>
      </c>
    </row>
    <row r="201" spans="1:19" ht="45" customHeight="1" x14ac:dyDescent="0.25">
      <c r="A201" s="742" t="s">
        <v>705</v>
      </c>
      <c r="B201" s="743" t="s">
        <v>1656</v>
      </c>
      <c r="C201" s="742" t="s">
        <v>750</v>
      </c>
      <c r="D201" s="742" t="s">
        <v>1024</v>
      </c>
      <c r="E201" s="742" t="s">
        <v>1483</v>
      </c>
      <c r="F201" s="744">
        <f>9000</f>
        <v>9000</v>
      </c>
      <c r="G201" s="742" t="s">
        <v>625</v>
      </c>
      <c r="H201" s="745">
        <v>27.85</v>
      </c>
      <c r="I201" s="745">
        <v>27.85</v>
      </c>
      <c r="J201" s="746">
        <v>0.24</v>
      </c>
      <c r="K201" s="747">
        <f>34.53</f>
        <v>34.53</v>
      </c>
      <c r="L201" s="748">
        <f>310770</f>
        <v>310770</v>
      </c>
      <c r="M201" s="742" t="s">
        <v>250</v>
      </c>
      <c r="N201" s="749">
        <v>9</v>
      </c>
      <c r="O201" s="742" t="s">
        <v>1278</v>
      </c>
      <c r="P201" s="749">
        <v>7</v>
      </c>
      <c r="Q201" s="742" t="s">
        <v>1266</v>
      </c>
      <c r="R201" s="750">
        <v>9000</v>
      </c>
      <c r="S201" s="747">
        <f>310770</f>
        <v>310770</v>
      </c>
    </row>
    <row r="202" spans="1:19" ht="45" customHeight="1" x14ac:dyDescent="0.25">
      <c r="A202" s="742" t="s">
        <v>705</v>
      </c>
      <c r="B202" s="743" t="s">
        <v>1657</v>
      </c>
      <c r="C202" s="742" t="s">
        <v>750</v>
      </c>
      <c r="D202" s="742" t="s">
        <v>1247</v>
      </c>
      <c r="E202" s="742" t="s">
        <v>1408</v>
      </c>
      <c r="F202" s="744">
        <f>660</f>
        <v>660</v>
      </c>
      <c r="G202" s="742" t="s">
        <v>617</v>
      </c>
      <c r="H202" s="745">
        <v>9</v>
      </c>
      <c r="I202" s="745">
        <v>9</v>
      </c>
      <c r="J202" s="746" t="s">
        <v>1409</v>
      </c>
      <c r="K202" s="747">
        <f>10.51</f>
        <v>10.51</v>
      </c>
      <c r="L202" s="748">
        <f>6936.6</f>
        <v>6936.6</v>
      </c>
      <c r="M202" s="742" t="s">
        <v>250</v>
      </c>
      <c r="N202" s="749">
        <v>11</v>
      </c>
      <c r="O202" s="742" t="s">
        <v>1283</v>
      </c>
      <c r="P202" s="749">
        <v>7</v>
      </c>
      <c r="Q202" s="742" t="s">
        <v>1266</v>
      </c>
      <c r="R202" s="750">
        <v>660</v>
      </c>
      <c r="S202" s="747">
        <f>6936.6</f>
        <v>6936.6</v>
      </c>
    </row>
    <row r="203" spans="1:19" ht="45" customHeight="1" x14ac:dyDescent="0.25">
      <c r="A203" s="742" t="s">
        <v>705</v>
      </c>
      <c r="B203" s="743" t="s">
        <v>1658</v>
      </c>
      <c r="C203" s="742" t="s">
        <v>750</v>
      </c>
      <c r="D203" s="742" t="s">
        <v>1224</v>
      </c>
      <c r="E203" s="742" t="s">
        <v>1411</v>
      </c>
      <c r="F203" s="744">
        <f>660</f>
        <v>660</v>
      </c>
      <c r="G203" s="742" t="s">
        <v>617</v>
      </c>
      <c r="H203" s="745">
        <v>10.6</v>
      </c>
      <c r="I203" s="745">
        <v>10.6</v>
      </c>
      <c r="J203" s="746">
        <v>0.24</v>
      </c>
      <c r="K203" s="747">
        <f>13.14</f>
        <v>13.14</v>
      </c>
      <c r="L203" s="748">
        <f>8672.4</f>
        <v>8672.4</v>
      </c>
      <c r="M203" s="742" t="s">
        <v>250</v>
      </c>
      <c r="N203" s="749">
        <v>11</v>
      </c>
      <c r="O203" s="742" t="s">
        <v>1283</v>
      </c>
      <c r="P203" s="749">
        <v>7</v>
      </c>
      <c r="Q203" s="742" t="s">
        <v>1266</v>
      </c>
      <c r="R203" s="750">
        <v>660</v>
      </c>
      <c r="S203" s="747">
        <f>8672.4</f>
        <v>8672.4</v>
      </c>
    </row>
    <row r="204" spans="1:19" ht="45" customHeight="1" x14ac:dyDescent="0.25">
      <c r="A204" s="742" t="s">
        <v>705</v>
      </c>
      <c r="B204" s="743" t="s">
        <v>1659</v>
      </c>
      <c r="C204" s="742" t="s">
        <v>750</v>
      </c>
      <c r="D204" s="742" t="s">
        <v>1038</v>
      </c>
      <c r="E204" s="742" t="s">
        <v>1494</v>
      </c>
      <c r="F204" s="744">
        <f>11</f>
        <v>11</v>
      </c>
      <c r="G204" s="742" t="s">
        <v>625</v>
      </c>
      <c r="H204" s="745">
        <v>553.34</v>
      </c>
      <c r="I204" s="745">
        <v>553.34</v>
      </c>
      <c r="J204" s="746">
        <v>0.24</v>
      </c>
      <c r="K204" s="747">
        <f>686.14</f>
        <v>686.14</v>
      </c>
      <c r="L204" s="748">
        <f>7547.54</f>
        <v>7547.54</v>
      </c>
      <c r="M204" s="742" t="s">
        <v>250</v>
      </c>
      <c r="N204" s="749">
        <v>12</v>
      </c>
      <c r="O204" s="742" t="s">
        <v>1284</v>
      </c>
      <c r="P204" s="749">
        <v>7</v>
      </c>
      <c r="Q204" s="742" t="s">
        <v>1266</v>
      </c>
      <c r="R204" s="750">
        <v>11</v>
      </c>
      <c r="S204" s="747">
        <f>7547.54</f>
        <v>7547.54</v>
      </c>
    </row>
    <row r="205" spans="1:19" ht="45" customHeight="1" x14ac:dyDescent="0.25">
      <c r="A205" s="742" t="s">
        <v>705</v>
      </c>
      <c r="B205" s="743" t="s">
        <v>1660</v>
      </c>
      <c r="C205" s="742" t="s">
        <v>750</v>
      </c>
      <c r="D205" s="742" t="s">
        <v>1221</v>
      </c>
      <c r="E205" s="742" t="s">
        <v>1451</v>
      </c>
      <c r="F205" s="744">
        <f>11</f>
        <v>11</v>
      </c>
      <c r="G205" s="742" t="s">
        <v>625</v>
      </c>
      <c r="H205" s="745">
        <v>48.55</v>
      </c>
      <c r="I205" s="745">
        <v>48.55</v>
      </c>
      <c r="J205" s="746">
        <v>0.24</v>
      </c>
      <c r="K205" s="747">
        <f>60.2</f>
        <v>60.2</v>
      </c>
      <c r="L205" s="748">
        <f>662.2</f>
        <v>662.2</v>
      </c>
      <c r="M205" s="742" t="s">
        <v>250</v>
      </c>
      <c r="N205" s="749">
        <v>12</v>
      </c>
      <c r="O205" s="742" t="s">
        <v>1284</v>
      </c>
      <c r="P205" s="749">
        <v>7</v>
      </c>
      <c r="Q205" s="742" t="s">
        <v>1266</v>
      </c>
      <c r="R205" s="750">
        <v>11</v>
      </c>
      <c r="S205" s="747">
        <f>662.2</f>
        <v>662.2</v>
      </c>
    </row>
    <row r="206" spans="1:19" ht="45" customHeight="1" x14ac:dyDescent="0.25">
      <c r="A206" s="742" t="s">
        <v>929</v>
      </c>
      <c r="B206" s="743" t="s">
        <v>1110</v>
      </c>
      <c r="C206" s="742"/>
      <c r="D206" s="742"/>
      <c r="E206" s="742" t="s">
        <v>1062</v>
      </c>
      <c r="F206" s="744"/>
      <c r="G206" s="742"/>
      <c r="H206" s="745"/>
      <c r="I206" s="745"/>
      <c r="J206" s="746"/>
      <c r="K206" s="747"/>
      <c r="L206" s="748">
        <f>135179.56</f>
        <v>135179.56</v>
      </c>
      <c r="M206" s="742"/>
      <c r="N206" s="749"/>
      <c r="O206" s="742"/>
      <c r="P206" s="749"/>
      <c r="Q206" s="742"/>
      <c r="R206" s="750"/>
      <c r="S206" s="747"/>
    </row>
    <row r="207" spans="1:19" ht="45" customHeight="1" x14ac:dyDescent="0.25">
      <c r="A207" s="742" t="s">
        <v>705</v>
      </c>
      <c r="B207" s="743" t="s">
        <v>1661</v>
      </c>
      <c r="C207" s="742" t="s">
        <v>957</v>
      </c>
      <c r="D207" s="742" t="s">
        <v>1121</v>
      </c>
      <c r="E207" s="742" t="s">
        <v>1662</v>
      </c>
      <c r="F207" s="744">
        <f>20</f>
        <v>20</v>
      </c>
      <c r="G207" s="742" t="s">
        <v>639</v>
      </c>
      <c r="H207" s="745">
        <v>1730.34</v>
      </c>
      <c r="I207" s="745">
        <v>1730.34</v>
      </c>
      <c r="J207" s="746">
        <v>0.24</v>
      </c>
      <c r="K207" s="747">
        <f>2145.62</f>
        <v>2145.62</v>
      </c>
      <c r="L207" s="748">
        <f>42912.4</f>
        <v>42912.4</v>
      </c>
      <c r="M207" s="742" t="s">
        <v>250</v>
      </c>
      <c r="N207" s="749">
        <v>2</v>
      </c>
      <c r="O207" s="742" t="s">
        <v>1365</v>
      </c>
      <c r="P207" s="749">
        <v>1</v>
      </c>
      <c r="Q207" s="742" t="s">
        <v>1267</v>
      </c>
      <c r="R207" s="750">
        <v>20</v>
      </c>
      <c r="S207" s="747">
        <f>42912.4</f>
        <v>42912.4</v>
      </c>
    </row>
    <row r="208" spans="1:19" ht="45" customHeight="1" x14ac:dyDescent="0.25">
      <c r="A208" s="742" t="s">
        <v>705</v>
      </c>
      <c r="B208" s="743" t="s">
        <v>1663</v>
      </c>
      <c r="C208" s="742" t="s">
        <v>957</v>
      </c>
      <c r="D208" s="742" t="s">
        <v>1122</v>
      </c>
      <c r="E208" s="742" t="s">
        <v>1664</v>
      </c>
      <c r="F208" s="744">
        <f>16</f>
        <v>16</v>
      </c>
      <c r="G208" s="742" t="s">
        <v>639</v>
      </c>
      <c r="H208" s="745">
        <v>1300.72</v>
      </c>
      <c r="I208" s="745">
        <v>1300.72</v>
      </c>
      <c r="J208" s="746">
        <v>0.24</v>
      </c>
      <c r="K208" s="747">
        <f>1612.89</f>
        <v>1612.89</v>
      </c>
      <c r="L208" s="748">
        <f>25806.24</f>
        <v>25806.240000000002</v>
      </c>
      <c r="M208" s="742" t="s">
        <v>250</v>
      </c>
      <c r="N208" s="749">
        <v>2</v>
      </c>
      <c r="O208" s="742" t="s">
        <v>1365</v>
      </c>
      <c r="P208" s="749">
        <v>1</v>
      </c>
      <c r="Q208" s="742" t="s">
        <v>1267</v>
      </c>
      <c r="R208" s="750">
        <v>16</v>
      </c>
      <c r="S208" s="747">
        <f>25806.24</f>
        <v>25806.240000000002</v>
      </c>
    </row>
    <row r="209" spans="1:19" ht="45" customHeight="1" x14ac:dyDescent="0.25">
      <c r="A209" s="742" t="s">
        <v>705</v>
      </c>
      <c r="B209" s="743" t="s">
        <v>1665</v>
      </c>
      <c r="C209" s="742" t="s">
        <v>957</v>
      </c>
      <c r="D209" s="742" t="s">
        <v>1123</v>
      </c>
      <c r="E209" s="742" t="s">
        <v>1666</v>
      </c>
      <c r="F209" s="744">
        <f>12</f>
        <v>12</v>
      </c>
      <c r="G209" s="742" t="s">
        <v>639</v>
      </c>
      <c r="H209" s="745">
        <v>1808.2</v>
      </c>
      <c r="I209" s="745">
        <v>1808.2</v>
      </c>
      <c r="J209" s="746">
        <v>0.24</v>
      </c>
      <c r="K209" s="747">
        <f>2242.17</f>
        <v>2242.17</v>
      </c>
      <c r="L209" s="748">
        <f>26906.04</f>
        <v>26906.04</v>
      </c>
      <c r="M209" s="742" t="s">
        <v>250</v>
      </c>
      <c r="N209" s="749">
        <v>1</v>
      </c>
      <c r="O209" s="742" t="s">
        <v>1332</v>
      </c>
      <c r="P209" s="749">
        <v>1</v>
      </c>
      <c r="Q209" s="742" t="s">
        <v>1267</v>
      </c>
      <c r="R209" s="750">
        <v>12</v>
      </c>
      <c r="S209" s="747">
        <f>26906.04</f>
        <v>26906.04</v>
      </c>
    </row>
    <row r="210" spans="1:19" ht="45" customHeight="1" x14ac:dyDescent="0.25">
      <c r="A210" s="742" t="s">
        <v>705</v>
      </c>
      <c r="B210" s="743" t="s">
        <v>1667</v>
      </c>
      <c r="C210" s="742" t="s">
        <v>957</v>
      </c>
      <c r="D210" s="742" t="s">
        <v>1124</v>
      </c>
      <c r="E210" s="742" t="s">
        <v>1668</v>
      </c>
      <c r="F210" s="744">
        <f>12</f>
        <v>12</v>
      </c>
      <c r="G210" s="742" t="s">
        <v>639</v>
      </c>
      <c r="H210" s="745">
        <v>2658.26</v>
      </c>
      <c r="I210" s="745">
        <v>2658.26</v>
      </c>
      <c r="J210" s="746">
        <v>0.24</v>
      </c>
      <c r="K210" s="747">
        <f>3296.24</f>
        <v>3296.24</v>
      </c>
      <c r="L210" s="748">
        <f>39554.88</f>
        <v>39554.879999999997</v>
      </c>
      <c r="M210" s="742" t="s">
        <v>250</v>
      </c>
      <c r="N210" s="749">
        <v>1</v>
      </c>
      <c r="O210" s="742" t="s">
        <v>1332</v>
      </c>
      <c r="P210" s="749">
        <v>1</v>
      </c>
      <c r="Q210" s="742" t="s">
        <v>1267</v>
      </c>
      <c r="R210" s="750">
        <v>12</v>
      </c>
      <c r="S210" s="747">
        <f>39554.88</f>
        <v>39554.879999999997</v>
      </c>
    </row>
    <row r="211" spans="1:19" x14ac:dyDescent="0.25">
      <c r="R211" s="741" t="s">
        <v>763</v>
      </c>
      <c r="S211" s="751">
        <f>4985084.83</f>
        <v>4985084.83</v>
      </c>
    </row>
    <row r="212" spans="1:19" x14ac:dyDescent="0.25">
      <c r="R212" s="741" t="s">
        <v>1669</v>
      </c>
      <c r="S212" s="751">
        <f>13243.59</f>
        <v>13243.59</v>
      </c>
    </row>
  </sheetData>
  <sheetProtection algorithmName="SHA-512" hashValue="oMrSAkmADJdnFGYhMrdvsLRyKQMZUAz4ocjVmlB1XJOfk0N0yJU7XGUxRJTq6jKkbkJHECvkFaCkmmKrnpeLMA==" saltValue="Wu6AnYIfaiNMtkkthTPZNw==" spinCount="100000" sheet="1" objects="1" scenarios="1"/>
  <conditionalFormatting sqref="A2:S2">
    <cfRule type="expression" dxfId="38" priority="80">
      <formula>$A2="Macrosserviço"</formula>
    </cfRule>
  </conditionalFormatting>
  <conditionalFormatting sqref="E2:E210">
    <cfRule type="expression" dxfId="37" priority="86">
      <formula>IF($A2="Macrosserviço",LEN($E2)&gt;100,LEN($E2)&gt;500)</formula>
    </cfRule>
  </conditionalFormatting>
  <conditionalFormatting sqref="M2:M210">
    <cfRule type="expression" dxfId="36" priority="81">
      <formula>IF($A2="Serviço",LEN(M2)&gt;500,M2&lt;&gt;"")</formula>
    </cfRule>
  </conditionalFormatting>
  <conditionalFormatting sqref="A2:A210">
    <cfRule type="expression" dxfId="35" priority="73">
      <formula>AND(A2&lt;&gt;"Macrosserviço",A2&lt;&gt;"Serviço",A2&lt;&gt;"")</formula>
    </cfRule>
  </conditionalFormatting>
  <conditionalFormatting sqref="C2:C210">
    <cfRule type="expression" dxfId="34" priority="72">
      <formula>IF($A2="Serviço",AND(C2&lt;&gt;"Composição",C2&lt;&gt;"Cotação",C2&lt;&gt;"SINAPI",C2&lt;&gt;"Outros"),C2&lt;&gt;"")</formula>
    </cfRule>
  </conditionalFormatting>
  <conditionalFormatting sqref="D2:D210">
    <cfRule type="expression" dxfId="33" priority="71">
      <formula>IF($A2="Serviço",OR(D2="",LEN($D2)&gt;13),D2&lt;&gt;"")</formula>
    </cfRule>
  </conditionalFormatting>
  <conditionalFormatting sqref="H2:H210">
    <cfRule type="expression" dxfId="32" priority="70">
      <formula>IF(A2="Serviço",OR(NOT(ISNUMBER(H2)),H2&lt;&gt;ROUND(H2,2),AND(C2&lt;&gt;"SINAPI",H2=0),H2&lt;0,H2&gt;9999999999.99),H2&lt;&gt;"")</formula>
    </cfRule>
  </conditionalFormatting>
  <conditionalFormatting sqref="I2:I210">
    <cfRule type="expression" dxfId="31" priority="69">
      <formula>IF($A2="Serviço",OR(NOT(ISNUMBER(I2)),I2&lt;&gt;ROUND(I2,2),I2&lt;=0,I2&gt;9999999999.99,AND(I2&gt;H2,H2&gt;0)),I2&lt;&gt;"")</formula>
    </cfRule>
  </conditionalFormatting>
  <conditionalFormatting sqref="J2:J210">
    <cfRule type="expression" dxfId="30" priority="68">
      <formula>IF($A2="Serviço",OR(NOT(ISNUMBER(VALUE(J2))),VALUE(J2)&lt;&gt;ROUND(VALUE(J2),4),VALUE(J2)&lt;=0,VALUE(J2)&gt;100%),J2&lt;&gt;"")</formula>
    </cfRule>
  </conditionalFormatting>
  <conditionalFormatting sqref="N2:N210">
    <cfRule type="expression" dxfId="29" priority="67">
      <formula>IF($A2="Serviço",OR(NOT(ISNUMBER(N2)),N2&lt;&gt;ROUND(N2,0),N2&lt;1,N2&gt;999),N2&lt;&gt;"")</formula>
    </cfRule>
  </conditionalFormatting>
  <conditionalFormatting sqref="O2:O210">
    <cfRule type="expression" dxfId="28" priority="66">
      <formula>IF($A2="Serviço",OR(O2="",LEN(O2)&gt;100),O2&lt;&gt;"")</formula>
    </cfRule>
  </conditionalFormatting>
  <conditionalFormatting sqref="P2:P210">
    <cfRule type="expression" dxfId="27" priority="65">
      <formula>IF($A2="Macrosserviço",P2&lt;&gt;"",OR(NOT(ISNUMBER(P2)),P2&lt;&gt;ROUND(P2,0),P2&lt;1,P2&gt;999))</formula>
    </cfRule>
  </conditionalFormatting>
  <conditionalFormatting sqref="Q2:Q210">
    <cfRule type="expression" dxfId="26" priority="64">
      <formula>IF($A2="Macrosserviço",Q2&lt;&gt;"",OR(Q2="",LEN(Q2)&gt;100))</formula>
    </cfRule>
  </conditionalFormatting>
  <conditionalFormatting sqref="R2:R210">
    <cfRule type="expression" dxfId="25" priority="55">
      <formula>IF($A2="Macrosserviço",R2&lt;&gt;"",OR(NOT(ISNUMBER(R2)),R2&lt;&gt;ROUND(R2,2),R2&lt;=0,R2&gt;99999999.99))</formula>
    </cfRule>
  </conditionalFormatting>
  <conditionalFormatting sqref="A3:S210">
    <cfRule type="expression" dxfId="24" priority="1">
      <formula>$A3="Macrosserviço"</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52" id="{25CCDBA9-1706-4691-BF49-13343E4655EF}">
            <xm:f>AND($A2="Serviço",OR($G2="",ISNA(MATCH($G2,DADOS!$AV$3:$AV$221,0))))</xm:f>
            <x14:dxf>
              <fill>
                <patternFill>
                  <bgColor rgb="FFFF0000"/>
                </patternFill>
              </fill>
            </x14:dxf>
          </x14:cfRule>
          <xm:sqref>G2:G210</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67"/>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752">
        <v>1</v>
      </c>
      <c r="B2" s="752" t="s">
        <v>1332</v>
      </c>
      <c r="C2" s="752">
        <v>1</v>
      </c>
      <c r="D2" s="752" t="s">
        <v>1267</v>
      </c>
      <c r="E2" s="752">
        <v>1</v>
      </c>
    </row>
    <row r="3" spans="1:5" ht="45" customHeight="1" x14ac:dyDescent="0.25">
      <c r="A3" s="752">
        <v>2</v>
      </c>
      <c r="B3" s="752" t="s">
        <v>1365</v>
      </c>
      <c r="C3" s="752">
        <v>1</v>
      </c>
      <c r="D3" s="752" t="s">
        <v>1267</v>
      </c>
      <c r="E3" s="752">
        <v>2</v>
      </c>
    </row>
    <row r="4" spans="1:5" ht="45" customHeight="1" x14ac:dyDescent="0.25">
      <c r="A4" s="752">
        <v>3</v>
      </c>
      <c r="B4" s="752" t="s">
        <v>1269</v>
      </c>
      <c r="C4" s="752">
        <v>2</v>
      </c>
      <c r="D4" s="752" t="s">
        <v>1327</v>
      </c>
      <c r="E4" s="752">
        <v>3</v>
      </c>
    </row>
    <row r="5" spans="1:5" ht="45" customHeight="1" x14ac:dyDescent="0.25">
      <c r="A5" s="752">
        <v>4</v>
      </c>
      <c r="B5" s="752" t="s">
        <v>1268</v>
      </c>
      <c r="C5" s="752">
        <v>2</v>
      </c>
      <c r="D5" s="752" t="s">
        <v>1327</v>
      </c>
      <c r="E5" s="752">
        <v>4</v>
      </c>
    </row>
    <row r="6" spans="1:5" ht="45" customHeight="1" x14ac:dyDescent="0.25">
      <c r="A6" s="752">
        <v>4</v>
      </c>
      <c r="B6" s="752" t="s">
        <v>1268</v>
      </c>
      <c r="C6" s="752">
        <v>3</v>
      </c>
      <c r="D6" s="752" t="s">
        <v>1263</v>
      </c>
      <c r="E6" s="752">
        <v>4</v>
      </c>
    </row>
    <row r="7" spans="1:5" ht="45" customHeight="1" x14ac:dyDescent="0.25">
      <c r="A7" s="752">
        <v>4</v>
      </c>
      <c r="B7" s="752" t="s">
        <v>1268</v>
      </c>
      <c r="C7" s="752">
        <v>5</v>
      </c>
      <c r="D7" s="752" t="s">
        <v>1264</v>
      </c>
      <c r="E7" s="752">
        <v>6</v>
      </c>
    </row>
    <row r="8" spans="1:5" ht="45" customHeight="1" x14ac:dyDescent="0.25">
      <c r="A8" s="752">
        <v>4</v>
      </c>
      <c r="B8" s="752" t="s">
        <v>1268</v>
      </c>
      <c r="C8" s="752">
        <v>6</v>
      </c>
      <c r="D8" s="752" t="s">
        <v>1265</v>
      </c>
      <c r="E8" s="752">
        <v>5</v>
      </c>
    </row>
    <row r="9" spans="1:5" ht="45" customHeight="1" x14ac:dyDescent="0.25">
      <c r="A9" s="752">
        <v>4</v>
      </c>
      <c r="B9" s="752" t="s">
        <v>1268</v>
      </c>
      <c r="C9" s="752">
        <v>7</v>
      </c>
      <c r="D9" s="752" t="s">
        <v>1266</v>
      </c>
      <c r="E9" s="752">
        <v>8</v>
      </c>
    </row>
    <row r="10" spans="1:5" ht="45" customHeight="1" x14ac:dyDescent="0.25">
      <c r="A10" s="752">
        <v>5</v>
      </c>
      <c r="B10" s="752" t="s">
        <v>784</v>
      </c>
      <c r="C10" s="752">
        <v>2</v>
      </c>
      <c r="D10" s="752" t="s">
        <v>1327</v>
      </c>
      <c r="E10" s="752">
        <v>3</v>
      </c>
    </row>
    <row r="11" spans="1:5" ht="45" customHeight="1" x14ac:dyDescent="0.25">
      <c r="A11" s="752">
        <v>5</v>
      </c>
      <c r="B11" s="752" t="s">
        <v>784</v>
      </c>
      <c r="C11" s="752">
        <v>4</v>
      </c>
      <c r="D11" s="752" t="s">
        <v>1271</v>
      </c>
      <c r="E11" s="752">
        <v>5</v>
      </c>
    </row>
    <row r="12" spans="1:5" ht="45" customHeight="1" x14ac:dyDescent="0.25">
      <c r="A12" s="752">
        <v>5</v>
      </c>
      <c r="B12" s="752" t="s">
        <v>784</v>
      </c>
      <c r="C12" s="752">
        <v>5</v>
      </c>
      <c r="D12" s="752" t="s">
        <v>1264</v>
      </c>
      <c r="E12" s="752">
        <v>6</v>
      </c>
    </row>
    <row r="13" spans="1:5" ht="45" customHeight="1" x14ac:dyDescent="0.25">
      <c r="A13" s="752">
        <v>5</v>
      </c>
      <c r="B13" s="752" t="s">
        <v>784</v>
      </c>
      <c r="C13" s="752">
        <v>6</v>
      </c>
      <c r="D13" s="752" t="s">
        <v>1265</v>
      </c>
      <c r="E13" s="752">
        <v>7</v>
      </c>
    </row>
    <row r="14" spans="1:5" ht="45" customHeight="1" x14ac:dyDescent="0.25">
      <c r="A14" s="752">
        <v>5</v>
      </c>
      <c r="B14" s="752" t="s">
        <v>784</v>
      </c>
      <c r="C14" s="752">
        <v>7</v>
      </c>
      <c r="D14" s="752" t="s">
        <v>1266</v>
      </c>
      <c r="E14" s="752">
        <v>8</v>
      </c>
    </row>
    <row r="15" spans="1:5" ht="45" customHeight="1" x14ac:dyDescent="0.25">
      <c r="A15" s="752">
        <v>5</v>
      </c>
      <c r="B15" s="752" t="s">
        <v>784</v>
      </c>
      <c r="C15" s="752">
        <v>8</v>
      </c>
      <c r="D15" s="752" t="s">
        <v>1328</v>
      </c>
      <c r="E15" s="752">
        <v>9</v>
      </c>
    </row>
    <row r="16" spans="1:5" ht="45" customHeight="1" x14ac:dyDescent="0.25">
      <c r="A16" s="752">
        <v>5</v>
      </c>
      <c r="B16" s="752" t="s">
        <v>784</v>
      </c>
      <c r="C16" s="752">
        <v>9</v>
      </c>
      <c r="D16" s="752" t="s">
        <v>1329</v>
      </c>
      <c r="E16" s="752">
        <v>10</v>
      </c>
    </row>
    <row r="17" spans="1:5" ht="45" customHeight="1" x14ac:dyDescent="0.25">
      <c r="A17" s="752">
        <v>5</v>
      </c>
      <c r="B17" s="752" t="s">
        <v>784</v>
      </c>
      <c r="C17" s="752">
        <v>10</v>
      </c>
      <c r="D17" s="752" t="s">
        <v>1330</v>
      </c>
      <c r="E17" s="752">
        <v>11</v>
      </c>
    </row>
    <row r="18" spans="1:5" ht="45" customHeight="1" x14ac:dyDescent="0.25">
      <c r="A18" s="752">
        <v>5</v>
      </c>
      <c r="B18" s="752" t="s">
        <v>784</v>
      </c>
      <c r="C18" s="752">
        <v>11</v>
      </c>
      <c r="D18" s="752" t="s">
        <v>1331</v>
      </c>
      <c r="E18" s="752">
        <v>12</v>
      </c>
    </row>
    <row r="19" spans="1:5" ht="45" customHeight="1" x14ac:dyDescent="0.25">
      <c r="A19" s="752">
        <v>6</v>
      </c>
      <c r="B19" s="752" t="s">
        <v>1277</v>
      </c>
      <c r="C19" s="752">
        <v>4</v>
      </c>
      <c r="D19" s="752" t="s">
        <v>1271</v>
      </c>
      <c r="E19" s="752">
        <v>9</v>
      </c>
    </row>
    <row r="20" spans="1:5" ht="45" customHeight="1" x14ac:dyDescent="0.25">
      <c r="A20" s="752">
        <v>7</v>
      </c>
      <c r="B20" s="752" t="s">
        <v>1280</v>
      </c>
      <c r="C20" s="752">
        <v>3</v>
      </c>
      <c r="D20" s="752" t="s">
        <v>1263</v>
      </c>
      <c r="E20" s="752">
        <v>4</v>
      </c>
    </row>
    <row r="21" spans="1:5" ht="45" customHeight="1" x14ac:dyDescent="0.25">
      <c r="A21" s="752">
        <v>7</v>
      </c>
      <c r="B21" s="752" t="s">
        <v>1280</v>
      </c>
      <c r="C21" s="752">
        <v>4</v>
      </c>
      <c r="D21" s="752" t="s">
        <v>1271</v>
      </c>
      <c r="E21" s="752">
        <v>9</v>
      </c>
    </row>
    <row r="22" spans="1:5" ht="45" customHeight="1" x14ac:dyDescent="0.25">
      <c r="A22" s="752">
        <v>7</v>
      </c>
      <c r="B22" s="752" t="s">
        <v>1280</v>
      </c>
      <c r="C22" s="752">
        <v>5</v>
      </c>
      <c r="D22" s="752" t="s">
        <v>1264</v>
      </c>
      <c r="E22" s="752">
        <v>6</v>
      </c>
    </row>
    <row r="23" spans="1:5" ht="45" customHeight="1" x14ac:dyDescent="0.25">
      <c r="A23" s="752">
        <v>7</v>
      </c>
      <c r="B23" s="752" t="s">
        <v>1280</v>
      </c>
      <c r="C23" s="752">
        <v>6</v>
      </c>
      <c r="D23" s="752" t="s">
        <v>1265</v>
      </c>
      <c r="E23" s="752">
        <v>6</v>
      </c>
    </row>
    <row r="24" spans="1:5" ht="45" customHeight="1" x14ac:dyDescent="0.25">
      <c r="A24" s="752">
        <v>7</v>
      </c>
      <c r="B24" s="752" t="s">
        <v>1280</v>
      </c>
      <c r="C24" s="752">
        <v>7</v>
      </c>
      <c r="D24" s="752" t="s">
        <v>1266</v>
      </c>
      <c r="E24" s="752">
        <v>9</v>
      </c>
    </row>
    <row r="25" spans="1:5" ht="45" customHeight="1" x14ac:dyDescent="0.25">
      <c r="A25" s="752">
        <v>8</v>
      </c>
      <c r="B25" s="752" t="s">
        <v>1281</v>
      </c>
      <c r="C25" s="752">
        <v>5</v>
      </c>
      <c r="D25" s="752" t="s">
        <v>1264</v>
      </c>
      <c r="E25" s="752">
        <v>7</v>
      </c>
    </row>
    <row r="26" spans="1:5" ht="45" customHeight="1" x14ac:dyDescent="0.25">
      <c r="A26" s="752">
        <v>8</v>
      </c>
      <c r="B26" s="752" t="s">
        <v>1281</v>
      </c>
      <c r="C26" s="752">
        <v>7</v>
      </c>
      <c r="D26" s="752" t="s">
        <v>1266</v>
      </c>
      <c r="E26" s="752">
        <v>11</v>
      </c>
    </row>
    <row r="27" spans="1:5" ht="45" customHeight="1" x14ac:dyDescent="0.25">
      <c r="A27" s="752">
        <v>9</v>
      </c>
      <c r="B27" s="752" t="s">
        <v>1278</v>
      </c>
      <c r="C27" s="752">
        <v>4</v>
      </c>
      <c r="D27" s="752" t="s">
        <v>1271</v>
      </c>
      <c r="E27" s="752">
        <v>11</v>
      </c>
    </row>
    <row r="28" spans="1:5" ht="45" customHeight="1" x14ac:dyDescent="0.25">
      <c r="A28" s="752">
        <v>9</v>
      </c>
      <c r="B28" s="752" t="s">
        <v>1278</v>
      </c>
      <c r="C28" s="752">
        <v>5</v>
      </c>
      <c r="D28" s="752" t="s">
        <v>1264</v>
      </c>
      <c r="E28" s="752">
        <v>7</v>
      </c>
    </row>
    <row r="29" spans="1:5" ht="45" customHeight="1" x14ac:dyDescent="0.25">
      <c r="A29" s="752">
        <v>9</v>
      </c>
      <c r="B29" s="752" t="s">
        <v>1278</v>
      </c>
      <c r="C29" s="752">
        <v>7</v>
      </c>
      <c r="D29" s="752" t="s">
        <v>1266</v>
      </c>
      <c r="E29" s="752">
        <v>12</v>
      </c>
    </row>
    <row r="30" spans="1:5" ht="45" customHeight="1" x14ac:dyDescent="0.25">
      <c r="A30" s="752">
        <v>10</v>
      </c>
      <c r="B30" s="752" t="s">
        <v>1282</v>
      </c>
      <c r="C30" s="752">
        <v>5</v>
      </c>
      <c r="D30" s="752" t="s">
        <v>1264</v>
      </c>
      <c r="E30" s="752">
        <v>9</v>
      </c>
    </row>
    <row r="31" spans="1:5" ht="45" customHeight="1" x14ac:dyDescent="0.25">
      <c r="A31" s="752">
        <v>11</v>
      </c>
      <c r="B31" s="752" t="s">
        <v>1283</v>
      </c>
      <c r="C31" s="752">
        <v>3</v>
      </c>
      <c r="D31" s="752" t="s">
        <v>1263</v>
      </c>
      <c r="E31" s="752">
        <v>6</v>
      </c>
    </row>
    <row r="32" spans="1:5" ht="45" customHeight="1" x14ac:dyDescent="0.25">
      <c r="A32" s="752">
        <v>11</v>
      </c>
      <c r="B32" s="752" t="s">
        <v>1283</v>
      </c>
      <c r="C32" s="752">
        <v>4</v>
      </c>
      <c r="D32" s="752" t="s">
        <v>1271</v>
      </c>
      <c r="E32" s="752">
        <v>10</v>
      </c>
    </row>
    <row r="33" spans="1:5" ht="45" customHeight="1" x14ac:dyDescent="0.25">
      <c r="A33" s="752">
        <v>11</v>
      </c>
      <c r="B33" s="752" t="s">
        <v>1283</v>
      </c>
      <c r="C33" s="752">
        <v>5</v>
      </c>
      <c r="D33" s="752" t="s">
        <v>1264</v>
      </c>
      <c r="E33" s="752">
        <v>9</v>
      </c>
    </row>
    <row r="34" spans="1:5" ht="45" customHeight="1" x14ac:dyDescent="0.25">
      <c r="A34" s="752">
        <v>11</v>
      </c>
      <c r="B34" s="752" t="s">
        <v>1283</v>
      </c>
      <c r="C34" s="752">
        <v>6</v>
      </c>
      <c r="D34" s="752" t="s">
        <v>1265</v>
      </c>
      <c r="E34" s="752">
        <v>7</v>
      </c>
    </row>
    <row r="35" spans="1:5" ht="45" customHeight="1" x14ac:dyDescent="0.25">
      <c r="A35" s="752">
        <v>11</v>
      </c>
      <c r="B35" s="752" t="s">
        <v>1283</v>
      </c>
      <c r="C35" s="752">
        <v>7</v>
      </c>
      <c r="D35" s="752" t="s">
        <v>1266</v>
      </c>
      <c r="E35" s="752">
        <v>10</v>
      </c>
    </row>
    <row r="36" spans="1:5" ht="45" customHeight="1" x14ac:dyDescent="0.25">
      <c r="A36" s="752">
        <v>12</v>
      </c>
      <c r="B36" s="752" t="s">
        <v>1284</v>
      </c>
      <c r="C36" s="752">
        <v>3</v>
      </c>
      <c r="D36" s="752" t="s">
        <v>1263</v>
      </c>
      <c r="E36" s="752">
        <v>6</v>
      </c>
    </row>
    <row r="37" spans="1:5" ht="45" customHeight="1" x14ac:dyDescent="0.25">
      <c r="A37" s="752">
        <v>12</v>
      </c>
      <c r="B37" s="752" t="s">
        <v>1284</v>
      </c>
      <c r="C37" s="752">
        <v>5</v>
      </c>
      <c r="D37" s="752" t="s">
        <v>1264</v>
      </c>
      <c r="E37" s="752">
        <v>9</v>
      </c>
    </row>
    <row r="38" spans="1:5" ht="45" customHeight="1" x14ac:dyDescent="0.25">
      <c r="A38" s="752">
        <v>12</v>
      </c>
      <c r="B38" s="752" t="s">
        <v>1284</v>
      </c>
      <c r="C38" s="752">
        <v>6</v>
      </c>
      <c r="D38" s="752" t="s">
        <v>1265</v>
      </c>
      <c r="E38" s="752">
        <v>7</v>
      </c>
    </row>
    <row r="39" spans="1:5" ht="45" customHeight="1" x14ac:dyDescent="0.25">
      <c r="A39" s="752">
        <v>12</v>
      </c>
      <c r="B39" s="752" t="s">
        <v>1284</v>
      </c>
      <c r="C39" s="752">
        <v>7</v>
      </c>
      <c r="D39" s="752" t="s">
        <v>1266</v>
      </c>
      <c r="E39" s="752">
        <v>10</v>
      </c>
    </row>
    <row r="40" spans="1:5" ht="45" customHeight="1" x14ac:dyDescent="0.25">
      <c r="A40" s="752">
        <v>13</v>
      </c>
      <c r="B40" s="752" t="s">
        <v>1296</v>
      </c>
      <c r="C40" s="752">
        <v>3</v>
      </c>
      <c r="D40" s="752" t="s">
        <v>1263</v>
      </c>
      <c r="E40" s="752">
        <v>5</v>
      </c>
    </row>
    <row r="41" spans="1:5" ht="45" customHeight="1" x14ac:dyDescent="0.25">
      <c r="A41" s="752">
        <v>13</v>
      </c>
      <c r="B41" s="752" t="s">
        <v>1296</v>
      </c>
      <c r="C41" s="752">
        <v>5</v>
      </c>
      <c r="D41" s="752" t="s">
        <v>1264</v>
      </c>
      <c r="E41" s="752">
        <v>8</v>
      </c>
    </row>
    <row r="42" spans="1:5" ht="45" customHeight="1" x14ac:dyDescent="0.25">
      <c r="A42" s="752">
        <v>13</v>
      </c>
      <c r="B42" s="752" t="s">
        <v>1296</v>
      </c>
      <c r="C42" s="752">
        <v>6</v>
      </c>
      <c r="D42" s="752" t="s">
        <v>1265</v>
      </c>
      <c r="E42" s="752">
        <v>7</v>
      </c>
    </row>
    <row r="43" spans="1:5" ht="45" customHeight="1" x14ac:dyDescent="0.25">
      <c r="A43" s="752">
        <v>14</v>
      </c>
      <c r="B43" s="752" t="s">
        <v>1273</v>
      </c>
      <c r="C43" s="752">
        <v>3</v>
      </c>
      <c r="D43" s="752" t="s">
        <v>1263</v>
      </c>
      <c r="E43" s="752">
        <v>6</v>
      </c>
    </row>
    <row r="44" spans="1:5" ht="45" customHeight="1" x14ac:dyDescent="0.25">
      <c r="A44" s="752">
        <v>14</v>
      </c>
      <c r="B44" s="752" t="s">
        <v>1273</v>
      </c>
      <c r="C44" s="752">
        <v>4</v>
      </c>
      <c r="D44" s="752" t="s">
        <v>1271</v>
      </c>
      <c r="E44" s="752">
        <v>10</v>
      </c>
    </row>
    <row r="45" spans="1:5" ht="45" customHeight="1" x14ac:dyDescent="0.25">
      <c r="A45" s="752">
        <v>14</v>
      </c>
      <c r="B45" s="752" t="s">
        <v>1273</v>
      </c>
      <c r="C45" s="752">
        <v>5</v>
      </c>
      <c r="D45" s="752" t="s">
        <v>1264</v>
      </c>
      <c r="E45" s="752">
        <v>10</v>
      </c>
    </row>
    <row r="46" spans="1:5" ht="45" customHeight="1" x14ac:dyDescent="0.25">
      <c r="A46" s="752">
        <v>15</v>
      </c>
      <c r="B46" s="752" t="s">
        <v>1274</v>
      </c>
      <c r="C46" s="752">
        <v>6</v>
      </c>
      <c r="D46" s="752" t="s">
        <v>1265</v>
      </c>
      <c r="E46" s="752">
        <v>8</v>
      </c>
    </row>
    <row r="47" spans="1:5" ht="45" customHeight="1" x14ac:dyDescent="0.25">
      <c r="A47" s="752">
        <v>16</v>
      </c>
      <c r="B47" s="752" t="s">
        <v>1275</v>
      </c>
      <c r="C47" s="752">
        <v>3</v>
      </c>
      <c r="D47" s="752" t="s">
        <v>1263</v>
      </c>
      <c r="E47" s="752">
        <v>7</v>
      </c>
    </row>
    <row r="48" spans="1:5" ht="45" customHeight="1" x14ac:dyDescent="0.25">
      <c r="A48" s="752">
        <v>16</v>
      </c>
      <c r="B48" s="752" t="s">
        <v>1275</v>
      </c>
      <c r="C48" s="752">
        <v>4</v>
      </c>
      <c r="D48" s="752" t="s">
        <v>1271</v>
      </c>
      <c r="E48" s="752">
        <v>11</v>
      </c>
    </row>
    <row r="49" spans="1:5" ht="45" customHeight="1" x14ac:dyDescent="0.25">
      <c r="A49" s="752">
        <v>16</v>
      </c>
      <c r="B49" s="752" t="s">
        <v>1275</v>
      </c>
      <c r="C49" s="752">
        <v>6</v>
      </c>
      <c r="D49" s="752" t="s">
        <v>1265</v>
      </c>
      <c r="E49" s="752">
        <v>8</v>
      </c>
    </row>
    <row r="50" spans="1:5" ht="45" customHeight="1" x14ac:dyDescent="0.25">
      <c r="A50" s="752">
        <v>17</v>
      </c>
      <c r="B50" s="752" t="s">
        <v>1290</v>
      </c>
      <c r="C50" s="752">
        <v>4</v>
      </c>
      <c r="D50" s="752" t="s">
        <v>1271</v>
      </c>
      <c r="E50" s="752">
        <v>12</v>
      </c>
    </row>
    <row r="51" spans="1:5" ht="45" customHeight="1" x14ac:dyDescent="0.25">
      <c r="A51" s="752">
        <v>18</v>
      </c>
      <c r="B51" s="752" t="s">
        <v>1270</v>
      </c>
      <c r="C51" s="752">
        <v>3</v>
      </c>
      <c r="D51" s="752" t="s">
        <v>1263</v>
      </c>
      <c r="E51" s="752">
        <v>9</v>
      </c>
    </row>
    <row r="52" spans="1:5" ht="45" customHeight="1" x14ac:dyDescent="0.25">
      <c r="A52" s="752">
        <v>19</v>
      </c>
      <c r="B52" s="752" t="s">
        <v>1286</v>
      </c>
      <c r="C52" s="752">
        <v>5</v>
      </c>
      <c r="D52" s="752" t="s">
        <v>1264</v>
      </c>
      <c r="E52" s="752">
        <v>7</v>
      </c>
    </row>
    <row r="53" spans="1:5" ht="45" customHeight="1" x14ac:dyDescent="0.25">
      <c r="A53" s="752">
        <v>20</v>
      </c>
      <c r="B53" s="752" t="s">
        <v>1287</v>
      </c>
      <c r="C53" s="752">
        <v>6</v>
      </c>
      <c r="D53" s="752" t="s">
        <v>1265</v>
      </c>
      <c r="E53" s="752">
        <v>9</v>
      </c>
    </row>
    <row r="54" spans="1:5" ht="45" customHeight="1" x14ac:dyDescent="0.25">
      <c r="A54" s="752">
        <v>21</v>
      </c>
      <c r="B54" s="752" t="s">
        <v>1289</v>
      </c>
      <c r="C54" s="752">
        <v>6</v>
      </c>
      <c r="D54" s="752" t="s">
        <v>1265</v>
      </c>
      <c r="E54" s="752">
        <v>9</v>
      </c>
    </row>
    <row r="55" spans="1:5" ht="45" customHeight="1" x14ac:dyDescent="0.25">
      <c r="A55" s="752">
        <v>22</v>
      </c>
      <c r="B55" s="752" t="s">
        <v>1294</v>
      </c>
      <c r="C55" s="752">
        <v>6</v>
      </c>
      <c r="D55" s="752" t="s">
        <v>1265</v>
      </c>
      <c r="E55" s="752">
        <v>10</v>
      </c>
    </row>
    <row r="56" spans="1:5" ht="45" customHeight="1" x14ac:dyDescent="0.25">
      <c r="A56" s="752">
        <v>23</v>
      </c>
      <c r="B56" s="752" t="s">
        <v>1295</v>
      </c>
      <c r="C56" s="752">
        <v>6</v>
      </c>
      <c r="D56" s="752" t="s">
        <v>1265</v>
      </c>
      <c r="E56" s="752">
        <v>10</v>
      </c>
    </row>
    <row r="57" spans="1:5" ht="45" customHeight="1" x14ac:dyDescent="0.25">
      <c r="A57" s="752">
        <v>24</v>
      </c>
      <c r="B57" s="752" t="s">
        <v>1276</v>
      </c>
      <c r="C57" s="752">
        <v>3</v>
      </c>
      <c r="D57" s="752" t="s">
        <v>1263</v>
      </c>
      <c r="E57" s="752">
        <v>3</v>
      </c>
    </row>
    <row r="58" spans="1:5" ht="45" customHeight="1" x14ac:dyDescent="0.25">
      <c r="A58" s="752">
        <v>24</v>
      </c>
      <c r="B58" s="752" t="s">
        <v>1276</v>
      </c>
      <c r="C58" s="752">
        <v>6</v>
      </c>
      <c r="D58" s="752" t="s">
        <v>1265</v>
      </c>
      <c r="E58" s="752">
        <v>9</v>
      </c>
    </row>
    <row r="59" spans="1:5" ht="45" customHeight="1" x14ac:dyDescent="0.25">
      <c r="A59" s="752">
        <v>25</v>
      </c>
      <c r="B59" s="752" t="s">
        <v>1291</v>
      </c>
      <c r="C59" s="752">
        <v>6</v>
      </c>
      <c r="D59" s="752" t="s">
        <v>1265</v>
      </c>
      <c r="E59" s="752">
        <v>9</v>
      </c>
    </row>
    <row r="60" spans="1:5" ht="45" customHeight="1" x14ac:dyDescent="0.25">
      <c r="A60" s="752">
        <v>26</v>
      </c>
      <c r="B60" s="752" t="s">
        <v>1293</v>
      </c>
      <c r="C60" s="752">
        <v>6</v>
      </c>
      <c r="D60" s="752" t="s">
        <v>1265</v>
      </c>
      <c r="E60" s="752">
        <v>12</v>
      </c>
    </row>
    <row r="61" spans="1:5" ht="45" customHeight="1" x14ac:dyDescent="0.25">
      <c r="A61" s="752">
        <v>27</v>
      </c>
      <c r="B61" s="752" t="s">
        <v>1292</v>
      </c>
      <c r="C61" s="752">
        <v>4</v>
      </c>
      <c r="D61" s="752" t="s">
        <v>1271</v>
      </c>
      <c r="E61" s="752">
        <v>4</v>
      </c>
    </row>
    <row r="62" spans="1:5" ht="45" customHeight="1" x14ac:dyDescent="0.25">
      <c r="A62" s="752">
        <v>27</v>
      </c>
      <c r="B62" s="752" t="s">
        <v>1292</v>
      </c>
      <c r="C62" s="752">
        <v>6</v>
      </c>
      <c r="D62" s="752" t="s">
        <v>1265</v>
      </c>
      <c r="E62" s="752">
        <v>10</v>
      </c>
    </row>
    <row r="63" spans="1:5" ht="45" customHeight="1" x14ac:dyDescent="0.25">
      <c r="A63" s="752">
        <v>28</v>
      </c>
      <c r="B63" s="752" t="s">
        <v>102</v>
      </c>
      <c r="C63" s="752">
        <v>5</v>
      </c>
      <c r="D63" s="752" t="s">
        <v>1264</v>
      </c>
      <c r="E63" s="752">
        <v>5</v>
      </c>
    </row>
    <row r="64" spans="1:5" ht="45" customHeight="1" x14ac:dyDescent="0.25">
      <c r="A64" s="752">
        <v>28</v>
      </c>
      <c r="B64" s="752" t="s">
        <v>102</v>
      </c>
      <c r="C64" s="752">
        <v>6</v>
      </c>
      <c r="D64" s="752" t="s">
        <v>1265</v>
      </c>
      <c r="E64" s="752">
        <v>11</v>
      </c>
    </row>
    <row r="65" spans="1:5" ht="45" customHeight="1" x14ac:dyDescent="0.25">
      <c r="A65" s="752">
        <v>29</v>
      </c>
      <c r="B65" s="752" t="s">
        <v>1288</v>
      </c>
      <c r="C65" s="752">
        <v>6</v>
      </c>
      <c r="D65" s="752" t="s">
        <v>1265</v>
      </c>
      <c r="E65" s="752">
        <v>11</v>
      </c>
    </row>
    <row r="66" spans="1:5" ht="45" customHeight="1" x14ac:dyDescent="0.25">
      <c r="A66" s="752">
        <v>30</v>
      </c>
      <c r="B66" s="752" t="s">
        <v>1285</v>
      </c>
      <c r="C66" s="752">
        <v>2</v>
      </c>
      <c r="D66" s="752" t="s">
        <v>1327</v>
      </c>
      <c r="E66" s="752">
        <v>12</v>
      </c>
    </row>
    <row r="67" spans="1:5" ht="45" customHeight="1" x14ac:dyDescent="0.25">
      <c r="A67" s="752">
        <v>30</v>
      </c>
      <c r="B67" s="752" t="s">
        <v>1285</v>
      </c>
      <c r="C67" s="752">
        <v>4</v>
      </c>
      <c r="D67" s="752" t="s">
        <v>1271</v>
      </c>
      <c r="E67" s="752">
        <v>12</v>
      </c>
    </row>
  </sheetData>
  <sheetProtection algorithmName="SHA-512" hashValue="bNf3B99DzWETAuGlsFq3MnZ4Zv8HGMxj68MwdgBCvaFm6DqQTVYgXhCSBTwwNZU/F6IoPyumd3V/lo6l0Xb6yw==" saltValue="fOKwU5qGgmHg5gIaiHI8XQ==" spinCount="100000" sheet="1" objects="1" scenarios="1"/>
  <conditionalFormatting sqref="A2:A67">
    <cfRule type="expression" dxfId="22" priority="5">
      <formula>OR(NOT(ISNUMBER(A2)),A2&lt;&gt;ROUND(A2,0),A2&lt;1,A2&gt;999)</formula>
    </cfRule>
  </conditionalFormatting>
  <conditionalFormatting sqref="B2:B67">
    <cfRule type="expression" dxfId="21" priority="4">
      <formula>OR(B2="",LEN(B2)&gt;100)</formula>
    </cfRule>
  </conditionalFormatting>
  <conditionalFormatting sqref="C2:C67">
    <cfRule type="expression" dxfId="20" priority="3">
      <formula>OR(NOT(ISNUMBER(C2)),C2&lt;&gt;ROUND(C2,0),C2&lt;1,C2&gt;999)</formula>
    </cfRule>
  </conditionalFormatting>
  <conditionalFormatting sqref="D2:D67">
    <cfRule type="expression" dxfId="19" priority="2">
      <formula>OR(D2="",LEN(D2)&gt;100)</formula>
    </cfRule>
  </conditionalFormatting>
  <conditionalFormatting sqref="E2:E67">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Usuario</cp:lastModifiedBy>
  <cp:revision>5</cp:revision>
  <cp:lastPrinted>2026-05-29T18:30:13Z</cp:lastPrinted>
  <dcterms:created xsi:type="dcterms:W3CDTF">1997-01-10T22:22:50Z</dcterms:created>
  <dcterms:modified xsi:type="dcterms:W3CDTF">2026-05-29T18:31:44Z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