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Override PartName="/xl/embeddings/oleObject3.bin" ContentType="application/vnd.openxmlformats-officedocument.oleObject"/>
  <Default Extension="rels" ContentType="application/vnd.openxmlformats-package.relationships+xml"/>
  <Default Extension="xml" ContentType="application/xml"/>
  <Override PartName="/xl/workbook.xml" ContentType="application/vnd.openxmlformats-officedocument.spreadsheetml.sheet.main+xml"/>
  <Override PartName="/xl/embeddings/oleObject1.bin" ContentType="application/vnd.openxmlformats-officedocument.oleObject"/>
  <Override PartName="/xl/embeddings/oleObject2.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585" windowWidth="28455" windowHeight="11190" activeTab="1"/>
  </bookViews>
  <sheets>
    <sheet name="Orçamento Sintético" sheetId="1" r:id="rId1"/>
    <sheet name="CRONOGRAMA" sheetId="2" r:id="rId2"/>
    <sheet name="BDI" sheetId="3" r:id="rId3"/>
  </sheets>
  <externalReferences>
    <externalReference r:id="rId4"/>
    <externalReference r:id="rId5"/>
  </externalReferences>
  <definedNames>
    <definedName name="DESONERACAO" hidden="1">IF(OR(Import.Desoneracao="DESONERADO",Import.Desoneracao="SIM"),"SIM","NÃO")</definedName>
    <definedName name="Import.Desoneracao" hidden="1">OFFSET([1]DADOS!$G$18,0,-1)</definedName>
  </definedNames>
  <calcPr calcId="124519"/>
</workbook>
</file>

<file path=xl/calcChain.xml><?xml version="1.0" encoding="utf-8"?>
<calcChain xmlns="http://schemas.openxmlformats.org/spreadsheetml/2006/main">
  <c r="H24" i="2"/>
  <c r="I4"/>
  <c r="G26"/>
  <c r="E23" l="1"/>
  <c r="E22"/>
  <c r="E20"/>
  <c r="E18"/>
  <c r="E16"/>
  <c r="E14"/>
  <c r="E12"/>
  <c r="E10"/>
  <c r="E8"/>
  <c r="I21"/>
  <c r="B21"/>
  <c r="I19"/>
  <c r="B19"/>
  <c r="I17"/>
  <c r="B17"/>
  <c r="I15"/>
  <c r="B15"/>
  <c r="I13"/>
  <c r="B13"/>
  <c r="I11"/>
  <c r="B11"/>
  <c r="I9"/>
  <c r="B9"/>
  <c r="I7"/>
  <c r="B7"/>
  <c r="H16" l="1"/>
  <c r="F22"/>
  <c r="F20"/>
  <c r="F18"/>
  <c r="F16"/>
  <c r="F14"/>
  <c r="F12"/>
  <c r="I12" s="1"/>
  <c r="F10"/>
  <c r="E24"/>
  <c r="H22"/>
  <c r="G22"/>
  <c r="H20"/>
  <c r="G20"/>
  <c r="G16"/>
  <c r="H14"/>
  <c r="G14"/>
  <c r="H12"/>
  <c r="G12"/>
  <c r="H8"/>
  <c r="G8"/>
  <c r="F8"/>
  <c r="H10"/>
  <c r="H18"/>
  <c r="G10"/>
  <c r="G18"/>
  <c r="H23" l="1"/>
  <c r="I20"/>
  <c r="F24"/>
  <c r="F23" s="1"/>
  <c r="I14"/>
  <c r="I22"/>
  <c r="I10"/>
  <c r="I18"/>
  <c r="I16"/>
  <c r="G24"/>
  <c r="G23" s="1"/>
  <c r="I8"/>
  <c r="I24" l="1"/>
  <c r="I23"/>
  <c r="H37" i="3" l="1"/>
  <c r="F27"/>
  <c r="C24"/>
  <c r="B24"/>
  <c r="K22"/>
  <c r="M21"/>
  <c r="K21"/>
  <c r="B17"/>
  <c r="B16"/>
  <c r="B15"/>
  <c r="B14"/>
  <c r="B13"/>
  <c r="I118" i="1" l="1"/>
  <c r="H120"/>
  <c r="J12" l="1"/>
  <c r="J13"/>
  <c r="J15"/>
  <c r="J16"/>
  <c r="J17"/>
  <c r="J27"/>
  <c r="J28"/>
  <c r="J32"/>
  <c r="J47"/>
  <c r="J52"/>
  <c r="J53"/>
  <c r="J59"/>
  <c r="J61"/>
  <c r="J80"/>
  <c r="J81"/>
  <c r="J82"/>
  <c r="J93"/>
  <c r="J94"/>
  <c r="J98"/>
  <c r="J105"/>
  <c r="J107"/>
  <c r="J112"/>
  <c r="J113"/>
  <c r="J114"/>
  <c r="J115"/>
  <c r="J116"/>
  <c r="I116"/>
  <c r="H115" s="1"/>
  <c r="I115" s="1"/>
  <c r="H116"/>
  <c r="I114"/>
  <c r="H114"/>
  <c r="H113"/>
  <c r="I113" s="1"/>
  <c r="H112"/>
  <c r="I112" s="1"/>
  <c r="H111"/>
  <c r="I111" s="1"/>
  <c r="J111" s="1"/>
  <c r="H110"/>
  <c r="I110" s="1"/>
  <c r="J110" s="1"/>
  <c r="H109"/>
  <c r="I109" s="1"/>
  <c r="J109" s="1"/>
  <c r="H108"/>
  <c r="I108" s="1"/>
  <c r="J108" s="1"/>
  <c r="H107"/>
  <c r="I107" s="1"/>
  <c r="I106"/>
  <c r="J106" s="1"/>
  <c r="H106"/>
  <c r="H105"/>
  <c r="I105" s="1"/>
  <c r="H104"/>
  <c r="I104" s="1"/>
  <c r="J104" s="1"/>
  <c r="H103"/>
  <c r="I103" s="1"/>
  <c r="J103" s="1"/>
  <c r="H102"/>
  <c r="I102" s="1"/>
  <c r="J102" s="1"/>
  <c r="I101"/>
  <c r="J101" s="1"/>
  <c r="H101"/>
  <c r="H100"/>
  <c r="I100" s="1"/>
  <c r="J100" s="1"/>
  <c r="H99"/>
  <c r="I99" s="1"/>
  <c r="J99" s="1"/>
  <c r="I98"/>
  <c r="H98"/>
  <c r="H97"/>
  <c r="I97" s="1"/>
  <c r="J97" s="1"/>
  <c r="H96"/>
  <c r="I96" s="1"/>
  <c r="J96" s="1"/>
  <c r="I95"/>
  <c r="J95" s="1"/>
  <c r="H95"/>
  <c r="H94"/>
  <c r="I94" s="1"/>
  <c r="I93"/>
  <c r="H93"/>
  <c r="I92"/>
  <c r="J92" s="1"/>
  <c r="H92"/>
  <c r="H91"/>
  <c r="I91" s="1"/>
  <c r="J91" s="1"/>
  <c r="H90"/>
  <c r="I90" s="1"/>
  <c r="J90" s="1"/>
  <c r="H89"/>
  <c r="I89" s="1"/>
  <c r="J89" s="1"/>
  <c r="H88"/>
  <c r="I88" s="1"/>
  <c r="J88" s="1"/>
  <c r="I87"/>
  <c r="J87" s="1"/>
  <c r="H87"/>
  <c r="I86"/>
  <c r="J86" s="1"/>
  <c r="H86"/>
  <c r="H85"/>
  <c r="I85" s="1"/>
  <c r="J85" s="1"/>
  <c r="H84"/>
  <c r="I84" s="1"/>
  <c r="J84" s="1"/>
  <c r="I83"/>
  <c r="J83" s="1"/>
  <c r="H83"/>
  <c r="H82"/>
  <c r="I82" s="1"/>
  <c r="H81"/>
  <c r="I81" s="1"/>
  <c r="I80"/>
  <c r="H80"/>
  <c r="H79"/>
  <c r="I79" s="1"/>
  <c r="J79" s="1"/>
  <c r="H78"/>
  <c r="I78" s="1"/>
  <c r="J78" s="1"/>
  <c r="H77"/>
  <c r="I77" s="1"/>
  <c r="J77" s="1"/>
  <c r="H76"/>
  <c r="I76" s="1"/>
  <c r="J76" s="1"/>
  <c r="H74"/>
  <c r="I74" s="1"/>
  <c r="J74" s="1"/>
  <c r="H73"/>
  <c r="I73" s="1"/>
  <c r="J73" s="1"/>
  <c r="H72"/>
  <c r="I72" s="1"/>
  <c r="J72" s="1"/>
  <c r="H68"/>
  <c r="I68" s="1"/>
  <c r="J68" s="1"/>
  <c r="I67"/>
  <c r="J67" s="1"/>
  <c r="H67"/>
  <c r="H66"/>
  <c r="I66" s="1"/>
  <c r="J66" s="1"/>
  <c r="H65"/>
  <c r="I65" s="1"/>
  <c r="J65" s="1"/>
  <c r="H64"/>
  <c r="I64" s="1"/>
  <c r="J64" s="1"/>
  <c r="I63"/>
  <c r="J63" s="1"/>
  <c r="H63"/>
  <c r="H62"/>
  <c r="I62" s="1"/>
  <c r="J62" s="1"/>
  <c r="I61"/>
  <c r="H61"/>
  <c r="I59"/>
  <c r="H59"/>
  <c r="H58"/>
  <c r="I58" s="1"/>
  <c r="J58" s="1"/>
  <c r="H57"/>
  <c r="I57" s="1"/>
  <c r="J57" s="1"/>
  <c r="H56"/>
  <c r="I56" s="1"/>
  <c r="J56" s="1"/>
  <c r="I55"/>
  <c r="J55" s="1"/>
  <c r="H55"/>
  <c r="I54"/>
  <c r="J54" s="1"/>
  <c r="H54"/>
  <c r="I53"/>
  <c r="H53"/>
  <c r="I52"/>
  <c r="H52"/>
  <c r="H51"/>
  <c r="I51" s="1"/>
  <c r="J51" s="1"/>
  <c r="H50"/>
  <c r="I50" s="1"/>
  <c r="J50" s="1"/>
  <c r="I49"/>
  <c r="J49" s="1"/>
  <c r="H49"/>
  <c r="I48"/>
  <c r="J48" s="1"/>
  <c r="H48"/>
  <c r="I47"/>
  <c r="H47"/>
  <c r="H46"/>
  <c r="I46" s="1"/>
  <c r="J46" s="1"/>
  <c r="H45"/>
  <c r="I45" s="1"/>
  <c r="J45" s="1"/>
  <c r="H44"/>
  <c r="I44" s="1"/>
  <c r="J44" s="1"/>
  <c r="I43"/>
  <c r="J43" s="1"/>
  <c r="H43"/>
  <c r="H42"/>
  <c r="I42" s="1"/>
  <c r="J42" s="1"/>
  <c r="I41"/>
  <c r="J41" s="1"/>
  <c r="H41"/>
  <c r="I40"/>
  <c r="J40" s="1"/>
  <c r="H40"/>
  <c r="I36"/>
  <c r="J36" s="1"/>
  <c r="H36"/>
  <c r="H35"/>
  <c r="I35" s="1"/>
  <c r="J35" s="1"/>
  <c r="H34"/>
  <c r="I34" s="1"/>
  <c r="J34" s="1"/>
  <c r="H33"/>
  <c r="I33" s="1"/>
  <c r="J33" s="1"/>
  <c r="H32"/>
  <c r="I32" s="1"/>
  <c r="H30"/>
  <c r="I30" s="1"/>
  <c r="J30" s="1"/>
  <c r="H29"/>
  <c r="I29" s="1"/>
  <c r="J29" s="1"/>
  <c r="H28"/>
  <c r="I28" s="1"/>
  <c r="H27"/>
  <c r="I27" s="1"/>
  <c r="I26"/>
  <c r="J26" s="1"/>
  <c r="H26"/>
  <c r="H25"/>
  <c r="I25" s="1"/>
  <c r="J25" s="1"/>
  <c r="I24"/>
  <c r="J24" s="1"/>
  <c r="H24"/>
  <c r="H22"/>
  <c r="I22" s="1"/>
  <c r="J22" s="1"/>
  <c r="H21"/>
  <c r="I21" s="1"/>
  <c r="J21" s="1"/>
  <c r="I20"/>
  <c r="J20" s="1"/>
  <c r="H20"/>
  <c r="H19"/>
  <c r="I19" s="1"/>
  <c r="J19" s="1"/>
  <c r="H18"/>
  <c r="I18" s="1"/>
  <c r="J18" s="1"/>
  <c r="H17"/>
  <c r="I17" s="1"/>
  <c r="I16"/>
  <c r="H16"/>
  <c r="I15"/>
  <c r="H15"/>
  <c r="H13"/>
  <c r="I13" s="1"/>
  <c r="H12" s="1"/>
  <c r="I12" s="1"/>
  <c r="H31" l="1"/>
  <c r="I31" s="1"/>
  <c r="J31" s="1"/>
  <c r="H14"/>
  <c r="I14" s="1"/>
  <c r="J14" s="1"/>
  <c r="H60"/>
  <c r="I60" s="1"/>
  <c r="J60" s="1"/>
  <c r="H71"/>
  <c r="I71" s="1"/>
  <c r="J71" s="1"/>
  <c r="H23"/>
  <c r="I23" s="1"/>
  <c r="J23" s="1"/>
  <c r="H39"/>
  <c r="I39" s="1"/>
  <c r="J39" s="1"/>
  <c r="H75"/>
  <c r="I75" s="1"/>
  <c r="J75" s="1"/>
  <c r="H70" l="1"/>
  <c r="I70" s="1"/>
  <c r="J70" s="1"/>
  <c r="H38"/>
  <c r="I38" s="1"/>
  <c r="J38" s="1"/>
  <c r="H69" l="1"/>
  <c r="I69" s="1"/>
  <c r="J69" s="1"/>
  <c r="H37"/>
  <c r="I37" s="1"/>
  <c r="J37" s="1"/>
</calcChain>
</file>

<file path=xl/sharedStrings.xml><?xml version="1.0" encoding="utf-8"?>
<sst xmlns="http://schemas.openxmlformats.org/spreadsheetml/2006/main" count="656" uniqueCount="402">
  <si>
    <t>Valor Final do Orçamento</t>
  </si>
  <si>
    <t>BDI</t>
  </si>
  <si>
    <t>Item</t>
  </si>
  <si>
    <t>Código</t>
  </si>
  <si>
    <t>Banco</t>
  </si>
  <si>
    <t>Descrição</t>
  </si>
  <si>
    <t>Und</t>
  </si>
  <si>
    <t>Quant.</t>
  </si>
  <si>
    <t>Valor Unit</t>
  </si>
  <si>
    <t>Valor Unit com BDI</t>
  </si>
  <si>
    <t>Total</t>
  </si>
  <si>
    <t>Peso (%)</t>
  </si>
  <si>
    <t xml:space="preserve"> 1 </t>
  </si>
  <si>
    <t xml:space="preserve">  </t>
  </si>
  <si>
    <t>INSTALAÇÃO DA OBRA</t>
  </si>
  <si>
    <t/>
  </si>
  <si>
    <t xml:space="preserve"> 1.1 </t>
  </si>
  <si>
    <t xml:space="preserve"> ED-16670 </t>
  </si>
  <si>
    <t>SETOP</t>
  </si>
  <si>
    <t>PLACA DE OBRA EM CHAPA GALVANIZADA ENRIJECIDA, PLOTADA COM ADESIVO VINÍLICO, FIXADA COM REBITES 4,8X40MM, EM ESTRUTURA METÁLICA DE METALON 20X20MM, ESP. 1,25MM, EXCLUSIVE SUPORTE EM EUCALIPTO   PADRÃO GOVERNO DE MINAS GERAIS (FORNECIMENTO/FABRICAÇÃO)</t>
  </si>
  <si>
    <t>m²</t>
  </si>
  <si>
    <t xml:space="preserve"> 2 </t>
  </si>
  <si>
    <t>REFORÇO ESTRUTURAL DE FUNDAÇÃO</t>
  </si>
  <si>
    <t xml:space="preserve"> 2.1 </t>
  </si>
  <si>
    <t xml:space="preserve"> 97634 </t>
  </si>
  <si>
    <t>SINAPI</t>
  </si>
  <si>
    <t>DEMOLIÇÃO DE REVESTIMENTO CERÂMICO, DE FORMA MECANIZADA COM MARTELETE, SEM REAPROVEITAMENTO. AF_09/2023</t>
  </si>
  <si>
    <t xml:space="preserve"> 2.2 </t>
  </si>
  <si>
    <t xml:space="preserve"> ED-48440 </t>
  </si>
  <si>
    <t>DEMOLIÇÃO MANUAL DE CONCRETO, SEM ARMAÇÃO, INCLUSIVE AFASTAMENTO E EMPILHAMENTO, EXCLUSIVE TRANSPORTE E RETIRADA DO MATERIAL DEMOLIDO</t>
  </si>
  <si>
    <t>m³</t>
  </si>
  <si>
    <t xml:space="preserve"> 2.3 </t>
  </si>
  <si>
    <t xml:space="preserve"> 93358 </t>
  </si>
  <si>
    <t>ESCAVAÇÃO MANUAL DE VALA. AF_09/2024</t>
  </si>
  <si>
    <t xml:space="preserve"> 2.4 </t>
  </si>
  <si>
    <t xml:space="preserve"> 101588 </t>
  </si>
  <si>
    <t>ESCORAMENTO DE VALA, TIPO CONTÍNUO COM PERFIL METÁLICO "U", COM PROFUNDIDADE DE 0 A 1,5 M, LARGURA MENOR QUE 1,5 M. AF_08/2020</t>
  </si>
  <si>
    <t xml:space="preserve"> 2.5 </t>
  </si>
  <si>
    <t xml:space="preserve"> 03.03.111 </t>
  </si>
  <si>
    <t>FDE</t>
  </si>
  <si>
    <t>ESCORAMENTO METÁLICO PARA LAJES ALTURA ATÉ 3,20M MALHA MENOR OU IGUAL 1,50X1,50</t>
  </si>
  <si>
    <t xml:space="preserve"> 2.6 </t>
  </si>
  <si>
    <t xml:space="preserve"> ED-19643 </t>
  </si>
  <si>
    <t>MONTAGEM E DESMONTAGEM DE ESCORAMENTO METÁLICO, TIPO "A" OU "B", PARA LAJE E VIGA EM CONCRETO ARMADO, INCLUSIVE DESCARGA E CARGA, EXCLUSIVE ESCORAMENTO</t>
  </si>
  <si>
    <t xml:space="preserve"> 2.7 </t>
  </si>
  <si>
    <t xml:space="preserve"> 102477 </t>
  </si>
  <si>
    <t>CONCRETO FCK = 30MPA, TRAÇO 1:1,9:2,3 (EM MASSA SECA DE CIMENTO/ AREIA MÉDIA/ SEIXO ROLADO) - PREPARO MECÂNICO COM BETONEIRA 400 L. AF_05/2021</t>
  </si>
  <si>
    <t xml:space="preserve"> 2.8 </t>
  </si>
  <si>
    <t xml:space="preserve"> 3079 </t>
  </si>
  <si>
    <t>ORSE</t>
  </si>
  <si>
    <t>Enrocamento com pedra bruta lançada</t>
  </si>
  <si>
    <t xml:space="preserve"> 3 </t>
  </si>
  <si>
    <t>REFORÇO PILARES</t>
  </si>
  <si>
    <t xml:space="preserve"> 3.1 </t>
  </si>
  <si>
    <t xml:space="preserve"> 3.2 </t>
  </si>
  <si>
    <t xml:space="preserve"> 3.3 </t>
  </si>
  <si>
    <t xml:space="preserve"> 3.4 </t>
  </si>
  <si>
    <t xml:space="preserve"> 3.5 </t>
  </si>
  <si>
    <t xml:space="preserve"> 3.6 </t>
  </si>
  <si>
    <t xml:space="preserve"> 102475 </t>
  </si>
  <si>
    <t>CONCRETO FCK = 20MPA, TRAÇO 1:2,6:2,9 (EM MASSA SECA DE CIMENTO/ AREIA MÉDIA/ SEIXO ROLADO) - PREPARO MECÂNICO COM BETONEIRA 400 L. AF_05/2021</t>
  </si>
  <si>
    <t xml:space="preserve"> 3.7 </t>
  </si>
  <si>
    <t xml:space="preserve"> RO-00540 </t>
  </si>
  <si>
    <t>Armação em aço CA 50   fornecimento, preparo e colocação</t>
  </si>
  <si>
    <t>Kg</t>
  </si>
  <si>
    <t xml:space="preserve"> 4 </t>
  </si>
  <si>
    <t>LIMPEZA  DA COBERTURA</t>
  </si>
  <si>
    <t xml:space="preserve"> 4.1 </t>
  </si>
  <si>
    <t xml:space="preserve"> 4915711 </t>
  </si>
  <si>
    <t>SICRO3</t>
  </si>
  <si>
    <t>Limpeza de descida d'água</t>
  </si>
  <si>
    <t>m</t>
  </si>
  <si>
    <t xml:space="preserve"> 4.2 </t>
  </si>
  <si>
    <t xml:space="preserve"> 99811 </t>
  </si>
  <si>
    <t>LIMPEZA DE CONTRAPISO COM VASSOURA A SECO. AF_04/2019</t>
  </si>
  <si>
    <t xml:space="preserve"> 4.3 </t>
  </si>
  <si>
    <t xml:space="preserve"> ED-51131 </t>
  </si>
  <si>
    <t>CARGA MANUAL DE MATERIAL DE QUALQUER NATUREZA SOBRE CAMINHÃO, EXCLUSIVE TRANSPORTE</t>
  </si>
  <si>
    <t xml:space="preserve"> 4.4 </t>
  </si>
  <si>
    <t xml:space="preserve"> 99814 </t>
  </si>
  <si>
    <t>LIMPEZA DE SUPERFÍCIE COM JATO DE ALTA PRESSÃO. AF_04/2019</t>
  </si>
  <si>
    <t xml:space="preserve"> 4.5 </t>
  </si>
  <si>
    <t xml:space="preserve"> 10.35.73 </t>
  </si>
  <si>
    <t>SUDECAP</t>
  </si>
  <si>
    <t>RALO HEMISFERICO TIPO ABACAXI D=  75MM</t>
  </si>
  <si>
    <t>UN</t>
  </si>
  <si>
    <t xml:space="preserve"> 5 </t>
  </si>
  <si>
    <t>REFORMA DAS COZINHAS E DISPENSAS</t>
  </si>
  <si>
    <t xml:space="preserve"> 5.1 </t>
  </si>
  <si>
    <t>CRECHE</t>
  </si>
  <si>
    <t xml:space="preserve"> 5.1.1 </t>
  </si>
  <si>
    <t>COZINHA</t>
  </si>
  <si>
    <t xml:space="preserve"> 5.1.1.1 </t>
  </si>
  <si>
    <t xml:space="preserve"> ED-48343 </t>
  </si>
  <si>
    <t>BANCADA EM GRANITO CINZA ANDORINHA E = 3 CM, APOIADA EM CONSOLE DE METALON 20 X 30 MM</t>
  </si>
  <si>
    <t xml:space="preserve"> 5.1.1.2 </t>
  </si>
  <si>
    <t xml:space="preserve"> ED-21706 </t>
  </si>
  <si>
    <t>TESTEIRA PARA BANCADA EM GRANITO, COR CINZA ANDORINHA, ESP. 2CM, ALTURA DE 10CM, INCLUSIVE POLIMENTO DE ESPESSURA E CORTE/COLAGEM EM MEIA ESQUADRIA (FABRICAÇÃO)</t>
  </si>
  <si>
    <t xml:space="preserve"> 5.1.1.3 </t>
  </si>
  <si>
    <t xml:space="preserve"> ED-50692 </t>
  </si>
  <si>
    <t>PRATELEIRA DE GRANITO CINZA ANDORINHA, E = 2 CM, APOIADA EM CONSOLE DE METALON 20 X 30 MM</t>
  </si>
  <si>
    <t xml:space="preserve"> 5.1.1.4 </t>
  </si>
  <si>
    <t xml:space="preserve"> 10204 </t>
  </si>
  <si>
    <t>Porta para armários com moldura em alumínio (alumínio/acrílico), inclusive ferragens</t>
  </si>
  <si>
    <t xml:space="preserve"> 5.1.1.5 </t>
  </si>
  <si>
    <t xml:space="preserve"> ED-48348 </t>
  </si>
  <si>
    <t>RODABANCA/FRONTÃO PARA BANCADA EM GRANITO, COR CINZA ANDORINHA, ESP. 2CM, ALTURA DE 10CM, INCLUSIVE REJUNTAMENTO EM MASSA PLÁSTICA NA COR DA PEDRA</t>
  </si>
  <si>
    <t xml:space="preserve"> 5.1.1.6 </t>
  </si>
  <si>
    <t xml:space="preserve"> 9593 </t>
  </si>
  <si>
    <t>Filete em granito capri, l=6cm, esp= 2cm, para acabamentos</t>
  </si>
  <si>
    <t xml:space="preserve"> 5.1.1.7 </t>
  </si>
  <si>
    <t xml:space="preserve"> ED-21631 </t>
  </si>
  <si>
    <t>BANCADA EM GRANITO, COR CINZA ANDORINHA, ESP. 2CM, ACABAMENTO POLIDO, APOIADA EM CONSOLE DE METALON (50X30)MM, EXCLUSIVE RODABANCA/FRONTÃO, TESTEIRA/FAIXA, FURO EM BANCADA, CUBA METÁLICA, VÁLVULA, SIFÃO, TORNEIRA E ENGATE FLEXÍVEL</t>
  </si>
  <si>
    <t xml:space="preserve"> 5.1.1.8 </t>
  </si>
  <si>
    <t xml:space="preserve"> ED-50278 </t>
  </si>
  <si>
    <t>CUBA EM AÇO INOXIDÁVEL DE EMBUTIR, AISI 304, APLICAÇÃO PARA PIA (560X330X115MM), NÚMERO 2, ASSENTAMENTO EM BANCADA, INCLUSIVE VÁLVULA DE ESCOAMENTO DE METAL COM ACABAMENTO CROMADO, SIFÃO DE METAL TIPO COPO COM ACABAMENTO CROMADO, FORNECIMENTO E INSTALAÇÃO</t>
  </si>
  <si>
    <t>un</t>
  </si>
  <si>
    <t xml:space="preserve"> 5.1.1.9 </t>
  </si>
  <si>
    <t xml:space="preserve"> 1301004052 </t>
  </si>
  <si>
    <t>AGESUL</t>
  </si>
  <si>
    <t>CUBA DE ACO INOX N.304 INDUSTRIAL DE (60 X 50 X 40) CM, COM VALVULA AMERICANA E SIFAO TIPO GARRAFA EM METAL CROMADO (ESTEVES OU SIMILAR) - FORNECIMENTO E INSTALACAO</t>
  </si>
  <si>
    <t>CJ</t>
  </si>
  <si>
    <t xml:space="preserve"> 5.1.1.10 </t>
  </si>
  <si>
    <t xml:space="preserve"> ED-50324 </t>
  </si>
  <si>
    <t>TORNEIRA METÁLICA PARA PIA, BICA MÓVEL, ABERTURA 1/4 DE VOLTA, ACABAMENTO CROMADO, COM AREJADOR, APLICAÇÃO DE MESA, INCLUSIVE ENGATE FLEXÍVEL METÁLICO, FORNECIMENTO E INSTALAÇÃO</t>
  </si>
  <si>
    <t xml:space="preserve"> 5.1.1.11 </t>
  </si>
  <si>
    <t xml:space="preserve"> ED-50326 </t>
  </si>
  <si>
    <t>TORNEIRA METÁLICA PARA PIA, ABERTURA 1/4 DE VOLTA, ACABAMENTO CROMADO, COM AREJADOR, APLICAÇÃO DE PAREDE, INCLUSIVE FORNECIMENTO E INSTALAÇÃO</t>
  </si>
  <si>
    <t xml:space="preserve"> 5.1.1.12 </t>
  </si>
  <si>
    <t xml:space="preserve"> ED-50621 </t>
  </si>
  <si>
    <t>SÓCULO COM ENCHIMENTO EM TIJOLOS MACIÇOS, ALTURA DE 10CM À 12CM, INCLUSIVE ACABAMENTO EM REVESTIMENTO DE ARGAMASSA, ESP. 20MM, COM APLICAÇÃO MANUAL</t>
  </si>
  <si>
    <t xml:space="preserve"> 5.1.1.13 </t>
  </si>
  <si>
    <t xml:space="preserve"> 42 </t>
  </si>
  <si>
    <t>Apicoamento total de reboco com ponteiras/talhadeiras</t>
  </si>
  <si>
    <t xml:space="preserve"> 5.1.1.14 </t>
  </si>
  <si>
    <t xml:space="preserve"> ED-50175 </t>
  </si>
  <si>
    <t>IMPERMEABILIZAÇÃO COM ARGAMASSA POLIMÉRICA, INCLUSIVE PREPARO MANUAL DA ARGAMASSA 02 (DUAS) DEMÃOS. TEC PLUS OU SIMILAR</t>
  </si>
  <si>
    <t xml:space="preserve"> 5.1.1.15 </t>
  </si>
  <si>
    <t xml:space="preserve"> ED-50544 </t>
  </si>
  <si>
    <t>REVESTIMENTO COM CERÂMICA APLICADO EM PAREDE, ACABAMENTO ESMALTADO, AMBIENTE EXTERNO, PADRÃO EXTRA, DIMENSÃO DA PEÇA ATÉ 2025 CM2, PEI IV, ASSENTAMENTO COM ARGAMASSA INDUSTRIALIZADA ACIII, INCLUSIVE REJUNTAMENTO. [REVESTIMENTO BRANCO 32X57 RETIFICADO OU SIMILAR]</t>
  </si>
  <si>
    <t xml:space="preserve"> 5.1.1.16 </t>
  </si>
  <si>
    <t xml:space="preserve"> ED-48480 </t>
  </si>
  <si>
    <t>DEMOLIÇÃO MANUAL DE PISO CERÂMICO OU LADRILHO HIDRÁULICO, INCLUSIVE AFASTAMENTO E EMPILHAMENTO, EXCLUSIVE DEMOLIÇÃO DE CONTRAPISO, TRANSPORTE E RETIRADA DO MATERIAL DEMOLIDO</t>
  </si>
  <si>
    <t xml:space="preserve"> 5.1.1.17 </t>
  </si>
  <si>
    <t xml:space="preserve"> ED-48505 </t>
  </si>
  <si>
    <t>DEMOLIÇÃO MANUAL DE RODAPÉ, INCLUSIVE ARGAMASSA DE ASSENTAMENTO E AFASTAMENTO, EXCLUSIVE TRANSPORTE E RETIRADA DO MATERIAL DEMOLIDO</t>
  </si>
  <si>
    <t xml:space="preserve"> 5.1.1.18 </t>
  </si>
  <si>
    <t xml:space="preserve"> ED-13286 </t>
  </si>
  <si>
    <t>CAMADA DE REGULARIZAÇÃO COM ARGAMASSA, TRAÇO 1:3 (CIMENTO E AREIA), ESP. 15MM, APLICAÇÃO MANUAL, INCLUSIVE ARGAMASSA COM PREPARO MECANIZADO</t>
  </si>
  <si>
    <t xml:space="preserve"> 5.1.1.19 </t>
  </si>
  <si>
    <t xml:space="preserve"> 1701000106 </t>
  </si>
  <si>
    <t>PISO TIPO PORCELANATO ACETINADO, PLACAS DE (60 X 60)CM, TIPO A, LINHA CEMENTO GRIGIO, BORDA RETIFICADA DA BIANCOGRES OU SIMILAR, EMPREGANDO ARGAMASSA ACIII, QUARTZOLIT OU SIMILAR, INCLUSIVE REJUNTE</t>
  </si>
  <si>
    <t xml:space="preserve"> 5.1.1.20 </t>
  </si>
  <si>
    <t xml:space="preserve"> ED-51002 </t>
  </si>
  <si>
    <t>SOLEIRA DE GRANITO, NA COR CINZA ANDORINHA, ESP. 2CM, ACABAMENTO POLIDO, ASSENTAMENTO COM ARGAMASSA INDUSTRIALIZADA, INCLUSIVE REJUNTAMENTO</t>
  </si>
  <si>
    <t xml:space="preserve"> 5.1.2 </t>
  </si>
  <si>
    <t>DESPENSA COZINHA</t>
  </si>
  <si>
    <t xml:space="preserve"> 5.1.2.1 </t>
  </si>
  <si>
    <t xml:space="preserve"> ED-50688 </t>
  </si>
  <si>
    <t>PRATELEIRA DE ARDÓSIA E = 2 CM APOIADA EM CONSOLE DE METALON 20 X 30 MM</t>
  </si>
  <si>
    <t xml:space="preserve"> 5.1.2.2 </t>
  </si>
  <si>
    <t xml:space="preserve"> 5.1.2.3 </t>
  </si>
  <si>
    <t xml:space="preserve"> 5.1.2.4 </t>
  </si>
  <si>
    <t xml:space="preserve"> 5.1.2.5 </t>
  </si>
  <si>
    <t xml:space="preserve"> 5.1.2.6 </t>
  </si>
  <si>
    <t xml:space="preserve"> 5.1.2.7 </t>
  </si>
  <si>
    <t xml:space="preserve"> 5.1.2.8 </t>
  </si>
  <si>
    <t xml:space="preserve"> 6 </t>
  </si>
  <si>
    <t>PINTURA</t>
  </si>
  <si>
    <t xml:space="preserve"> 6.1 </t>
  </si>
  <si>
    <t>ESCOLA BLOCO 2</t>
  </si>
  <si>
    <t xml:space="preserve"> 6.1.1 </t>
  </si>
  <si>
    <t>PAREDES INTERNAS</t>
  </si>
  <si>
    <t xml:space="preserve"> 6.1.1.1 </t>
  </si>
  <si>
    <t xml:space="preserve"> ED-50505 </t>
  </si>
  <si>
    <t>LIXAMENTO MANUAL EM PAREDE PARA REMOÇÃO DE TINTA</t>
  </si>
  <si>
    <t xml:space="preserve"> 6.1.1.2 </t>
  </si>
  <si>
    <t xml:space="preserve"> 104641 </t>
  </si>
  <si>
    <t>PINTURA LÁTEX ACRÍLICA ECONÔMICA, APLICAÇÃO MANUAL EM PAREDES, DUAS DEMÃOS. AF_04/2023</t>
  </si>
  <si>
    <t xml:space="preserve"> 6.1.1.3 </t>
  </si>
  <si>
    <t xml:space="preserve"> ED-50509 </t>
  </si>
  <si>
    <t>PINTURA ESMALTE EM SUPERFÍCIE DE CONCRETO/ALVENARIA, DUAS (2) DEMÃOS, EXCLUSIVE SELADOR ACRÍLICO E MASSA ACRÍLICA/CORRIDA (PVA) [BARRADO 1,20M COR CINZA PLATINA FOSCO]</t>
  </si>
  <si>
    <t xml:space="preserve"> 7 </t>
  </si>
  <si>
    <t>REFORMA BLOCO 2</t>
  </si>
  <si>
    <t xml:space="preserve"> 7.1 </t>
  </si>
  <si>
    <t xml:space="preserve"> 11142 </t>
  </si>
  <si>
    <t>Demolição de alvenaria de bloco de concreto de vedação - sem revestimento</t>
  </si>
  <si>
    <t xml:space="preserve"> 7.2 </t>
  </si>
  <si>
    <t xml:space="preserve"> 106122 </t>
  </si>
  <si>
    <t>REMOÇÃO DE ENTULHO CLASSE A (ALVENARIA, CONCRETO, ARGAMASSAS E CERÂMICOS) E ACONDICIONAMENTO FINAL EM CAÇAMBA ESTACIONÁRIA. EXCLUSO FRETE. AF_09/2025</t>
  </si>
  <si>
    <t xml:space="preserve"> 7.3 </t>
  </si>
  <si>
    <t xml:space="preserve"> 0201002161 </t>
  </si>
  <si>
    <t>LOCACAO DE CACAMBA (4M3) (7 DIAS)</t>
  </si>
  <si>
    <t xml:space="preserve"> 7.4 </t>
  </si>
  <si>
    <t xml:space="preserve"> 97663 </t>
  </si>
  <si>
    <t>REMOÇÃO DE LOUÇAS, DE FORMA MANUAL, SEM REAPROVEITAMENTO. AF_09/2023</t>
  </si>
  <si>
    <t xml:space="preserve"> 7.5 </t>
  </si>
  <si>
    <t xml:space="preserve"> 97645 </t>
  </si>
  <si>
    <t>REMOÇÃO DE JANELAS, DE FORMA MANUAL, SEM REAPROVEITAMENTO. AF_09/2023</t>
  </si>
  <si>
    <t xml:space="preserve"> 7.6 </t>
  </si>
  <si>
    <t xml:space="preserve"> 97644 </t>
  </si>
  <si>
    <t>REMOÇÃO DE PORTAS, DE FORMA MANUAL, SEM REAPROVEITAMENTO. AF_09/2023</t>
  </si>
  <si>
    <t xml:space="preserve"> 7.7 </t>
  </si>
  <si>
    <t xml:space="preserve"> 103369 </t>
  </si>
  <si>
    <t>ALVENARIA DE VEDAÇÃO DE BLOCOS CERÂMICOS FURADOS NA HORIZONTAL DE 14X19X39 CM (ESPESSURA 14 CM) E ARGAMASSA DE ASSENTAMENTO COM PREPARO MANUAL. AF_12/2021</t>
  </si>
  <si>
    <t xml:space="preserve"> 7.8 </t>
  </si>
  <si>
    <t xml:space="preserve"> 105023 </t>
  </si>
  <si>
    <t>VERGA MOLDADA IN LOCO EM CONCRETO, ESPESSURA DE *15* CM. AF_03/2024</t>
  </si>
  <si>
    <t>M</t>
  </si>
  <si>
    <t xml:space="preserve"> 7.9 </t>
  </si>
  <si>
    <t xml:space="preserve"> ED-50979 </t>
  </si>
  <si>
    <t>PORTA EM PERFIL E CHAPA METÁLICA, EXCLUSIVE FERRAGENS E PINTURA</t>
  </si>
  <si>
    <t xml:space="preserve"> 7.10 </t>
  </si>
  <si>
    <t xml:space="preserve"> 91304 </t>
  </si>
  <si>
    <t>FECHADURA DE EMBUTIR COM CILINDRO, EXTERNA, COMPLETA, ACABAMENTO PADRÃO POPULAR, INCLUSO EXECUÇÃO DE FURO - FORNECIMENTO E INSTALAÇÃO. AF_10/2025</t>
  </si>
  <si>
    <t xml:space="preserve"> 7.11 </t>
  </si>
  <si>
    <t xml:space="preserve"> 28.20.411 </t>
  </si>
  <si>
    <t>CPOS/CDHU</t>
  </si>
  <si>
    <t>Dobradiça em aço cromado de 3 1/2", para porta de até 21 kg</t>
  </si>
  <si>
    <t xml:space="preserve"> 7.12 </t>
  </si>
  <si>
    <t xml:space="preserve"> ED-50978 </t>
  </si>
  <si>
    <t>PORTA METÁLICA PARA SANITÁRIO EM CHAPA GALVANIZADA, ESP. 1,25MM (GSG 18), DIMENSÃO (60X180)CM, TIPO DE ABRIR, UMA (1) FOLHA, INCLUSIVE BATENTE, ESTRUTURA EM METALON (20X30)MM, DOBRADIÇA E TRANQUETA, EXCLUSIVE PINTURA</t>
  </si>
  <si>
    <t xml:space="preserve"> 7.13 </t>
  </si>
  <si>
    <t xml:space="preserve"> 023388 </t>
  </si>
  <si>
    <t>SBC</t>
  </si>
  <si>
    <t>FORNECIMENTO E COLOCACAO JANELA ALUMINIO PIVOTANTE</t>
  </si>
  <si>
    <t xml:space="preserve"> 7.14 </t>
  </si>
  <si>
    <t xml:space="preserve"> 102166 </t>
  </si>
  <si>
    <t>INSTALAÇÃO DE VIDRO LISO INCOLOR, E = 6 MM, EM ESQUADRIA DE ALUMÍNIO OU PVC, FIXADO COM BAGUETE. AF_11/2025</t>
  </si>
  <si>
    <t xml:space="preserve"> 7.15 </t>
  </si>
  <si>
    <t xml:space="preserve"> 32.06.231 </t>
  </si>
  <si>
    <t>Película de controle solar refletiva na cor prata, aplicado em vidros</t>
  </si>
  <si>
    <t xml:space="preserve"> 7.16 </t>
  </si>
  <si>
    <t xml:space="preserve"> 13961 </t>
  </si>
  <si>
    <t>Remoção de revestimento em placas mdf, sem reaproveitamento</t>
  </si>
  <si>
    <t xml:space="preserve"> 7.17 </t>
  </si>
  <si>
    <t xml:space="preserve"> 94995 </t>
  </si>
  <si>
    <t>EXECUÇÃO DE PASSEIO (CALÇADA) OU PISO DE CONCRETO COM CONCRETO MOLDADO IN LOCO, USINADO, ACABAMENTO CONVENCIONAL, ESPESSURA 8 CM, ARMADO. AF_08/2022</t>
  </si>
  <si>
    <t xml:space="preserve"> 7.18 </t>
  </si>
  <si>
    <t xml:space="preserve"> 104660 </t>
  </si>
  <si>
    <t>CONJUNTO DE PONTOS HIDRÁULICOS DE ÁGUA FRIA PARA BANHEIRO (RAMAL/SUB-RAMAL E DISTRIBUIÇÃO) EM PVC, COM TUBOS, CONEXÕES, REGISTROS, CORTES E FIXAÇÕES EM PRÉDIO COM TUBULAÇÕES EMBUTIDAS COM RASGO. AF_05/2023</t>
  </si>
  <si>
    <t xml:space="preserve"> 7.19 </t>
  </si>
  <si>
    <t xml:space="preserve"> 86932 </t>
  </si>
  <si>
    <t>VASO SANITÁRIO SIFONADO COM CAIXA ACOPLADA LOUÇA BRANCA - PADRÃO MÉDIO, INCLUSO ENGATE FLEXÍVEL EM METAL CROMADO, 1/2 X 40CM - FORNECIMENTO E INSTALAÇÃO. AF_01/2020</t>
  </si>
  <si>
    <t xml:space="preserve"> 7.20 </t>
  </si>
  <si>
    <t xml:space="preserve"> 102253 </t>
  </si>
  <si>
    <t>DIVISORIA SANITÁRIA, EM GRANITO CINZA POLIDO, ESP = 3CM, ASSENTADO COM ARGAMASSA COLANTE AC III-E. AF_10/2025</t>
  </si>
  <si>
    <t xml:space="preserve"> 7.21 </t>
  </si>
  <si>
    <t xml:space="preserve"> 44.01.100 </t>
  </si>
  <si>
    <t>Lavatório de louça sem coluna</t>
  </si>
  <si>
    <t xml:space="preserve"> 7.22 </t>
  </si>
  <si>
    <t xml:space="preserve"> 7.23 </t>
  </si>
  <si>
    <t xml:space="preserve"> 86901 </t>
  </si>
  <si>
    <t>CUBA DE EMBUTIR OVAL EM LOUÇA BRANCA, 35 X 50CM OU EQUIVALENTE - FORNECIMENTO E INSTALAÇÃO. AF_01/2020</t>
  </si>
  <si>
    <t xml:space="preserve"> 7.24 </t>
  </si>
  <si>
    <t xml:space="preserve"> ED-21627 </t>
  </si>
  <si>
    <t>RODABANCA/FRONTÃO PARA BANCADA EM GRANITO, COR CINZA ANDORINHA, ESP. 2CM, ALTURA DE 10CM, INCLUSIVE POLIMENTO DE ESPESSURA, EXCLUSIVE REJUNTAMENTO (FORNECIMENTO/FABRICAÇÃO)</t>
  </si>
  <si>
    <t xml:space="preserve"> 7.25 </t>
  </si>
  <si>
    <t xml:space="preserve"> ED-21636 </t>
  </si>
  <si>
    <t>TESTEIRA PARA BANCADA EM GRANITO, COR CINZA ANDORINHA, ESP. 2CM, ALTURA DE 10CM, INCLUSIVE POLIMENTO, CORTE/COLAGEM EM MEIA ESQUADRIA E MASSA PLÁSTICA NA COR DA PEDRA</t>
  </si>
  <si>
    <t xml:space="preserve"> 7.26 </t>
  </si>
  <si>
    <t xml:space="preserve"> ED-50329 </t>
  </si>
  <si>
    <t>TORNEIRA METÁLICA PARA LAVATÓRIO, FECHAMENTO AUTOMÁTICO, ACABAMENTO CROMADO, COM AREJADOR, APLICAÇÃO DE MESA, INCLUSIVE ENGATE FLEXÍVEL METÁLICO</t>
  </si>
  <si>
    <t xml:space="preserve"> 7.27 </t>
  </si>
  <si>
    <t xml:space="preserve"> C2272 </t>
  </si>
  <si>
    <t>SEINFRA</t>
  </si>
  <si>
    <t>SIFÃO DE PVC RÍGIDO D= 2"  (INSTALADO)</t>
  </si>
  <si>
    <t xml:space="preserve"> 7.28 </t>
  </si>
  <si>
    <t>SOLEIRA DE GRANITO, COR CINZA ANDORINHA, ESP. 2CM, ACABAMENTO POLIDO, ASSENTAMENTO COM ARGAMASSA INDUSTRIALIZADA, INCLUSIVE REJUNTAMENTO</t>
  </si>
  <si>
    <t xml:space="preserve"> 7.29 </t>
  </si>
  <si>
    <t xml:space="preserve"> 87263 </t>
  </si>
  <si>
    <t>REVESTIMENTO CERÂMICO PARA PISO COM PLACAS TIPO PORCELANATO DE DIMENSÕES 60X60 CM APLICADA EM AMBIENTES DE ÁREA MAIOR QUE 10 M². AF_02/2023_PE</t>
  </si>
  <si>
    <t xml:space="preserve"> 7.30 </t>
  </si>
  <si>
    <t xml:space="preserve"> 87273 </t>
  </si>
  <si>
    <t>REVESTIMENTO CERÂMICO PARA PAREDES INTERNAS COM PLACAS TIPO ESMALTADA DE DIMENSÕES 33X45 CM APLICADAS NA ALTURA INTEIRA DAS PAREDES. AF_02/2023_PE</t>
  </si>
  <si>
    <t xml:space="preserve"> 7.31 </t>
  </si>
  <si>
    <t xml:space="preserve"> 95547 </t>
  </si>
  <si>
    <t>SABONETEIRA PLASTICA TIPO DISPENSER PARA SABONETE LIQUIDO COM RESERVATORIO 800 A 1500 ML, INCLUSO FIXAÇÃO. AF_01/2020</t>
  </si>
  <si>
    <t xml:space="preserve"> 7.32 </t>
  </si>
  <si>
    <t xml:space="preserve"> C1996 </t>
  </si>
  <si>
    <t>PORTA TOALHA DE PAPEL - METALICO (INSTALADO)</t>
  </si>
  <si>
    <t xml:space="preserve"> 7.33 </t>
  </si>
  <si>
    <t xml:space="preserve"> 95544 </t>
  </si>
  <si>
    <t>PAPELEIRA DE PAREDE EM METAL CROMADO SEM TAMPA, INCLUSO FIXAÇÃO. AF_01/2020</t>
  </si>
  <si>
    <t xml:space="preserve"> 7.34 </t>
  </si>
  <si>
    <t xml:space="preserve"> 102148 </t>
  </si>
  <si>
    <t>ESPELHO CRISTAL, ESPESSURA 4 MM, SEM MOLDURA, APARAFUSADO COM BOTÃO DE ROSCA INTERNA, COM ÁREA MAIOR QUE 1,0 M2.. AF_11/2025</t>
  </si>
  <si>
    <t xml:space="preserve"> 7.35 </t>
  </si>
  <si>
    <t xml:space="preserve"> 230176 </t>
  </si>
  <si>
    <t>AGETOP CIVIL</t>
  </si>
  <si>
    <t>BARRA DE APOIO EM AÇO INOX - 80 CM</t>
  </si>
  <si>
    <t xml:space="preserve"> 7.36 </t>
  </si>
  <si>
    <t xml:space="preserve"> 230174 </t>
  </si>
  <si>
    <t>BARRA DE APOIO EM AÇO INOX - 50 CM</t>
  </si>
  <si>
    <t xml:space="preserve"> 7.37 </t>
  </si>
  <si>
    <t xml:space="preserve"> 106466 </t>
  </si>
  <si>
    <t>INSTALAÇÃO DE TELA DE ARAME GALVANIZADA, PARA ALAMBRADO COM TUBOS DE AÇO, QUADRANGULAR / LOSANGULAR, FIO 2,11 MM (14 BWG), MALHA 5 X 5 CM, H = 2 M. AF_12/2025</t>
  </si>
  <si>
    <t xml:space="preserve"> 7.38 </t>
  </si>
  <si>
    <t xml:space="preserve"> 94263 </t>
  </si>
  <si>
    <t>GUIA (MEIO-FIO) CONCRETO, MOLDADA IN LOCO EM TRECHO RETO COM EXTRUSORA, 13 CM BASE X 22 CM ALTURA. AF_01/2024</t>
  </si>
  <si>
    <t xml:space="preserve"> 7.39 </t>
  </si>
  <si>
    <t xml:space="preserve"> 106480 </t>
  </si>
  <si>
    <t>INSTALAÇÃO DE MOURÃO DE CONCRETO RETO, SEÇÃO QUADRADA *10 X 10* CM, H= 2,30 A 2,50 M. AF_12/2025</t>
  </si>
  <si>
    <t xml:space="preserve"> 8 </t>
  </si>
  <si>
    <t>LIMPEZA FINAL</t>
  </si>
  <si>
    <t xml:space="preserve"> 8.1 </t>
  </si>
  <si>
    <t xml:space="preserve"> 2450 </t>
  </si>
  <si>
    <t>Limpeza geral</t>
  </si>
  <si>
    <t xml:space="preserve">                 PREFEITURA MUNICIPAL DE BOA ESPERANÇA - MG.                                                                                                                                                                                                                                 Secretaria Municipal de Obras e Serviços Urbanos. </t>
  </si>
  <si>
    <t>PLANILHA ORÇAMENTÁRIA</t>
  </si>
  <si>
    <t>LICITAÇÃO Nº</t>
  </si>
  <si>
    <t>EDITAL Nº</t>
  </si>
  <si>
    <t>ÓRGÃO</t>
  </si>
  <si>
    <t>PREFEITURA MUNICIPAL DE BOA ESPERANÇA</t>
  </si>
  <si>
    <t>DATA DO ORÇAMENTO</t>
  </si>
  <si>
    <t>OBJETO</t>
  </si>
  <si>
    <t>LOTE</t>
  </si>
  <si>
    <t>ENDEREÇO</t>
  </si>
  <si>
    <t>MODALIDADE</t>
  </si>
  <si>
    <t>CONCORRÊNCIA</t>
  </si>
  <si>
    <t>REGIME DE EXECUÇÃO</t>
  </si>
  <si>
    <t>1 – Empreitada por Preço Global</t>
  </si>
  <si>
    <t>CIDADE</t>
  </si>
  <si>
    <t>BOA ESPERANÇA</t>
  </si>
  <si>
    <t>UF</t>
  </si>
  <si>
    <t>MG</t>
  </si>
  <si>
    <r>
      <t xml:space="preserve">DATA BASE DO ORÇAMENTO </t>
    </r>
    <r>
      <rPr>
        <sz val="10"/>
        <rFont val="Arial"/>
        <family val="2"/>
      </rPr>
      <t>(mês/ano)</t>
    </r>
  </si>
  <si>
    <t>DESONERAÇÃO</t>
  </si>
  <si>
    <t>ENCARGOS SOCIAIS - HORISTAS (%)</t>
  </si>
  <si>
    <t>BDI 1</t>
  </si>
  <si>
    <t>BDI 2</t>
  </si>
  <si>
    <t>Sim</t>
  </si>
  <si>
    <t>ENCARGOS SOCIAIS - MENSALISTAS (%)</t>
  </si>
  <si>
    <t>TOTAL COM BDI</t>
  </si>
  <si>
    <t>BOA ESPERANÇA, MG</t>
  </si>
  <si>
    <t>Local</t>
  </si>
  <si>
    <t>Data</t>
  </si>
  <si>
    <t>Prefeito Municipal</t>
  </si>
  <si>
    <t>AROLDO ROSA DE MEDEIROS</t>
  </si>
  <si>
    <t>Responsável Técnico</t>
  </si>
  <si>
    <t>CARLOS EDUARDO MARTINS DANDE</t>
  </si>
  <si>
    <t>CREA: 202.067/D-MG</t>
  </si>
  <si>
    <t>Reforma da Escola Municipal Rabin Gambogi (CAIC) e na Creche Municipal Tia Nicinha</t>
  </si>
  <si>
    <t xml:space="preserve">SINAPI - 01/2026 - 
SBC - 02/2026 - 
SICRO3 - 10/2025 - 
ORSE - 12/2025 - 
SEINFRA - 028 - 
SETOP - 10/2025 - 
IOPES - 12/2025 - 
SIURB - 07/2025 - 
SUDECAP - 10/2025 - 
CPOS/CDHU - 01/2026 - 
FDE - 10/2025 - 
AGESUL - 01/2026 - 
AGETOP CIVIL - 10/2025 - 
EMOP - 01/2026 - </t>
  </si>
  <si>
    <t xml:space="preserve">   PREFEITURA MUNICIPAL DE BOA ESPERANÇA - MG.                                                                                                    Secretaria Municipal de Obras e Serviços Urbanos. </t>
  </si>
  <si>
    <t>Conforme legislação tributária municipal, definir estimativa de percentual da base de cálculo para o ISS:</t>
  </si>
  <si>
    <t>Sobre a base de cálculo, definir a respectiva alíquota do ISS (entre 2% e 5%):</t>
  </si>
  <si>
    <t>TIPO DE OBRA</t>
  </si>
  <si>
    <t>Construção e Reforma de Edifícios</t>
  </si>
  <si>
    <t>Itens</t>
  </si>
  <si>
    <t>Siglas</t>
  </si>
  <si>
    <t>% Adotado</t>
  </si>
  <si>
    <t>Situação</t>
  </si>
  <si>
    <t>1º Quartil</t>
  </si>
  <si>
    <t>Médio</t>
  </si>
  <si>
    <t>3º Quartil</t>
  </si>
  <si>
    <t>AC</t>
  </si>
  <si>
    <t>-</t>
  </si>
  <si>
    <t>SG</t>
  </si>
  <si>
    <t>R</t>
  </si>
  <si>
    <t>DF</t>
  </si>
  <si>
    <t>L</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</si>
  <si>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</si>
  <si>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</si>
  <si>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</si>
  <si>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</si>
  <si>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</si>
  <si>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</si>
  <si>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</si>
  <si>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PAD</t>
  </si>
  <si>
    <t>BDI COM desoneração</t>
  </si>
  <si>
    <t>BDI DES</t>
  </si>
  <si>
    <t>Os valores de BDI foram calculados com o emprego da fórmula:</t>
  </si>
  <si>
    <t>BDI =</t>
  </si>
  <si>
    <t xml:space="preserve"> - 1</t>
  </si>
  <si>
    <t>(1-CP-ISS-CRPB)</t>
  </si>
  <si>
    <t>Declaro para os devidos fins que, conforme legislação tributária municipal, a base de cálculo deste tipo de obra corresponde à 50%, com a respectiva alíquota de 4,5%.</t>
  </si>
  <si>
    <t>Declaro para os devidos fins que o regime de Contribuição Previdenciária sobre a Receita Bruta adotado para elaboração do orçamento foi COM DESONERACAO, e que esta é a alternativa mais adequada para a Administração Pública.</t>
  </si>
  <si>
    <t>Observações:</t>
  </si>
  <si>
    <t>Nome:</t>
  </si>
  <si>
    <t>CREA/CAU:</t>
  </si>
  <si>
    <t>202.067/D-MG</t>
  </si>
  <si>
    <t>PLANILHA ORÇAMENTÁRIA Escola Municipal Rabin Gambogi (CAIC) e na Creche Municipal Tia Nicinha</t>
  </si>
  <si>
    <t xml:space="preserve">A N E X O   I </t>
  </si>
  <si>
    <t>CRONOGRAMA FÍSICO-FINANCEIRO</t>
  </si>
  <si>
    <t xml:space="preserve">VALOR DA OBRA:  </t>
  </si>
  <si>
    <t>DATA:</t>
  </si>
  <si>
    <t>OBRA:  REFORMA ESCOLA MUN. GABIN GAMBOGI - CAIC</t>
  </si>
  <si>
    <t xml:space="preserve">   LOCAL:</t>
  </si>
  <si>
    <t>ITEM</t>
  </si>
  <si>
    <t>ETAPAS/DESCRIÇÃO</t>
  </si>
  <si>
    <t>FÍSICO/ FINANCEIRO</t>
  </si>
  <si>
    <t>TOTAL  ETAPAS</t>
  </si>
  <si>
    <t>MÊS 1</t>
  </si>
  <si>
    <t>MÊS 2</t>
  </si>
  <si>
    <t>MÊS 3</t>
  </si>
  <si>
    <t>Físico %</t>
  </si>
  <si>
    <t>Financeiro</t>
  </si>
  <si>
    <t>TOTAL</t>
  </si>
  <si>
    <t>RUA TONICO RODRIGUES, 480, FREDERICO OZANAN -  BOA ESPERANÇA-MG</t>
  </si>
  <si>
    <t>RUA TONICO RODRIGUES, 480, FREDERICO OZANAM</t>
  </si>
  <si>
    <r>
      <rPr>
        <b/>
        <sz val="16"/>
        <rFont val="Arial"/>
        <family val="2"/>
      </rPr>
      <t>PREFEITURA MUNICIPAL DE BOA ESPERANÇA  -  MG.
Secretaria Municipal de Obras e Serviços Urbanos.</t>
    </r>
    <r>
      <rPr>
        <sz val="16"/>
        <rFont val="Arial"/>
        <family val="2"/>
      </rPr>
      <t xml:space="preserve"> </t>
    </r>
  </si>
</sst>
</file>

<file path=xl/styles.xml><?xml version="1.0" encoding="utf-8"?>
<styleSheet xmlns="http://schemas.openxmlformats.org/spreadsheetml/2006/main">
  <numFmts count="8">
    <numFmt numFmtId="164" formatCode="yyyy/mm/dd"/>
    <numFmt numFmtId="165" formatCode="#,##0.00\ %"/>
    <numFmt numFmtId="166" formatCode="&quot;R$&quot;\ #,##0.00"/>
    <numFmt numFmtId="167" formatCode="_(&quot;R$ &quot;* #,##0.00_);_(&quot;R$ &quot;* \(#,##0.00\);_(&quot;R$ &quot;* \-??_);_(@_)"/>
    <numFmt numFmtId="168" formatCode="General;General"/>
    <numFmt numFmtId="169" formatCode="[$-F800]dddd\,\ mmmm\ dd\,\ yyyy"/>
    <numFmt numFmtId="170" formatCode="dd&quot; de &quot;mmmm&quot; de &quot;yyyy"/>
    <numFmt numFmtId="171" formatCode="&quot;R$ &quot;#,##0.00"/>
  </numFmts>
  <fonts count="43">
    <font>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sz val="10"/>
      <name val="Arial"/>
      <family val="1"/>
    </font>
    <font>
      <sz val="11"/>
      <name val="Arial"/>
      <family val="1"/>
    </font>
    <font>
      <b/>
      <sz val="11"/>
      <color theme="1"/>
      <name val="Calibri"/>
      <family val="2"/>
      <scheme val="minor"/>
    </font>
    <font>
      <b/>
      <sz val="14"/>
      <name val="Times New Roman"/>
      <family val="1"/>
    </font>
    <font>
      <b/>
      <sz val="16"/>
      <color theme="1"/>
      <name val="Calibri"/>
      <family val="2"/>
      <scheme val="minor"/>
    </font>
    <font>
      <sz val="10"/>
      <name val="Arial"/>
      <family val="2"/>
    </font>
    <font>
      <b/>
      <sz val="11"/>
      <name val="Calibri"/>
      <family val="2"/>
      <scheme val="minor"/>
    </font>
    <font>
      <b/>
      <sz val="10"/>
      <color theme="1"/>
      <name val="Calibri"/>
      <family val="2"/>
      <scheme val="minor"/>
    </font>
    <font>
      <b/>
      <sz val="16"/>
      <name val="Times New Roman"/>
      <family val="1"/>
    </font>
    <font>
      <b/>
      <sz val="15"/>
      <name val="Times New Roman"/>
      <family val="1"/>
    </font>
    <font>
      <sz val="10"/>
      <color theme="1"/>
      <name val="Times New Roman"/>
      <family val="1"/>
    </font>
    <font>
      <b/>
      <sz val="10"/>
      <name val="Times New Roman"/>
      <family val="1"/>
    </font>
    <font>
      <b/>
      <sz val="10"/>
      <color theme="1"/>
      <name val="Times New Roman"/>
      <family val="1"/>
    </font>
    <font>
      <sz val="10"/>
      <name val="Times New Roman"/>
      <family val="1"/>
    </font>
    <font>
      <sz val="9"/>
      <name val="Arial"/>
      <family val="2"/>
    </font>
    <font>
      <b/>
      <sz val="10"/>
      <color indexed="10"/>
      <name val="Times New Roman"/>
      <family val="1"/>
    </font>
    <font>
      <sz val="10"/>
      <color indexed="10"/>
      <name val="Times New Roman"/>
      <family val="1"/>
    </font>
    <font>
      <i/>
      <sz val="10"/>
      <name val="Times New Roman"/>
      <family val="1"/>
    </font>
    <font>
      <i/>
      <u/>
      <sz val="10"/>
      <name val="Times New Roman"/>
      <family val="1"/>
    </font>
    <font>
      <u/>
      <sz val="10"/>
      <name val="Times New Roman"/>
      <family val="1"/>
    </font>
    <font>
      <b/>
      <sz val="12"/>
      <name val="Arial"/>
      <family val="2"/>
    </font>
    <font>
      <b/>
      <sz val="10"/>
      <name val="Arial"/>
      <family val="2"/>
    </font>
    <font>
      <sz val="9"/>
      <color indexed="8"/>
      <name val="Arial"/>
      <family val="2"/>
    </font>
    <font>
      <b/>
      <sz val="9"/>
      <color indexed="8"/>
      <name val="Arial"/>
      <family val="2"/>
    </font>
    <font>
      <b/>
      <sz val="16"/>
      <name val="Arial"/>
      <family val="2"/>
    </font>
    <font>
      <sz val="16"/>
      <name val="Arial"/>
      <family val="2"/>
    </font>
  </fonts>
  <fills count="23">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C000"/>
        <bgColor rgb="FFFFC000"/>
      </patternFill>
    </fill>
    <fill>
      <patternFill patternType="solid">
        <fgColor rgb="FFFFC000"/>
        <bgColor rgb="FFFFC000"/>
      </patternFill>
    </fill>
    <fill>
      <patternFill patternType="solid">
        <fgColor rgb="FFFFC000"/>
        <bgColor rgb="FFFFC000"/>
      </patternFill>
    </fill>
    <fill>
      <patternFill patternType="solid">
        <fgColor rgb="FFFFC000"/>
        <bgColor rgb="FFFFC000"/>
      </patternFill>
    </fill>
    <fill>
      <patternFill patternType="solid">
        <fgColor rgb="FFFFC000"/>
        <bgColor rgb="FFFFC000"/>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indexed="55"/>
        <bgColor indexed="64"/>
      </patternFill>
    </fill>
    <fill>
      <patternFill patternType="solid">
        <fgColor indexed="43"/>
        <bgColor indexed="26"/>
      </patternFill>
    </fill>
    <fill>
      <patternFill patternType="solid">
        <fgColor indexed="31"/>
        <bgColor indexed="42"/>
      </patternFill>
    </fill>
    <fill>
      <patternFill patternType="solid">
        <fgColor indexed="22"/>
        <bgColor indexed="44"/>
      </patternFill>
    </fill>
    <fill>
      <patternFill patternType="solid">
        <fgColor indexed="9"/>
        <bgColor indexed="64"/>
      </patternFill>
    </fill>
    <fill>
      <patternFill patternType="solid">
        <fgColor theme="0" tint="-4.9989318521683403E-2"/>
        <bgColor indexed="64"/>
      </patternFill>
    </fill>
  </fills>
  <borders count="76">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auto="1"/>
      </left>
      <right/>
      <top style="medium">
        <color auto="1"/>
      </top>
      <bottom style="medium">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thick">
        <color auto="1"/>
      </left>
      <right style="thick">
        <color auto="1"/>
      </right>
      <top style="medium">
        <color auto="1"/>
      </top>
      <bottom/>
      <diagonal/>
    </border>
    <border>
      <left style="thick">
        <color auto="1"/>
      </left>
      <right style="medium">
        <color auto="1"/>
      </right>
      <top style="medium">
        <color auto="1"/>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ck">
        <color auto="1"/>
      </left>
      <right style="thick">
        <color auto="1"/>
      </right>
      <top/>
      <bottom style="thick">
        <color auto="1"/>
      </bottom>
      <diagonal/>
    </border>
    <border>
      <left style="thick">
        <color auto="1"/>
      </left>
      <right style="medium">
        <color auto="1"/>
      </right>
      <top/>
      <bottom style="thick">
        <color auto="1"/>
      </bottom>
      <diagonal/>
    </border>
    <border>
      <left style="medium">
        <color auto="1"/>
      </left>
      <right style="medium">
        <color auto="1"/>
      </right>
      <top/>
      <bottom style="thick">
        <color auto="1"/>
      </bottom>
      <diagonal/>
    </border>
    <border>
      <left style="medium">
        <color auto="1"/>
      </left>
      <right/>
      <top style="thin">
        <color auto="1"/>
      </top>
      <bottom style="thick">
        <color auto="1"/>
      </bottom>
      <diagonal/>
    </border>
    <border>
      <left/>
      <right style="medium">
        <color auto="1"/>
      </right>
      <top style="thin">
        <color auto="1"/>
      </top>
      <bottom style="thick">
        <color auto="1"/>
      </bottom>
      <diagonal/>
    </border>
    <border>
      <left style="medium">
        <color auto="1"/>
      </left>
      <right/>
      <top/>
      <bottom style="thick">
        <color auto="1"/>
      </bottom>
      <diagonal/>
    </border>
    <border>
      <left/>
      <right style="medium">
        <color auto="1"/>
      </right>
      <top/>
      <bottom style="thick">
        <color auto="1"/>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right/>
      <top/>
      <bottom style="medium">
        <color indexed="64"/>
      </bottom>
      <diagonal/>
    </border>
    <border>
      <left/>
      <right/>
      <top style="medium">
        <color indexed="64"/>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top/>
      <bottom style="thin">
        <color indexed="8"/>
      </bottom>
      <diagonal/>
    </border>
    <border>
      <left/>
      <right/>
      <top style="thin">
        <color indexed="8"/>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s>
  <cellStyleXfs count="5">
    <xf numFmtId="0" fontId="0" fillId="0" borderId="0"/>
    <xf numFmtId="9" fontId="18" fillId="0" borderId="0" applyFont="0" applyFill="0" applyBorder="0" applyAlignment="0" applyProtection="0"/>
    <xf numFmtId="0" fontId="22" fillId="0" borderId="0"/>
    <xf numFmtId="0" fontId="31" fillId="0" borderId="0"/>
    <xf numFmtId="164" fontId="22" fillId="0" borderId="0" applyFill="0" applyBorder="0" applyAlignment="0" applyProtection="0"/>
  </cellStyleXfs>
  <cellXfs count="230">
    <xf numFmtId="0" fontId="0" fillId="0" borderId="0" xfId="0"/>
    <xf numFmtId="0" fontId="1" fillId="2" borderId="1" xfId="0" applyFont="1" applyFill="1" applyBorder="1" applyAlignment="1">
      <alignment horizontal="left" vertical="top" wrapText="1"/>
    </xf>
    <xf numFmtId="0" fontId="2" fillId="3" borderId="2" xfId="0" applyFont="1" applyFill="1" applyBorder="1" applyAlignment="1">
      <alignment horizontal="center" vertical="top" wrapText="1"/>
    </xf>
    <xf numFmtId="0" fontId="3" fillId="4" borderId="3" xfId="0" applyFont="1" applyFill="1" applyBorder="1" applyAlignment="1">
      <alignment horizontal="right" vertical="top" wrapText="1"/>
    </xf>
    <xf numFmtId="0" fontId="4" fillId="5" borderId="4" xfId="0" applyFont="1" applyFill="1" applyBorder="1" applyAlignment="1">
      <alignment horizontal="left" vertical="top" wrapText="1"/>
    </xf>
    <xf numFmtId="0" fontId="5" fillId="6" borderId="5" xfId="0" applyFont="1" applyFill="1" applyBorder="1" applyAlignment="1">
      <alignment horizontal="center" vertical="top" wrapText="1"/>
    </xf>
    <xf numFmtId="0" fontId="6" fillId="7" borderId="6" xfId="0" applyFont="1" applyFill="1" applyBorder="1" applyAlignment="1">
      <alignment horizontal="right" vertical="top" wrapText="1"/>
    </xf>
    <xf numFmtId="4" fontId="7" fillId="8" borderId="7" xfId="0" applyNumberFormat="1" applyFont="1" applyFill="1" applyBorder="1" applyAlignment="1">
      <alignment horizontal="right" vertical="top" wrapText="1"/>
    </xf>
    <xf numFmtId="165" fontId="8" fillId="9" borderId="8" xfId="0" applyNumberFormat="1" applyFont="1" applyFill="1" applyBorder="1" applyAlignment="1">
      <alignment horizontal="right" vertical="top" wrapText="1"/>
    </xf>
    <xf numFmtId="0" fontId="14" fillId="10" borderId="0" xfId="0" applyFont="1" applyFill="1" applyAlignment="1">
      <alignment horizontal="left" vertical="top" wrapText="1"/>
    </xf>
    <xf numFmtId="4" fontId="15" fillId="11" borderId="0" xfId="0" applyNumberFormat="1" applyFont="1" applyFill="1" applyAlignment="1">
      <alignment horizontal="right" vertical="top" wrapText="1"/>
    </xf>
    <xf numFmtId="165" fontId="16" fillId="12" borderId="0" xfId="0" applyNumberFormat="1" applyFont="1" applyFill="1" applyAlignment="1">
      <alignment horizontal="right" vertical="top" wrapText="1"/>
    </xf>
    <xf numFmtId="0" fontId="17" fillId="13" borderId="0" xfId="0" applyFont="1" applyFill="1" applyAlignment="1">
      <alignment horizontal="center" vertical="top" wrapText="1"/>
    </xf>
    <xf numFmtId="2" fontId="19" fillId="14" borderId="18" xfId="0" applyNumberFormat="1" applyFont="1" applyFill="1" applyBorder="1" applyAlignment="1">
      <alignment horizontal="left" vertical="center"/>
    </xf>
    <xf numFmtId="166" fontId="0" fillId="0" borderId="19" xfId="0" applyNumberFormat="1" applyFill="1" applyBorder="1" applyAlignment="1">
      <alignment horizontal="center" vertical="center"/>
    </xf>
    <xf numFmtId="0" fontId="19" fillId="14" borderId="18" xfId="0" applyNumberFormat="1" applyFont="1" applyFill="1" applyBorder="1" applyAlignment="1">
      <alignment horizontal="left" vertical="center"/>
    </xf>
    <xf numFmtId="0" fontId="19" fillId="14" borderId="17" xfId="0" applyNumberFormat="1" applyFont="1" applyFill="1" applyBorder="1" applyAlignment="1">
      <alignment horizontal="left" vertical="center"/>
    </xf>
    <xf numFmtId="0" fontId="23" fillId="14" borderId="14" xfId="0" applyNumberFormat="1" applyFont="1" applyFill="1" applyBorder="1" applyAlignment="1">
      <alignment horizontal="left" vertical="center" wrapText="1"/>
    </xf>
    <xf numFmtId="0" fontId="19" fillId="14" borderId="14" xfId="0" applyNumberFormat="1" applyFont="1" applyFill="1" applyBorder="1" applyAlignment="1">
      <alignment horizontal="left" vertical="center"/>
    </xf>
    <xf numFmtId="0" fontId="22" fillId="0" borderId="15" xfId="0" applyNumberFormat="1" applyFont="1" applyFill="1" applyBorder="1" applyAlignment="1">
      <alignment vertical="center"/>
    </xf>
    <xf numFmtId="0" fontId="19" fillId="14" borderId="14" xfId="0" applyNumberFormat="1" applyFont="1" applyFill="1" applyBorder="1" applyAlignment="1">
      <alignment horizontal="left" vertical="center" wrapText="1"/>
    </xf>
    <xf numFmtId="2" fontId="19" fillId="14" borderId="14" xfId="0" applyNumberFormat="1" applyFont="1" applyFill="1" applyBorder="1" applyAlignment="1">
      <alignment horizontal="left" vertical="center"/>
    </xf>
    <xf numFmtId="166" fontId="22" fillId="0" borderId="15" xfId="0" applyNumberFormat="1" applyFont="1" applyFill="1" applyBorder="1" applyAlignment="1">
      <alignment horizontal="center" vertical="center" wrapText="1"/>
    </xf>
    <xf numFmtId="0" fontId="24" fillId="14" borderId="22" xfId="0" applyNumberFormat="1" applyFont="1" applyFill="1" applyBorder="1" applyAlignment="1">
      <alignment horizontal="center" vertical="center"/>
    </xf>
    <xf numFmtId="0" fontId="19" fillId="14" borderId="23" xfId="0" applyNumberFormat="1" applyFont="1" applyFill="1" applyBorder="1" applyAlignment="1">
      <alignment horizontal="left" vertical="center" wrapText="1"/>
    </xf>
    <xf numFmtId="0" fontId="0" fillId="0" borderId="24" xfId="0" applyNumberFormat="1" applyFill="1" applyBorder="1" applyAlignment="1">
      <alignment horizontal="center" vertical="center"/>
    </xf>
    <xf numFmtId="0" fontId="19" fillId="0" borderId="29" xfId="0" applyNumberFormat="1" applyFont="1" applyFill="1" applyBorder="1" applyAlignment="1">
      <alignment horizontal="center" vertical="center"/>
    </xf>
    <xf numFmtId="0" fontId="19" fillId="14" borderId="30" xfId="0" applyNumberFormat="1" applyFont="1" applyFill="1" applyBorder="1" applyAlignment="1">
      <alignment horizontal="left" vertical="center" wrapText="1"/>
    </xf>
    <xf numFmtId="0" fontId="0" fillId="0" borderId="31" xfId="0" applyNumberFormat="1" applyFill="1" applyBorder="1" applyAlignment="1">
      <alignment horizontal="center" vertical="center"/>
    </xf>
    <xf numFmtId="0" fontId="9" fillId="0" borderId="9" xfId="0" applyFont="1" applyFill="1" applyBorder="1" applyAlignment="1">
      <alignment horizontal="left" vertical="top" wrapText="1"/>
    </xf>
    <xf numFmtId="0" fontId="10" fillId="0" borderId="10" xfId="0" applyFont="1" applyFill="1" applyBorder="1" applyAlignment="1">
      <alignment horizontal="center" vertical="top" wrapText="1"/>
    </xf>
    <xf numFmtId="0" fontId="11" fillId="0" borderId="11" xfId="0" applyFont="1" applyFill="1" applyBorder="1" applyAlignment="1">
      <alignment horizontal="right" vertical="top" wrapText="1"/>
    </xf>
    <xf numFmtId="4" fontId="12" fillId="0" borderId="12" xfId="0" applyNumberFormat="1" applyFont="1" applyFill="1" applyBorder="1" applyAlignment="1">
      <alignment horizontal="right" vertical="top" wrapText="1"/>
    </xf>
    <xf numFmtId="165" fontId="13" fillId="0" borderId="13" xfId="0" applyNumberFormat="1" applyFont="1" applyFill="1" applyBorder="1" applyAlignment="1">
      <alignment horizontal="right" vertical="top" wrapText="1"/>
    </xf>
    <xf numFmtId="0" fontId="0" fillId="0" borderId="0" xfId="0" applyFill="1"/>
    <xf numFmtId="9" fontId="0" fillId="14" borderId="34" xfId="0" applyNumberFormat="1" applyFill="1" applyBorder="1"/>
    <xf numFmtId="0" fontId="27" fillId="0" borderId="25" xfId="2" applyNumberFormat="1" applyFont="1" applyBorder="1" applyProtection="1"/>
    <xf numFmtId="0" fontId="27" fillId="0" borderId="0" xfId="2" applyNumberFormat="1" applyFont="1" applyBorder="1" applyProtection="1"/>
    <xf numFmtId="2" fontId="27" fillId="0" borderId="0" xfId="2" applyNumberFormat="1" applyFont="1" applyBorder="1" applyProtection="1"/>
    <xf numFmtId="166" fontId="27" fillId="0" borderId="0" xfId="2" applyNumberFormat="1" applyFont="1" applyBorder="1" applyAlignment="1" applyProtection="1">
      <alignment horizontal="center" vertical="center"/>
    </xf>
    <xf numFmtId="0" fontId="0" fillId="0" borderId="35" xfId="0" applyBorder="1"/>
    <xf numFmtId="0" fontId="27" fillId="0" borderId="36" xfId="2" applyNumberFormat="1" applyFont="1" applyFill="1" applyBorder="1" applyAlignment="1" applyProtection="1"/>
    <xf numFmtId="0" fontId="27" fillId="0" borderId="0" xfId="2" applyNumberFormat="1" applyFont="1" applyFill="1" applyBorder="1" applyAlignment="1" applyProtection="1"/>
    <xf numFmtId="0" fontId="28" fillId="0" borderId="36" xfId="2" applyNumberFormat="1" applyFont="1" applyBorder="1" applyAlignment="1" applyProtection="1">
      <alignment vertical="center"/>
    </xf>
    <xf numFmtId="0" fontId="28" fillId="0" borderId="0" xfId="2" applyNumberFormat="1" applyFont="1" applyBorder="1" applyAlignment="1" applyProtection="1">
      <alignment vertical="center"/>
    </xf>
    <xf numFmtId="0" fontId="28" fillId="0" borderId="0" xfId="2" applyNumberFormat="1" applyFont="1" applyBorder="1" applyAlignment="1" applyProtection="1">
      <alignment horizontal="left"/>
    </xf>
    <xf numFmtId="0" fontId="27" fillId="0" borderId="36" xfId="2" applyNumberFormat="1" applyFont="1" applyBorder="1" applyProtection="1"/>
    <xf numFmtId="0" fontId="28" fillId="0" borderId="37" xfId="2" applyNumberFormat="1" applyFont="1" applyBorder="1" applyAlignment="1" applyProtection="1">
      <alignment vertical="center"/>
    </xf>
    <xf numFmtId="0" fontId="27" fillId="0" borderId="36" xfId="2" applyNumberFormat="1" applyFont="1" applyBorder="1" applyAlignment="1" applyProtection="1">
      <alignment vertical="center"/>
    </xf>
    <xf numFmtId="0" fontId="27" fillId="0" borderId="0" xfId="2" applyNumberFormat="1" applyFont="1" applyBorder="1" applyAlignment="1" applyProtection="1">
      <alignment vertical="center"/>
    </xf>
    <xf numFmtId="0" fontId="27" fillId="0" borderId="0" xfId="2" applyNumberFormat="1" applyFont="1" applyBorder="1" applyAlignment="1" applyProtection="1">
      <alignment horizontal="center" vertical="center"/>
    </xf>
    <xf numFmtId="0" fontId="29" fillId="0" borderId="36" xfId="2" applyNumberFormat="1" applyFont="1" applyBorder="1" applyAlignment="1" applyProtection="1">
      <alignment horizontal="left" vertical="center"/>
    </xf>
    <xf numFmtId="0" fontId="27" fillId="0" borderId="0" xfId="2" applyNumberFormat="1" applyFont="1" applyBorder="1" applyAlignment="1" applyProtection="1">
      <alignment horizontal="left" vertical="center"/>
    </xf>
    <xf numFmtId="0" fontId="29" fillId="0" borderId="0" xfId="2" applyNumberFormat="1" applyFont="1" applyBorder="1" applyAlignment="1" applyProtection="1">
      <alignment horizontal="center" vertical="center"/>
    </xf>
    <xf numFmtId="0" fontId="29" fillId="0" borderId="18" xfId="2" applyNumberFormat="1" applyFont="1" applyBorder="1" applyAlignment="1" applyProtection="1">
      <alignment horizontal="left" vertical="center"/>
    </xf>
    <xf numFmtId="0" fontId="27" fillId="0" borderId="37" xfId="2" applyNumberFormat="1" applyFont="1" applyBorder="1" applyAlignment="1" applyProtection="1">
      <alignment horizontal="left" vertical="center"/>
    </xf>
    <xf numFmtId="2" fontId="27" fillId="0" borderId="37" xfId="2" applyNumberFormat="1" applyFont="1" applyBorder="1" applyProtection="1"/>
    <xf numFmtId="166" fontId="27" fillId="0" borderId="37" xfId="2" applyNumberFormat="1" applyFont="1" applyBorder="1" applyAlignment="1" applyProtection="1">
      <alignment horizontal="center" vertical="center"/>
    </xf>
    <xf numFmtId="0" fontId="27" fillId="0" borderId="37" xfId="2" applyNumberFormat="1" applyFont="1" applyBorder="1" applyProtection="1"/>
    <xf numFmtId="0" fontId="0" fillId="0" borderId="19" xfId="0" applyBorder="1"/>
    <xf numFmtId="4" fontId="26" fillId="15" borderId="34" xfId="0" applyNumberFormat="1" applyFont="1" applyFill="1" applyBorder="1" applyAlignment="1">
      <alignment horizontal="right"/>
    </xf>
    <xf numFmtId="0" fontId="30" fillId="16" borderId="0" xfId="0" applyFont="1" applyFill="1" applyBorder="1" applyAlignment="1"/>
    <xf numFmtId="0" fontId="30" fillId="16" borderId="0" xfId="0" applyFont="1" applyFill="1" applyBorder="1"/>
    <xf numFmtId="0" fontId="30" fillId="16" borderId="0" xfId="0" applyFont="1" applyFill="1" applyBorder="1" applyAlignment="1">
      <alignment horizontal="center"/>
    </xf>
    <xf numFmtId="0" fontId="30" fillId="16" borderId="0" xfId="0" applyFont="1" applyFill="1" applyBorder="1" applyAlignment="1">
      <alignment horizontal="left"/>
    </xf>
    <xf numFmtId="0" fontId="27" fillId="0" borderId="0" xfId="2" applyFont="1" applyProtection="1"/>
    <xf numFmtId="0" fontId="30" fillId="0" borderId="0" xfId="0" applyFont="1"/>
    <xf numFmtId="0" fontId="29" fillId="16" borderId="0" xfId="0" applyFont="1" applyFill="1" applyBorder="1"/>
    <xf numFmtId="0" fontId="30" fillId="0" borderId="39" xfId="2" applyFont="1" applyBorder="1" applyAlignment="1" applyProtection="1">
      <alignment horizontal="center" vertical="center"/>
    </xf>
    <xf numFmtId="10" fontId="30" fillId="18" borderId="39" xfId="2" applyNumberFormat="1" applyFont="1" applyFill="1" applyBorder="1" applyAlignment="1" applyProtection="1">
      <alignment horizontal="center" vertical="center"/>
      <protection locked="0"/>
    </xf>
    <xf numFmtId="10" fontId="30" fillId="0" borderId="39" xfId="2" applyNumberFormat="1" applyFont="1" applyFill="1" applyBorder="1" applyAlignment="1" applyProtection="1">
      <alignment horizontal="center" vertical="center"/>
    </xf>
    <xf numFmtId="10" fontId="30" fillId="0" borderId="39" xfId="2" applyNumberFormat="1" applyFont="1" applyFill="1" applyBorder="1" applyAlignment="1" applyProtection="1">
      <alignment horizontal="center" vertical="center" wrapText="1"/>
    </xf>
    <xf numFmtId="0" fontId="30" fillId="0" borderId="39" xfId="2" applyFont="1" applyFill="1" applyBorder="1" applyAlignment="1" applyProtection="1">
      <alignment horizontal="center" vertical="center" wrapText="1"/>
    </xf>
    <xf numFmtId="0" fontId="30" fillId="20" borderId="39" xfId="2" applyFont="1" applyFill="1" applyBorder="1" applyAlignment="1" applyProtection="1">
      <alignment horizontal="center" vertical="center" wrapText="1"/>
    </xf>
    <xf numFmtId="10" fontId="28" fillId="20" borderId="39" xfId="2" applyNumberFormat="1" applyFont="1" applyFill="1" applyBorder="1" applyAlignment="1" applyProtection="1">
      <alignment horizontal="center" vertical="center"/>
    </xf>
    <xf numFmtId="0" fontId="32" fillId="0" borderId="0" xfId="2" applyFont="1" applyBorder="1" applyAlignment="1" applyProtection="1">
      <alignment horizontal="right" vertical="center"/>
    </xf>
    <xf numFmtId="0" fontId="27" fillId="0" borderId="0" xfId="2" applyFont="1" applyBorder="1" applyAlignment="1" applyProtection="1">
      <alignment horizontal="center" vertical="top"/>
    </xf>
    <xf numFmtId="0" fontId="36" fillId="0" borderId="0" xfId="2" applyFont="1" applyBorder="1" applyAlignment="1" applyProtection="1">
      <alignment horizontal="center" vertical="top"/>
    </xf>
    <xf numFmtId="168" fontId="27" fillId="0" borderId="42" xfId="2" applyNumberFormat="1" applyFont="1" applyFill="1" applyBorder="1" applyAlignment="1" applyProtection="1"/>
    <xf numFmtId="170" fontId="27" fillId="0" borderId="0" xfId="2" applyNumberFormat="1" applyFont="1" applyAlignment="1" applyProtection="1"/>
    <xf numFmtId="0" fontId="28" fillId="0" borderId="43" xfId="2" applyFont="1" applyBorder="1" applyAlignment="1" applyProtection="1">
      <alignment horizontal="left"/>
    </xf>
    <xf numFmtId="0" fontId="27" fillId="0" borderId="43" xfId="2" applyFont="1" applyBorder="1" applyProtection="1"/>
    <xf numFmtId="0" fontId="28" fillId="0" borderId="42" xfId="2" applyFont="1" applyBorder="1" applyAlignment="1" applyProtection="1">
      <alignment vertical="center"/>
    </xf>
    <xf numFmtId="0" fontId="30" fillId="0" borderId="0" xfId="2" applyFont="1" applyBorder="1" applyProtection="1"/>
    <xf numFmtId="0" fontId="27" fillId="0" borderId="43" xfId="2" applyFont="1" applyBorder="1" applyAlignment="1" applyProtection="1">
      <alignment vertical="center"/>
    </xf>
    <xf numFmtId="0" fontId="27" fillId="0" borderId="0" xfId="2" applyFont="1" applyBorder="1" applyProtection="1"/>
    <xf numFmtId="0" fontId="29" fillId="0" borderId="0" xfId="2" applyFont="1" applyBorder="1" applyAlignment="1" applyProtection="1">
      <alignment horizontal="left" vertical="center"/>
    </xf>
    <xf numFmtId="0" fontId="27" fillId="0" borderId="0" xfId="2" applyFont="1" applyBorder="1" applyAlignment="1" applyProtection="1">
      <alignment horizontal="left" vertical="center"/>
    </xf>
    <xf numFmtId="0" fontId="0" fillId="21" borderId="14" xfId="0" applyFill="1" applyBorder="1" applyAlignment="1"/>
    <xf numFmtId="0" fontId="0" fillId="21" borderId="15" xfId="0" applyFill="1" applyBorder="1" applyAlignment="1"/>
    <xf numFmtId="0" fontId="38" fillId="21" borderId="50" xfId="0" applyFont="1" applyFill="1" applyBorder="1" applyAlignment="1">
      <alignment vertical="center"/>
    </xf>
    <xf numFmtId="14" fontId="22" fillId="21" borderId="47" xfId="0" applyNumberFormat="1" applyFont="1" applyFill="1" applyBorder="1" applyAlignment="1">
      <alignment horizontal="left" vertical="center"/>
    </xf>
    <xf numFmtId="0" fontId="38" fillId="21" borderId="54" xfId="0" applyFont="1" applyFill="1" applyBorder="1" applyAlignment="1">
      <alignment vertical="center"/>
    </xf>
    <xf numFmtId="0" fontId="38" fillId="21" borderId="52" xfId="0" applyFont="1" applyFill="1" applyBorder="1" applyAlignment="1">
      <alignment vertical="center"/>
    </xf>
    <xf numFmtId="0" fontId="38" fillId="21" borderId="55" xfId="0" applyFont="1" applyFill="1" applyBorder="1" applyAlignment="1">
      <alignment vertical="center"/>
    </xf>
    <xf numFmtId="0" fontId="38" fillId="21" borderId="56" xfId="0" applyFont="1" applyFill="1" applyBorder="1" applyAlignment="1">
      <alignment horizontal="center" vertical="center"/>
    </xf>
    <xf numFmtId="0" fontId="38" fillId="21" borderId="50" xfId="0" applyFont="1" applyFill="1" applyBorder="1" applyAlignment="1">
      <alignment horizontal="center" vertical="center" wrapText="1"/>
    </xf>
    <xf numFmtId="0" fontId="38" fillId="0" borderId="50" xfId="0" applyFont="1" applyFill="1" applyBorder="1" applyAlignment="1">
      <alignment horizontal="center" vertical="center"/>
    </xf>
    <xf numFmtId="0" fontId="38" fillId="21" borderId="57" xfId="0" applyFont="1" applyFill="1" applyBorder="1" applyAlignment="1">
      <alignment horizontal="center" vertical="center"/>
    </xf>
    <xf numFmtId="49" fontId="39" fillId="21" borderId="61" xfId="0" applyNumberFormat="1" applyFont="1" applyFill="1" applyBorder="1" applyAlignment="1">
      <alignment horizontal="center" vertical="top" wrapText="1"/>
    </xf>
    <xf numFmtId="10" fontId="39" fillId="21" borderId="61" xfId="1" applyNumberFormat="1" applyFont="1" applyFill="1" applyBorder="1" applyAlignment="1">
      <alignment horizontal="center" vertical="center" wrapText="1"/>
    </xf>
    <xf numFmtId="10" fontId="39" fillId="22" borderId="61" xfId="0" applyNumberFormat="1" applyFont="1" applyFill="1" applyBorder="1" applyAlignment="1">
      <alignment vertical="top" wrapText="1"/>
    </xf>
    <xf numFmtId="10" fontId="39" fillId="16" borderId="61" xfId="0" applyNumberFormat="1" applyFont="1" applyFill="1" applyBorder="1" applyAlignment="1">
      <alignment vertical="top" wrapText="1"/>
    </xf>
    <xf numFmtId="10" fontId="31" fillId="21" borderId="62" xfId="0" applyNumberFormat="1" applyFont="1" applyFill="1" applyBorder="1" applyAlignment="1">
      <alignment vertical="top" wrapText="1"/>
    </xf>
    <xf numFmtId="49" fontId="39" fillId="21" borderId="66" xfId="0" applyNumberFormat="1" applyFont="1" applyFill="1" applyBorder="1" applyAlignment="1">
      <alignment horizontal="center" vertical="top" wrapText="1"/>
    </xf>
    <xf numFmtId="4" fontId="39" fillId="21" borderId="66" xfId="0" applyNumberFormat="1" applyFont="1" applyFill="1" applyBorder="1" applyAlignment="1">
      <alignment horizontal="center" vertical="center" wrapText="1"/>
    </xf>
    <xf numFmtId="4" fontId="39" fillId="22" borderId="66" xfId="0" applyNumberFormat="1" applyFont="1" applyFill="1" applyBorder="1" applyAlignment="1">
      <alignment vertical="top" wrapText="1"/>
    </xf>
    <xf numFmtId="4" fontId="39" fillId="16" borderId="66" xfId="0" applyNumberFormat="1" applyFont="1" applyFill="1" applyBorder="1" applyAlignment="1">
      <alignment vertical="top" wrapText="1"/>
    </xf>
    <xf numFmtId="4" fontId="31" fillId="21" borderId="62" xfId="0" applyNumberFormat="1" applyFont="1" applyFill="1" applyBorder="1" applyAlignment="1">
      <alignment vertical="top" wrapText="1"/>
    </xf>
    <xf numFmtId="10" fontId="39" fillId="21" borderId="61" xfId="0" applyNumberFormat="1" applyFont="1" applyFill="1" applyBorder="1" applyAlignment="1">
      <alignment horizontal="center" vertical="center" wrapText="1"/>
    </xf>
    <xf numFmtId="10" fontId="39" fillId="14" borderId="61" xfId="0" applyNumberFormat="1" applyFont="1" applyFill="1" applyBorder="1" applyAlignment="1">
      <alignment vertical="top" wrapText="1"/>
    </xf>
    <xf numFmtId="4" fontId="39" fillId="14" borderId="66" xfId="0" applyNumberFormat="1" applyFont="1" applyFill="1" applyBorder="1" applyAlignment="1">
      <alignment vertical="top" wrapText="1"/>
    </xf>
    <xf numFmtId="49" fontId="40" fillId="21" borderId="71" xfId="0" applyNumberFormat="1" applyFont="1" applyFill="1" applyBorder="1" applyAlignment="1">
      <alignment horizontal="center" vertical="top" wrapText="1"/>
    </xf>
    <xf numFmtId="10" fontId="40" fillId="21" borderId="71" xfId="0" applyNumberFormat="1" applyFont="1" applyFill="1" applyBorder="1" applyAlignment="1">
      <alignment vertical="top" wrapText="1"/>
    </xf>
    <xf numFmtId="10" fontId="40" fillId="21" borderId="72" xfId="0" applyNumberFormat="1" applyFont="1" applyFill="1" applyBorder="1" applyAlignment="1">
      <alignment vertical="top" wrapText="1"/>
    </xf>
    <xf numFmtId="49" fontId="40" fillId="21" borderId="74" xfId="0" applyNumberFormat="1" applyFont="1" applyFill="1" applyBorder="1" applyAlignment="1">
      <alignment horizontal="center" vertical="top" wrapText="1"/>
    </xf>
    <xf numFmtId="171" fontId="40" fillId="21" borderId="74" xfId="0" applyNumberFormat="1" applyFont="1" applyFill="1" applyBorder="1" applyAlignment="1">
      <alignment vertical="top" wrapText="1"/>
    </xf>
    <xf numFmtId="171" fontId="40" fillId="21" borderId="75" xfId="0" applyNumberFormat="1" applyFont="1" applyFill="1" applyBorder="1" applyAlignment="1">
      <alignment vertical="top" wrapText="1"/>
    </xf>
    <xf numFmtId="0" fontId="0" fillId="21" borderId="36" xfId="0" applyFill="1" applyBorder="1" applyAlignment="1">
      <alignment vertical="center"/>
    </xf>
    <xf numFmtId="0" fontId="0" fillId="21" borderId="0" xfId="0" applyFill="1" applyBorder="1" applyAlignment="1">
      <alignment vertical="center"/>
    </xf>
    <xf numFmtId="0" fontId="0" fillId="21" borderId="0" xfId="0" applyFill="1" applyBorder="1" applyAlignment="1">
      <alignment vertical="center" wrapText="1"/>
    </xf>
    <xf numFmtId="0" fontId="0" fillId="21" borderId="35" xfId="0" applyFill="1" applyBorder="1" applyAlignment="1">
      <alignment vertical="center"/>
    </xf>
    <xf numFmtId="0" fontId="29" fillId="0" borderId="0" xfId="2" applyNumberFormat="1" applyFont="1" applyBorder="1" applyAlignment="1" applyProtection="1">
      <alignment vertical="center"/>
    </xf>
    <xf numFmtId="0" fontId="28" fillId="0" borderId="37" xfId="2" applyNumberFormat="1" applyFont="1" applyBorder="1" applyAlignment="1" applyProtection="1">
      <alignment horizontal="center" vertical="center"/>
    </xf>
    <xf numFmtId="0" fontId="29" fillId="0" borderId="0" xfId="2" applyNumberFormat="1" applyFont="1" applyBorder="1" applyAlignment="1" applyProtection="1">
      <alignment horizontal="center" vertical="center"/>
    </xf>
    <xf numFmtId="0" fontId="27" fillId="0" borderId="0" xfId="2" applyNumberFormat="1" applyFont="1" applyBorder="1" applyAlignment="1" applyProtection="1">
      <alignment horizontal="center" vertical="center"/>
    </xf>
    <xf numFmtId="0" fontId="29" fillId="0" borderId="0" xfId="2" applyNumberFormat="1" applyFont="1" applyBorder="1" applyAlignment="1" applyProtection="1">
      <alignment horizontal="center" vertical="center"/>
    </xf>
    <xf numFmtId="14" fontId="27" fillId="0" borderId="0" xfId="2" applyNumberFormat="1" applyFont="1" applyFill="1" applyBorder="1" applyAlignment="1" applyProtection="1">
      <alignment horizontal="left"/>
    </xf>
    <xf numFmtId="0" fontId="19" fillId="14" borderId="20" xfId="0" applyNumberFormat="1" applyFont="1" applyFill="1" applyBorder="1" applyAlignment="1">
      <alignment horizontal="center" vertical="center" wrapText="1"/>
    </xf>
    <xf numFmtId="0" fontId="19" fillId="14" borderId="27" xfId="0" applyNumberFormat="1" applyFont="1" applyFill="1" applyBorder="1" applyAlignment="1">
      <alignment horizontal="center" vertical="center" wrapText="1"/>
    </xf>
    <xf numFmtId="0" fontId="19" fillId="0" borderId="21" xfId="0" applyNumberFormat="1" applyFont="1" applyFill="1" applyBorder="1" applyAlignment="1">
      <alignment horizontal="center" vertical="center" wrapText="1"/>
    </xf>
    <xf numFmtId="0" fontId="19" fillId="0" borderId="28" xfId="0" applyNumberFormat="1" applyFont="1" applyFill="1" applyBorder="1" applyAlignment="1">
      <alignment horizontal="center" vertical="center" wrapText="1"/>
    </xf>
    <xf numFmtId="2" fontId="19" fillId="14" borderId="25" xfId="0" applyNumberFormat="1" applyFont="1" applyFill="1" applyBorder="1" applyAlignment="1">
      <alignment horizontal="left" vertical="center"/>
    </xf>
    <xf numFmtId="2" fontId="19" fillId="14" borderId="32" xfId="0" applyNumberFormat="1" applyFont="1" applyFill="1" applyBorder="1" applyAlignment="1">
      <alignment horizontal="left" vertical="center"/>
    </xf>
    <xf numFmtId="10" fontId="22" fillId="0" borderId="26" xfId="1" applyNumberFormat="1" applyFont="1" applyFill="1" applyBorder="1" applyAlignment="1">
      <alignment horizontal="center" vertical="center"/>
    </xf>
    <xf numFmtId="10" fontId="22" fillId="0" borderId="33" xfId="1" applyNumberFormat="1" applyFont="1" applyFill="1" applyBorder="1" applyAlignment="1">
      <alignment horizontal="center" vertical="center"/>
    </xf>
    <xf numFmtId="0" fontId="19" fillId="14" borderId="22" xfId="0" applyNumberFormat="1" applyFont="1" applyFill="1" applyBorder="1" applyAlignment="1">
      <alignment horizontal="left" vertical="center"/>
    </xf>
    <xf numFmtId="0" fontId="19" fillId="14" borderId="29" xfId="0" applyNumberFormat="1" applyFont="1" applyFill="1" applyBorder="1" applyAlignment="1">
      <alignment horizontal="left" vertical="center"/>
    </xf>
    <xf numFmtId="0" fontId="0" fillId="14" borderId="25" xfId="1" applyNumberFormat="1" applyFont="1" applyFill="1" applyBorder="1" applyAlignment="1">
      <alignment horizontal="center" vertical="center"/>
    </xf>
    <xf numFmtId="0" fontId="0" fillId="14" borderId="26" xfId="1" applyNumberFormat="1" applyFont="1" applyFill="1" applyBorder="1" applyAlignment="1">
      <alignment horizontal="center" vertical="center"/>
    </xf>
    <xf numFmtId="0" fontId="0" fillId="14" borderId="18" xfId="1" applyNumberFormat="1" applyFont="1" applyFill="1" applyBorder="1" applyAlignment="1">
      <alignment horizontal="center" vertical="center"/>
    </xf>
    <xf numFmtId="0" fontId="0" fillId="14" borderId="19" xfId="1" applyNumberFormat="1" applyFont="1" applyFill="1" applyBorder="1" applyAlignment="1">
      <alignment horizontal="center" vertical="center"/>
    </xf>
    <xf numFmtId="0" fontId="25" fillId="14" borderId="14" xfId="0" applyNumberFormat="1" applyFont="1" applyFill="1" applyBorder="1" applyAlignment="1">
      <alignment horizontal="right"/>
    </xf>
    <xf numFmtId="0" fontId="25" fillId="14" borderId="15" xfId="0" applyNumberFormat="1" applyFont="1" applyFill="1" applyBorder="1" applyAlignment="1">
      <alignment horizontal="right"/>
    </xf>
    <xf numFmtId="0" fontId="25" fillId="14" borderId="16" xfId="0" applyNumberFormat="1" applyFont="1" applyFill="1" applyBorder="1" applyAlignment="1">
      <alignment horizontal="right"/>
    </xf>
    <xf numFmtId="0" fontId="0" fillId="0" borderId="14" xfId="0" applyNumberFormat="1" applyFill="1" applyBorder="1" applyAlignment="1">
      <alignment horizontal="center" vertical="center"/>
    </xf>
    <xf numFmtId="0" fontId="0" fillId="0" borderId="16" xfId="0" applyNumberFormat="1" applyFill="1" applyBorder="1" applyAlignment="1">
      <alignment horizontal="center" vertical="center"/>
    </xf>
    <xf numFmtId="0" fontId="20" fillId="0" borderId="14" xfId="0" applyNumberFormat="1" applyFont="1" applyBorder="1" applyAlignment="1">
      <alignment horizontal="center" vertical="center" wrapText="1"/>
    </xf>
    <xf numFmtId="0" fontId="20" fillId="0" borderId="15" xfId="0" applyNumberFormat="1" applyFont="1" applyBorder="1" applyAlignment="1">
      <alignment horizontal="center" vertical="center" wrapText="1"/>
    </xf>
    <xf numFmtId="0" fontId="20" fillId="0" borderId="16" xfId="0" applyNumberFormat="1" applyFont="1" applyBorder="1" applyAlignment="1">
      <alignment horizontal="center" vertical="center" wrapText="1"/>
    </xf>
    <xf numFmtId="0" fontId="21" fillId="14" borderId="17" xfId="0" applyNumberFormat="1" applyFont="1" applyFill="1" applyBorder="1" applyAlignment="1">
      <alignment horizontal="center" vertical="center"/>
    </xf>
    <xf numFmtId="0" fontId="21" fillId="14" borderId="15" xfId="0" applyNumberFormat="1" applyFont="1" applyFill="1" applyBorder="1" applyAlignment="1">
      <alignment horizontal="center" vertical="center"/>
    </xf>
    <xf numFmtId="0" fontId="21" fillId="14" borderId="16" xfId="0" applyNumberFormat="1" applyFont="1" applyFill="1" applyBorder="1" applyAlignment="1">
      <alignment horizontal="center" vertical="center"/>
    </xf>
    <xf numFmtId="0" fontId="22" fillId="0" borderId="15" xfId="0" applyNumberFormat="1" applyFont="1" applyFill="1" applyBorder="1" applyAlignment="1">
      <alignment horizontal="left" vertical="center"/>
    </xf>
    <xf numFmtId="0" fontId="22" fillId="0" borderId="16" xfId="0" applyNumberFormat="1" applyFont="1" applyFill="1" applyBorder="1" applyAlignment="1">
      <alignment horizontal="left" vertical="center"/>
    </xf>
    <xf numFmtId="14" fontId="0" fillId="0" borderId="14" xfId="0" applyNumberFormat="1" applyFill="1" applyBorder="1" applyAlignment="1">
      <alignment horizontal="center" vertical="center"/>
    </xf>
    <xf numFmtId="14" fontId="0" fillId="0" borderId="16" xfId="0" applyNumberFormat="1" applyFill="1" applyBorder="1" applyAlignment="1">
      <alignment horizontal="center" vertical="center"/>
    </xf>
    <xf numFmtId="0" fontId="0" fillId="0" borderId="15" xfId="0" applyNumberFormat="1" applyFill="1" applyBorder="1" applyAlignment="1">
      <alignment horizontal="center" vertical="center"/>
    </xf>
    <xf numFmtId="0" fontId="22" fillId="0" borderId="14" xfId="0" applyNumberFormat="1" applyFont="1" applyFill="1" applyBorder="1" applyAlignment="1">
      <alignment horizontal="center" vertical="center"/>
    </xf>
    <xf numFmtId="0" fontId="22" fillId="0" borderId="16" xfId="0" applyNumberFormat="1" applyFont="1" applyFill="1" applyBorder="1" applyAlignment="1">
      <alignment horizontal="center" vertical="center"/>
    </xf>
    <xf numFmtId="0" fontId="42" fillId="21" borderId="15" xfId="0" applyFont="1" applyFill="1" applyBorder="1" applyAlignment="1">
      <alignment horizontal="center" wrapText="1"/>
    </xf>
    <xf numFmtId="0" fontId="0" fillId="21" borderId="15" xfId="0" applyFill="1" applyBorder="1" applyAlignment="1">
      <alignment horizontal="center" wrapText="1"/>
    </xf>
    <xf numFmtId="0" fontId="0" fillId="21" borderId="16" xfId="0" applyFill="1" applyBorder="1" applyAlignment="1">
      <alignment horizontal="center" wrapText="1"/>
    </xf>
    <xf numFmtId="0" fontId="37" fillId="21" borderId="14" xfId="0" applyFont="1" applyFill="1" applyBorder="1" applyAlignment="1">
      <alignment horizontal="center" vertical="center"/>
    </xf>
    <xf numFmtId="0" fontId="37" fillId="21" borderId="15" xfId="0" applyFont="1" applyFill="1" applyBorder="1" applyAlignment="1">
      <alignment horizontal="center" vertical="center"/>
    </xf>
    <xf numFmtId="0" fontId="37" fillId="21" borderId="16" xfId="0" applyFont="1" applyFill="1" applyBorder="1" applyAlignment="1">
      <alignment horizontal="center" vertical="center"/>
    </xf>
    <xf numFmtId="0" fontId="38" fillId="21" borderId="44" xfId="0" applyFont="1" applyFill="1" applyBorder="1" applyAlignment="1">
      <alignment horizontal="center" vertical="center"/>
    </xf>
    <xf numFmtId="0" fontId="38" fillId="21" borderId="45" xfId="0" applyFont="1" applyFill="1" applyBorder="1" applyAlignment="1">
      <alignment horizontal="center" vertical="center"/>
    </xf>
    <xf numFmtId="0" fontId="38" fillId="21" borderId="46" xfId="0" applyFont="1" applyFill="1" applyBorder="1" applyAlignment="1">
      <alignment horizontal="center" vertical="center"/>
    </xf>
    <xf numFmtId="0" fontId="38" fillId="21" borderId="23" xfId="0" applyFont="1" applyFill="1" applyBorder="1" applyAlignment="1">
      <alignment horizontal="left" vertical="center"/>
    </xf>
    <xf numFmtId="0" fontId="38" fillId="21" borderId="47" xfId="0" applyFont="1" applyFill="1" applyBorder="1" applyAlignment="1">
      <alignment horizontal="left" vertical="center"/>
    </xf>
    <xf numFmtId="0" fontId="38" fillId="21" borderId="48" xfId="0" applyFont="1" applyFill="1" applyBorder="1" applyAlignment="1">
      <alignment horizontal="left" vertical="center"/>
    </xf>
    <xf numFmtId="0" fontId="38" fillId="21" borderId="49" xfId="0" applyFont="1" applyFill="1" applyBorder="1" applyAlignment="1">
      <alignment horizontal="left" vertical="center"/>
    </xf>
    <xf numFmtId="171" fontId="38" fillId="21" borderId="47" xfId="0" applyNumberFormat="1" applyFont="1" applyFill="1" applyBorder="1" applyAlignment="1">
      <alignment horizontal="left" vertical="center"/>
    </xf>
    <xf numFmtId="0" fontId="0" fillId="21" borderId="58" xfId="0" applyFill="1" applyBorder="1" applyAlignment="1">
      <alignment horizontal="center" vertical="center" wrapText="1"/>
    </xf>
    <xf numFmtId="0" fontId="0" fillId="21" borderId="63" xfId="0" applyFill="1" applyBorder="1" applyAlignment="1">
      <alignment horizontal="center" vertical="center" wrapText="1"/>
    </xf>
    <xf numFmtId="0" fontId="22" fillId="21" borderId="67" xfId="0" applyFont="1" applyFill="1" applyBorder="1" applyAlignment="1">
      <alignment horizontal="left" vertical="center" wrapText="1"/>
    </xf>
    <xf numFmtId="0" fontId="22" fillId="21" borderId="68" xfId="0" applyFont="1" applyFill="1" applyBorder="1" applyAlignment="1">
      <alignment horizontal="left" vertical="center" wrapText="1"/>
    </xf>
    <xf numFmtId="0" fontId="22" fillId="21" borderId="64" xfId="0" applyFont="1" applyFill="1" applyBorder="1" applyAlignment="1">
      <alignment horizontal="left" vertical="center" wrapText="1"/>
    </xf>
    <xf numFmtId="0" fontId="22" fillId="21" borderId="65" xfId="0" applyFont="1" applyFill="1" applyBorder="1" applyAlignment="1">
      <alignment horizontal="left" vertical="center" wrapText="1"/>
    </xf>
    <xf numFmtId="0" fontId="38" fillId="21" borderId="51" xfId="0" applyFont="1" applyFill="1" applyBorder="1" applyAlignment="1">
      <alignment horizontal="left" vertical="center" wrapText="1"/>
    </xf>
    <xf numFmtId="0" fontId="38" fillId="21" borderId="52" xfId="0" applyFont="1" applyFill="1" applyBorder="1" applyAlignment="1">
      <alignment horizontal="left" vertical="center" wrapText="1"/>
    </xf>
    <xf numFmtId="0" fontId="38" fillId="21" borderId="53" xfId="0" applyFont="1" applyFill="1" applyBorder="1" applyAlignment="1">
      <alignment horizontal="left" vertical="center" wrapText="1"/>
    </xf>
    <xf numFmtId="0" fontId="38" fillId="21" borderId="49" xfId="0" applyFont="1" applyFill="1" applyBorder="1" applyAlignment="1">
      <alignment horizontal="center" vertical="center"/>
    </xf>
    <xf numFmtId="0" fontId="38" fillId="21" borderId="48" xfId="0" applyFont="1" applyFill="1" applyBorder="1" applyAlignment="1">
      <alignment horizontal="center" vertical="center"/>
    </xf>
    <xf numFmtId="0" fontId="22" fillId="21" borderId="59" xfId="0" applyFont="1" applyFill="1" applyBorder="1" applyAlignment="1">
      <alignment horizontal="left" vertical="center" wrapText="1"/>
    </xf>
    <xf numFmtId="0" fontId="22" fillId="21" borderId="60" xfId="0" applyFont="1" applyFill="1" applyBorder="1" applyAlignment="1">
      <alignment horizontal="left" vertical="center" wrapText="1"/>
    </xf>
    <xf numFmtId="0" fontId="38" fillId="21" borderId="69" xfId="0" applyFont="1" applyFill="1" applyBorder="1" applyAlignment="1">
      <alignment horizontal="center" vertical="center" wrapText="1"/>
    </xf>
    <xf numFmtId="0" fontId="38" fillId="21" borderId="70" xfId="0" applyFont="1" applyFill="1" applyBorder="1" applyAlignment="1">
      <alignment horizontal="center" vertical="center" wrapText="1"/>
    </xf>
    <xf numFmtId="0" fontId="38" fillId="21" borderId="60" xfId="0" applyFont="1" applyFill="1" applyBorder="1" applyAlignment="1">
      <alignment horizontal="center" vertical="center" wrapText="1"/>
    </xf>
    <xf numFmtId="0" fontId="38" fillId="21" borderId="18" xfId="0" applyFont="1" applyFill="1" applyBorder="1" applyAlignment="1">
      <alignment horizontal="center" vertical="center" wrapText="1"/>
    </xf>
    <xf numFmtId="0" fontId="38" fillId="21" borderId="37" xfId="0" applyFont="1" applyFill="1" applyBorder="1" applyAlignment="1">
      <alignment horizontal="center" vertical="center" wrapText="1"/>
    </xf>
    <xf numFmtId="0" fontId="38" fillId="21" borderId="73" xfId="0" applyFont="1" applyFill="1" applyBorder="1" applyAlignment="1">
      <alignment horizontal="center" vertical="center" wrapText="1"/>
    </xf>
    <xf numFmtId="0" fontId="0" fillId="21" borderId="67" xfId="0" applyFill="1" applyBorder="1" applyAlignment="1">
      <alignment horizontal="left" vertical="center" wrapText="1"/>
    </xf>
    <xf numFmtId="0" fontId="0" fillId="21" borderId="68" xfId="0" applyFill="1" applyBorder="1" applyAlignment="1">
      <alignment horizontal="left" vertical="center" wrapText="1"/>
    </xf>
    <xf numFmtId="0" fontId="0" fillId="21" borderId="64" xfId="0" applyFill="1" applyBorder="1" applyAlignment="1">
      <alignment horizontal="left" vertical="center" wrapText="1"/>
    </xf>
    <xf numFmtId="0" fontId="0" fillId="21" borderId="65" xfId="0" applyFill="1" applyBorder="1" applyAlignment="1">
      <alignment horizontal="left" vertical="center" wrapText="1"/>
    </xf>
    <xf numFmtId="0" fontId="20"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20" fillId="17" borderId="25" xfId="0" applyFont="1" applyFill="1" applyBorder="1" applyAlignment="1">
      <alignment horizontal="center" vertical="center" wrapText="1"/>
    </xf>
    <xf numFmtId="0" fontId="20" fillId="17" borderId="38" xfId="0" applyFont="1" applyFill="1" applyBorder="1" applyAlignment="1">
      <alignment horizontal="center" vertical="center" wrapText="1"/>
    </xf>
    <xf numFmtId="0" fontId="20" fillId="17" borderId="26" xfId="0" applyFont="1" applyFill="1" applyBorder="1" applyAlignment="1">
      <alignment horizontal="center" vertical="center" wrapText="1"/>
    </xf>
    <xf numFmtId="0" fontId="20" fillId="17" borderId="36" xfId="0" applyFont="1" applyFill="1" applyBorder="1" applyAlignment="1">
      <alignment horizontal="center" vertical="center" wrapText="1"/>
    </xf>
    <xf numFmtId="0" fontId="20" fillId="17" borderId="0" xfId="0" applyFont="1" applyFill="1" applyBorder="1" applyAlignment="1">
      <alignment horizontal="center" vertical="center" wrapText="1"/>
    </xf>
    <xf numFmtId="0" fontId="20" fillId="17" borderId="35" xfId="0" applyFont="1" applyFill="1" applyBorder="1" applyAlignment="1">
      <alignment horizontal="center" vertical="center" wrapText="1"/>
    </xf>
    <xf numFmtId="0" fontId="30" fillId="0" borderId="39" xfId="2" applyFont="1" applyFill="1" applyBorder="1" applyAlignment="1" applyProtection="1">
      <alignment horizontal="left" wrapText="1"/>
    </xf>
    <xf numFmtId="10" fontId="30" fillId="18" borderId="39" xfId="2" applyNumberFormat="1" applyFont="1" applyFill="1" applyBorder="1" applyAlignment="1" applyProtection="1">
      <alignment horizontal="center"/>
      <protection locked="0"/>
    </xf>
    <xf numFmtId="0" fontId="30" fillId="0" borderId="39" xfId="2" applyFont="1" applyFill="1" applyBorder="1" applyAlignment="1" applyProtection="1">
      <alignment horizontal="left"/>
    </xf>
    <xf numFmtId="0" fontId="30" fillId="16" borderId="0" xfId="0" applyFont="1" applyFill="1" applyBorder="1" applyAlignment="1">
      <alignment horizontal="center" vertical="center" wrapText="1"/>
    </xf>
    <xf numFmtId="0" fontId="28" fillId="0" borderId="40" xfId="3" applyFont="1" applyBorder="1" applyAlignment="1" applyProtection="1">
      <alignment horizontal="left" vertical="top"/>
    </xf>
    <xf numFmtId="167" fontId="30" fillId="19" borderId="41" xfId="4" applyNumberFormat="1" applyFont="1" applyFill="1" applyBorder="1" applyAlignment="1" applyProtection="1">
      <alignment horizontal="left"/>
      <protection locked="0"/>
    </xf>
    <xf numFmtId="0" fontId="28" fillId="0" borderId="39" xfId="2" applyFont="1" applyBorder="1" applyAlignment="1" applyProtection="1">
      <alignment horizontal="center" vertical="center"/>
    </xf>
    <xf numFmtId="4" fontId="28" fillId="0" borderId="39" xfId="2" applyNumberFormat="1" applyFont="1" applyFill="1" applyBorder="1" applyAlignment="1" applyProtection="1">
      <alignment horizontal="center" vertical="center" wrapText="1"/>
    </xf>
    <xf numFmtId="0" fontId="28" fillId="0" borderId="39" xfId="2" applyFont="1" applyFill="1" applyBorder="1" applyAlignment="1" applyProtection="1">
      <alignment horizontal="center" vertical="center"/>
    </xf>
    <xf numFmtId="0" fontId="27" fillId="0" borderId="39" xfId="2" applyFont="1" applyBorder="1" applyAlignment="1" applyProtection="1">
      <alignment horizontal="center" vertical="center" wrapText="1"/>
    </xf>
    <xf numFmtId="4" fontId="28" fillId="0" borderId="39" xfId="2" applyNumberFormat="1" applyFont="1" applyFill="1" applyBorder="1" applyAlignment="1" applyProtection="1">
      <alignment horizontal="center" vertical="center"/>
    </xf>
    <xf numFmtId="0" fontId="33" fillId="0" borderId="0" xfId="2" applyFont="1" applyBorder="1" applyAlignment="1" applyProtection="1">
      <alignment horizontal="left" vertical="center" indent="1"/>
    </xf>
    <xf numFmtId="0" fontId="30" fillId="20" borderId="39" xfId="2" applyFont="1" applyFill="1" applyBorder="1" applyAlignment="1" applyProtection="1">
      <alignment horizontal="center" vertical="center" wrapText="1"/>
    </xf>
    <xf numFmtId="0" fontId="30" fillId="0" borderId="39" xfId="2" applyFont="1" applyBorder="1" applyAlignment="1" applyProtection="1">
      <alignment horizontal="left" vertical="center" wrapText="1"/>
    </xf>
    <xf numFmtId="49" fontId="27" fillId="18" borderId="39" xfId="2" applyNumberFormat="1" applyFont="1" applyFill="1" applyBorder="1" applyAlignment="1" applyProtection="1">
      <alignment horizontal="left" vertical="top" wrapText="1"/>
      <protection locked="0"/>
    </xf>
    <xf numFmtId="169" fontId="27" fillId="0" borderId="42" xfId="2" applyNumberFormat="1" applyFont="1" applyFill="1" applyBorder="1" applyAlignment="1" applyProtection="1">
      <alignment horizontal="left"/>
    </xf>
    <xf numFmtId="0" fontId="28" fillId="0" borderId="0" xfId="2" applyFont="1" applyBorder="1" applyAlignment="1" applyProtection="1">
      <alignment horizontal="left" vertical="center"/>
    </xf>
    <xf numFmtId="0" fontId="27" fillId="0" borderId="0" xfId="2" applyFont="1" applyBorder="1" applyAlignment="1" applyProtection="1">
      <alignment horizontal="center" vertical="center"/>
    </xf>
    <xf numFmtId="0" fontId="34" fillId="0" borderId="0" xfId="0" applyFont="1" applyBorder="1" applyAlignment="1" applyProtection="1">
      <alignment horizontal="right" vertical="center"/>
    </xf>
    <xf numFmtId="0" fontId="35" fillId="0" borderId="0" xfId="0" applyFont="1" applyBorder="1" applyAlignment="1" applyProtection="1">
      <alignment horizontal="center"/>
    </xf>
    <xf numFmtId="0" fontId="34" fillId="0" borderId="0" xfId="0" applyFont="1" applyBorder="1" applyAlignment="1" applyProtection="1">
      <alignment horizontal="left" vertical="center"/>
    </xf>
    <xf numFmtId="0" fontId="34" fillId="0" borderId="0" xfId="0" applyFont="1" applyBorder="1" applyAlignment="1" applyProtection="1">
      <alignment horizontal="center" vertical="top"/>
    </xf>
    <xf numFmtId="2" fontId="40" fillId="21" borderId="74" xfId="0" applyNumberFormat="1" applyFont="1" applyFill="1" applyBorder="1" applyAlignment="1">
      <alignment vertical="top" wrapText="1"/>
    </xf>
    <xf numFmtId="0" fontId="0" fillId="21" borderId="0" xfId="0" applyNumberFormat="1" applyFill="1" applyBorder="1" applyAlignment="1">
      <alignment vertical="center"/>
    </xf>
  </cellXfs>
  <cellStyles count="5">
    <cellStyle name="Moeda_Composicao BDI v2.1" xfId="4"/>
    <cellStyle name="Normal" xfId="0" builtinId="0"/>
    <cellStyle name="Normal 2" xfId="2"/>
    <cellStyle name="Normal_FICHA DE VERIFICAÇÃO PRELIMINAR - Plano R" xfId="3"/>
    <cellStyle name="Porcentagem" xfId="1" builtinId="5"/>
  </cellStyles>
  <dxfs count="4">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Obras/Desktop/BDI/PLANILHA%20M&#218;LTIPLA%20V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ngenharia_local/Engenharia/Engenheiros/Flaviane/16%20-%20PROJETOS/PROJETOS%202026/REFORMA%20CAIC/7%20-%20OR&#199;AMENTO/OR&#199;AMENTO%20-%20REV%2001/OR&#199;AMENTO%20-%20Reforma%20CAIC.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DESONERADO</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DI"/>
      <sheetName val="Orç. "/>
      <sheetName val="MEMORIAL"/>
      <sheetName val="CRONOGRAMA"/>
      <sheetName val="Plan1"/>
    </sheetNames>
    <sheetDataSet>
      <sheetData sheetId="0">
        <row r="45">
          <cell r="A45" t="str">
            <v>Resp. Tecnico:</v>
          </cell>
        </row>
      </sheetData>
      <sheetData sheetId="1">
        <row r="9">
          <cell r="E9" t="str">
            <v xml:space="preserve">AV. JOAQUIM TRÊS PONTAS, 330, FREDERICO OZANAN -  BOA ESPERANÇA-MG
</v>
          </cell>
        </row>
        <row r="11">
          <cell r="D11" t="str">
            <v>INSTALAÇÃO DA OBRA</v>
          </cell>
        </row>
        <row r="15">
          <cell r="D15" t="str">
            <v>REFORÇO ESTRUTURAL DE FUNDAÇÃO</v>
          </cell>
        </row>
        <row r="24">
          <cell r="D24" t="str">
            <v>REFORÇO PILARES</v>
          </cell>
        </row>
        <row r="32">
          <cell r="D32" t="str">
            <v>LIMPEZA  DA COBERTURA</v>
          </cell>
        </row>
        <row r="40">
          <cell r="D40" t="str">
            <v>REFORMA DAS COZINHAS E DISPENSAS</v>
          </cell>
        </row>
        <row r="72">
          <cell r="D72" t="str">
            <v>PINTURA</v>
          </cell>
        </row>
        <row r="173">
          <cell r="D173" t="str">
            <v>REFORMA BLOCO 2</v>
          </cell>
        </row>
        <row r="213">
          <cell r="D213" t="str">
            <v>LIMPEZA FINAL</v>
          </cell>
        </row>
      </sheetData>
      <sheetData sheetId="2" refreshError="1"/>
      <sheetData sheetId="3" refreshError="1"/>
      <sheetData sheetId="4" refreshError="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oleObject" Target="../embeddings/oleObject3.bin"/><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sheetPr>
    <pageSetUpPr fitToPage="1"/>
  </sheetPr>
  <dimension ref="A1:J137"/>
  <sheetViews>
    <sheetView showWhiteSpace="0" topLeftCell="A7" workbookViewId="0">
      <selection activeCell="B6" sqref="B6"/>
    </sheetView>
  </sheetViews>
  <sheetFormatPr defaultRowHeight="14.25"/>
  <cols>
    <col min="1" max="1" width="13" bestFit="1" customWidth="1"/>
    <col min="2" max="2" width="16.375" customWidth="1"/>
    <col min="3" max="3" width="15" bestFit="1" customWidth="1"/>
    <col min="4" max="4" width="60" bestFit="1" customWidth="1"/>
    <col min="5" max="5" width="8" bestFit="1" customWidth="1"/>
    <col min="6" max="11" width="13" bestFit="1" customWidth="1"/>
  </cols>
  <sheetData>
    <row r="1" spans="1:10" ht="81.75" customHeight="1" thickBot="1">
      <c r="A1" s="147" t="s">
        <v>308</v>
      </c>
      <c r="B1" s="148"/>
      <c r="C1" s="148"/>
      <c r="D1" s="148"/>
      <c r="E1" s="148"/>
      <c r="F1" s="148"/>
      <c r="G1" s="148"/>
      <c r="H1" s="148"/>
      <c r="I1" s="148"/>
      <c r="J1" s="149"/>
    </row>
    <row r="2" spans="1:10" ht="34.5" customHeight="1" thickBot="1">
      <c r="A2" s="150" t="s">
        <v>309</v>
      </c>
      <c r="B2" s="151"/>
      <c r="C2" s="151"/>
      <c r="D2" s="151"/>
      <c r="E2" s="152"/>
      <c r="F2" s="13" t="s">
        <v>310</v>
      </c>
      <c r="G2" s="14"/>
      <c r="H2" s="15" t="s">
        <v>311</v>
      </c>
      <c r="I2" s="145"/>
      <c r="J2" s="146"/>
    </row>
    <row r="3" spans="1:10" ht="39.75" customHeight="1" thickBot="1">
      <c r="A3" s="16" t="s">
        <v>312</v>
      </c>
      <c r="B3" s="153" t="s">
        <v>313</v>
      </c>
      <c r="C3" s="153"/>
      <c r="D3" s="153"/>
      <c r="E3" s="153"/>
      <c r="F3" s="153"/>
      <c r="G3" s="154"/>
      <c r="H3" s="17" t="s">
        <v>314</v>
      </c>
      <c r="I3" s="155">
        <v>46269</v>
      </c>
      <c r="J3" s="156"/>
    </row>
    <row r="4" spans="1:10" ht="27.75" customHeight="1" thickBot="1">
      <c r="A4" s="16" t="s">
        <v>315</v>
      </c>
      <c r="B4" s="153" t="s">
        <v>342</v>
      </c>
      <c r="C4" s="153"/>
      <c r="D4" s="153"/>
      <c r="E4" s="153"/>
      <c r="F4" s="153"/>
      <c r="G4" s="154"/>
      <c r="H4" s="18" t="s">
        <v>316</v>
      </c>
      <c r="I4" s="145"/>
      <c r="J4" s="146"/>
    </row>
    <row r="5" spans="1:10" ht="33.75" customHeight="1" thickBot="1">
      <c r="A5" s="16" t="s">
        <v>317</v>
      </c>
      <c r="B5" s="153" t="s">
        <v>399</v>
      </c>
      <c r="C5" s="153"/>
      <c r="D5" s="153"/>
      <c r="E5" s="153"/>
      <c r="F5" s="153"/>
      <c r="G5" s="154"/>
      <c r="H5" s="18"/>
      <c r="I5" s="145"/>
      <c r="J5" s="146"/>
    </row>
    <row r="6" spans="1:10" ht="30.75" thickBot="1">
      <c r="A6" s="16" t="s">
        <v>318</v>
      </c>
      <c r="B6" s="19" t="s">
        <v>319</v>
      </c>
      <c r="C6" s="20" t="s">
        <v>320</v>
      </c>
      <c r="D6" s="157" t="s">
        <v>321</v>
      </c>
      <c r="E6" s="146"/>
      <c r="F6" s="21" t="s">
        <v>322</v>
      </c>
      <c r="G6" s="22" t="s">
        <v>323</v>
      </c>
      <c r="H6" s="18" t="s">
        <v>324</v>
      </c>
      <c r="I6" s="158" t="s">
        <v>325</v>
      </c>
      <c r="J6" s="159"/>
    </row>
    <row r="7" spans="1:10" ht="15.75" customHeight="1">
      <c r="A7" s="128" t="s">
        <v>326</v>
      </c>
      <c r="B7" s="130" t="s">
        <v>343</v>
      </c>
      <c r="C7" s="23" t="s">
        <v>327</v>
      </c>
      <c r="D7" s="24" t="s">
        <v>328</v>
      </c>
      <c r="E7" s="25"/>
      <c r="F7" s="132" t="s">
        <v>329</v>
      </c>
      <c r="G7" s="134">
        <v>0.26740000000000003</v>
      </c>
      <c r="H7" s="136" t="s">
        <v>330</v>
      </c>
      <c r="I7" s="138"/>
      <c r="J7" s="139"/>
    </row>
    <row r="8" spans="1:10" ht="236.25" customHeight="1" thickBot="1">
      <c r="A8" s="129"/>
      <c r="B8" s="131"/>
      <c r="C8" s="26" t="s">
        <v>331</v>
      </c>
      <c r="D8" s="27" t="s">
        <v>332</v>
      </c>
      <c r="E8" s="28"/>
      <c r="F8" s="133"/>
      <c r="G8" s="135"/>
      <c r="H8" s="137"/>
      <c r="I8" s="140"/>
      <c r="J8" s="141"/>
    </row>
    <row r="9" spans="1:10" ht="36.75" customHeight="1" thickTop="1">
      <c r="A9" s="9"/>
      <c r="B9" s="9"/>
      <c r="C9" s="9"/>
      <c r="D9" s="9"/>
      <c r="E9" s="9"/>
      <c r="F9" s="9"/>
      <c r="G9" s="9"/>
      <c r="H9" s="9" t="s">
        <v>0</v>
      </c>
      <c r="I9" s="9"/>
      <c r="J9" s="10">
        <v>398710.21</v>
      </c>
    </row>
    <row r="10" spans="1:10" ht="23.25" customHeight="1">
      <c r="A10" s="9"/>
      <c r="B10" s="9"/>
      <c r="C10" s="9"/>
      <c r="D10" s="9"/>
      <c r="E10" s="9"/>
      <c r="F10" s="9"/>
      <c r="G10" s="9"/>
      <c r="H10" s="9" t="s">
        <v>1</v>
      </c>
      <c r="I10" s="9"/>
      <c r="J10" s="11">
        <v>0.26740000000000003</v>
      </c>
    </row>
    <row r="11" spans="1:10" ht="30" customHeight="1">
      <c r="A11" s="1" t="s">
        <v>2</v>
      </c>
      <c r="B11" s="3" t="s">
        <v>3</v>
      </c>
      <c r="C11" s="1" t="s">
        <v>4</v>
      </c>
      <c r="D11" s="1" t="s">
        <v>5</v>
      </c>
      <c r="E11" s="2" t="s">
        <v>6</v>
      </c>
      <c r="F11" s="3" t="s">
        <v>7</v>
      </c>
      <c r="G11" s="3" t="s">
        <v>8</v>
      </c>
      <c r="H11" s="3" t="s">
        <v>9</v>
      </c>
      <c r="I11" s="3" t="s">
        <v>10</v>
      </c>
      <c r="J11" s="3" t="s">
        <v>11</v>
      </c>
    </row>
    <row r="12" spans="1:10" ht="24" customHeight="1">
      <c r="A12" s="4" t="s">
        <v>12</v>
      </c>
      <c r="B12" s="4" t="s">
        <v>13</v>
      </c>
      <c r="C12" s="4"/>
      <c r="D12" s="4" t="s">
        <v>14</v>
      </c>
      <c r="E12" s="5"/>
      <c r="F12" s="6">
        <v>1</v>
      </c>
      <c r="G12" s="6" t="s">
        <v>15</v>
      </c>
      <c r="H12" s="7">
        <f>I13</f>
        <v>1320.44</v>
      </c>
      <c r="I12" s="7">
        <f t="shared" ref="I12:I43" si="0">ROUND(F12 * H12,2)</f>
        <v>1320.44</v>
      </c>
      <c r="J12" s="8">
        <f>I12 / J9</f>
        <v>3.3117787477777408E-3</v>
      </c>
    </row>
    <row r="13" spans="1:10" s="34" customFormat="1" ht="78" customHeight="1">
      <c r="A13" s="29" t="s">
        <v>16</v>
      </c>
      <c r="B13" s="29" t="s">
        <v>17</v>
      </c>
      <c r="C13" s="29" t="s">
        <v>18</v>
      </c>
      <c r="D13" s="29" t="s">
        <v>19</v>
      </c>
      <c r="E13" s="30" t="s">
        <v>20</v>
      </c>
      <c r="F13" s="31">
        <v>4.5</v>
      </c>
      <c r="G13" s="32">
        <v>231.52</v>
      </c>
      <c r="H13" s="32">
        <f>ROUND(ROUND(G13 * J10, 2) + G13, 2)</f>
        <v>293.43</v>
      </c>
      <c r="I13" s="32">
        <f t="shared" si="0"/>
        <v>1320.44</v>
      </c>
      <c r="J13" s="33">
        <f>I13 / J9</f>
        <v>3.3117787477777408E-3</v>
      </c>
    </row>
    <row r="14" spans="1:10" ht="24" customHeight="1">
      <c r="A14" s="4" t="s">
        <v>21</v>
      </c>
      <c r="B14" s="4" t="s">
        <v>13</v>
      </c>
      <c r="C14" s="4"/>
      <c r="D14" s="4" t="s">
        <v>22</v>
      </c>
      <c r="E14" s="5"/>
      <c r="F14" s="6">
        <v>1</v>
      </c>
      <c r="G14" s="6" t="s">
        <v>15</v>
      </c>
      <c r="H14" s="7">
        <f>I15 + I16 + I17 + I18 + I19 + I20 + I21 + I22</f>
        <v>103241.73999999999</v>
      </c>
      <c r="I14" s="7">
        <f t="shared" si="0"/>
        <v>103241.74</v>
      </c>
      <c r="J14" s="8">
        <f>I14 / J9</f>
        <v>0.25893929327769161</v>
      </c>
    </row>
    <row r="15" spans="1:10" s="34" customFormat="1" ht="39" customHeight="1">
      <c r="A15" s="29" t="s">
        <v>23</v>
      </c>
      <c r="B15" s="29" t="s">
        <v>24</v>
      </c>
      <c r="C15" s="29" t="s">
        <v>25</v>
      </c>
      <c r="D15" s="29" t="s">
        <v>26</v>
      </c>
      <c r="E15" s="30" t="s">
        <v>20</v>
      </c>
      <c r="F15" s="31">
        <v>36</v>
      </c>
      <c r="G15" s="32">
        <v>4.1900000000000004</v>
      </c>
      <c r="H15" s="32">
        <f>ROUND(ROUND(G15 * J10, 2) + G15, 2)</f>
        <v>5.31</v>
      </c>
      <c r="I15" s="32">
        <f t="shared" si="0"/>
        <v>191.16</v>
      </c>
      <c r="J15" s="33">
        <f>I15 / J9</f>
        <v>4.7944596151676172E-4</v>
      </c>
    </row>
    <row r="16" spans="1:10" s="34" customFormat="1" ht="39" customHeight="1">
      <c r="A16" s="29" t="s">
        <v>27</v>
      </c>
      <c r="B16" s="29" t="s">
        <v>28</v>
      </c>
      <c r="C16" s="29" t="s">
        <v>18</v>
      </c>
      <c r="D16" s="29" t="s">
        <v>29</v>
      </c>
      <c r="E16" s="30" t="s">
        <v>30</v>
      </c>
      <c r="F16" s="31">
        <v>7.2</v>
      </c>
      <c r="G16" s="32">
        <v>327.39</v>
      </c>
      <c r="H16" s="32">
        <f>ROUND(ROUND(G16 * J10, 2) + G16, 2)</f>
        <v>414.93</v>
      </c>
      <c r="I16" s="32">
        <f t="shared" si="0"/>
        <v>2987.5</v>
      </c>
      <c r="J16" s="33">
        <f>I16 / J9</f>
        <v>7.4929107032398285E-3</v>
      </c>
    </row>
    <row r="17" spans="1:10" s="34" customFormat="1" ht="24" customHeight="1">
      <c r="A17" s="29" t="s">
        <v>31</v>
      </c>
      <c r="B17" s="29" t="s">
        <v>32</v>
      </c>
      <c r="C17" s="29" t="s">
        <v>25</v>
      </c>
      <c r="D17" s="29" t="s">
        <v>33</v>
      </c>
      <c r="E17" s="30" t="s">
        <v>30</v>
      </c>
      <c r="F17" s="31">
        <v>90</v>
      </c>
      <c r="G17" s="32">
        <v>98.46</v>
      </c>
      <c r="H17" s="32">
        <f>ROUND(ROUND(G17 * J10, 2) + G17, 2)</f>
        <v>124.79</v>
      </c>
      <c r="I17" s="32">
        <f t="shared" si="0"/>
        <v>11231.1</v>
      </c>
      <c r="J17" s="33">
        <f>I17 / J9</f>
        <v>2.8168578878378859E-2</v>
      </c>
    </row>
    <row r="18" spans="1:10" s="34" customFormat="1" ht="39" customHeight="1">
      <c r="A18" s="29" t="s">
        <v>34</v>
      </c>
      <c r="B18" s="29" t="s">
        <v>35</v>
      </c>
      <c r="C18" s="29" t="s">
        <v>25</v>
      </c>
      <c r="D18" s="29" t="s">
        <v>36</v>
      </c>
      <c r="E18" s="30" t="s">
        <v>20</v>
      </c>
      <c r="F18" s="31">
        <v>36</v>
      </c>
      <c r="G18" s="32">
        <v>112.99</v>
      </c>
      <c r="H18" s="32">
        <f>ROUND(ROUND(G18 * J10, 2) + G18, 2)</f>
        <v>143.19999999999999</v>
      </c>
      <c r="I18" s="32">
        <f t="shared" si="0"/>
        <v>5155.2</v>
      </c>
      <c r="J18" s="33">
        <f>I18 / J9</f>
        <v>1.2929691466892707E-2</v>
      </c>
    </row>
    <row r="19" spans="1:10" s="34" customFormat="1" ht="26.1" customHeight="1">
      <c r="A19" s="29" t="s">
        <v>37</v>
      </c>
      <c r="B19" s="29" t="s">
        <v>38</v>
      </c>
      <c r="C19" s="29" t="s">
        <v>39</v>
      </c>
      <c r="D19" s="29" t="s">
        <v>40</v>
      </c>
      <c r="E19" s="30" t="s">
        <v>20</v>
      </c>
      <c r="F19" s="31">
        <v>72</v>
      </c>
      <c r="G19" s="32">
        <v>21.97</v>
      </c>
      <c r="H19" s="32">
        <f>ROUND(ROUND(G19 * J10, 2) + G19, 2)</f>
        <v>27.84</v>
      </c>
      <c r="I19" s="32">
        <f t="shared" si="0"/>
        <v>2004.48</v>
      </c>
      <c r="J19" s="33">
        <f>I19 / J9</f>
        <v>5.0274107603113551E-3</v>
      </c>
    </row>
    <row r="20" spans="1:10" s="34" customFormat="1" ht="51.95" customHeight="1">
      <c r="A20" s="29" t="s">
        <v>41</v>
      </c>
      <c r="B20" s="29" t="s">
        <v>42</v>
      </c>
      <c r="C20" s="29" t="s">
        <v>18</v>
      </c>
      <c r="D20" s="29" t="s">
        <v>43</v>
      </c>
      <c r="E20" s="30" t="s">
        <v>20</v>
      </c>
      <c r="F20" s="31">
        <v>72</v>
      </c>
      <c r="G20" s="32">
        <v>5.64</v>
      </c>
      <c r="H20" s="32">
        <f>ROUND(ROUND(G20 * J10, 2) + G20, 2)</f>
        <v>7.15</v>
      </c>
      <c r="I20" s="32">
        <f t="shared" si="0"/>
        <v>514.79999999999995</v>
      </c>
      <c r="J20" s="33">
        <f>I20 / J9</f>
        <v>1.2911633238586991E-3</v>
      </c>
    </row>
    <row r="21" spans="1:10" s="34" customFormat="1" ht="39" customHeight="1">
      <c r="A21" s="29" t="s">
        <v>44</v>
      </c>
      <c r="B21" s="29" t="s">
        <v>45</v>
      </c>
      <c r="C21" s="29" t="s">
        <v>25</v>
      </c>
      <c r="D21" s="29" t="s">
        <v>46</v>
      </c>
      <c r="E21" s="30" t="s">
        <v>30</v>
      </c>
      <c r="F21" s="31">
        <v>54</v>
      </c>
      <c r="G21" s="32">
        <v>812.61</v>
      </c>
      <c r="H21" s="32">
        <f>ROUND(ROUND(G21 * J10, 2) + G21, 2)</f>
        <v>1029.9000000000001</v>
      </c>
      <c r="I21" s="32">
        <f t="shared" si="0"/>
        <v>55614.6</v>
      </c>
      <c r="J21" s="33">
        <f>I21 / J9</f>
        <v>0.13948626999042738</v>
      </c>
    </row>
    <row r="22" spans="1:10" s="34" customFormat="1" ht="24" customHeight="1">
      <c r="A22" s="29" t="s">
        <v>47</v>
      </c>
      <c r="B22" s="29" t="s">
        <v>48</v>
      </c>
      <c r="C22" s="29" t="s">
        <v>49</v>
      </c>
      <c r="D22" s="29" t="s">
        <v>50</v>
      </c>
      <c r="E22" s="30" t="s">
        <v>30</v>
      </c>
      <c r="F22" s="31">
        <v>90</v>
      </c>
      <c r="G22" s="32">
        <v>223.93</v>
      </c>
      <c r="H22" s="32">
        <f>ROUND(ROUND(G22 * J10, 2) + G22, 2)</f>
        <v>283.81</v>
      </c>
      <c r="I22" s="32">
        <f t="shared" si="0"/>
        <v>25542.9</v>
      </c>
      <c r="J22" s="33">
        <f>I22 / J9</f>
        <v>6.4063822193065986E-2</v>
      </c>
    </row>
    <row r="23" spans="1:10" ht="24" customHeight="1">
      <c r="A23" s="4" t="s">
        <v>51</v>
      </c>
      <c r="B23" s="4" t="s">
        <v>13</v>
      </c>
      <c r="C23" s="4"/>
      <c r="D23" s="4" t="s">
        <v>52</v>
      </c>
      <c r="E23" s="5"/>
      <c r="F23" s="6">
        <v>1</v>
      </c>
      <c r="G23" s="6" t="s">
        <v>15</v>
      </c>
      <c r="H23" s="7">
        <f>I24 + I25 + I26 + I27 + I28 + I29 + I30</f>
        <v>10306.780000000001</v>
      </c>
      <c r="I23" s="7">
        <f t="shared" si="0"/>
        <v>10306.780000000001</v>
      </c>
      <c r="J23" s="8">
        <f>I23 / J9</f>
        <v>2.5850303657887267E-2</v>
      </c>
    </row>
    <row r="24" spans="1:10" s="34" customFormat="1" ht="39" customHeight="1">
      <c r="A24" s="29" t="s">
        <v>53</v>
      </c>
      <c r="B24" s="29" t="s">
        <v>24</v>
      </c>
      <c r="C24" s="29" t="s">
        <v>25</v>
      </c>
      <c r="D24" s="29" t="s">
        <v>26</v>
      </c>
      <c r="E24" s="30" t="s">
        <v>20</v>
      </c>
      <c r="F24" s="31">
        <v>16</v>
      </c>
      <c r="G24" s="32">
        <v>4.1900000000000004</v>
      </c>
      <c r="H24" s="32">
        <f>ROUND(ROUND(G24 * J10, 2) + G24, 2)</f>
        <v>5.31</v>
      </c>
      <c r="I24" s="32">
        <f t="shared" si="0"/>
        <v>84.96</v>
      </c>
      <c r="J24" s="33">
        <f>I24 / J9</f>
        <v>2.1308709400744965E-4</v>
      </c>
    </row>
    <row r="25" spans="1:10" s="34" customFormat="1" ht="39" customHeight="1">
      <c r="A25" s="29" t="s">
        <v>54</v>
      </c>
      <c r="B25" s="29" t="s">
        <v>28</v>
      </c>
      <c r="C25" s="29" t="s">
        <v>18</v>
      </c>
      <c r="D25" s="29" t="s">
        <v>29</v>
      </c>
      <c r="E25" s="30" t="s">
        <v>30</v>
      </c>
      <c r="F25" s="31">
        <v>1.8</v>
      </c>
      <c r="G25" s="32">
        <v>327.39</v>
      </c>
      <c r="H25" s="32">
        <f>ROUND(ROUND(G25 * J10, 2) + G25, 2)</f>
        <v>414.93</v>
      </c>
      <c r="I25" s="32">
        <f t="shared" si="0"/>
        <v>746.87</v>
      </c>
      <c r="J25" s="33">
        <f>I25 / J9</f>
        <v>1.8732151353736339E-3</v>
      </c>
    </row>
    <row r="26" spans="1:10" s="34" customFormat="1" ht="24" customHeight="1">
      <c r="A26" s="29" t="s">
        <v>55</v>
      </c>
      <c r="B26" s="29" t="s">
        <v>32</v>
      </c>
      <c r="C26" s="29" t="s">
        <v>25</v>
      </c>
      <c r="D26" s="29" t="s">
        <v>33</v>
      </c>
      <c r="E26" s="30" t="s">
        <v>30</v>
      </c>
      <c r="F26" s="31">
        <v>40</v>
      </c>
      <c r="G26" s="32">
        <v>98.46</v>
      </c>
      <c r="H26" s="32">
        <f>ROUND(ROUND(G26 * J10, 2) + G26, 2)</f>
        <v>124.79</v>
      </c>
      <c r="I26" s="32">
        <f t="shared" si="0"/>
        <v>4991.6000000000004</v>
      </c>
      <c r="J26" s="33">
        <f>I26 / J9</f>
        <v>1.2519368390390605E-2</v>
      </c>
    </row>
    <row r="27" spans="1:10" s="34" customFormat="1" ht="26.1" customHeight="1">
      <c r="A27" s="29" t="s">
        <v>56</v>
      </c>
      <c r="B27" s="29" t="s">
        <v>38</v>
      </c>
      <c r="C27" s="29" t="s">
        <v>39</v>
      </c>
      <c r="D27" s="29" t="s">
        <v>40</v>
      </c>
      <c r="E27" s="30" t="s">
        <v>20</v>
      </c>
      <c r="F27" s="31">
        <v>32</v>
      </c>
      <c r="G27" s="32">
        <v>21.97</v>
      </c>
      <c r="H27" s="32">
        <f>ROUND(ROUND(G27 * J10, 2) + G27, 2)</f>
        <v>27.84</v>
      </c>
      <c r="I27" s="32">
        <f t="shared" si="0"/>
        <v>890.88</v>
      </c>
      <c r="J27" s="33">
        <f>I27 / J9</f>
        <v>2.2344047823606022E-3</v>
      </c>
    </row>
    <row r="28" spans="1:10" s="34" customFormat="1" ht="51.95" customHeight="1">
      <c r="A28" s="29" t="s">
        <v>57</v>
      </c>
      <c r="B28" s="29" t="s">
        <v>42</v>
      </c>
      <c r="C28" s="29" t="s">
        <v>18</v>
      </c>
      <c r="D28" s="29" t="s">
        <v>43</v>
      </c>
      <c r="E28" s="30" t="s">
        <v>20</v>
      </c>
      <c r="F28" s="31">
        <v>32</v>
      </c>
      <c r="G28" s="32">
        <v>5.64</v>
      </c>
      <c r="H28" s="32">
        <f>ROUND(ROUND(G28 * J10, 2) + G28, 2)</f>
        <v>7.15</v>
      </c>
      <c r="I28" s="32">
        <f t="shared" si="0"/>
        <v>228.8</v>
      </c>
      <c r="J28" s="33">
        <f>I28 / J9</f>
        <v>5.7385036615942189E-4</v>
      </c>
    </row>
    <row r="29" spans="1:10" s="34" customFormat="1" ht="39" customHeight="1">
      <c r="A29" s="29" t="s">
        <v>58</v>
      </c>
      <c r="B29" s="29" t="s">
        <v>59</v>
      </c>
      <c r="C29" s="29" t="s">
        <v>25</v>
      </c>
      <c r="D29" s="29" t="s">
        <v>60</v>
      </c>
      <c r="E29" s="30" t="s">
        <v>30</v>
      </c>
      <c r="F29" s="31">
        <v>2</v>
      </c>
      <c r="G29" s="32">
        <v>761.37</v>
      </c>
      <c r="H29" s="32">
        <f>ROUND(ROUND(G29 * J10, 2) + G29, 2)</f>
        <v>964.96</v>
      </c>
      <c r="I29" s="32">
        <f t="shared" si="0"/>
        <v>1929.92</v>
      </c>
      <c r="J29" s="33">
        <f>I29 / J9</f>
        <v>4.8404077738566061E-3</v>
      </c>
    </row>
    <row r="30" spans="1:10" s="34" customFormat="1" ht="26.1" customHeight="1">
      <c r="A30" s="29" t="s">
        <v>61</v>
      </c>
      <c r="B30" s="29" t="s">
        <v>62</v>
      </c>
      <c r="C30" s="29" t="s">
        <v>18</v>
      </c>
      <c r="D30" s="29" t="s">
        <v>63</v>
      </c>
      <c r="E30" s="30" t="s">
        <v>64</v>
      </c>
      <c r="F30" s="31">
        <v>109.28</v>
      </c>
      <c r="G30" s="32">
        <v>10.35</v>
      </c>
      <c r="H30" s="32">
        <f>ROUND(ROUND(G30 * J10, 2) + G30, 2)</f>
        <v>13.12</v>
      </c>
      <c r="I30" s="32">
        <f t="shared" si="0"/>
        <v>1433.75</v>
      </c>
      <c r="J30" s="33">
        <f>I30 / J9</f>
        <v>3.5959701157389471E-3</v>
      </c>
    </row>
    <row r="31" spans="1:10" ht="24" customHeight="1">
      <c r="A31" s="4" t="s">
        <v>65</v>
      </c>
      <c r="B31" s="4" t="s">
        <v>13</v>
      </c>
      <c r="C31" s="4"/>
      <c r="D31" s="4" t="s">
        <v>66</v>
      </c>
      <c r="E31" s="5"/>
      <c r="F31" s="6">
        <v>1</v>
      </c>
      <c r="G31" s="6" t="s">
        <v>15</v>
      </c>
      <c r="H31" s="7">
        <f>I32 + I33 + I34 + I35 + I36</f>
        <v>19285.309999999998</v>
      </c>
      <c r="I31" s="7">
        <f t="shared" si="0"/>
        <v>19285.310000000001</v>
      </c>
      <c r="J31" s="8">
        <f>I31 / J9</f>
        <v>4.8369240406459617E-2</v>
      </c>
    </row>
    <row r="32" spans="1:10" s="34" customFormat="1" ht="24" customHeight="1">
      <c r="A32" s="29" t="s">
        <v>67</v>
      </c>
      <c r="B32" s="29" t="s">
        <v>68</v>
      </c>
      <c r="C32" s="29" t="s">
        <v>69</v>
      </c>
      <c r="D32" s="29" t="s">
        <v>70</v>
      </c>
      <c r="E32" s="30" t="s">
        <v>71</v>
      </c>
      <c r="F32" s="31">
        <v>1086</v>
      </c>
      <c r="G32" s="32">
        <v>1.48</v>
      </c>
      <c r="H32" s="32">
        <f>ROUND(ROUND(G32 * J10, 2) + G32, 2)</f>
        <v>1.88</v>
      </c>
      <c r="I32" s="32">
        <f t="shared" si="0"/>
        <v>2041.68</v>
      </c>
      <c r="J32" s="33">
        <f>I32 / J9</f>
        <v>5.1207116065575542E-3</v>
      </c>
    </row>
    <row r="33" spans="1:10" s="34" customFormat="1" ht="26.1" customHeight="1">
      <c r="A33" s="29" t="s">
        <v>72</v>
      </c>
      <c r="B33" s="29" t="s">
        <v>73</v>
      </c>
      <c r="C33" s="29" t="s">
        <v>25</v>
      </c>
      <c r="D33" s="29" t="s">
        <v>74</v>
      </c>
      <c r="E33" s="30" t="s">
        <v>20</v>
      </c>
      <c r="F33" s="31">
        <v>1897.1</v>
      </c>
      <c r="G33" s="32">
        <v>0.71</v>
      </c>
      <c r="H33" s="32">
        <f>ROUND(ROUND(G33 * J10, 2) + G33, 2)</f>
        <v>0.9</v>
      </c>
      <c r="I33" s="32">
        <f t="shared" si="0"/>
        <v>1707.39</v>
      </c>
      <c r="J33" s="33">
        <f>I33 / J9</f>
        <v>4.2822831148467454E-3</v>
      </c>
    </row>
    <row r="34" spans="1:10" s="34" customFormat="1" ht="26.1" customHeight="1">
      <c r="A34" s="29" t="s">
        <v>75</v>
      </c>
      <c r="B34" s="29" t="s">
        <v>76</v>
      </c>
      <c r="C34" s="29" t="s">
        <v>18</v>
      </c>
      <c r="D34" s="29" t="s">
        <v>77</v>
      </c>
      <c r="E34" s="30" t="s">
        <v>30</v>
      </c>
      <c r="F34" s="31">
        <v>51.739249999999998</v>
      </c>
      <c r="G34" s="32">
        <v>45.32</v>
      </c>
      <c r="H34" s="32">
        <f>ROUND(ROUND(G34 * J10, 2) + G34, 2)</f>
        <v>57.44</v>
      </c>
      <c r="I34" s="32">
        <f t="shared" si="0"/>
        <v>2971.9</v>
      </c>
      <c r="J34" s="33">
        <f>I34 / J9</f>
        <v>7.4537845419107773E-3</v>
      </c>
    </row>
    <row r="35" spans="1:10" s="34" customFormat="1" ht="26.1" customHeight="1">
      <c r="A35" s="29" t="s">
        <v>78</v>
      </c>
      <c r="B35" s="29" t="s">
        <v>79</v>
      </c>
      <c r="C35" s="29" t="s">
        <v>25</v>
      </c>
      <c r="D35" s="29" t="s">
        <v>80</v>
      </c>
      <c r="E35" s="30" t="s">
        <v>20</v>
      </c>
      <c r="F35" s="31">
        <v>2831.55</v>
      </c>
      <c r="G35" s="32">
        <v>1.77</v>
      </c>
      <c r="H35" s="32">
        <f>ROUND(ROUND(G35 * J10, 2) + G35, 2)</f>
        <v>2.2400000000000002</v>
      </c>
      <c r="I35" s="32">
        <f t="shared" si="0"/>
        <v>6342.67</v>
      </c>
      <c r="J35" s="33">
        <f>I35 / J9</f>
        <v>1.5907969851085578E-2</v>
      </c>
    </row>
    <row r="36" spans="1:10" s="34" customFormat="1" ht="24" customHeight="1">
      <c r="A36" s="29" t="s">
        <v>81</v>
      </c>
      <c r="B36" s="29" t="s">
        <v>82</v>
      </c>
      <c r="C36" s="29" t="s">
        <v>83</v>
      </c>
      <c r="D36" s="29" t="s">
        <v>84</v>
      </c>
      <c r="E36" s="30" t="s">
        <v>85</v>
      </c>
      <c r="F36" s="31">
        <v>273</v>
      </c>
      <c r="G36" s="32">
        <v>17.98</v>
      </c>
      <c r="H36" s="32">
        <f>ROUND(ROUND(G36 * J10, 2) + G36, 2)</f>
        <v>22.79</v>
      </c>
      <c r="I36" s="32">
        <f t="shared" si="0"/>
        <v>6221.67</v>
      </c>
      <c r="J36" s="33">
        <f>I36 / J9</f>
        <v>1.5604491292058962E-2</v>
      </c>
    </row>
    <row r="37" spans="1:10" ht="24" customHeight="1">
      <c r="A37" s="4" t="s">
        <v>86</v>
      </c>
      <c r="B37" s="4" t="s">
        <v>13</v>
      </c>
      <c r="C37" s="4"/>
      <c r="D37" s="4" t="s">
        <v>87</v>
      </c>
      <c r="E37" s="5"/>
      <c r="F37" s="6">
        <v>1</v>
      </c>
      <c r="G37" s="6" t="s">
        <v>15</v>
      </c>
      <c r="H37" s="7">
        <f>I38</f>
        <v>36583.54</v>
      </c>
      <c r="I37" s="7">
        <f t="shared" si="0"/>
        <v>36583.54</v>
      </c>
      <c r="J37" s="8">
        <f>I37 / J9</f>
        <v>9.1754710771013367E-2</v>
      </c>
    </row>
    <row r="38" spans="1:10" ht="24" customHeight="1">
      <c r="A38" s="4" t="s">
        <v>88</v>
      </c>
      <c r="B38" s="4" t="s">
        <v>13</v>
      </c>
      <c r="C38" s="4"/>
      <c r="D38" s="4" t="s">
        <v>89</v>
      </c>
      <c r="E38" s="5"/>
      <c r="F38" s="6">
        <v>1</v>
      </c>
      <c r="G38" s="6" t="s">
        <v>15</v>
      </c>
      <c r="H38" s="7">
        <f>I39 + I60</f>
        <v>36583.54</v>
      </c>
      <c r="I38" s="7">
        <f t="shared" si="0"/>
        <v>36583.54</v>
      </c>
      <c r="J38" s="8">
        <f>I38 / J9</f>
        <v>9.1754710771013367E-2</v>
      </c>
    </row>
    <row r="39" spans="1:10" ht="24" customHeight="1">
      <c r="A39" s="4" t="s">
        <v>90</v>
      </c>
      <c r="B39" s="4" t="s">
        <v>13</v>
      </c>
      <c r="C39" s="4"/>
      <c r="D39" s="4" t="s">
        <v>91</v>
      </c>
      <c r="E39" s="5"/>
      <c r="F39" s="6">
        <v>1</v>
      </c>
      <c r="G39" s="6" t="s">
        <v>15</v>
      </c>
      <c r="H39" s="7">
        <f>I40 + I41 + I42 + I43 + I44 + I45 + I46 + I47 + I48 + I49 + I50 + I51 + I52 + I53 + I54 + I55 + I56 + I57 + I58 + I59</f>
        <v>27464.199999999997</v>
      </c>
      <c r="I39" s="7">
        <f t="shared" si="0"/>
        <v>27464.2</v>
      </c>
      <c r="J39" s="8">
        <f>I39 / J9</f>
        <v>6.8882610254701021E-2</v>
      </c>
    </row>
    <row r="40" spans="1:10" s="34" customFormat="1" ht="26.1" customHeight="1">
      <c r="A40" s="29" t="s">
        <v>92</v>
      </c>
      <c r="B40" s="29" t="s">
        <v>93</v>
      </c>
      <c r="C40" s="29" t="s">
        <v>18</v>
      </c>
      <c r="D40" s="29" t="s">
        <v>94</v>
      </c>
      <c r="E40" s="30" t="s">
        <v>20</v>
      </c>
      <c r="F40" s="31">
        <v>4.3550000000000004</v>
      </c>
      <c r="G40" s="32">
        <v>401.55</v>
      </c>
      <c r="H40" s="32">
        <f>ROUND(ROUND(G40 * J10, 2) + G40, 2)</f>
        <v>508.92</v>
      </c>
      <c r="I40" s="32">
        <f t="shared" si="0"/>
        <v>2216.35</v>
      </c>
      <c r="J40" s="33">
        <f>I40 / J9</f>
        <v>5.5587992090796968E-3</v>
      </c>
    </row>
    <row r="41" spans="1:10" s="34" customFormat="1" ht="51.95" customHeight="1">
      <c r="A41" s="29" t="s">
        <v>95</v>
      </c>
      <c r="B41" s="29" t="s">
        <v>96</v>
      </c>
      <c r="C41" s="29" t="s">
        <v>18</v>
      </c>
      <c r="D41" s="29" t="s">
        <v>97</v>
      </c>
      <c r="E41" s="30" t="s">
        <v>71</v>
      </c>
      <c r="F41" s="31">
        <v>10.4</v>
      </c>
      <c r="G41" s="32">
        <v>222.86</v>
      </c>
      <c r="H41" s="32">
        <f>ROUND(ROUND(G41 * J10, 2) + G41, 2)</f>
        <v>282.45</v>
      </c>
      <c r="I41" s="32">
        <f t="shared" si="0"/>
        <v>2937.48</v>
      </c>
      <c r="J41" s="33">
        <f>I41 / J9</f>
        <v>7.3674561782603957E-3</v>
      </c>
    </row>
    <row r="42" spans="1:10" s="34" customFormat="1" ht="26.1" customHeight="1">
      <c r="A42" s="29" t="s">
        <v>98</v>
      </c>
      <c r="B42" s="29" t="s">
        <v>99</v>
      </c>
      <c r="C42" s="29" t="s">
        <v>18</v>
      </c>
      <c r="D42" s="29" t="s">
        <v>100</v>
      </c>
      <c r="E42" s="30" t="s">
        <v>20</v>
      </c>
      <c r="F42" s="31">
        <v>4.32</v>
      </c>
      <c r="G42" s="32">
        <v>387.28</v>
      </c>
      <c r="H42" s="32">
        <f>ROUND(ROUND(G42 * J10, 2) + G42, 2)</f>
        <v>490.84</v>
      </c>
      <c r="I42" s="32">
        <f t="shared" si="0"/>
        <v>2120.4299999999998</v>
      </c>
      <c r="J42" s="33">
        <f>I42 / J9</f>
        <v>5.3182234786513238E-3</v>
      </c>
    </row>
    <row r="43" spans="1:10" s="34" customFormat="1" ht="26.1" customHeight="1">
      <c r="A43" s="29" t="s">
        <v>101</v>
      </c>
      <c r="B43" s="29" t="s">
        <v>102</v>
      </c>
      <c r="C43" s="29" t="s">
        <v>49</v>
      </c>
      <c r="D43" s="29" t="s">
        <v>103</v>
      </c>
      <c r="E43" s="30" t="s">
        <v>20</v>
      </c>
      <c r="F43" s="31">
        <v>6.16</v>
      </c>
      <c r="G43" s="32">
        <v>185.68</v>
      </c>
      <c r="H43" s="32">
        <f>ROUND(ROUND(G43 * J10, 2) + G43, 2)</f>
        <v>235.33</v>
      </c>
      <c r="I43" s="32">
        <f t="shared" si="0"/>
        <v>1449.63</v>
      </c>
      <c r="J43" s="33">
        <f>I43 / J9</f>
        <v>3.6357985415021101E-3</v>
      </c>
    </row>
    <row r="44" spans="1:10" s="34" customFormat="1" ht="39" customHeight="1">
      <c r="A44" s="29" t="s">
        <v>104</v>
      </c>
      <c r="B44" s="29" t="s">
        <v>105</v>
      </c>
      <c r="C44" s="29" t="s">
        <v>18</v>
      </c>
      <c r="D44" s="29" t="s">
        <v>106</v>
      </c>
      <c r="E44" s="30" t="s">
        <v>71</v>
      </c>
      <c r="F44" s="31">
        <v>14.2</v>
      </c>
      <c r="G44" s="32">
        <v>54.1</v>
      </c>
      <c r="H44" s="32">
        <f>ROUND(ROUND(G44 * J10, 2) + G44, 2)</f>
        <v>68.569999999999993</v>
      </c>
      <c r="I44" s="32">
        <f t="shared" ref="I44:I75" si="1">ROUND(F44 * H44,2)</f>
        <v>973.69</v>
      </c>
      <c r="J44" s="33">
        <f>I44 / J9</f>
        <v>2.4420994887489841E-3</v>
      </c>
    </row>
    <row r="45" spans="1:10" s="34" customFormat="1" ht="26.1" customHeight="1">
      <c r="A45" s="29" t="s">
        <v>107</v>
      </c>
      <c r="B45" s="29" t="s">
        <v>108</v>
      </c>
      <c r="C45" s="29" t="s">
        <v>49</v>
      </c>
      <c r="D45" s="29" t="s">
        <v>109</v>
      </c>
      <c r="E45" s="30" t="s">
        <v>71</v>
      </c>
      <c r="F45" s="31">
        <v>6.4</v>
      </c>
      <c r="G45" s="32">
        <v>110.75</v>
      </c>
      <c r="H45" s="32">
        <f>ROUND(ROUND(G45 * J10, 2) + G45, 2)</f>
        <v>140.36000000000001</v>
      </c>
      <c r="I45" s="32">
        <f t="shared" si="1"/>
        <v>898.3</v>
      </c>
      <c r="J45" s="33">
        <f>I45 / J9</f>
        <v>2.2530147898645481E-3</v>
      </c>
    </row>
    <row r="46" spans="1:10" s="34" customFormat="1" ht="65.099999999999994" customHeight="1">
      <c r="A46" s="29" t="s">
        <v>110</v>
      </c>
      <c r="B46" s="29" t="s">
        <v>111</v>
      </c>
      <c r="C46" s="29" t="s">
        <v>18</v>
      </c>
      <c r="D46" s="29" t="s">
        <v>112</v>
      </c>
      <c r="E46" s="30" t="s">
        <v>20</v>
      </c>
      <c r="F46" s="31">
        <v>1.92</v>
      </c>
      <c r="G46" s="32">
        <v>421.78</v>
      </c>
      <c r="H46" s="32">
        <f>ROUND(ROUND(G46 * J10, 2) + G46, 2)</f>
        <v>534.55999999999995</v>
      </c>
      <c r="I46" s="32">
        <f t="shared" si="1"/>
        <v>1026.3599999999999</v>
      </c>
      <c r="J46" s="33">
        <f>I46 / J9</f>
        <v>2.574200444979826E-3</v>
      </c>
    </row>
    <row r="47" spans="1:10" s="34" customFormat="1" ht="78" customHeight="1">
      <c r="A47" s="29" t="s">
        <v>113</v>
      </c>
      <c r="B47" s="29" t="s">
        <v>114</v>
      </c>
      <c r="C47" s="29" t="s">
        <v>18</v>
      </c>
      <c r="D47" s="29" t="s">
        <v>115</v>
      </c>
      <c r="E47" s="30" t="s">
        <v>116</v>
      </c>
      <c r="F47" s="31">
        <v>1</v>
      </c>
      <c r="G47" s="32">
        <v>526.85</v>
      </c>
      <c r="H47" s="32">
        <f>ROUND(ROUND(G47 * J10, 2) + G47, 2)</f>
        <v>667.73</v>
      </c>
      <c r="I47" s="32">
        <f t="shared" si="1"/>
        <v>667.73</v>
      </c>
      <c r="J47" s="33">
        <f>I47 / J9</f>
        <v>1.6747251092466379E-3</v>
      </c>
    </row>
    <row r="48" spans="1:10" s="34" customFormat="1" ht="51.95" customHeight="1">
      <c r="A48" s="29" t="s">
        <v>117</v>
      </c>
      <c r="B48" s="29" t="s">
        <v>118</v>
      </c>
      <c r="C48" s="29" t="s">
        <v>119</v>
      </c>
      <c r="D48" s="29" t="s">
        <v>120</v>
      </c>
      <c r="E48" s="30" t="s">
        <v>121</v>
      </c>
      <c r="F48" s="31">
        <v>1</v>
      </c>
      <c r="G48" s="32">
        <v>2038.75</v>
      </c>
      <c r="H48" s="32">
        <f>ROUND(ROUND(G48 * J10, 2) + G48, 2)</f>
        <v>2583.91</v>
      </c>
      <c r="I48" s="32">
        <f t="shared" si="1"/>
        <v>2583.91</v>
      </c>
      <c r="J48" s="33">
        <f>I48 / J9</f>
        <v>6.4806717640865019E-3</v>
      </c>
    </row>
    <row r="49" spans="1:10" s="34" customFormat="1" ht="51.95" customHeight="1">
      <c r="A49" s="29" t="s">
        <v>122</v>
      </c>
      <c r="B49" s="29" t="s">
        <v>123</v>
      </c>
      <c r="C49" s="29" t="s">
        <v>18</v>
      </c>
      <c r="D49" s="29" t="s">
        <v>124</v>
      </c>
      <c r="E49" s="30" t="s">
        <v>116</v>
      </c>
      <c r="F49" s="31">
        <v>1</v>
      </c>
      <c r="G49" s="32">
        <v>185.62</v>
      </c>
      <c r="H49" s="32">
        <f>ROUND(ROUND(G49 * J10, 2) + G49, 2)</f>
        <v>235.25</v>
      </c>
      <c r="I49" s="32">
        <f t="shared" si="1"/>
        <v>235.25</v>
      </c>
      <c r="J49" s="33">
        <f>I49 / J9</f>
        <v>5.9002752901662588E-4</v>
      </c>
    </row>
    <row r="50" spans="1:10" s="34" customFormat="1" ht="39" customHeight="1">
      <c r="A50" s="29" t="s">
        <v>125</v>
      </c>
      <c r="B50" s="29" t="s">
        <v>126</v>
      </c>
      <c r="C50" s="29" t="s">
        <v>18</v>
      </c>
      <c r="D50" s="29" t="s">
        <v>127</v>
      </c>
      <c r="E50" s="30" t="s">
        <v>116</v>
      </c>
      <c r="F50" s="31">
        <v>1</v>
      </c>
      <c r="G50" s="32">
        <v>87.48</v>
      </c>
      <c r="H50" s="32">
        <f>ROUND(ROUND(G50 * J10, 2) + G50, 2)</f>
        <v>110.87</v>
      </c>
      <c r="I50" s="32">
        <f t="shared" si="1"/>
        <v>110.87</v>
      </c>
      <c r="J50" s="33">
        <f>I50 / J9</f>
        <v>2.7807163503538069E-4</v>
      </c>
    </row>
    <row r="51" spans="1:10" s="34" customFormat="1" ht="39" customHeight="1">
      <c r="A51" s="29" t="s">
        <v>128</v>
      </c>
      <c r="B51" s="29" t="s">
        <v>129</v>
      </c>
      <c r="C51" s="29" t="s">
        <v>18</v>
      </c>
      <c r="D51" s="29" t="s">
        <v>130</v>
      </c>
      <c r="E51" s="30" t="s">
        <v>20</v>
      </c>
      <c r="F51" s="31">
        <v>1.6</v>
      </c>
      <c r="G51" s="32">
        <v>145.22999999999999</v>
      </c>
      <c r="H51" s="32">
        <f>ROUND(ROUND(G51 * J10, 2) + G51, 2)</f>
        <v>184.06</v>
      </c>
      <c r="I51" s="32">
        <f t="shared" si="1"/>
        <v>294.5</v>
      </c>
      <c r="J51" s="33">
        <f>I51 / J9</f>
        <v>7.3863169944908102E-4</v>
      </c>
    </row>
    <row r="52" spans="1:10" s="34" customFormat="1" ht="26.1" customHeight="1">
      <c r="A52" s="29" t="s">
        <v>131</v>
      </c>
      <c r="B52" s="29" t="s">
        <v>132</v>
      </c>
      <c r="C52" s="29" t="s">
        <v>49</v>
      </c>
      <c r="D52" s="29" t="s">
        <v>133</v>
      </c>
      <c r="E52" s="30" t="s">
        <v>20</v>
      </c>
      <c r="F52" s="31">
        <v>37.216000000000001</v>
      </c>
      <c r="G52" s="32">
        <v>2.77</v>
      </c>
      <c r="H52" s="32">
        <f>ROUND(ROUND(G52 * J10, 2) + G52, 2)</f>
        <v>3.51</v>
      </c>
      <c r="I52" s="32">
        <f t="shared" si="1"/>
        <v>130.63</v>
      </c>
      <c r="J52" s="33">
        <f>I52 / J9</f>
        <v>3.2763143938551256E-4</v>
      </c>
    </row>
    <row r="53" spans="1:10" s="34" customFormat="1" ht="39" customHeight="1">
      <c r="A53" s="29" t="s">
        <v>134</v>
      </c>
      <c r="B53" s="29" t="s">
        <v>135</v>
      </c>
      <c r="C53" s="29" t="s">
        <v>18</v>
      </c>
      <c r="D53" s="29" t="s">
        <v>136</v>
      </c>
      <c r="E53" s="30" t="s">
        <v>20</v>
      </c>
      <c r="F53" s="31">
        <v>37.216000000000001</v>
      </c>
      <c r="G53" s="32">
        <v>24.99</v>
      </c>
      <c r="H53" s="32">
        <f>ROUND(ROUND(G53 * J10, 2) + G53, 2)</f>
        <v>31.67</v>
      </c>
      <c r="I53" s="32">
        <f t="shared" si="1"/>
        <v>1178.6300000000001</v>
      </c>
      <c r="J53" s="33">
        <f>I53 / J9</f>
        <v>2.9561068927730747E-3</v>
      </c>
    </row>
    <row r="54" spans="1:10" s="34" customFormat="1" ht="78" customHeight="1">
      <c r="A54" s="29" t="s">
        <v>137</v>
      </c>
      <c r="B54" s="29" t="s">
        <v>138</v>
      </c>
      <c r="C54" s="29" t="s">
        <v>18</v>
      </c>
      <c r="D54" s="29" t="s">
        <v>139</v>
      </c>
      <c r="E54" s="30" t="s">
        <v>20</v>
      </c>
      <c r="F54" s="31">
        <v>37.216000000000001</v>
      </c>
      <c r="G54" s="32">
        <v>85.15</v>
      </c>
      <c r="H54" s="32">
        <f>ROUND(ROUND(G54 * J10, 2) + G54, 2)</f>
        <v>107.92</v>
      </c>
      <c r="I54" s="32">
        <f t="shared" si="1"/>
        <v>4016.35</v>
      </c>
      <c r="J54" s="33">
        <f>I54 / J9</f>
        <v>1.0073356285508714E-2</v>
      </c>
    </row>
    <row r="55" spans="1:10" s="34" customFormat="1" ht="51.95" customHeight="1">
      <c r="A55" s="29" t="s">
        <v>140</v>
      </c>
      <c r="B55" s="29" t="s">
        <v>141</v>
      </c>
      <c r="C55" s="29" t="s">
        <v>18</v>
      </c>
      <c r="D55" s="29" t="s">
        <v>142</v>
      </c>
      <c r="E55" s="30" t="s">
        <v>20</v>
      </c>
      <c r="F55" s="31">
        <v>29.26</v>
      </c>
      <c r="G55" s="32">
        <v>18.71</v>
      </c>
      <c r="H55" s="32">
        <f>ROUND(ROUND(G55 * J10, 2) + G55, 2)</f>
        <v>23.71</v>
      </c>
      <c r="I55" s="32">
        <f t="shared" si="1"/>
        <v>693.75</v>
      </c>
      <c r="J55" s="33">
        <f>I55 / J9</f>
        <v>1.7399855398736841E-3</v>
      </c>
    </row>
    <row r="56" spans="1:10" s="34" customFormat="1" ht="39" customHeight="1">
      <c r="A56" s="29" t="s">
        <v>143</v>
      </c>
      <c r="B56" s="29" t="s">
        <v>144</v>
      </c>
      <c r="C56" s="29" t="s">
        <v>18</v>
      </c>
      <c r="D56" s="29" t="s">
        <v>145</v>
      </c>
      <c r="E56" s="30" t="s">
        <v>71</v>
      </c>
      <c r="F56" s="31">
        <v>19.100000000000001</v>
      </c>
      <c r="G56" s="32">
        <v>3.1</v>
      </c>
      <c r="H56" s="32">
        <f>ROUND(ROUND(G56 * J10, 2) + G56, 2)</f>
        <v>3.93</v>
      </c>
      <c r="I56" s="32">
        <f t="shared" si="1"/>
        <v>75.06</v>
      </c>
      <c r="J56" s="33">
        <f>I56 / J9</f>
        <v>1.8825703008709007E-4</v>
      </c>
    </row>
    <row r="57" spans="1:10" s="34" customFormat="1" ht="39" customHeight="1">
      <c r="A57" s="29" t="s">
        <v>146</v>
      </c>
      <c r="B57" s="29" t="s">
        <v>147</v>
      </c>
      <c r="C57" s="29" t="s">
        <v>18</v>
      </c>
      <c r="D57" s="29" t="s">
        <v>148</v>
      </c>
      <c r="E57" s="30" t="s">
        <v>20</v>
      </c>
      <c r="F57" s="31">
        <v>29.26</v>
      </c>
      <c r="G57" s="32">
        <v>37.01</v>
      </c>
      <c r="H57" s="32">
        <f>ROUND(ROUND(G57 * J10, 2) + G57, 2)</f>
        <v>46.91</v>
      </c>
      <c r="I57" s="32">
        <f t="shared" si="1"/>
        <v>1372.59</v>
      </c>
      <c r="J57" s="33">
        <f>I57 / J9</f>
        <v>3.4425754986309475E-3</v>
      </c>
    </row>
    <row r="58" spans="1:10" s="34" customFormat="1" ht="51.95" customHeight="1">
      <c r="A58" s="29" t="s">
        <v>149</v>
      </c>
      <c r="B58" s="29" t="s">
        <v>150</v>
      </c>
      <c r="C58" s="29" t="s">
        <v>119</v>
      </c>
      <c r="D58" s="29" t="s">
        <v>151</v>
      </c>
      <c r="E58" s="30" t="s">
        <v>20</v>
      </c>
      <c r="F58" s="31">
        <v>29.26</v>
      </c>
      <c r="G58" s="32">
        <v>117.65</v>
      </c>
      <c r="H58" s="32">
        <f>ROUND(ROUND(G58 * J10, 2) + G58, 2)</f>
        <v>149.11000000000001</v>
      </c>
      <c r="I58" s="32">
        <f t="shared" si="1"/>
        <v>4362.96</v>
      </c>
      <c r="J58" s="33">
        <f>I58 / J9</f>
        <v>1.0942684412320417E-2</v>
      </c>
    </row>
    <row r="59" spans="1:10" s="34" customFormat="1" ht="39" customHeight="1">
      <c r="A59" s="29" t="s">
        <v>152</v>
      </c>
      <c r="B59" s="29" t="s">
        <v>153</v>
      </c>
      <c r="C59" s="29" t="s">
        <v>18</v>
      </c>
      <c r="D59" s="29" t="s">
        <v>154</v>
      </c>
      <c r="E59" s="30" t="s">
        <v>20</v>
      </c>
      <c r="F59" s="31">
        <v>0.28499999999999998</v>
      </c>
      <c r="G59" s="32">
        <v>331.47</v>
      </c>
      <c r="H59" s="32">
        <f>ROUND(ROUND(G59 * J10, 2) + G59, 2)</f>
        <v>420.11</v>
      </c>
      <c r="I59" s="32">
        <f t="shared" si="1"/>
        <v>119.73</v>
      </c>
      <c r="J59" s="33">
        <f>I59 / J9</f>
        <v>3.002932882004702E-4</v>
      </c>
    </row>
    <row r="60" spans="1:10" ht="24" customHeight="1">
      <c r="A60" s="4" t="s">
        <v>155</v>
      </c>
      <c r="B60" s="4" t="s">
        <v>13</v>
      </c>
      <c r="C60" s="4"/>
      <c r="D60" s="4" t="s">
        <v>156</v>
      </c>
      <c r="E60" s="5"/>
      <c r="F60" s="6">
        <v>1</v>
      </c>
      <c r="G60" s="6" t="s">
        <v>15</v>
      </c>
      <c r="H60" s="7">
        <f>I61 + I62 + I63 + I64 + I65 + I66 + I67 + I68</f>
        <v>9119.3399999999983</v>
      </c>
      <c r="I60" s="7">
        <f t="shared" si="1"/>
        <v>9119.34</v>
      </c>
      <c r="J60" s="8">
        <f>I60 / J9</f>
        <v>2.2872100516312336E-2</v>
      </c>
    </row>
    <row r="61" spans="1:10" s="34" customFormat="1" ht="26.1" customHeight="1">
      <c r="A61" s="29" t="s">
        <v>157</v>
      </c>
      <c r="B61" s="29" t="s">
        <v>158</v>
      </c>
      <c r="C61" s="29" t="s">
        <v>18</v>
      </c>
      <c r="D61" s="29" t="s">
        <v>159</v>
      </c>
      <c r="E61" s="30" t="s">
        <v>20</v>
      </c>
      <c r="F61" s="31">
        <v>9.6</v>
      </c>
      <c r="G61" s="32">
        <v>350.51</v>
      </c>
      <c r="H61" s="32">
        <f>ROUND(ROUND(G61 * J10, 2) + G61, 2)</f>
        <v>444.24</v>
      </c>
      <c r="I61" s="32">
        <f t="shared" si="1"/>
        <v>4264.7</v>
      </c>
      <c r="J61" s="33">
        <f>I61 / J9</f>
        <v>1.0696239757692684E-2</v>
      </c>
    </row>
    <row r="62" spans="1:10" s="34" customFormat="1" ht="26.1" customHeight="1">
      <c r="A62" s="29" t="s">
        <v>160</v>
      </c>
      <c r="B62" s="29" t="s">
        <v>132</v>
      </c>
      <c r="C62" s="29" t="s">
        <v>49</v>
      </c>
      <c r="D62" s="29" t="s">
        <v>133</v>
      </c>
      <c r="E62" s="30" t="s">
        <v>20</v>
      </c>
      <c r="F62" s="31">
        <v>23.03</v>
      </c>
      <c r="G62" s="32">
        <v>2.77</v>
      </c>
      <c r="H62" s="32">
        <f>ROUND(ROUND(G62 * J10, 2) + G62, 2)</f>
        <v>3.51</v>
      </c>
      <c r="I62" s="32">
        <f t="shared" si="1"/>
        <v>80.84</v>
      </c>
      <c r="J62" s="33">
        <f>I62 / J9</f>
        <v>2.0275377447695659E-4</v>
      </c>
    </row>
    <row r="63" spans="1:10" s="34" customFormat="1" ht="39" customHeight="1">
      <c r="A63" s="29" t="s">
        <v>161</v>
      </c>
      <c r="B63" s="29" t="s">
        <v>135</v>
      </c>
      <c r="C63" s="29" t="s">
        <v>18</v>
      </c>
      <c r="D63" s="29" t="s">
        <v>136</v>
      </c>
      <c r="E63" s="30" t="s">
        <v>20</v>
      </c>
      <c r="F63" s="31">
        <v>23.03</v>
      </c>
      <c r="G63" s="32">
        <v>24.99</v>
      </c>
      <c r="H63" s="32">
        <f>ROUND(ROUND(G63 * J10, 2) + G63, 2)</f>
        <v>31.67</v>
      </c>
      <c r="I63" s="32">
        <f t="shared" si="1"/>
        <v>729.36</v>
      </c>
      <c r="J63" s="33">
        <f>I63 / J9</f>
        <v>1.8292985273690382E-3</v>
      </c>
    </row>
    <row r="64" spans="1:10" s="34" customFormat="1" ht="78" customHeight="1">
      <c r="A64" s="29" t="s">
        <v>162</v>
      </c>
      <c r="B64" s="29" t="s">
        <v>138</v>
      </c>
      <c r="C64" s="29" t="s">
        <v>18</v>
      </c>
      <c r="D64" s="29" t="s">
        <v>139</v>
      </c>
      <c r="E64" s="30" t="s">
        <v>20</v>
      </c>
      <c r="F64" s="31">
        <v>23.03</v>
      </c>
      <c r="G64" s="32">
        <v>85.15</v>
      </c>
      <c r="H64" s="32">
        <f>ROUND(ROUND(G64 * J10, 2) + G64, 2)</f>
        <v>107.92</v>
      </c>
      <c r="I64" s="32">
        <f t="shared" si="1"/>
        <v>2485.4</v>
      </c>
      <c r="J64" s="33">
        <f>I64 / J9</f>
        <v>6.2336000876426012E-3</v>
      </c>
    </row>
    <row r="65" spans="1:10" s="34" customFormat="1" ht="51.95" customHeight="1">
      <c r="A65" s="29" t="s">
        <v>163</v>
      </c>
      <c r="B65" s="29" t="s">
        <v>141</v>
      </c>
      <c r="C65" s="29" t="s">
        <v>18</v>
      </c>
      <c r="D65" s="29" t="s">
        <v>142</v>
      </c>
      <c r="E65" s="30" t="s">
        <v>20</v>
      </c>
      <c r="F65" s="31">
        <v>6.92</v>
      </c>
      <c r="G65" s="32">
        <v>18.71</v>
      </c>
      <c r="H65" s="32">
        <f>ROUND(ROUND(G65 * J10, 2) + G65, 2)</f>
        <v>23.71</v>
      </c>
      <c r="I65" s="32">
        <f t="shared" si="1"/>
        <v>164.07</v>
      </c>
      <c r="J65" s="33">
        <f>I65 / J9</f>
        <v>4.1150187751650498E-4</v>
      </c>
    </row>
    <row r="66" spans="1:10" s="34" customFormat="1" ht="39" customHeight="1">
      <c r="A66" s="29" t="s">
        <v>164</v>
      </c>
      <c r="B66" s="29" t="s">
        <v>144</v>
      </c>
      <c r="C66" s="29" t="s">
        <v>18</v>
      </c>
      <c r="D66" s="29" t="s">
        <v>145</v>
      </c>
      <c r="E66" s="30" t="s">
        <v>71</v>
      </c>
      <c r="F66" s="31">
        <v>9.8000000000000007</v>
      </c>
      <c r="G66" s="32">
        <v>3.1</v>
      </c>
      <c r="H66" s="32">
        <f>ROUND(ROUND(G66 * J10, 2) + G66, 2)</f>
        <v>3.93</v>
      </c>
      <c r="I66" s="32">
        <f t="shared" si="1"/>
        <v>38.51</v>
      </c>
      <c r="J66" s="33">
        <f>I66 / J9</f>
        <v>9.6586440562934157E-5</v>
      </c>
    </row>
    <row r="67" spans="1:10" s="34" customFormat="1" ht="39" customHeight="1">
      <c r="A67" s="29" t="s">
        <v>165</v>
      </c>
      <c r="B67" s="29" t="s">
        <v>147</v>
      </c>
      <c r="C67" s="29" t="s">
        <v>18</v>
      </c>
      <c r="D67" s="29" t="s">
        <v>148</v>
      </c>
      <c r="E67" s="30" t="s">
        <v>20</v>
      </c>
      <c r="F67" s="31">
        <v>6.92</v>
      </c>
      <c r="G67" s="32">
        <v>37.01</v>
      </c>
      <c r="H67" s="32">
        <f>ROUND(ROUND(G67 * J10, 2) + G67, 2)</f>
        <v>46.91</v>
      </c>
      <c r="I67" s="32">
        <f t="shared" si="1"/>
        <v>324.62</v>
      </c>
      <c r="J67" s="33">
        <f>I67 / J9</f>
        <v>8.1417528786132667E-4</v>
      </c>
    </row>
    <row r="68" spans="1:10" s="34" customFormat="1" ht="51.95" customHeight="1">
      <c r="A68" s="29" t="s">
        <v>166</v>
      </c>
      <c r="B68" s="29" t="s">
        <v>150</v>
      </c>
      <c r="C68" s="29" t="s">
        <v>119</v>
      </c>
      <c r="D68" s="29" t="s">
        <v>151</v>
      </c>
      <c r="E68" s="30" t="s">
        <v>20</v>
      </c>
      <c r="F68" s="31">
        <v>6.92</v>
      </c>
      <c r="G68" s="32">
        <v>117.65</v>
      </c>
      <c r="H68" s="32">
        <f>ROUND(ROUND(G68 * J10, 2) + G68, 2)</f>
        <v>149.11000000000001</v>
      </c>
      <c r="I68" s="32">
        <f t="shared" si="1"/>
        <v>1031.8399999999999</v>
      </c>
      <c r="J68" s="33">
        <f>I68 / J9</f>
        <v>2.5879447631902875E-3</v>
      </c>
    </row>
    <row r="69" spans="1:10" ht="24" customHeight="1">
      <c r="A69" s="4" t="s">
        <v>167</v>
      </c>
      <c r="B69" s="4" t="s">
        <v>13</v>
      </c>
      <c r="C69" s="4"/>
      <c r="D69" s="4" t="s">
        <v>168</v>
      </c>
      <c r="E69" s="5"/>
      <c r="F69" s="6">
        <v>1</v>
      </c>
      <c r="G69" s="6" t="s">
        <v>15</v>
      </c>
      <c r="H69" s="7">
        <f>I70</f>
        <v>65649.240000000005</v>
      </c>
      <c r="I69" s="7">
        <f t="shared" si="1"/>
        <v>65649.240000000005</v>
      </c>
      <c r="J69" s="8">
        <f>I69 / J9</f>
        <v>0.16465402278010388</v>
      </c>
    </row>
    <row r="70" spans="1:10" ht="24" customHeight="1">
      <c r="A70" s="4" t="s">
        <v>169</v>
      </c>
      <c r="B70" s="4" t="s">
        <v>13</v>
      </c>
      <c r="C70" s="4"/>
      <c r="D70" s="4" t="s">
        <v>170</v>
      </c>
      <c r="E70" s="5"/>
      <c r="F70" s="6">
        <v>1</v>
      </c>
      <c r="G70" s="6" t="s">
        <v>15</v>
      </c>
      <c r="H70" s="7">
        <f>I71</f>
        <v>65649.240000000005</v>
      </c>
      <c r="I70" s="7">
        <f t="shared" si="1"/>
        <v>65649.240000000005</v>
      </c>
      <c r="J70" s="8">
        <f>I70 / J9</f>
        <v>0.16465402278010388</v>
      </c>
    </row>
    <row r="71" spans="1:10" ht="24" customHeight="1">
      <c r="A71" s="4" t="s">
        <v>171</v>
      </c>
      <c r="B71" s="4" t="s">
        <v>13</v>
      </c>
      <c r="C71" s="4"/>
      <c r="D71" s="4" t="s">
        <v>172</v>
      </c>
      <c r="E71" s="5"/>
      <c r="F71" s="6">
        <v>1</v>
      </c>
      <c r="G71" s="6" t="s">
        <v>15</v>
      </c>
      <c r="H71" s="7">
        <f>I72 + I73 + I74</f>
        <v>65649.239999999991</v>
      </c>
      <c r="I71" s="7">
        <f t="shared" si="1"/>
        <v>65649.240000000005</v>
      </c>
      <c r="J71" s="8">
        <f>I71 / J9</f>
        <v>0.16465402278010388</v>
      </c>
    </row>
    <row r="72" spans="1:10" s="34" customFormat="1" ht="24" customHeight="1">
      <c r="A72" s="29" t="s">
        <v>173</v>
      </c>
      <c r="B72" s="29" t="s">
        <v>174</v>
      </c>
      <c r="C72" s="29" t="s">
        <v>18</v>
      </c>
      <c r="D72" s="29" t="s">
        <v>175</v>
      </c>
      <c r="E72" s="30" t="s">
        <v>20</v>
      </c>
      <c r="F72" s="31">
        <v>1484.35</v>
      </c>
      <c r="G72" s="32">
        <v>3.37</v>
      </c>
      <c r="H72" s="32">
        <f>ROUND(ROUND(G72 * J10, 2) + G72, 2)</f>
        <v>4.2699999999999996</v>
      </c>
      <c r="I72" s="32">
        <f t="shared" si="1"/>
        <v>6338.17</v>
      </c>
      <c r="J72" s="33">
        <f>I72 / J9</f>
        <v>1.5896683458394505E-2</v>
      </c>
    </row>
    <row r="73" spans="1:10" s="34" customFormat="1" ht="26.1" customHeight="1">
      <c r="A73" s="29" t="s">
        <v>176</v>
      </c>
      <c r="B73" s="29" t="s">
        <v>177</v>
      </c>
      <c r="C73" s="29" t="s">
        <v>25</v>
      </c>
      <c r="D73" s="29" t="s">
        <v>178</v>
      </c>
      <c r="E73" s="30" t="s">
        <v>20</v>
      </c>
      <c r="F73" s="31">
        <v>1424.9760000000001</v>
      </c>
      <c r="G73" s="32">
        <v>10.97</v>
      </c>
      <c r="H73" s="32">
        <f>ROUND(ROUND(G73 * J10, 2) + G73, 2)</f>
        <v>13.9</v>
      </c>
      <c r="I73" s="32">
        <f t="shared" si="1"/>
        <v>19807.169999999998</v>
      </c>
      <c r="J73" s="33">
        <f>I73 / J9</f>
        <v>4.9678110826406968E-2</v>
      </c>
    </row>
    <row r="74" spans="1:10" s="34" customFormat="1" ht="51.95" customHeight="1">
      <c r="A74" s="29" t="s">
        <v>179</v>
      </c>
      <c r="B74" s="29" t="s">
        <v>180</v>
      </c>
      <c r="C74" s="29" t="s">
        <v>18</v>
      </c>
      <c r="D74" s="29" t="s">
        <v>181</v>
      </c>
      <c r="E74" s="30" t="s">
        <v>20</v>
      </c>
      <c r="F74" s="31">
        <v>1543.7239999999999</v>
      </c>
      <c r="G74" s="32">
        <v>20.190000000000001</v>
      </c>
      <c r="H74" s="32">
        <f>ROUND(ROUND(G74 * J10, 2) + G74, 2)</f>
        <v>25.59</v>
      </c>
      <c r="I74" s="32">
        <f t="shared" si="1"/>
        <v>39503.9</v>
      </c>
      <c r="J74" s="33">
        <f>I74 / J9</f>
        <v>9.9079228495302388E-2</v>
      </c>
    </row>
    <row r="75" spans="1:10" ht="24" customHeight="1">
      <c r="A75" s="4" t="s">
        <v>182</v>
      </c>
      <c r="B75" s="4" t="s">
        <v>13</v>
      </c>
      <c r="C75" s="4"/>
      <c r="D75" s="4" t="s">
        <v>183</v>
      </c>
      <c r="E75" s="5"/>
      <c r="F75" s="6">
        <v>1</v>
      </c>
      <c r="G75" s="6" t="s">
        <v>15</v>
      </c>
      <c r="H75" s="7">
        <f>I76 + I77 + I78 + I79 + I80 + I81 + I82 + I83 + I84 + I85 + I86 + I87 + I88 + I89 + I90 + I91 + I92 + I93 + I94 + I95 + I96 + I97 + I98 + I99 + I100 + I101 + I102 + I103 + I104 + I105 + I106 + I107 + I108 + I109 + I110 + I111 + I112 + I113 + I114</f>
        <v>147168.30000000005</v>
      </c>
      <c r="I75" s="7">
        <f t="shared" si="1"/>
        <v>147168.29999999999</v>
      </c>
      <c r="J75" s="8">
        <f>I75 / J9</f>
        <v>0.3691109389950159</v>
      </c>
    </row>
    <row r="76" spans="1:10" s="34" customFormat="1" ht="26.1" customHeight="1">
      <c r="A76" s="29" t="s">
        <v>184</v>
      </c>
      <c r="B76" s="29" t="s">
        <v>185</v>
      </c>
      <c r="C76" s="29" t="s">
        <v>49</v>
      </c>
      <c r="D76" s="29" t="s">
        <v>186</v>
      </c>
      <c r="E76" s="30" t="s">
        <v>30</v>
      </c>
      <c r="F76" s="31">
        <v>15.105375</v>
      </c>
      <c r="G76" s="32">
        <v>46.32</v>
      </c>
      <c r="H76" s="32">
        <f>ROUND(ROUND(G76 * J10, 2) + G76, 2)</f>
        <v>58.71</v>
      </c>
      <c r="I76" s="32">
        <f t="shared" ref="I76:I107" si="2">ROUND(F76 * H76,2)</f>
        <v>886.84</v>
      </c>
      <c r="J76" s="33">
        <f>I76 / J9</f>
        <v>2.2242721098112836E-3</v>
      </c>
    </row>
    <row r="77" spans="1:10" s="34" customFormat="1" ht="39" customHeight="1">
      <c r="A77" s="29" t="s">
        <v>187</v>
      </c>
      <c r="B77" s="29" t="s">
        <v>188</v>
      </c>
      <c r="C77" s="29" t="s">
        <v>25</v>
      </c>
      <c r="D77" s="29" t="s">
        <v>189</v>
      </c>
      <c r="E77" s="30" t="s">
        <v>30</v>
      </c>
      <c r="F77" s="31">
        <v>15.1</v>
      </c>
      <c r="G77" s="32">
        <v>85.05</v>
      </c>
      <c r="H77" s="32">
        <f>ROUND(ROUND(G77 * J10, 2) + G77, 2)</f>
        <v>107.79</v>
      </c>
      <c r="I77" s="32">
        <f t="shared" si="2"/>
        <v>1627.63</v>
      </c>
      <c r="J77" s="33">
        <f>I77 / J9</f>
        <v>4.0822380746156463E-3</v>
      </c>
    </row>
    <row r="78" spans="1:10" s="34" customFormat="1" ht="24" customHeight="1">
      <c r="A78" s="29" t="s">
        <v>190</v>
      </c>
      <c r="B78" s="29" t="s">
        <v>191</v>
      </c>
      <c r="C78" s="29" t="s">
        <v>119</v>
      </c>
      <c r="D78" s="29" t="s">
        <v>192</v>
      </c>
      <c r="E78" s="30" t="s">
        <v>85</v>
      </c>
      <c r="F78" s="31">
        <v>4</v>
      </c>
      <c r="G78" s="32">
        <v>350</v>
      </c>
      <c r="H78" s="32">
        <f>ROUND(ROUND(G78 * J10, 2) + G78, 2)</f>
        <v>443.59</v>
      </c>
      <c r="I78" s="32">
        <f t="shared" si="2"/>
        <v>1774.36</v>
      </c>
      <c r="J78" s="33">
        <f>I78 / J9</f>
        <v>4.4502497189625517E-3</v>
      </c>
    </row>
    <row r="79" spans="1:10" s="34" customFormat="1" ht="26.1" customHeight="1">
      <c r="A79" s="29" t="s">
        <v>193</v>
      </c>
      <c r="B79" s="29" t="s">
        <v>194</v>
      </c>
      <c r="C79" s="29" t="s">
        <v>25</v>
      </c>
      <c r="D79" s="29" t="s">
        <v>195</v>
      </c>
      <c r="E79" s="30" t="s">
        <v>85</v>
      </c>
      <c r="F79" s="31">
        <v>7</v>
      </c>
      <c r="G79" s="32">
        <v>14.97</v>
      </c>
      <c r="H79" s="32">
        <f>ROUND(ROUND(G79 * J10, 2) + G79, 2)</f>
        <v>18.97</v>
      </c>
      <c r="I79" s="32">
        <f t="shared" si="2"/>
        <v>132.79</v>
      </c>
      <c r="J79" s="33">
        <f>I79 / J9</f>
        <v>3.330489078772274E-4</v>
      </c>
    </row>
    <row r="80" spans="1:10" s="34" customFormat="1" ht="26.1" customHeight="1">
      <c r="A80" s="29" t="s">
        <v>196</v>
      </c>
      <c r="B80" s="29" t="s">
        <v>197</v>
      </c>
      <c r="C80" s="29" t="s">
        <v>25</v>
      </c>
      <c r="D80" s="29" t="s">
        <v>198</v>
      </c>
      <c r="E80" s="30" t="s">
        <v>20</v>
      </c>
      <c r="F80" s="31">
        <v>13.51</v>
      </c>
      <c r="G80" s="32">
        <v>29.19</v>
      </c>
      <c r="H80" s="32">
        <f>ROUND(ROUND(G80 * J10, 2) + G80, 2)</f>
        <v>37</v>
      </c>
      <c r="I80" s="32">
        <f t="shared" si="2"/>
        <v>499.87</v>
      </c>
      <c r="J80" s="33">
        <f>I80 / J9</f>
        <v>1.2537175809969852E-3</v>
      </c>
    </row>
    <row r="81" spans="1:10" s="34" customFormat="1" ht="26.1" customHeight="1">
      <c r="A81" s="29" t="s">
        <v>199</v>
      </c>
      <c r="B81" s="29" t="s">
        <v>200</v>
      </c>
      <c r="C81" s="29" t="s">
        <v>25</v>
      </c>
      <c r="D81" s="29" t="s">
        <v>201</v>
      </c>
      <c r="E81" s="30" t="s">
        <v>20</v>
      </c>
      <c r="F81" s="31">
        <v>24.286999999999999</v>
      </c>
      <c r="G81" s="32">
        <v>11.31</v>
      </c>
      <c r="H81" s="32">
        <f>ROUND(ROUND(G81 * J10, 2) + G81, 2)</f>
        <v>14.33</v>
      </c>
      <c r="I81" s="32">
        <f t="shared" si="2"/>
        <v>348.03</v>
      </c>
      <c r="J81" s="33">
        <f>I81 / J9</f>
        <v>8.7288961072755063E-4</v>
      </c>
    </row>
    <row r="82" spans="1:10" s="34" customFormat="1" ht="51.95" customHeight="1">
      <c r="A82" s="29" t="s">
        <v>202</v>
      </c>
      <c r="B82" s="29" t="s">
        <v>203</v>
      </c>
      <c r="C82" s="29" t="s">
        <v>25</v>
      </c>
      <c r="D82" s="29" t="s">
        <v>204</v>
      </c>
      <c r="E82" s="30" t="s">
        <v>20</v>
      </c>
      <c r="F82" s="31">
        <v>109.295</v>
      </c>
      <c r="G82" s="32">
        <v>77.55</v>
      </c>
      <c r="H82" s="32">
        <f>ROUND(ROUND(G82 * J10, 2) + G82, 2)</f>
        <v>98.29</v>
      </c>
      <c r="I82" s="32">
        <f t="shared" si="2"/>
        <v>10742.61</v>
      </c>
      <c r="J82" s="33">
        <f>I82 / J9</f>
        <v>2.6943403330453964E-2</v>
      </c>
    </row>
    <row r="83" spans="1:10" s="34" customFormat="1" ht="26.1" customHeight="1">
      <c r="A83" s="29" t="s">
        <v>205</v>
      </c>
      <c r="B83" s="29" t="s">
        <v>206</v>
      </c>
      <c r="C83" s="29" t="s">
        <v>25</v>
      </c>
      <c r="D83" s="29" t="s">
        <v>207</v>
      </c>
      <c r="E83" s="30" t="s">
        <v>208</v>
      </c>
      <c r="F83" s="31">
        <v>19.55</v>
      </c>
      <c r="G83" s="32">
        <v>75.25</v>
      </c>
      <c r="H83" s="32">
        <f>ROUND(ROUND(G83 * J10, 2) + G83, 2)</f>
        <v>95.37</v>
      </c>
      <c r="I83" s="32">
        <f t="shared" si="2"/>
        <v>1864.48</v>
      </c>
      <c r="J83" s="33">
        <f>I83 / J9</f>
        <v>4.676278543255764E-3</v>
      </c>
    </row>
    <row r="84" spans="1:10" s="34" customFormat="1" ht="26.1" customHeight="1">
      <c r="A84" s="29" t="s">
        <v>209</v>
      </c>
      <c r="B84" s="29" t="s">
        <v>210</v>
      </c>
      <c r="C84" s="29" t="s">
        <v>18</v>
      </c>
      <c r="D84" s="29" t="s">
        <v>211</v>
      </c>
      <c r="E84" s="30" t="s">
        <v>20</v>
      </c>
      <c r="F84" s="31">
        <v>23.925000000000001</v>
      </c>
      <c r="G84" s="32">
        <v>431.62</v>
      </c>
      <c r="H84" s="32">
        <f>ROUND(ROUND(G84 * J10, 2) + G84, 2)</f>
        <v>547.04</v>
      </c>
      <c r="I84" s="32">
        <f t="shared" si="2"/>
        <v>13087.93</v>
      </c>
      <c r="J84" s="33">
        <f>I84 / J9</f>
        <v>3.2825670554059799E-2</v>
      </c>
    </row>
    <row r="85" spans="1:10" s="34" customFormat="1" ht="39" customHeight="1">
      <c r="A85" s="29" t="s">
        <v>212</v>
      </c>
      <c r="B85" s="29" t="s">
        <v>213</v>
      </c>
      <c r="C85" s="29" t="s">
        <v>25</v>
      </c>
      <c r="D85" s="29" t="s">
        <v>214</v>
      </c>
      <c r="E85" s="30" t="s">
        <v>85</v>
      </c>
      <c r="F85" s="31">
        <v>9</v>
      </c>
      <c r="G85" s="32">
        <v>131.63</v>
      </c>
      <c r="H85" s="32">
        <f>ROUND(ROUND(G85 * J10, 2) + G85, 2)</f>
        <v>166.83</v>
      </c>
      <c r="I85" s="32">
        <f t="shared" si="2"/>
        <v>1501.47</v>
      </c>
      <c r="J85" s="33">
        <f>I85 / J9</f>
        <v>3.7658177853032654E-3</v>
      </c>
    </row>
    <row r="86" spans="1:10" s="34" customFormat="1" ht="26.1" customHeight="1">
      <c r="A86" s="29" t="s">
        <v>215</v>
      </c>
      <c r="B86" s="29" t="s">
        <v>216</v>
      </c>
      <c r="C86" s="29" t="s">
        <v>217</v>
      </c>
      <c r="D86" s="29" t="s">
        <v>218</v>
      </c>
      <c r="E86" s="30" t="s">
        <v>121</v>
      </c>
      <c r="F86" s="31">
        <v>9</v>
      </c>
      <c r="G86" s="32">
        <v>36.78</v>
      </c>
      <c r="H86" s="32">
        <f>ROUND(ROUND(G86 * J10, 2) + G86, 2)</f>
        <v>46.61</v>
      </c>
      <c r="I86" s="32">
        <f t="shared" si="2"/>
        <v>419.49</v>
      </c>
      <c r="J86" s="33">
        <f>I86 / J9</f>
        <v>1.0521175266617827E-3</v>
      </c>
    </row>
    <row r="87" spans="1:10" s="34" customFormat="1" ht="65.099999999999994" customHeight="1">
      <c r="A87" s="29" t="s">
        <v>219</v>
      </c>
      <c r="B87" s="29" t="s">
        <v>220</v>
      </c>
      <c r="C87" s="29" t="s">
        <v>18</v>
      </c>
      <c r="D87" s="29" t="s">
        <v>221</v>
      </c>
      <c r="E87" s="30" t="s">
        <v>116</v>
      </c>
      <c r="F87" s="31">
        <v>6</v>
      </c>
      <c r="G87" s="32">
        <v>436.5</v>
      </c>
      <c r="H87" s="32">
        <f>ROUND(ROUND(G87 * J10, 2) + G87, 2)</f>
        <v>553.22</v>
      </c>
      <c r="I87" s="32">
        <f t="shared" si="2"/>
        <v>3319.32</v>
      </c>
      <c r="J87" s="33">
        <f>I87 / J9</f>
        <v>8.3251442194068725E-3</v>
      </c>
    </row>
    <row r="88" spans="1:10" s="34" customFormat="1" ht="26.1" customHeight="1">
      <c r="A88" s="29" t="s">
        <v>222</v>
      </c>
      <c r="B88" s="29" t="s">
        <v>223</v>
      </c>
      <c r="C88" s="29" t="s">
        <v>224</v>
      </c>
      <c r="D88" s="29" t="s">
        <v>225</v>
      </c>
      <c r="E88" s="30" t="s">
        <v>20</v>
      </c>
      <c r="F88" s="31">
        <v>6.27</v>
      </c>
      <c r="G88" s="32">
        <v>694.24</v>
      </c>
      <c r="H88" s="32">
        <f>ROUND(ROUND(G88 * J10, 2) + G88, 2)</f>
        <v>879.88</v>
      </c>
      <c r="I88" s="32">
        <f t="shared" si="2"/>
        <v>5516.85</v>
      </c>
      <c r="J88" s="33">
        <f>I88 / J9</f>
        <v>1.3836741226165239E-2</v>
      </c>
    </row>
    <row r="89" spans="1:10" s="34" customFormat="1" ht="39" customHeight="1">
      <c r="A89" s="29" t="s">
        <v>226</v>
      </c>
      <c r="B89" s="29" t="s">
        <v>227</v>
      </c>
      <c r="C89" s="29" t="s">
        <v>25</v>
      </c>
      <c r="D89" s="29" t="s">
        <v>228</v>
      </c>
      <c r="E89" s="30" t="s">
        <v>20</v>
      </c>
      <c r="F89" s="31">
        <v>102.5202</v>
      </c>
      <c r="G89" s="32">
        <v>312.12</v>
      </c>
      <c r="H89" s="32">
        <f>ROUND(ROUND(G89 * J10, 2) + G89, 2)</f>
        <v>395.58</v>
      </c>
      <c r="I89" s="32">
        <f t="shared" si="2"/>
        <v>40554.94</v>
      </c>
      <c r="J89" s="33">
        <f>I89 / J9</f>
        <v>0.10171532853397459</v>
      </c>
    </row>
    <row r="90" spans="1:10" s="34" customFormat="1" ht="26.1" customHeight="1">
      <c r="A90" s="29" t="s">
        <v>229</v>
      </c>
      <c r="B90" s="29" t="s">
        <v>230</v>
      </c>
      <c r="C90" s="29" t="s">
        <v>217</v>
      </c>
      <c r="D90" s="29" t="s">
        <v>231</v>
      </c>
      <c r="E90" s="30" t="s">
        <v>20</v>
      </c>
      <c r="F90" s="31">
        <v>102.52</v>
      </c>
      <c r="G90" s="32">
        <v>79.989999999999995</v>
      </c>
      <c r="H90" s="32">
        <f>ROUND(ROUND(G90 * J10, 2) + G90, 2)</f>
        <v>101.38</v>
      </c>
      <c r="I90" s="32">
        <f t="shared" si="2"/>
        <v>10393.48</v>
      </c>
      <c r="J90" s="33">
        <f>I90 / J9</f>
        <v>2.6067754823735263E-2</v>
      </c>
    </row>
    <row r="91" spans="1:10" s="34" customFormat="1" ht="26.1" customHeight="1">
      <c r="A91" s="29" t="s">
        <v>232</v>
      </c>
      <c r="B91" s="29" t="s">
        <v>233</v>
      </c>
      <c r="C91" s="29" t="s">
        <v>49</v>
      </c>
      <c r="D91" s="29" t="s">
        <v>234</v>
      </c>
      <c r="E91" s="30" t="s">
        <v>20</v>
      </c>
      <c r="F91" s="31">
        <v>97.75</v>
      </c>
      <c r="G91" s="32">
        <v>4.6399999999999997</v>
      </c>
      <c r="H91" s="32">
        <f>ROUND(ROUND(G91 * J10, 2) + G91, 2)</f>
        <v>5.88</v>
      </c>
      <c r="I91" s="32">
        <f t="shared" si="2"/>
        <v>574.77</v>
      </c>
      <c r="J91" s="33">
        <f>I91 / J9</f>
        <v>1.441573317121726E-3</v>
      </c>
    </row>
    <row r="92" spans="1:10" s="34" customFormat="1" ht="39" customHeight="1">
      <c r="A92" s="29" t="s">
        <v>235</v>
      </c>
      <c r="B92" s="29" t="s">
        <v>236</v>
      </c>
      <c r="C92" s="29" t="s">
        <v>25</v>
      </c>
      <c r="D92" s="29" t="s">
        <v>237</v>
      </c>
      <c r="E92" s="30" t="s">
        <v>20</v>
      </c>
      <c r="F92" s="31">
        <v>35.497500000000002</v>
      </c>
      <c r="G92" s="32">
        <v>92.9</v>
      </c>
      <c r="H92" s="32">
        <f>ROUND(ROUND(G92 * J10, 2) + G92, 2)</f>
        <v>117.74</v>
      </c>
      <c r="I92" s="32">
        <f t="shared" si="2"/>
        <v>4179.4799999999996</v>
      </c>
      <c r="J92" s="33">
        <f>I92 / J9</f>
        <v>1.0482500560996416E-2</v>
      </c>
    </row>
    <row r="93" spans="1:10" s="34" customFormat="1" ht="65.099999999999994" customHeight="1">
      <c r="A93" s="29" t="s">
        <v>238</v>
      </c>
      <c r="B93" s="29" t="s">
        <v>239</v>
      </c>
      <c r="C93" s="29" t="s">
        <v>25</v>
      </c>
      <c r="D93" s="29" t="s">
        <v>240</v>
      </c>
      <c r="E93" s="30" t="s">
        <v>85</v>
      </c>
      <c r="F93" s="31">
        <v>3</v>
      </c>
      <c r="G93" s="32">
        <v>1619.33</v>
      </c>
      <c r="H93" s="32">
        <f>ROUND(ROUND(G93 * J10, 2) + G93, 2)</f>
        <v>2052.34</v>
      </c>
      <c r="I93" s="32">
        <f t="shared" si="2"/>
        <v>6157.02</v>
      </c>
      <c r="J93" s="33">
        <f>I93 / J9</f>
        <v>1.544234345039722E-2</v>
      </c>
    </row>
    <row r="94" spans="1:10" s="34" customFormat="1" ht="51.95" customHeight="1">
      <c r="A94" s="29" t="s">
        <v>241</v>
      </c>
      <c r="B94" s="29" t="s">
        <v>242</v>
      </c>
      <c r="C94" s="29" t="s">
        <v>25</v>
      </c>
      <c r="D94" s="29" t="s">
        <v>243</v>
      </c>
      <c r="E94" s="30" t="s">
        <v>85</v>
      </c>
      <c r="F94" s="31">
        <v>7</v>
      </c>
      <c r="G94" s="32">
        <v>609.99</v>
      </c>
      <c r="H94" s="32">
        <f>ROUND(ROUND(G94 * J10, 2) + G94, 2)</f>
        <v>773.1</v>
      </c>
      <c r="I94" s="32">
        <f t="shared" si="2"/>
        <v>5411.7</v>
      </c>
      <c r="J94" s="33">
        <f>I94 / J9</f>
        <v>1.3573015850283842E-2</v>
      </c>
    </row>
    <row r="95" spans="1:10" s="34" customFormat="1" ht="39" customHeight="1">
      <c r="A95" s="29" t="s">
        <v>244</v>
      </c>
      <c r="B95" s="29" t="s">
        <v>245</v>
      </c>
      <c r="C95" s="29" t="s">
        <v>25</v>
      </c>
      <c r="D95" s="29" t="s">
        <v>246</v>
      </c>
      <c r="E95" s="30" t="s">
        <v>20</v>
      </c>
      <c r="F95" s="31">
        <v>13.89</v>
      </c>
      <c r="G95" s="32">
        <v>742.34</v>
      </c>
      <c r="H95" s="32">
        <f>ROUND(ROUND(G95 * J10, 2) + G95, 2)</f>
        <v>940.84</v>
      </c>
      <c r="I95" s="32">
        <f t="shared" si="2"/>
        <v>13068.27</v>
      </c>
      <c r="J95" s="33">
        <f>I95 / J9</f>
        <v>3.2776361558436135E-2</v>
      </c>
    </row>
    <row r="96" spans="1:10" s="34" customFormat="1" ht="24" customHeight="1">
      <c r="A96" s="29" t="s">
        <v>247</v>
      </c>
      <c r="B96" s="29" t="s">
        <v>248</v>
      </c>
      <c r="C96" s="29" t="s">
        <v>217</v>
      </c>
      <c r="D96" s="29" t="s">
        <v>249</v>
      </c>
      <c r="E96" s="30" t="s">
        <v>85</v>
      </c>
      <c r="F96" s="31">
        <v>1</v>
      </c>
      <c r="G96" s="32">
        <v>178.46</v>
      </c>
      <c r="H96" s="32">
        <f>ROUND(ROUND(G96 * J10, 2) + G96, 2)</f>
        <v>226.18</v>
      </c>
      <c r="I96" s="32">
        <f t="shared" si="2"/>
        <v>226.18</v>
      </c>
      <c r="J96" s="33">
        <f>I96 / J9</f>
        <v>5.6727917752595299E-4</v>
      </c>
    </row>
    <row r="97" spans="1:10" s="34" customFormat="1" ht="65.099999999999994" customHeight="1">
      <c r="A97" s="29" t="s">
        <v>250</v>
      </c>
      <c r="B97" s="29" t="s">
        <v>111</v>
      </c>
      <c r="C97" s="29" t="s">
        <v>18</v>
      </c>
      <c r="D97" s="29" t="s">
        <v>112</v>
      </c>
      <c r="E97" s="30" t="s">
        <v>20</v>
      </c>
      <c r="F97" s="31">
        <v>2.0425</v>
      </c>
      <c r="G97" s="32">
        <v>421.78</v>
      </c>
      <c r="H97" s="32">
        <f>ROUND(ROUND(G97 * J10, 2) + G97, 2)</f>
        <v>534.55999999999995</v>
      </c>
      <c r="I97" s="32">
        <f t="shared" si="2"/>
        <v>1091.8399999999999</v>
      </c>
      <c r="J97" s="33">
        <f>I97 / J9</f>
        <v>2.7384299990712551E-3</v>
      </c>
    </row>
    <row r="98" spans="1:10" s="34" customFormat="1" ht="39" customHeight="1">
      <c r="A98" s="29" t="s">
        <v>251</v>
      </c>
      <c r="B98" s="29" t="s">
        <v>252</v>
      </c>
      <c r="C98" s="29" t="s">
        <v>25</v>
      </c>
      <c r="D98" s="29" t="s">
        <v>253</v>
      </c>
      <c r="E98" s="30" t="s">
        <v>85</v>
      </c>
      <c r="F98" s="31">
        <v>6</v>
      </c>
      <c r="G98" s="32">
        <v>164.3</v>
      </c>
      <c r="H98" s="32">
        <f>ROUND(ROUND(G98 * J10, 2) + G98, 2)</f>
        <v>208.23</v>
      </c>
      <c r="I98" s="32">
        <f t="shared" si="2"/>
        <v>1249.3800000000001</v>
      </c>
      <c r="J98" s="33">
        <f>I98 / J9</f>
        <v>3.1335540667493818E-3</v>
      </c>
    </row>
    <row r="99" spans="1:10" s="34" customFormat="1" ht="51.95" customHeight="1">
      <c r="A99" s="29" t="s">
        <v>254</v>
      </c>
      <c r="B99" s="29" t="s">
        <v>255</v>
      </c>
      <c r="C99" s="29" t="s">
        <v>18</v>
      </c>
      <c r="D99" s="29" t="s">
        <v>256</v>
      </c>
      <c r="E99" s="30" t="s">
        <v>71</v>
      </c>
      <c r="F99" s="31">
        <v>5.25</v>
      </c>
      <c r="G99" s="32">
        <v>43.64</v>
      </c>
      <c r="H99" s="32">
        <f>ROUND(ROUND(G99 * J10, 2) + G99, 2)</f>
        <v>55.31</v>
      </c>
      <c r="I99" s="32">
        <f t="shared" si="2"/>
        <v>290.38</v>
      </c>
      <c r="J99" s="33">
        <f>I99 / J9</f>
        <v>7.2829837991858796E-4</v>
      </c>
    </row>
    <row r="100" spans="1:10" s="34" customFormat="1" ht="51.95" customHeight="1">
      <c r="A100" s="29" t="s">
        <v>257</v>
      </c>
      <c r="B100" s="29" t="s">
        <v>258</v>
      </c>
      <c r="C100" s="29" t="s">
        <v>18</v>
      </c>
      <c r="D100" s="29" t="s">
        <v>259</v>
      </c>
      <c r="E100" s="30" t="s">
        <v>71</v>
      </c>
      <c r="F100" s="31">
        <v>5.25</v>
      </c>
      <c r="G100" s="32">
        <v>222.86</v>
      </c>
      <c r="H100" s="32">
        <f>ROUND(ROUND(G100 * J10, 2) + G100, 2)</f>
        <v>282.45</v>
      </c>
      <c r="I100" s="32">
        <f t="shared" si="2"/>
        <v>1482.86</v>
      </c>
      <c r="J100" s="33">
        <f>I100 / J9</f>
        <v>3.7191422813075184E-3</v>
      </c>
    </row>
    <row r="101" spans="1:10" s="34" customFormat="1" ht="39" customHeight="1">
      <c r="A101" s="29" t="s">
        <v>260</v>
      </c>
      <c r="B101" s="29" t="s">
        <v>261</v>
      </c>
      <c r="C101" s="29" t="s">
        <v>18</v>
      </c>
      <c r="D101" s="29" t="s">
        <v>262</v>
      </c>
      <c r="E101" s="30" t="s">
        <v>116</v>
      </c>
      <c r="F101" s="31">
        <v>7</v>
      </c>
      <c r="G101" s="32">
        <v>266.45999999999998</v>
      </c>
      <c r="H101" s="32">
        <f>ROUND(ROUND(G101 * J10, 2) + G101, 2)</f>
        <v>337.71</v>
      </c>
      <c r="I101" s="32">
        <f t="shared" si="2"/>
        <v>2363.9699999999998</v>
      </c>
      <c r="J101" s="33">
        <f>I101 / J9</f>
        <v>5.9290430510921697E-3</v>
      </c>
    </row>
    <row r="102" spans="1:10" s="34" customFormat="1" ht="24" customHeight="1">
      <c r="A102" s="29" t="s">
        <v>263</v>
      </c>
      <c r="B102" s="29" t="s">
        <v>264</v>
      </c>
      <c r="C102" s="29" t="s">
        <v>265</v>
      </c>
      <c r="D102" s="29" t="s">
        <v>266</v>
      </c>
      <c r="E102" s="30" t="s">
        <v>85</v>
      </c>
      <c r="F102" s="31">
        <v>7</v>
      </c>
      <c r="G102" s="32">
        <v>30.98</v>
      </c>
      <c r="H102" s="32">
        <f>ROUND(ROUND(G102 * J10, 2) + G102, 2)</f>
        <v>39.26</v>
      </c>
      <c r="I102" s="32">
        <f t="shared" si="2"/>
        <v>274.82</v>
      </c>
      <c r="J102" s="33">
        <f>I102 / J9</f>
        <v>6.8927254208012373E-4</v>
      </c>
    </row>
    <row r="103" spans="1:10" s="34" customFormat="1" ht="39" customHeight="1">
      <c r="A103" s="29" t="s">
        <v>267</v>
      </c>
      <c r="B103" s="29" t="s">
        <v>153</v>
      </c>
      <c r="C103" s="29" t="s">
        <v>18</v>
      </c>
      <c r="D103" s="29" t="s">
        <v>268</v>
      </c>
      <c r="E103" s="30" t="s">
        <v>20</v>
      </c>
      <c r="F103" s="31">
        <v>0.38</v>
      </c>
      <c r="G103" s="32">
        <v>331.47</v>
      </c>
      <c r="H103" s="32">
        <f>ROUND(ROUND(G103 * J10, 2) + G103, 2)</f>
        <v>420.11</v>
      </c>
      <c r="I103" s="32">
        <f t="shared" si="2"/>
        <v>159.63999999999999</v>
      </c>
      <c r="J103" s="33">
        <f>I103 / J9</f>
        <v>4.0039105093396022E-4</v>
      </c>
    </row>
    <row r="104" spans="1:10" s="34" customFormat="1" ht="39" customHeight="1">
      <c r="A104" s="29" t="s">
        <v>269</v>
      </c>
      <c r="B104" s="29" t="s">
        <v>270</v>
      </c>
      <c r="C104" s="29" t="s">
        <v>25</v>
      </c>
      <c r="D104" s="29" t="s">
        <v>271</v>
      </c>
      <c r="E104" s="30" t="s">
        <v>20</v>
      </c>
      <c r="F104" s="31">
        <v>24.886500000000002</v>
      </c>
      <c r="G104" s="32">
        <v>114.25</v>
      </c>
      <c r="H104" s="32">
        <f>ROUND(ROUND(G104 * J10, 2) + G104, 2)</f>
        <v>144.80000000000001</v>
      </c>
      <c r="I104" s="32">
        <f t="shared" si="2"/>
        <v>3603.57</v>
      </c>
      <c r="J104" s="33">
        <f>I104 / J9</f>
        <v>9.0380680243929545E-3</v>
      </c>
    </row>
    <row r="105" spans="1:10" s="34" customFormat="1" ht="39" customHeight="1">
      <c r="A105" s="29" t="s">
        <v>272</v>
      </c>
      <c r="B105" s="29" t="s">
        <v>273</v>
      </c>
      <c r="C105" s="29" t="s">
        <v>25</v>
      </c>
      <c r="D105" s="29" t="s">
        <v>274</v>
      </c>
      <c r="E105" s="30" t="s">
        <v>20</v>
      </c>
      <c r="F105" s="31">
        <v>82.908000000000001</v>
      </c>
      <c r="G105" s="32">
        <v>70.959999999999994</v>
      </c>
      <c r="H105" s="32">
        <f>ROUND(ROUND(G105 * J10, 2) + G105, 2)</f>
        <v>89.93</v>
      </c>
      <c r="I105" s="32">
        <f t="shared" si="2"/>
        <v>7455.92</v>
      </c>
      <c r="J105" s="33">
        <f>I105 / J9</f>
        <v>1.8700097998493693E-2</v>
      </c>
    </row>
    <row r="106" spans="1:10" s="34" customFormat="1" ht="39" customHeight="1">
      <c r="A106" s="29" t="s">
        <v>275</v>
      </c>
      <c r="B106" s="29" t="s">
        <v>276</v>
      </c>
      <c r="C106" s="29" t="s">
        <v>25</v>
      </c>
      <c r="D106" s="29" t="s">
        <v>277</v>
      </c>
      <c r="E106" s="30" t="s">
        <v>85</v>
      </c>
      <c r="F106" s="31">
        <v>5</v>
      </c>
      <c r="G106" s="32">
        <v>54.13</v>
      </c>
      <c r="H106" s="32">
        <f>ROUND(ROUND(G106 * J10, 2) + G106, 2)</f>
        <v>68.599999999999994</v>
      </c>
      <c r="I106" s="32">
        <f t="shared" si="2"/>
        <v>343</v>
      </c>
      <c r="J106" s="33">
        <f>I106 / J9</f>
        <v>8.6027393178619621E-4</v>
      </c>
    </row>
    <row r="107" spans="1:10" s="34" customFormat="1" ht="24" customHeight="1">
      <c r="A107" s="29" t="s">
        <v>278</v>
      </c>
      <c r="B107" s="29" t="s">
        <v>279</v>
      </c>
      <c r="C107" s="29" t="s">
        <v>265</v>
      </c>
      <c r="D107" s="29" t="s">
        <v>280</v>
      </c>
      <c r="E107" s="30" t="s">
        <v>85</v>
      </c>
      <c r="F107" s="31">
        <v>3</v>
      </c>
      <c r="G107" s="32">
        <v>57.32</v>
      </c>
      <c r="H107" s="32">
        <f>ROUND(ROUND(G107 * J10, 2) + G107, 2)</f>
        <v>72.650000000000006</v>
      </c>
      <c r="I107" s="32">
        <f t="shared" si="2"/>
        <v>217.95</v>
      </c>
      <c r="J107" s="33">
        <f>I107 / J9</f>
        <v>5.4663761933761363E-4</v>
      </c>
    </row>
    <row r="108" spans="1:10" s="34" customFormat="1" ht="26.1" customHeight="1">
      <c r="A108" s="29" t="s">
        <v>281</v>
      </c>
      <c r="B108" s="29" t="s">
        <v>282</v>
      </c>
      <c r="C108" s="29" t="s">
        <v>25</v>
      </c>
      <c r="D108" s="29" t="s">
        <v>283</v>
      </c>
      <c r="E108" s="30" t="s">
        <v>85</v>
      </c>
      <c r="F108" s="31">
        <v>7</v>
      </c>
      <c r="G108" s="32">
        <v>41.31</v>
      </c>
      <c r="H108" s="32">
        <f>ROUND(ROUND(G108 * J10, 2) + G108, 2)</f>
        <v>52.36</v>
      </c>
      <c r="I108" s="32">
        <f t="shared" ref="I108:I116" si="3">ROUND(F108 * H108,2)</f>
        <v>366.52</v>
      </c>
      <c r="J108" s="33">
        <f>I108 / J9</f>
        <v>9.1926414425153534E-4</v>
      </c>
    </row>
    <row r="109" spans="1:10" s="34" customFormat="1" ht="39" customHeight="1">
      <c r="A109" s="29" t="s">
        <v>284</v>
      </c>
      <c r="B109" s="29" t="s">
        <v>285</v>
      </c>
      <c r="C109" s="29" t="s">
        <v>25</v>
      </c>
      <c r="D109" s="29" t="s">
        <v>286</v>
      </c>
      <c r="E109" s="30" t="s">
        <v>20</v>
      </c>
      <c r="F109" s="31">
        <v>2.6775000000000002</v>
      </c>
      <c r="G109" s="32">
        <v>308.74</v>
      </c>
      <c r="H109" s="32">
        <f>ROUND(ROUND(G109 * J10, 2) + G109, 2)</f>
        <v>391.3</v>
      </c>
      <c r="I109" s="32">
        <f t="shared" si="3"/>
        <v>1047.71</v>
      </c>
      <c r="J109" s="33">
        <f>I109 / J9</f>
        <v>2.6277481080808039E-3</v>
      </c>
    </row>
    <row r="110" spans="1:10" s="34" customFormat="1" ht="24" customHeight="1">
      <c r="A110" s="29" t="s">
        <v>287</v>
      </c>
      <c r="B110" s="29" t="s">
        <v>288</v>
      </c>
      <c r="C110" s="29" t="s">
        <v>289</v>
      </c>
      <c r="D110" s="29" t="s">
        <v>290</v>
      </c>
      <c r="E110" s="30" t="s">
        <v>116</v>
      </c>
      <c r="F110" s="31">
        <v>3</v>
      </c>
      <c r="G110" s="32">
        <v>153.76</v>
      </c>
      <c r="H110" s="32">
        <f>ROUND(ROUND(G110 * J10, 2) + G110, 2)</f>
        <v>194.88</v>
      </c>
      <c r="I110" s="32">
        <f t="shared" si="3"/>
        <v>584.64</v>
      </c>
      <c r="J110" s="33">
        <f>I110 / J9</f>
        <v>1.466328138424145E-3</v>
      </c>
    </row>
    <row r="111" spans="1:10" s="34" customFormat="1" ht="24" customHeight="1">
      <c r="A111" s="29" t="s">
        <v>291</v>
      </c>
      <c r="B111" s="29" t="s">
        <v>292</v>
      </c>
      <c r="C111" s="29" t="s">
        <v>289</v>
      </c>
      <c r="D111" s="29" t="s">
        <v>293</v>
      </c>
      <c r="E111" s="30" t="s">
        <v>116</v>
      </c>
      <c r="F111" s="31">
        <v>3</v>
      </c>
      <c r="G111" s="32">
        <v>90.46</v>
      </c>
      <c r="H111" s="32">
        <f>ROUND(ROUND(G111 * J10, 2) + G111, 2)</f>
        <v>114.65</v>
      </c>
      <c r="I111" s="32">
        <f t="shared" si="3"/>
        <v>343.95</v>
      </c>
      <c r="J111" s="33">
        <f>I111 / J9</f>
        <v>8.6265661468764492E-4</v>
      </c>
    </row>
    <row r="112" spans="1:10" s="34" customFormat="1" ht="51.95" customHeight="1">
      <c r="A112" s="29" t="s">
        <v>294</v>
      </c>
      <c r="B112" s="29" t="s">
        <v>295</v>
      </c>
      <c r="C112" s="29" t="s">
        <v>25</v>
      </c>
      <c r="D112" s="29" t="s">
        <v>296</v>
      </c>
      <c r="E112" s="30" t="s">
        <v>20</v>
      </c>
      <c r="F112" s="31">
        <v>39.1</v>
      </c>
      <c r="G112" s="32">
        <v>40.53</v>
      </c>
      <c r="H112" s="32">
        <f>ROUND(ROUND(G112 * J10, 2) + G112, 2)</f>
        <v>51.37</v>
      </c>
      <c r="I112" s="32">
        <f t="shared" si="3"/>
        <v>2008.57</v>
      </c>
      <c r="J112" s="33">
        <f>I112 / J9</f>
        <v>5.0376688372239069E-3</v>
      </c>
    </row>
    <row r="113" spans="1:10" s="34" customFormat="1" ht="39" customHeight="1">
      <c r="A113" s="29" t="s">
        <v>297</v>
      </c>
      <c r="B113" s="29" t="s">
        <v>298</v>
      </c>
      <c r="C113" s="29" t="s">
        <v>25</v>
      </c>
      <c r="D113" s="29" t="s">
        <v>299</v>
      </c>
      <c r="E113" s="30" t="s">
        <v>208</v>
      </c>
      <c r="F113" s="31">
        <v>19.55</v>
      </c>
      <c r="G113" s="32">
        <v>38.42</v>
      </c>
      <c r="H113" s="32">
        <f>ROUND(ROUND(G113 * J10, 2) + G113, 2)</f>
        <v>48.69</v>
      </c>
      <c r="I113" s="32">
        <f t="shared" si="3"/>
        <v>951.89</v>
      </c>
      <c r="J113" s="33">
        <f>I113 / J9</f>
        <v>2.3874231863788989E-3</v>
      </c>
    </row>
    <row r="114" spans="1:10" s="34" customFormat="1" ht="26.1" customHeight="1">
      <c r="A114" s="29" t="s">
        <v>300</v>
      </c>
      <c r="B114" s="29" t="s">
        <v>301</v>
      </c>
      <c r="C114" s="29" t="s">
        <v>25</v>
      </c>
      <c r="D114" s="29" t="s">
        <v>302</v>
      </c>
      <c r="E114" s="30" t="s">
        <v>85</v>
      </c>
      <c r="F114" s="31">
        <v>6</v>
      </c>
      <c r="G114" s="32">
        <v>137.31</v>
      </c>
      <c r="H114" s="32">
        <f>ROUND(ROUND(G114 * J10, 2) + G114, 2)</f>
        <v>174.03</v>
      </c>
      <c r="I114" s="32">
        <f t="shared" si="3"/>
        <v>1044.18</v>
      </c>
      <c r="J114" s="33">
        <f>I114 / J9</f>
        <v>2.6188945600364734E-3</v>
      </c>
    </row>
    <row r="115" spans="1:10" ht="24" customHeight="1">
      <c r="A115" s="4" t="s">
        <v>303</v>
      </c>
      <c r="B115" s="4" t="s">
        <v>13</v>
      </c>
      <c r="C115" s="4"/>
      <c r="D115" s="4" t="s">
        <v>304</v>
      </c>
      <c r="E115" s="5"/>
      <c r="F115" s="6">
        <v>1</v>
      </c>
      <c r="G115" s="6" t="s">
        <v>15</v>
      </c>
      <c r="H115" s="7">
        <f>I116</f>
        <v>15154.86</v>
      </c>
      <c r="I115" s="7">
        <f t="shared" si="3"/>
        <v>15154.86</v>
      </c>
      <c r="J115" s="8">
        <f>I115 / J9</f>
        <v>3.8009711364050597E-2</v>
      </c>
    </row>
    <row r="116" spans="1:10" s="34" customFormat="1" ht="24" customHeight="1">
      <c r="A116" s="29" t="s">
        <v>305</v>
      </c>
      <c r="B116" s="29" t="s">
        <v>306</v>
      </c>
      <c r="C116" s="29" t="s">
        <v>49</v>
      </c>
      <c r="D116" s="29" t="s">
        <v>307</v>
      </c>
      <c r="E116" s="30" t="s">
        <v>20</v>
      </c>
      <c r="F116" s="31">
        <v>4551.01</v>
      </c>
      <c r="G116" s="32">
        <v>2.63</v>
      </c>
      <c r="H116" s="32">
        <f>ROUND(ROUND(G116 * J10, 2) + G116, 2)</f>
        <v>3.33</v>
      </c>
      <c r="I116" s="32">
        <f t="shared" si="3"/>
        <v>15154.86</v>
      </c>
      <c r="J116" s="33">
        <f>I116 / J9</f>
        <v>3.8009711364050597E-2</v>
      </c>
    </row>
    <row r="117" spans="1:10" ht="15" thickBot="1">
      <c r="A117" s="12"/>
      <c r="B117" s="12"/>
      <c r="C117" s="12"/>
      <c r="D117" s="12"/>
      <c r="E117" s="12"/>
      <c r="F117" s="12"/>
      <c r="G117" s="12"/>
      <c r="H117" s="12"/>
      <c r="I117" s="12"/>
      <c r="J117" s="12"/>
    </row>
    <row r="118" spans="1:10" ht="21" thickBot="1">
      <c r="A118" s="142" t="s">
        <v>333</v>
      </c>
      <c r="B118" s="143"/>
      <c r="C118" s="143"/>
      <c r="D118" s="143"/>
      <c r="E118" s="143"/>
      <c r="F118" s="143"/>
      <c r="G118" s="143"/>
      <c r="H118" s="144"/>
      <c r="I118" s="60">
        <f>I12+I14+I23+I31+I37+I69+I75+I115</f>
        <v>398710.21</v>
      </c>
      <c r="J118" s="35"/>
    </row>
    <row r="119" spans="1:10">
      <c r="A119" s="36"/>
      <c r="B119" s="37"/>
      <c r="C119" s="37"/>
      <c r="D119" s="37"/>
      <c r="E119" s="37"/>
      <c r="F119" s="38"/>
      <c r="G119" s="39"/>
      <c r="H119" s="37"/>
      <c r="I119" s="37"/>
      <c r="J119" s="40"/>
    </row>
    <row r="120" spans="1:10">
      <c r="A120" s="41"/>
      <c r="B120" s="42"/>
      <c r="C120" s="42"/>
      <c r="D120" s="42" t="s">
        <v>334</v>
      </c>
      <c r="E120" s="42"/>
      <c r="F120" s="42"/>
      <c r="G120" s="39"/>
      <c r="H120" s="127">
        <f ca="1">TODAY()</f>
        <v>46273</v>
      </c>
      <c r="I120" s="127"/>
      <c r="J120" s="40"/>
    </row>
    <row r="121" spans="1:10">
      <c r="A121" s="43"/>
      <c r="B121" s="44"/>
      <c r="C121" s="44"/>
      <c r="D121" s="44" t="s">
        <v>335</v>
      </c>
      <c r="E121" s="44"/>
      <c r="F121" s="44"/>
      <c r="G121" s="39"/>
      <c r="H121" s="45" t="s">
        <v>336</v>
      </c>
      <c r="I121" s="37"/>
      <c r="J121" s="40"/>
    </row>
    <row r="122" spans="1:10">
      <c r="A122" s="46"/>
      <c r="B122" s="37"/>
      <c r="C122" s="37"/>
      <c r="D122" s="37"/>
      <c r="E122" s="37"/>
      <c r="F122" s="37"/>
      <c r="G122" s="39"/>
      <c r="H122" s="37"/>
      <c r="I122" s="37"/>
      <c r="J122" s="40"/>
    </row>
    <row r="123" spans="1:10">
      <c r="A123" s="46"/>
      <c r="B123" s="37"/>
      <c r="C123" s="37"/>
      <c r="D123" s="37"/>
      <c r="E123" s="37"/>
      <c r="F123" s="37"/>
      <c r="G123" s="39"/>
      <c r="H123" s="37"/>
      <c r="I123" s="37"/>
      <c r="J123" s="40"/>
    </row>
    <row r="124" spans="1:10">
      <c r="A124" s="46"/>
      <c r="B124" s="37"/>
      <c r="C124" s="37"/>
      <c r="D124" s="37"/>
      <c r="E124" s="37"/>
      <c r="F124" s="37"/>
      <c r="G124" s="39"/>
      <c r="H124" s="37"/>
      <c r="I124" s="37"/>
      <c r="J124" s="40"/>
    </row>
    <row r="125" spans="1:10">
      <c r="A125" s="46"/>
      <c r="B125" s="37"/>
      <c r="C125" s="37"/>
      <c r="D125" s="37"/>
      <c r="E125" s="37"/>
      <c r="F125" s="37"/>
      <c r="G125" s="39"/>
      <c r="H125" s="37"/>
      <c r="I125" s="37"/>
      <c r="J125" s="40"/>
    </row>
    <row r="126" spans="1:10" ht="15" thickBot="1">
      <c r="A126" s="43"/>
      <c r="B126" s="44"/>
      <c r="C126" s="44"/>
      <c r="D126" s="47"/>
      <c r="E126" s="44"/>
      <c r="F126" s="44"/>
      <c r="G126" s="39"/>
      <c r="H126" s="37"/>
      <c r="I126" s="37"/>
      <c r="J126" s="40"/>
    </row>
    <row r="127" spans="1:10">
      <c r="A127" s="48"/>
      <c r="B127" s="49"/>
      <c r="C127" s="49"/>
      <c r="D127" s="50" t="s">
        <v>337</v>
      </c>
      <c r="E127" s="49"/>
      <c r="F127" s="49"/>
      <c r="G127" s="39"/>
      <c r="H127" s="37"/>
      <c r="I127" s="37"/>
      <c r="J127" s="40"/>
    </row>
    <row r="128" spans="1:10">
      <c r="A128" s="51"/>
      <c r="B128" s="52"/>
      <c r="C128" s="52"/>
      <c r="D128" s="53" t="s">
        <v>338</v>
      </c>
      <c r="E128" s="52"/>
      <c r="F128" s="52"/>
      <c r="G128" s="39"/>
      <c r="H128" s="37"/>
      <c r="I128" s="37"/>
      <c r="J128" s="40"/>
    </row>
    <row r="129" spans="1:10">
      <c r="A129" s="46"/>
      <c r="B129" s="37"/>
      <c r="C129" s="37"/>
      <c r="D129" s="37"/>
      <c r="E129" s="37"/>
      <c r="F129" s="37"/>
      <c r="G129" s="39"/>
      <c r="H129" s="37"/>
      <c r="I129" s="37"/>
      <c r="J129" s="40"/>
    </row>
    <row r="130" spans="1:10">
      <c r="A130" s="46"/>
      <c r="B130" s="37"/>
      <c r="C130" s="37"/>
      <c r="D130" s="37"/>
      <c r="E130" s="37"/>
      <c r="F130" s="37"/>
      <c r="G130" s="39"/>
      <c r="H130" s="37"/>
      <c r="I130" s="37"/>
      <c r="J130" s="40"/>
    </row>
    <row r="131" spans="1:10">
      <c r="A131" s="46"/>
      <c r="B131" s="37"/>
      <c r="C131" s="37"/>
      <c r="D131" s="37"/>
      <c r="E131" s="37"/>
      <c r="F131" s="37"/>
      <c r="G131" s="39"/>
      <c r="H131" s="37"/>
      <c r="I131" s="37"/>
      <c r="J131" s="40"/>
    </row>
    <row r="132" spans="1:10">
      <c r="A132" s="46"/>
      <c r="B132" s="37"/>
      <c r="C132" s="37"/>
      <c r="D132" s="37"/>
      <c r="E132" s="37"/>
      <c r="F132" s="37"/>
      <c r="G132" s="39"/>
      <c r="H132" s="37"/>
      <c r="I132" s="37"/>
      <c r="J132" s="40"/>
    </row>
    <row r="133" spans="1:10" ht="15" thickBot="1">
      <c r="A133" s="43"/>
      <c r="B133" s="44"/>
      <c r="C133" s="44"/>
      <c r="D133" s="47"/>
      <c r="E133" s="44"/>
      <c r="F133" s="44"/>
      <c r="G133" s="39"/>
      <c r="H133" s="37"/>
      <c r="I133" s="37"/>
      <c r="J133" s="40"/>
    </row>
    <row r="134" spans="1:10">
      <c r="A134" s="48"/>
      <c r="B134" s="49"/>
      <c r="C134" s="49"/>
      <c r="D134" s="50" t="s">
        <v>339</v>
      </c>
      <c r="E134" s="49"/>
      <c r="F134" s="49"/>
      <c r="G134" s="39"/>
      <c r="H134" s="37"/>
      <c r="I134" s="37"/>
      <c r="J134" s="40"/>
    </row>
    <row r="135" spans="1:10">
      <c r="A135" s="51"/>
      <c r="B135" s="52"/>
      <c r="C135" s="52"/>
      <c r="D135" s="53" t="s">
        <v>340</v>
      </c>
      <c r="E135" s="52"/>
      <c r="F135" s="52"/>
      <c r="G135" s="39"/>
      <c r="H135" s="37"/>
      <c r="I135" s="37"/>
      <c r="J135" s="40"/>
    </row>
    <row r="136" spans="1:10">
      <c r="A136" s="51"/>
      <c r="B136" s="52"/>
      <c r="C136" s="52"/>
      <c r="D136" s="53" t="s">
        <v>341</v>
      </c>
      <c r="E136" s="52"/>
      <c r="F136" s="52"/>
      <c r="G136" s="39"/>
      <c r="H136" s="37"/>
      <c r="I136" s="37"/>
      <c r="J136" s="40"/>
    </row>
    <row r="137" spans="1:10" ht="15" thickBot="1">
      <c r="A137" s="54"/>
      <c r="B137" s="55"/>
      <c r="C137" s="55"/>
      <c r="D137" s="55"/>
      <c r="E137" s="55"/>
      <c r="F137" s="56"/>
      <c r="G137" s="57"/>
      <c r="H137" s="58"/>
      <c r="I137" s="58"/>
      <c r="J137" s="59"/>
    </row>
  </sheetData>
  <mergeCells count="19">
    <mergeCell ref="B4:G4"/>
    <mergeCell ref="I4:J4"/>
    <mergeCell ref="B5:G5"/>
    <mergeCell ref="I5:J5"/>
    <mergeCell ref="D6:E6"/>
    <mergeCell ref="I6:J6"/>
    <mergeCell ref="I2:J2"/>
    <mergeCell ref="A1:J1"/>
    <mergeCell ref="A2:E2"/>
    <mergeCell ref="B3:G3"/>
    <mergeCell ref="I3:J3"/>
    <mergeCell ref="H120:I120"/>
    <mergeCell ref="A7:A8"/>
    <mergeCell ref="B7:B8"/>
    <mergeCell ref="F7:F8"/>
    <mergeCell ref="G7:G8"/>
    <mergeCell ref="H7:H8"/>
    <mergeCell ref="I7:J8"/>
    <mergeCell ref="A118:H118"/>
  </mergeCells>
  <dataValidations count="2">
    <dataValidation type="list" allowBlank="1" showInputMessage="1" showErrorMessage="1" sqref="D6">
      <formula1>"1 – Empreitada por Preço Global, 2 – Empreitada por Preço Unitário, 3 – Empreitada Integral, 4 – Tarefa, 5 – Execução Direta, 6 – Contratação integrada, 7 – Contratação semi-integrada,  8 – Fornecimento e prestação de serviço associado"</formula1>
    </dataValidation>
    <dataValidation type="list" allowBlank="1" showInputMessage="1" showErrorMessage="1" sqref="C8">
      <formula1>"Sim,Não"</formula1>
    </dataValidation>
  </dataValidations>
  <pageMargins left="0.5" right="0.5" top="1" bottom="1" header="0.5" footer="0.5"/>
  <pageSetup paperSize="9" scale="70" fitToHeight="0" orientation="landscape" r:id="rId1"/>
  <headerFooter>
    <oddHeader>&amp;L &amp;C &amp;R</oddHeader>
    <oddFooter>&amp;L &amp;C &amp;R</oddFooter>
  </headerFooter>
  <legacyDrawing r:id="rId2"/>
  <oleObjects>
    <oleObject progId="PBrush" shapeId="1025" r:id="rId3"/>
  </oleObjects>
</worksheet>
</file>

<file path=xl/worksheets/sheet2.xml><?xml version="1.0" encoding="utf-8"?>
<worksheet xmlns="http://schemas.openxmlformats.org/spreadsheetml/2006/main" xmlns:r="http://schemas.openxmlformats.org/officeDocument/2006/relationships">
  <dimension ref="A1:I31"/>
  <sheetViews>
    <sheetView tabSelected="1" workbookViewId="0">
      <selection activeCell="B28" sqref="B28:I31"/>
    </sheetView>
  </sheetViews>
  <sheetFormatPr defaultRowHeight="14.25"/>
  <cols>
    <col min="3" max="3" width="24.75" customWidth="1"/>
    <col min="4" max="4" width="10.625" customWidth="1"/>
    <col min="5" max="5" width="10.875" customWidth="1"/>
    <col min="6" max="6" width="10.25" customWidth="1"/>
    <col min="7" max="7" width="10.875" customWidth="1"/>
    <col min="8" max="8" width="10.25" customWidth="1"/>
    <col min="9" max="9" width="11" customWidth="1"/>
  </cols>
  <sheetData>
    <row r="1" spans="1:9" ht="45" customHeight="1" thickBot="1">
      <c r="A1" s="88"/>
      <c r="B1" s="89"/>
      <c r="C1" s="160" t="s">
        <v>401</v>
      </c>
      <c r="D1" s="161"/>
      <c r="E1" s="161"/>
      <c r="F1" s="161"/>
      <c r="G1" s="161"/>
      <c r="H1" s="161"/>
      <c r="I1" s="162"/>
    </row>
    <row r="2" spans="1:9" ht="15" customHeight="1" thickBot="1">
      <c r="A2" s="163" t="s">
        <v>383</v>
      </c>
      <c r="B2" s="164"/>
      <c r="C2" s="164"/>
      <c r="D2" s="164"/>
      <c r="E2" s="164"/>
      <c r="F2" s="164"/>
      <c r="G2" s="164"/>
      <c r="H2" s="164"/>
      <c r="I2" s="165"/>
    </row>
    <row r="3" spans="1:9" ht="23.25" customHeight="1" thickBot="1">
      <c r="A3" s="166" t="s">
        <v>384</v>
      </c>
      <c r="B3" s="167"/>
      <c r="C3" s="167"/>
      <c r="D3" s="167"/>
      <c r="E3" s="167"/>
      <c r="F3" s="167"/>
      <c r="G3" s="167"/>
      <c r="H3" s="167"/>
      <c r="I3" s="168"/>
    </row>
    <row r="4" spans="1:9" ht="22.5" customHeight="1">
      <c r="A4" s="169" t="s">
        <v>313</v>
      </c>
      <c r="B4" s="170"/>
      <c r="C4" s="171"/>
      <c r="D4" s="172" t="s">
        <v>385</v>
      </c>
      <c r="E4" s="170"/>
      <c r="F4" s="173"/>
      <c r="G4" s="173"/>
      <c r="H4" s="90" t="s">
        <v>386</v>
      </c>
      <c r="I4" s="91">
        <f ca="1">TODAY()</f>
        <v>46273</v>
      </c>
    </row>
    <row r="5" spans="1:9" ht="27" customHeight="1" thickBot="1">
      <c r="A5" s="180" t="s">
        <v>387</v>
      </c>
      <c r="B5" s="181"/>
      <c r="C5" s="182"/>
      <c r="D5" s="92" t="s">
        <v>388</v>
      </c>
      <c r="E5" s="93" t="s">
        <v>400</v>
      </c>
      <c r="F5" s="93"/>
      <c r="G5" s="93"/>
      <c r="H5" s="93"/>
      <c r="I5" s="94"/>
    </row>
    <row r="6" spans="1:9" ht="38.25">
      <c r="A6" s="95" t="s">
        <v>389</v>
      </c>
      <c r="B6" s="183" t="s">
        <v>390</v>
      </c>
      <c r="C6" s="184"/>
      <c r="D6" s="96" t="s">
        <v>391</v>
      </c>
      <c r="E6" s="96" t="s">
        <v>392</v>
      </c>
      <c r="F6" s="97" t="s">
        <v>393</v>
      </c>
      <c r="G6" s="97" t="s">
        <v>394</v>
      </c>
      <c r="H6" s="97" t="s">
        <v>395</v>
      </c>
      <c r="I6" s="98" t="s">
        <v>10</v>
      </c>
    </row>
    <row r="7" spans="1:9">
      <c r="A7" s="174">
        <v>1</v>
      </c>
      <c r="B7" s="185" t="str">
        <f>'[2]Orç. '!D11</f>
        <v>INSTALAÇÃO DA OBRA</v>
      </c>
      <c r="C7" s="186"/>
      <c r="D7" s="99" t="s">
        <v>396</v>
      </c>
      <c r="E7" s="100">
        <v>1.01E-2</v>
      </c>
      <c r="F7" s="101">
        <v>1</v>
      </c>
      <c r="G7" s="102">
        <v>0</v>
      </c>
      <c r="H7" s="102">
        <v>0</v>
      </c>
      <c r="I7" s="103">
        <f>SUM(F7:H7)</f>
        <v>1</v>
      </c>
    </row>
    <row r="8" spans="1:9">
      <c r="A8" s="175"/>
      <c r="B8" s="178"/>
      <c r="C8" s="179"/>
      <c r="D8" s="104" t="s">
        <v>397</v>
      </c>
      <c r="E8" s="105">
        <f>'Orçamento Sintético'!I12</f>
        <v>1320.44</v>
      </c>
      <c r="F8" s="106">
        <f t="shared" ref="F8:H8" si="0">F7*$E$8</f>
        <v>1320.44</v>
      </c>
      <c r="G8" s="107">
        <f t="shared" si="0"/>
        <v>0</v>
      </c>
      <c r="H8" s="107">
        <f t="shared" si="0"/>
        <v>0</v>
      </c>
      <c r="I8" s="108">
        <f>SUM(F8:H8)</f>
        <v>1320.44</v>
      </c>
    </row>
    <row r="9" spans="1:9">
      <c r="A9" s="174">
        <v>2</v>
      </c>
      <c r="B9" s="176" t="str">
        <f>'[2]Orç. '!D15</f>
        <v>REFORÇO ESTRUTURAL DE FUNDAÇÃO</v>
      </c>
      <c r="C9" s="177"/>
      <c r="D9" s="104" t="s">
        <v>396</v>
      </c>
      <c r="E9" s="109">
        <v>0.1172</v>
      </c>
      <c r="F9" s="110">
        <v>0.5</v>
      </c>
      <c r="G9" s="101">
        <v>0.5</v>
      </c>
      <c r="H9" s="102">
        <v>0</v>
      </c>
      <c r="I9" s="103">
        <f>SUM(F9:H9)</f>
        <v>1</v>
      </c>
    </row>
    <row r="10" spans="1:9">
      <c r="A10" s="175"/>
      <c r="B10" s="178"/>
      <c r="C10" s="179"/>
      <c r="D10" s="104" t="s">
        <v>397</v>
      </c>
      <c r="E10" s="105">
        <f>'Orçamento Sintético'!I14</f>
        <v>103241.74</v>
      </c>
      <c r="F10" s="111">
        <f t="shared" ref="F10:H10" si="1">F9*$E$10</f>
        <v>51620.87</v>
      </c>
      <c r="G10" s="106">
        <f t="shared" si="1"/>
        <v>51620.87</v>
      </c>
      <c r="H10" s="107">
        <f t="shared" si="1"/>
        <v>0</v>
      </c>
      <c r="I10" s="108">
        <f>SUM(F10:H10)</f>
        <v>103241.74</v>
      </c>
    </row>
    <row r="11" spans="1:9">
      <c r="A11" s="174">
        <v>3</v>
      </c>
      <c r="B11" s="176" t="str">
        <f>'[2]Orç. '!D24</f>
        <v>REFORÇO PILARES</v>
      </c>
      <c r="C11" s="177"/>
      <c r="D11" s="104" t="s">
        <v>396</v>
      </c>
      <c r="E11" s="109">
        <v>1.17E-2</v>
      </c>
      <c r="F11" s="101">
        <v>0.5</v>
      </c>
      <c r="G11" s="110">
        <v>0.5</v>
      </c>
      <c r="H11" s="102">
        <v>0</v>
      </c>
      <c r="I11" s="103">
        <f>SUM(F11:H11)</f>
        <v>1</v>
      </c>
    </row>
    <row r="12" spans="1:9">
      <c r="A12" s="175"/>
      <c r="B12" s="178"/>
      <c r="C12" s="179"/>
      <c r="D12" s="104" t="s">
        <v>397</v>
      </c>
      <c r="E12" s="105">
        <f>'Orçamento Sintético'!I23</f>
        <v>10306.780000000001</v>
      </c>
      <c r="F12" s="106">
        <f>F11*$E$12</f>
        <v>5153.3900000000003</v>
      </c>
      <c r="G12" s="111">
        <f>G11*$E$12</f>
        <v>5153.3900000000003</v>
      </c>
      <c r="H12" s="107">
        <f>H11*$E$12</f>
        <v>0</v>
      </c>
      <c r="I12" s="108">
        <f>SUM(F12:H12)</f>
        <v>10306.780000000001</v>
      </c>
    </row>
    <row r="13" spans="1:9">
      <c r="A13" s="174">
        <v>4</v>
      </c>
      <c r="B13" s="176" t="str">
        <f>'[2]Orç. '!D32</f>
        <v>LIMPEZA  DA COBERTURA</v>
      </c>
      <c r="C13" s="177"/>
      <c r="D13" s="104" t="s">
        <v>396</v>
      </c>
      <c r="E13" s="109">
        <v>4.2799999999999998E-2</v>
      </c>
      <c r="F13" s="102">
        <v>0.5</v>
      </c>
      <c r="G13" s="101">
        <v>0.5</v>
      </c>
      <c r="H13" s="110">
        <v>0</v>
      </c>
      <c r="I13" s="103">
        <f>SUM(F13:H13)</f>
        <v>1</v>
      </c>
    </row>
    <row r="14" spans="1:9">
      <c r="A14" s="175"/>
      <c r="B14" s="178"/>
      <c r="C14" s="179"/>
      <c r="D14" s="104" t="s">
        <v>397</v>
      </c>
      <c r="E14" s="105">
        <f>'Orçamento Sintético'!I31</f>
        <v>19285.310000000001</v>
      </c>
      <c r="F14" s="107">
        <f t="shared" ref="F14:H14" si="2">F13*$E$14</f>
        <v>9642.6550000000007</v>
      </c>
      <c r="G14" s="106">
        <f t="shared" si="2"/>
        <v>9642.6550000000007</v>
      </c>
      <c r="H14" s="111">
        <f t="shared" si="2"/>
        <v>0</v>
      </c>
      <c r="I14" s="108">
        <f>SUM(F14:H14)</f>
        <v>19285.310000000001</v>
      </c>
    </row>
    <row r="15" spans="1:9">
      <c r="A15" s="174">
        <v>5</v>
      </c>
      <c r="B15" s="176" t="str">
        <f>'[2]Orç. '!D40</f>
        <v>REFORMA DAS COZINHAS E DISPENSAS</v>
      </c>
      <c r="C15" s="177"/>
      <c r="D15" s="104" t="s">
        <v>396</v>
      </c>
      <c r="E15" s="109">
        <v>4.1599999999999998E-2</v>
      </c>
      <c r="F15" s="102">
        <v>0.5</v>
      </c>
      <c r="G15" s="101">
        <v>0.5</v>
      </c>
      <c r="H15" s="110">
        <v>0</v>
      </c>
      <c r="I15" s="103">
        <f>SUM(F15:H15)</f>
        <v>1</v>
      </c>
    </row>
    <row r="16" spans="1:9">
      <c r="A16" s="175"/>
      <c r="B16" s="178"/>
      <c r="C16" s="179"/>
      <c r="D16" s="104" t="s">
        <v>397</v>
      </c>
      <c r="E16" s="105">
        <f>'Orçamento Sintético'!I37</f>
        <v>36583.54</v>
      </c>
      <c r="F16" s="107">
        <f t="shared" ref="F16:H16" si="3">F15*$E$16</f>
        <v>18291.77</v>
      </c>
      <c r="G16" s="106">
        <f t="shared" si="3"/>
        <v>18291.77</v>
      </c>
      <c r="H16" s="111">
        <f t="shared" si="3"/>
        <v>0</v>
      </c>
      <c r="I16" s="108">
        <f>SUM(F16:H16)</f>
        <v>36583.54</v>
      </c>
    </row>
    <row r="17" spans="1:9">
      <c r="A17" s="174">
        <v>6</v>
      </c>
      <c r="B17" s="193" t="str">
        <f>'[2]Orç. '!D72</f>
        <v>PINTURA</v>
      </c>
      <c r="C17" s="194"/>
      <c r="D17" s="104" t="s">
        <v>396</v>
      </c>
      <c r="E17" s="109">
        <v>0.58420000000000005</v>
      </c>
      <c r="F17" s="102">
        <v>0</v>
      </c>
      <c r="G17" s="110">
        <v>0.5</v>
      </c>
      <c r="H17" s="101">
        <v>0.5</v>
      </c>
      <c r="I17" s="103">
        <f>SUM(F17:H17)</f>
        <v>1</v>
      </c>
    </row>
    <row r="18" spans="1:9">
      <c r="A18" s="175"/>
      <c r="B18" s="195"/>
      <c r="C18" s="196"/>
      <c r="D18" s="104" t="s">
        <v>397</v>
      </c>
      <c r="E18" s="105">
        <f>'Orçamento Sintético'!I69</f>
        <v>65649.240000000005</v>
      </c>
      <c r="F18" s="107">
        <f t="shared" ref="F18:H18" si="4">F17*$E$18</f>
        <v>0</v>
      </c>
      <c r="G18" s="111">
        <f t="shared" si="4"/>
        <v>32824.620000000003</v>
      </c>
      <c r="H18" s="106">
        <f t="shared" si="4"/>
        <v>32824.620000000003</v>
      </c>
      <c r="I18" s="108">
        <f>SUM(F18:H18)</f>
        <v>65649.240000000005</v>
      </c>
    </row>
    <row r="19" spans="1:9">
      <c r="A19" s="174">
        <v>7</v>
      </c>
      <c r="B19" s="176" t="str">
        <f>'[2]Orç. '!D173</f>
        <v>REFORMA BLOCO 2</v>
      </c>
      <c r="C19" s="177"/>
      <c r="D19" s="104" t="s">
        <v>396</v>
      </c>
      <c r="E19" s="109">
        <v>0.1671</v>
      </c>
      <c r="F19" s="102">
        <v>0</v>
      </c>
      <c r="G19" s="101">
        <v>0.5</v>
      </c>
      <c r="H19" s="110">
        <v>0.5</v>
      </c>
      <c r="I19" s="103">
        <f>SUM(F19:H19)</f>
        <v>1</v>
      </c>
    </row>
    <row r="20" spans="1:9">
      <c r="A20" s="175"/>
      <c r="B20" s="178"/>
      <c r="C20" s="179"/>
      <c r="D20" s="104" t="s">
        <v>397</v>
      </c>
      <c r="E20" s="105">
        <f>'Orçamento Sintético'!I75</f>
        <v>147168.29999999999</v>
      </c>
      <c r="F20" s="107">
        <f t="shared" ref="F20:H20" si="5">F19*$E$20</f>
        <v>0</v>
      </c>
      <c r="G20" s="106">
        <f t="shared" si="5"/>
        <v>73584.149999999994</v>
      </c>
      <c r="H20" s="111">
        <f t="shared" si="5"/>
        <v>73584.149999999994</v>
      </c>
      <c r="I20" s="108">
        <f>SUM(F20:H20)</f>
        <v>147168.29999999999</v>
      </c>
    </row>
    <row r="21" spans="1:9">
      <c r="A21" s="174">
        <v>8</v>
      </c>
      <c r="B21" s="176" t="str">
        <f>'[2]Orç. '!D213</f>
        <v>LIMPEZA FINAL</v>
      </c>
      <c r="C21" s="177"/>
      <c r="D21" s="104" t="s">
        <v>396</v>
      </c>
      <c r="E21" s="109">
        <v>2.53E-2</v>
      </c>
      <c r="F21" s="102">
        <v>0</v>
      </c>
      <c r="G21" s="102">
        <v>0</v>
      </c>
      <c r="H21" s="102">
        <v>1</v>
      </c>
      <c r="I21" s="103">
        <f>SUM(F21:H21)</f>
        <v>1</v>
      </c>
    </row>
    <row r="22" spans="1:9">
      <c r="A22" s="175"/>
      <c r="B22" s="178"/>
      <c r="C22" s="179"/>
      <c r="D22" s="104" t="s">
        <v>397</v>
      </c>
      <c r="E22" s="105">
        <f>'Orçamento Sintético'!I115</f>
        <v>15154.86</v>
      </c>
      <c r="F22" s="107">
        <f t="shared" ref="F22:H22" si="6">F21*$E$22</f>
        <v>0</v>
      </c>
      <c r="G22" s="107">
        <f t="shared" si="6"/>
        <v>0</v>
      </c>
      <c r="H22" s="107">
        <f t="shared" si="6"/>
        <v>15154.86</v>
      </c>
      <c r="I22" s="108">
        <f>SUM(F22:H22)</f>
        <v>15154.86</v>
      </c>
    </row>
    <row r="23" spans="1:9">
      <c r="A23" s="187" t="s">
        <v>398</v>
      </c>
      <c r="B23" s="188"/>
      <c r="C23" s="189"/>
      <c r="D23" s="112" t="s">
        <v>396</v>
      </c>
      <c r="E23" s="113">
        <f>E7+E9+E13+E15+E19+E21+E11+E17</f>
        <v>1</v>
      </c>
      <c r="F23" s="113">
        <f>F24/$E$24</f>
        <v>0.21576856534474001</v>
      </c>
      <c r="G23" s="113">
        <f t="shared" ref="G23:H23" si="7">G24/$E$24</f>
        <v>0.47933926748452216</v>
      </c>
      <c r="H23" s="113">
        <f t="shared" si="7"/>
        <v>0.30489219225161057</v>
      </c>
      <c r="I23" s="114">
        <f>SUM(F23:H23)</f>
        <v>1.0000000250808727</v>
      </c>
    </row>
    <row r="24" spans="1:9" ht="15" thickBot="1">
      <c r="A24" s="190"/>
      <c r="B24" s="191"/>
      <c r="C24" s="192"/>
      <c r="D24" s="115" t="s">
        <v>397</v>
      </c>
      <c r="E24" s="116">
        <f>E8+E1++E18+E12+E14+E16+E20+E22+E10</f>
        <v>398710.20999999996</v>
      </c>
      <c r="F24" s="116">
        <f>ROUND(F8+F10+F12+F14+F16+F18+F20+F22,2)</f>
        <v>86029.13</v>
      </c>
      <c r="G24" s="116">
        <f>ROUND(G8+G10+G12+G14+G16+G18+G20+G22,2)</f>
        <v>191117.46</v>
      </c>
      <c r="H24" s="228">
        <f>ROUND(H18+H20+H22,2)</f>
        <v>121563.63</v>
      </c>
      <c r="I24" s="117">
        <f>ROUND(I8+I10+I12+I14+I16+I18+I20+I22,2)</f>
        <v>398710.21</v>
      </c>
    </row>
    <row r="25" spans="1:9" ht="2.25" customHeight="1">
      <c r="A25" s="118"/>
      <c r="B25" s="119"/>
      <c r="C25" s="119"/>
      <c r="D25" s="120"/>
      <c r="E25" s="120"/>
      <c r="F25" s="119"/>
      <c r="G25" s="119"/>
      <c r="H25" s="229"/>
      <c r="I25" s="121"/>
    </row>
    <row r="26" spans="1:9" ht="14.25" customHeight="1">
      <c r="B26" s="42"/>
      <c r="C26" s="42" t="s">
        <v>334</v>
      </c>
      <c r="D26" s="42"/>
      <c r="E26" s="42"/>
      <c r="F26" s="39"/>
      <c r="G26" s="127">
        <f ca="1">TODAY()</f>
        <v>46273</v>
      </c>
      <c r="H26" s="127"/>
      <c r="I26" s="42"/>
    </row>
    <row r="27" spans="1:9">
      <c r="B27" s="44"/>
      <c r="C27" s="44" t="s">
        <v>335</v>
      </c>
      <c r="D27" s="44"/>
      <c r="E27" s="44"/>
      <c r="F27" s="39"/>
      <c r="G27" s="45" t="s">
        <v>336</v>
      </c>
      <c r="H27" s="37"/>
      <c r="I27" s="44"/>
    </row>
    <row r="28" spans="1:9" ht="15" thickBot="1">
      <c r="B28" s="123"/>
      <c r="C28" s="123"/>
      <c r="D28" s="123"/>
      <c r="E28" s="123"/>
      <c r="F28" s="44"/>
      <c r="G28" s="123"/>
      <c r="H28" s="123"/>
    </row>
    <row r="29" spans="1:9">
      <c r="B29" s="125" t="s">
        <v>337</v>
      </c>
      <c r="C29" s="125"/>
      <c r="D29" s="125"/>
      <c r="E29" s="125"/>
      <c r="F29" s="49"/>
      <c r="G29" s="49"/>
      <c r="H29" s="125" t="s">
        <v>339</v>
      </c>
    </row>
    <row r="30" spans="1:9">
      <c r="B30" s="126" t="s">
        <v>338</v>
      </c>
      <c r="C30" s="126"/>
      <c r="D30" s="126"/>
      <c r="E30" s="126"/>
      <c r="F30" s="122"/>
      <c r="G30" s="122"/>
      <c r="H30" s="126" t="s">
        <v>340</v>
      </c>
    </row>
    <row r="31" spans="1:9">
      <c r="B31" s="37"/>
      <c r="C31" s="37"/>
      <c r="D31" s="37"/>
      <c r="E31" s="37"/>
      <c r="F31" s="39"/>
      <c r="H31" s="124" t="s">
        <v>341</v>
      </c>
    </row>
  </sheetData>
  <mergeCells count="26">
    <mergeCell ref="G26:H26"/>
    <mergeCell ref="A21:A22"/>
    <mergeCell ref="B21:C22"/>
    <mergeCell ref="A23:C24"/>
    <mergeCell ref="A15:A16"/>
    <mergeCell ref="B15:C16"/>
    <mergeCell ref="A17:A18"/>
    <mergeCell ref="B17:C18"/>
    <mergeCell ref="A19:A20"/>
    <mergeCell ref="B19:C20"/>
    <mergeCell ref="A11:A12"/>
    <mergeCell ref="B11:C12"/>
    <mergeCell ref="A13:A14"/>
    <mergeCell ref="B13:C14"/>
    <mergeCell ref="A5:C5"/>
    <mergeCell ref="B6:C6"/>
    <mergeCell ref="A7:A8"/>
    <mergeCell ref="B7:C8"/>
    <mergeCell ref="A9:A10"/>
    <mergeCell ref="B9:C10"/>
    <mergeCell ref="C1:I1"/>
    <mergeCell ref="A2:I2"/>
    <mergeCell ref="A3:I3"/>
    <mergeCell ref="A4:C4"/>
    <mergeCell ref="D4:E4"/>
    <mergeCell ref="F4:G4"/>
  </mergeCells>
  <pageMargins left="0.511811024" right="0.511811024" top="0.78740157499999996" bottom="0.78740157499999996" header="0.31496062000000002" footer="0.31496062000000002"/>
  <pageSetup orientation="landscape" r:id="rId1"/>
  <legacyDrawing r:id="rId2"/>
  <oleObjects>
    <oleObject progId="PBrush" shapeId="3073" r:id="rId3"/>
  </oleObjects>
</worksheet>
</file>

<file path=xl/worksheets/sheet3.xml><?xml version="1.0" encoding="utf-8"?>
<worksheet xmlns="http://schemas.openxmlformats.org/spreadsheetml/2006/main" xmlns:r="http://schemas.openxmlformats.org/officeDocument/2006/relationships">
  <dimension ref="A1:R46"/>
  <sheetViews>
    <sheetView workbookViewId="0">
      <selection activeCell="B2" sqref="B2:K3"/>
    </sheetView>
  </sheetViews>
  <sheetFormatPr defaultRowHeight="14.25"/>
  <cols>
    <col min="8" max="8" width="6" customWidth="1"/>
    <col min="9" max="9" width="1.375" hidden="1" customWidth="1"/>
  </cols>
  <sheetData>
    <row r="1" spans="1:18" ht="42.75" customHeight="1" thickBot="1">
      <c r="A1" s="61"/>
      <c r="B1" s="197" t="s">
        <v>344</v>
      </c>
      <c r="C1" s="198"/>
      <c r="D1" s="198"/>
      <c r="E1" s="198"/>
      <c r="F1" s="198"/>
      <c r="G1" s="198"/>
      <c r="H1" s="198"/>
      <c r="I1" s="198"/>
      <c r="J1" s="198"/>
      <c r="K1" s="199"/>
      <c r="L1" s="62"/>
      <c r="M1" s="62"/>
      <c r="N1" s="62"/>
      <c r="O1" s="62"/>
      <c r="P1" s="62"/>
      <c r="Q1" s="62"/>
      <c r="R1" s="62"/>
    </row>
    <row r="2" spans="1:18">
      <c r="A2" s="63"/>
      <c r="B2" s="200" t="s">
        <v>382</v>
      </c>
      <c r="C2" s="201"/>
      <c r="D2" s="201"/>
      <c r="E2" s="201"/>
      <c r="F2" s="201"/>
      <c r="G2" s="201"/>
      <c r="H2" s="201"/>
      <c r="I2" s="201"/>
      <c r="J2" s="201"/>
      <c r="K2" s="202"/>
      <c r="L2" s="62"/>
      <c r="M2" s="62"/>
      <c r="N2" s="62"/>
      <c r="O2" s="62"/>
      <c r="P2" s="62"/>
      <c r="Q2" s="62"/>
      <c r="R2" s="62"/>
    </row>
    <row r="3" spans="1:18" ht="24" customHeight="1">
      <c r="A3" s="63"/>
      <c r="B3" s="203"/>
      <c r="C3" s="204"/>
      <c r="D3" s="204"/>
      <c r="E3" s="204"/>
      <c r="F3" s="204"/>
      <c r="G3" s="204"/>
      <c r="H3" s="204"/>
      <c r="I3" s="204"/>
      <c r="J3" s="204"/>
      <c r="K3" s="205"/>
      <c r="L3" s="62"/>
      <c r="M3" s="62"/>
      <c r="N3" s="62"/>
      <c r="O3" s="62"/>
      <c r="P3" s="62"/>
      <c r="Q3" s="62"/>
      <c r="R3" s="62"/>
    </row>
    <row r="4" spans="1:18" ht="9.75" customHeight="1">
      <c r="A4" s="64"/>
      <c r="B4" s="65"/>
      <c r="C4" s="65"/>
      <c r="D4" s="65"/>
      <c r="E4" s="65"/>
      <c r="F4" s="65"/>
      <c r="G4" s="65"/>
      <c r="H4" s="65"/>
      <c r="I4" s="65"/>
      <c r="J4" s="65"/>
      <c r="K4" s="65"/>
      <c r="L4" s="66"/>
      <c r="M4" s="66"/>
      <c r="N4" s="66"/>
      <c r="O4" s="66"/>
      <c r="P4" s="66"/>
      <c r="Q4" s="66"/>
      <c r="R4" s="66"/>
    </row>
    <row r="5" spans="1:18" ht="27.75" customHeight="1">
      <c r="A5" s="64"/>
      <c r="B5" s="206" t="s">
        <v>345</v>
      </c>
      <c r="C5" s="206"/>
      <c r="D5" s="206"/>
      <c r="E5" s="206"/>
      <c r="F5" s="206"/>
      <c r="G5" s="206"/>
      <c r="H5" s="206"/>
      <c r="I5" s="206"/>
      <c r="J5" s="207">
        <v>0.5</v>
      </c>
      <c r="K5" s="207"/>
      <c r="L5" s="66"/>
      <c r="M5" s="66"/>
      <c r="N5" s="66"/>
      <c r="O5" s="66"/>
      <c r="P5" s="66"/>
      <c r="Q5" s="66"/>
      <c r="R5" s="66"/>
    </row>
    <row r="6" spans="1:18">
      <c r="A6" s="64"/>
      <c r="B6" s="208" t="s">
        <v>346</v>
      </c>
      <c r="C6" s="208"/>
      <c r="D6" s="208"/>
      <c r="E6" s="208"/>
      <c r="F6" s="208"/>
      <c r="G6" s="208"/>
      <c r="H6" s="208"/>
      <c r="I6" s="208"/>
      <c r="J6" s="207">
        <v>0.05</v>
      </c>
      <c r="K6" s="207"/>
      <c r="L6" s="66"/>
      <c r="M6" s="66"/>
      <c r="N6" s="66"/>
      <c r="O6" s="66"/>
      <c r="P6" s="66"/>
      <c r="Q6" s="66"/>
      <c r="R6" s="66"/>
    </row>
    <row r="7" spans="1:18">
      <c r="A7" s="64"/>
      <c r="B7" s="65"/>
      <c r="C7" s="65"/>
      <c r="D7" s="65"/>
      <c r="E7" s="65"/>
      <c r="F7" s="65"/>
      <c r="G7" s="65"/>
      <c r="H7" s="65"/>
      <c r="I7" s="65"/>
      <c r="J7" s="65"/>
      <c r="K7" s="65"/>
      <c r="L7" s="66"/>
      <c r="M7" s="66"/>
      <c r="N7" s="66"/>
      <c r="O7" s="66"/>
      <c r="P7" s="66"/>
      <c r="Q7" s="66"/>
      <c r="R7" s="66"/>
    </row>
    <row r="8" spans="1:18">
      <c r="A8" s="209"/>
      <c r="B8" s="210" t="s">
        <v>347</v>
      </c>
      <c r="C8" s="210"/>
      <c r="D8" s="210"/>
      <c r="E8" s="210"/>
      <c r="F8" s="210"/>
      <c r="G8" s="210"/>
      <c r="H8" s="210"/>
      <c r="I8" s="210"/>
      <c r="J8" s="210"/>
      <c r="K8" s="210"/>
      <c r="L8" s="66"/>
      <c r="M8" s="66"/>
      <c r="N8" s="66"/>
      <c r="O8" s="66"/>
      <c r="P8" s="66"/>
      <c r="Q8" s="66"/>
      <c r="R8" s="66"/>
    </row>
    <row r="9" spans="1:18">
      <c r="A9" s="209"/>
      <c r="B9" s="211" t="s">
        <v>348</v>
      </c>
      <c r="C9" s="211"/>
      <c r="D9" s="211"/>
      <c r="E9" s="211"/>
      <c r="F9" s="211"/>
      <c r="G9" s="211"/>
      <c r="H9" s="211"/>
      <c r="I9" s="211"/>
      <c r="J9" s="211"/>
      <c r="K9" s="211"/>
      <c r="L9" s="66"/>
      <c r="M9" s="66"/>
      <c r="N9" s="66"/>
      <c r="O9" s="66"/>
      <c r="P9" s="66"/>
      <c r="Q9" s="66"/>
      <c r="R9" s="66"/>
    </row>
    <row r="10" spans="1:18">
      <c r="A10" s="67"/>
      <c r="B10" s="65"/>
      <c r="C10" s="65"/>
      <c r="D10" s="65"/>
      <c r="E10" s="65"/>
      <c r="F10" s="65"/>
      <c r="G10" s="65"/>
      <c r="H10" s="65"/>
      <c r="I10" s="65"/>
      <c r="J10" s="65"/>
      <c r="K10" s="65"/>
      <c r="L10" s="66"/>
      <c r="M10" s="66"/>
      <c r="N10" s="66"/>
      <c r="O10" s="66"/>
      <c r="P10" s="66"/>
      <c r="Q10" s="66"/>
      <c r="R10" s="66"/>
    </row>
    <row r="11" spans="1:18">
      <c r="A11" s="62"/>
      <c r="B11" s="212" t="s">
        <v>349</v>
      </c>
      <c r="C11" s="212"/>
      <c r="D11" s="212"/>
      <c r="E11" s="212"/>
      <c r="F11" s="212"/>
      <c r="G11" s="212"/>
      <c r="H11" s="212"/>
      <c r="I11" s="212"/>
      <c r="J11" s="212" t="s">
        <v>350</v>
      </c>
      <c r="K11" s="213" t="s">
        <v>351</v>
      </c>
      <c r="L11" s="66"/>
      <c r="M11" s="213" t="s">
        <v>352</v>
      </c>
      <c r="N11" s="213"/>
      <c r="O11" s="213"/>
      <c r="P11" s="214" t="s">
        <v>353</v>
      </c>
      <c r="Q11" s="214" t="s">
        <v>354</v>
      </c>
      <c r="R11" s="214" t="s">
        <v>355</v>
      </c>
    </row>
    <row r="12" spans="1:18">
      <c r="A12" s="62"/>
      <c r="B12" s="212"/>
      <c r="C12" s="212"/>
      <c r="D12" s="212"/>
      <c r="E12" s="212"/>
      <c r="F12" s="212"/>
      <c r="G12" s="212"/>
      <c r="H12" s="212"/>
      <c r="I12" s="212"/>
      <c r="J12" s="212"/>
      <c r="K12" s="213"/>
      <c r="L12" s="66"/>
      <c r="M12" s="213"/>
      <c r="N12" s="213"/>
      <c r="O12" s="213"/>
      <c r="P12" s="214"/>
      <c r="Q12" s="214"/>
      <c r="R12" s="214"/>
    </row>
    <row r="13" spans="1:18">
      <c r="A13" s="62"/>
      <c r="B13" s="215" t="str">
        <f>IF($J$21=$A$157,"Encargos Sociais incidentes sobre a mão de obra","Administração Central")</f>
        <v>Administração Central</v>
      </c>
      <c r="C13" s="215"/>
      <c r="D13" s="215"/>
      <c r="E13" s="215"/>
      <c r="F13" s="215"/>
      <c r="G13" s="215"/>
      <c r="H13" s="215"/>
      <c r="I13" s="215"/>
      <c r="J13" s="68" t="s">
        <v>356</v>
      </c>
      <c r="K13" s="69">
        <v>0.03</v>
      </c>
      <c r="L13" s="66"/>
      <c r="M13" s="216" t="s">
        <v>357</v>
      </c>
      <c r="N13" s="216"/>
      <c r="O13" s="216"/>
      <c r="P13" s="70">
        <v>0.03</v>
      </c>
      <c r="Q13" s="70">
        <v>0.04</v>
      </c>
      <c r="R13" s="70">
        <v>5.5E-2</v>
      </c>
    </row>
    <row r="14" spans="1:18">
      <c r="A14" s="67"/>
      <c r="B14" s="215" t="str">
        <f>IF($J$21=$A$157,"Administração Central da empresa ou consultoria - overhead","Seguro e Garantia")</f>
        <v>Seguro e Garantia</v>
      </c>
      <c r="C14" s="215"/>
      <c r="D14" s="215"/>
      <c r="E14" s="215"/>
      <c r="F14" s="215"/>
      <c r="G14" s="215"/>
      <c r="H14" s="215"/>
      <c r="I14" s="215"/>
      <c r="J14" s="68" t="s">
        <v>358</v>
      </c>
      <c r="K14" s="69">
        <v>0.01</v>
      </c>
      <c r="L14" s="66"/>
      <c r="M14" s="216" t="s">
        <v>357</v>
      </c>
      <c r="N14" s="216"/>
      <c r="O14" s="216"/>
      <c r="P14" s="70">
        <v>8.0000000000000002E-3</v>
      </c>
      <c r="Q14" s="70">
        <v>8.0000000000000002E-3</v>
      </c>
      <c r="R14" s="70">
        <v>0.01</v>
      </c>
    </row>
    <row r="15" spans="1:18">
      <c r="A15" s="62"/>
      <c r="B15" s="215" t="str">
        <f>IF($J$21=$A$157,"","Risco")</f>
        <v>Risco</v>
      </c>
      <c r="C15" s="215"/>
      <c r="D15" s="215"/>
      <c r="E15" s="215"/>
      <c r="F15" s="215"/>
      <c r="G15" s="215"/>
      <c r="H15" s="215"/>
      <c r="I15" s="215"/>
      <c r="J15" s="68" t="s">
        <v>359</v>
      </c>
      <c r="K15" s="69">
        <v>0.01</v>
      </c>
      <c r="L15" s="66"/>
      <c r="M15" s="216" t="s">
        <v>357</v>
      </c>
      <c r="N15" s="216"/>
      <c r="O15" s="216"/>
      <c r="P15" s="70">
        <v>9.7000000000000003E-3</v>
      </c>
      <c r="Q15" s="70">
        <v>1.2699999999999999E-2</v>
      </c>
      <c r="R15" s="70">
        <v>1.2699999999999999E-2</v>
      </c>
    </row>
    <row r="16" spans="1:18">
      <c r="A16" s="62"/>
      <c r="B16" s="215" t="str">
        <f>IF($J$21=$A$157,"","Despesas Financeiras")</f>
        <v>Despesas Financeiras</v>
      </c>
      <c r="C16" s="215"/>
      <c r="D16" s="215"/>
      <c r="E16" s="215"/>
      <c r="F16" s="215"/>
      <c r="G16" s="215"/>
      <c r="H16" s="215"/>
      <c r="I16" s="215"/>
      <c r="J16" s="68" t="s">
        <v>360</v>
      </c>
      <c r="K16" s="69">
        <v>1.3599999999999999E-2</v>
      </c>
      <c r="L16" s="66"/>
      <c r="M16" s="216" t="s">
        <v>357</v>
      </c>
      <c r="N16" s="216"/>
      <c r="O16" s="216"/>
      <c r="P16" s="70">
        <v>5.8999999999999999E-3</v>
      </c>
      <c r="Q16" s="70">
        <v>1.23E-2</v>
      </c>
      <c r="R16" s="70">
        <v>1.3899999999999999E-2</v>
      </c>
    </row>
    <row r="17" spans="1:18">
      <c r="A17" s="67"/>
      <c r="B17" s="215" t="str">
        <f>IF($J$21=$A$157,"Margem bruta da empresa de consultoria","Lucro")</f>
        <v>Lucro</v>
      </c>
      <c r="C17" s="215"/>
      <c r="D17" s="215"/>
      <c r="E17" s="215"/>
      <c r="F17" s="215"/>
      <c r="G17" s="215"/>
      <c r="H17" s="215"/>
      <c r="I17" s="215"/>
      <c r="J17" s="68" t="s">
        <v>361</v>
      </c>
      <c r="K17" s="69">
        <v>6.4000000000000001E-2</v>
      </c>
      <c r="L17" s="66"/>
      <c r="M17" s="216" t="s">
        <v>357</v>
      </c>
      <c r="N17" s="216"/>
      <c r="O17" s="216"/>
      <c r="P17" s="70">
        <v>6.1600000000000002E-2</v>
      </c>
      <c r="Q17" s="70">
        <v>7.3999999999999996E-2</v>
      </c>
      <c r="R17" s="70">
        <v>8.9599999999999999E-2</v>
      </c>
    </row>
    <row r="18" spans="1:18">
      <c r="A18" s="62"/>
      <c r="B18" s="215" t="s">
        <v>362</v>
      </c>
      <c r="C18" s="215"/>
      <c r="D18" s="215"/>
      <c r="E18" s="215"/>
      <c r="F18" s="215"/>
      <c r="G18" s="215"/>
      <c r="H18" s="215"/>
      <c r="I18" s="215"/>
      <c r="J18" s="68" t="s">
        <v>363</v>
      </c>
      <c r="K18" s="69">
        <v>3.6499999999999998E-2</v>
      </c>
      <c r="L18" s="66"/>
      <c r="M18" s="216" t="s">
        <v>357</v>
      </c>
      <c r="N18" s="216"/>
      <c r="O18" s="216"/>
      <c r="P18" s="70">
        <v>3.6499999999999998E-2</v>
      </c>
      <c r="Q18" s="70">
        <v>3.6499999999999998E-2</v>
      </c>
      <c r="R18" s="70">
        <v>3.6499999999999998E-2</v>
      </c>
    </row>
    <row r="19" spans="1:18">
      <c r="A19" s="62"/>
      <c r="B19" s="215" t="s">
        <v>364</v>
      </c>
      <c r="C19" s="215"/>
      <c r="D19" s="215"/>
      <c r="E19" s="215"/>
      <c r="F19" s="215"/>
      <c r="G19" s="215"/>
      <c r="H19" s="215"/>
      <c r="I19" s="215"/>
      <c r="J19" s="68" t="s">
        <v>365</v>
      </c>
      <c r="K19" s="70">
        <v>2.5000000000000001E-2</v>
      </c>
      <c r="L19" s="66"/>
      <c r="M19" s="216" t="s">
        <v>357</v>
      </c>
      <c r="N19" s="216"/>
      <c r="O19" s="216"/>
      <c r="P19" s="70">
        <v>0</v>
      </c>
      <c r="Q19" s="70">
        <v>2.5000000000000001E-2</v>
      </c>
      <c r="R19" s="70">
        <v>0.05</v>
      </c>
    </row>
    <row r="20" spans="1:18">
      <c r="A20" s="67"/>
      <c r="B20" s="215" t="s">
        <v>366</v>
      </c>
      <c r="C20" s="215"/>
      <c r="D20" s="215"/>
      <c r="E20" s="215"/>
      <c r="F20" s="215"/>
      <c r="G20" s="215"/>
      <c r="H20" s="215"/>
      <c r="I20" s="215"/>
      <c r="J20" s="68" t="s">
        <v>367</v>
      </c>
      <c r="K20" s="70">
        <v>4.4999999999999998E-2</v>
      </c>
      <c r="L20" s="66"/>
      <c r="M20" s="216" t="s">
        <v>357</v>
      </c>
      <c r="N20" s="216"/>
      <c r="O20" s="216"/>
      <c r="P20" s="71">
        <v>0</v>
      </c>
      <c r="Q20" s="71">
        <v>4.4999999999999998E-2</v>
      </c>
      <c r="R20" s="71">
        <v>4.4999999999999998E-2</v>
      </c>
    </row>
    <row r="21" spans="1:18">
      <c r="A21" s="62"/>
      <c r="B21" s="215" t="s">
        <v>368</v>
      </c>
      <c r="C21" s="215"/>
      <c r="D21" s="215"/>
      <c r="E21" s="215"/>
      <c r="F21" s="215"/>
      <c r="G21" s="215"/>
      <c r="H21" s="215"/>
      <c r="I21" s="215"/>
      <c r="J21" s="72" t="s">
        <v>369</v>
      </c>
      <c r="K21" s="70">
        <f>(ROUND((((1+K13+K14+K15)*(1+K16)*(1+K17)/(1-(K18+K19)))-1),4))</f>
        <v>0.20660000000000001</v>
      </c>
      <c r="L21" s="66"/>
      <c r="M21" s="213" t="str">
        <f>IF(OR($J$21=$A$157,$J$21=$A$156,AND(K21&gt;=P21,K21&lt;=R21)),"OK","FORA DO INTERVALO")</f>
        <v>OK</v>
      </c>
      <c r="N21" s="213"/>
      <c r="O21" s="213"/>
      <c r="P21" s="70">
        <v>0.2034</v>
      </c>
      <c r="Q21" s="70">
        <v>0.22120000000000001</v>
      </c>
      <c r="R21" s="70">
        <v>0.25</v>
      </c>
    </row>
    <row r="22" spans="1:18">
      <c r="A22" s="62"/>
      <c r="B22" s="218" t="s">
        <v>370</v>
      </c>
      <c r="C22" s="218"/>
      <c r="D22" s="218"/>
      <c r="E22" s="218"/>
      <c r="F22" s="218"/>
      <c r="G22" s="218"/>
      <c r="H22" s="218"/>
      <c r="I22" s="218"/>
      <c r="J22" s="73" t="s">
        <v>371</v>
      </c>
      <c r="K22" s="74">
        <f>ROUND((((1+K13+K14+K15)*(1+K16)*(1+K17)/(1-(K18+K19+K20)))-1),4)</f>
        <v>0.26740000000000003</v>
      </c>
      <c r="L22" s="66"/>
      <c r="M22" s="66"/>
      <c r="N22" s="66"/>
      <c r="O22" s="66"/>
      <c r="P22" s="66"/>
      <c r="Q22" s="66"/>
      <c r="R22" s="66"/>
    </row>
    <row r="23" spans="1:18">
      <c r="A23" s="67"/>
      <c r="B23" s="65"/>
      <c r="C23" s="65"/>
      <c r="D23" s="65"/>
      <c r="E23" s="65"/>
      <c r="F23" s="65"/>
      <c r="G23" s="65"/>
      <c r="H23" s="65"/>
      <c r="I23" s="65"/>
      <c r="J23" s="65"/>
      <c r="K23" s="65"/>
      <c r="L23" s="66"/>
      <c r="M23" s="66"/>
      <c r="N23" s="66"/>
      <c r="O23" s="66"/>
      <c r="P23" s="66"/>
      <c r="Q23" s="66"/>
      <c r="R23" s="66"/>
    </row>
    <row r="24" spans="1:18">
      <c r="A24" s="67"/>
      <c r="B24" s="75" t="str">
        <f>IF(M21&lt;&gt;"ok","X","")</f>
        <v/>
      </c>
      <c r="C24" s="217" t="str">
        <f>IF(M21&lt;&gt;"ok","Anexo: Relatório Técnico Circunstanciado justificando a adoção do percentual de cada parcela do BDI.","")</f>
        <v/>
      </c>
      <c r="D24" s="217"/>
      <c r="E24" s="217"/>
      <c r="F24" s="217"/>
      <c r="G24" s="217"/>
      <c r="H24" s="217"/>
      <c r="I24" s="217"/>
      <c r="J24" s="217"/>
      <c r="K24" s="217"/>
      <c r="L24" s="66"/>
      <c r="M24" s="66"/>
      <c r="N24" s="66"/>
      <c r="O24" s="66"/>
      <c r="P24" s="66"/>
      <c r="Q24" s="66"/>
      <c r="R24" s="66"/>
    </row>
    <row r="25" spans="1:18">
      <c r="A25" s="62"/>
      <c r="B25" s="65"/>
      <c r="C25" s="65"/>
      <c r="D25" s="65"/>
      <c r="E25" s="65"/>
      <c r="F25" s="65"/>
      <c r="G25" s="65"/>
      <c r="H25" s="65"/>
      <c r="I25" s="65"/>
      <c r="J25" s="65"/>
      <c r="K25" s="65"/>
      <c r="L25" s="66"/>
      <c r="M25" s="66"/>
      <c r="N25" s="66"/>
      <c r="O25" s="66"/>
      <c r="P25" s="66"/>
      <c r="Q25" s="66"/>
      <c r="R25" s="66"/>
    </row>
    <row r="26" spans="1:18">
      <c r="A26" s="62"/>
      <c r="B26" s="223" t="s">
        <v>372</v>
      </c>
      <c r="C26" s="223"/>
      <c r="D26" s="223"/>
      <c r="E26" s="223"/>
      <c r="F26" s="223"/>
      <c r="G26" s="223"/>
      <c r="H26" s="223"/>
      <c r="I26" s="223"/>
      <c r="J26" s="223"/>
      <c r="K26" s="223"/>
      <c r="L26" s="66"/>
      <c r="M26" s="66"/>
      <c r="N26" s="66"/>
      <c r="O26" s="66"/>
      <c r="P26" s="66"/>
      <c r="Q26" s="66"/>
      <c r="R26" s="66"/>
    </row>
    <row r="27" spans="1:18">
      <c r="A27" s="62"/>
      <c r="B27" s="76"/>
      <c r="C27" s="76"/>
      <c r="D27" s="76"/>
      <c r="E27" s="224" t="s">
        <v>373</v>
      </c>
      <c r="F27" s="225" t="str">
        <f>IF($J9=$A$157,"(1+K1+K2)*(1+K3)","(1+AC + S + R + G)*(1 + DF)*(1+L)")</f>
        <v>(1+K1+K2)*(1+K3)</v>
      </c>
      <c r="G27" s="225"/>
      <c r="H27" s="225"/>
      <c r="I27" s="226" t="s">
        <v>374</v>
      </c>
      <c r="J27" s="76"/>
      <c r="K27" s="76"/>
      <c r="L27" s="66"/>
      <c r="M27" s="66"/>
      <c r="N27" s="66"/>
      <c r="O27" s="66"/>
      <c r="P27" s="66"/>
      <c r="Q27" s="66"/>
      <c r="R27" s="66"/>
    </row>
    <row r="28" spans="1:18">
      <c r="A28" s="62"/>
      <c r="B28" s="76"/>
      <c r="C28" s="76"/>
      <c r="D28" s="76"/>
      <c r="E28" s="224"/>
      <c r="F28" s="227" t="s">
        <v>375</v>
      </c>
      <c r="G28" s="227"/>
      <c r="H28" s="227"/>
      <c r="I28" s="226"/>
      <c r="J28" s="76"/>
      <c r="K28" s="76"/>
      <c r="L28" s="66"/>
      <c r="M28" s="66"/>
      <c r="N28" s="66"/>
      <c r="O28" s="66"/>
      <c r="P28" s="66"/>
      <c r="Q28" s="66"/>
      <c r="R28" s="66"/>
    </row>
    <row r="29" spans="1:18">
      <c r="A29" s="62"/>
      <c r="B29" s="77"/>
      <c r="C29" s="77"/>
      <c r="D29" s="77"/>
      <c r="E29" s="77"/>
      <c r="F29" s="77"/>
      <c r="G29" s="77"/>
      <c r="H29" s="77"/>
      <c r="I29" s="77"/>
      <c r="J29" s="77"/>
      <c r="K29" s="77"/>
      <c r="L29" s="66"/>
      <c r="M29" s="66"/>
      <c r="N29" s="66"/>
      <c r="O29" s="66"/>
      <c r="P29" s="66"/>
      <c r="Q29" s="66"/>
      <c r="R29" s="66"/>
    </row>
    <row r="30" spans="1:18">
      <c r="A30" s="67"/>
      <c r="B30" s="219" t="s">
        <v>376</v>
      </c>
      <c r="C30" s="219"/>
      <c r="D30" s="219"/>
      <c r="E30" s="219"/>
      <c r="F30" s="219"/>
      <c r="G30" s="219"/>
      <c r="H30" s="219"/>
      <c r="I30" s="219"/>
      <c r="J30" s="219"/>
      <c r="K30" s="219"/>
      <c r="L30" s="66"/>
      <c r="M30" s="66"/>
      <c r="N30" s="66"/>
      <c r="O30" s="66"/>
      <c r="P30" s="66"/>
      <c r="Q30" s="66"/>
      <c r="R30" s="66"/>
    </row>
    <row r="31" spans="1:18">
      <c r="A31" s="67"/>
      <c r="B31" s="65"/>
      <c r="C31" s="65"/>
      <c r="D31" s="65"/>
      <c r="E31" s="65"/>
      <c r="F31" s="65"/>
      <c r="G31" s="65"/>
      <c r="H31" s="65"/>
      <c r="I31" s="65"/>
      <c r="J31" s="65"/>
      <c r="K31" s="65"/>
      <c r="L31" s="66"/>
      <c r="M31" s="66"/>
      <c r="N31" s="66"/>
      <c r="O31" s="66"/>
      <c r="P31" s="66"/>
      <c r="Q31" s="66"/>
      <c r="R31" s="66"/>
    </row>
    <row r="32" spans="1:18">
      <c r="A32" s="62"/>
      <c r="B32" s="219" t="s">
        <v>377</v>
      </c>
      <c r="C32" s="219"/>
      <c r="D32" s="219"/>
      <c r="E32" s="219"/>
      <c r="F32" s="219"/>
      <c r="G32" s="219"/>
      <c r="H32" s="219"/>
      <c r="I32" s="219"/>
      <c r="J32" s="219"/>
      <c r="K32" s="219"/>
      <c r="L32" s="66"/>
      <c r="M32" s="66"/>
      <c r="N32" s="66"/>
      <c r="O32" s="66"/>
      <c r="P32" s="66"/>
      <c r="Q32" s="66"/>
      <c r="R32" s="66"/>
    </row>
    <row r="33" spans="1:18">
      <c r="A33" s="62"/>
      <c r="B33" s="65"/>
      <c r="C33" s="65"/>
      <c r="D33" s="65"/>
      <c r="E33" s="65"/>
      <c r="F33" s="65"/>
      <c r="G33" s="65"/>
      <c r="H33" s="65"/>
      <c r="I33" s="65"/>
      <c r="J33" s="65"/>
      <c r="K33" s="65"/>
      <c r="L33" s="66"/>
      <c r="M33" s="66"/>
      <c r="N33" s="66"/>
      <c r="O33" s="66"/>
      <c r="P33" s="66"/>
      <c r="Q33" s="66"/>
      <c r="R33" s="66"/>
    </row>
    <row r="34" spans="1:18">
      <c r="A34" s="62"/>
      <c r="B34" s="65" t="s">
        <v>378</v>
      </c>
      <c r="C34" s="65"/>
      <c r="D34" s="65"/>
      <c r="E34" s="65"/>
      <c r="F34" s="65"/>
      <c r="G34" s="65"/>
      <c r="H34" s="65"/>
      <c r="I34" s="65"/>
      <c r="J34" s="65"/>
      <c r="K34" s="65"/>
      <c r="L34" s="66"/>
      <c r="M34" s="66"/>
      <c r="N34" s="66"/>
      <c r="O34" s="66"/>
      <c r="P34" s="66"/>
      <c r="Q34" s="66"/>
      <c r="R34" s="66"/>
    </row>
    <row r="35" spans="1:18">
      <c r="A35" s="67"/>
      <c r="B35" s="220"/>
      <c r="C35" s="220"/>
      <c r="D35" s="220"/>
      <c r="E35" s="220"/>
      <c r="F35" s="220"/>
      <c r="G35" s="220"/>
      <c r="H35" s="220"/>
      <c r="I35" s="220"/>
      <c r="J35" s="220"/>
      <c r="K35" s="220"/>
      <c r="L35" s="66"/>
      <c r="M35" s="66"/>
      <c r="N35" s="66"/>
      <c r="O35" s="66"/>
      <c r="P35" s="66"/>
      <c r="Q35" s="66"/>
      <c r="R35" s="66"/>
    </row>
    <row r="36" spans="1:18">
      <c r="A36" s="67"/>
      <c r="B36" s="65"/>
      <c r="C36" s="65"/>
      <c r="D36" s="65"/>
      <c r="E36" s="65"/>
      <c r="F36" s="65"/>
      <c r="G36" s="65"/>
      <c r="H36" s="65"/>
      <c r="I36" s="65"/>
      <c r="J36" s="65"/>
      <c r="K36" s="65"/>
      <c r="L36" s="66"/>
      <c r="M36" s="66"/>
      <c r="N36" s="66"/>
      <c r="O36" s="66"/>
      <c r="P36" s="66"/>
      <c r="Q36" s="66"/>
      <c r="R36" s="66"/>
    </row>
    <row r="37" spans="1:18">
      <c r="A37" s="62"/>
      <c r="B37" s="78" t="s">
        <v>334</v>
      </c>
      <c r="C37" s="78"/>
      <c r="D37" s="78"/>
      <c r="E37" s="78"/>
      <c r="F37" s="65"/>
      <c r="G37" s="65"/>
      <c r="H37" s="221">
        <f ca="1">TODAY()</f>
        <v>46273</v>
      </c>
      <c r="I37" s="221"/>
      <c r="J37" s="221"/>
      <c r="K37" s="221"/>
      <c r="L37" s="66"/>
      <c r="M37" s="66"/>
      <c r="N37" s="66"/>
      <c r="O37" s="66"/>
      <c r="P37" s="66"/>
      <c r="Q37" s="66"/>
      <c r="R37" s="66"/>
    </row>
    <row r="38" spans="1:18">
      <c r="A38" s="62"/>
      <c r="B38" s="222" t="s">
        <v>335</v>
      </c>
      <c r="C38" s="222"/>
      <c r="D38" s="222"/>
      <c r="E38" s="222"/>
      <c r="F38" s="65"/>
      <c r="G38" s="79"/>
      <c r="H38" s="80" t="s">
        <v>336</v>
      </c>
      <c r="I38" s="81"/>
      <c r="J38" s="81"/>
      <c r="K38" s="81"/>
      <c r="L38" s="66"/>
      <c r="M38" s="66"/>
      <c r="N38" s="66"/>
      <c r="O38" s="66"/>
      <c r="P38" s="66"/>
      <c r="Q38" s="66"/>
      <c r="R38" s="66"/>
    </row>
    <row r="39" spans="1:18">
      <c r="A39" s="62"/>
      <c r="B39" s="65"/>
      <c r="C39" s="65"/>
      <c r="D39" s="65"/>
      <c r="E39" s="65"/>
      <c r="F39" s="65"/>
      <c r="G39" s="65"/>
      <c r="H39" s="65"/>
      <c r="I39" s="65"/>
      <c r="J39" s="65"/>
      <c r="K39" s="65"/>
      <c r="L39" s="66"/>
      <c r="M39" s="66"/>
      <c r="N39" s="66"/>
      <c r="O39" s="66"/>
      <c r="P39" s="66"/>
      <c r="Q39" s="66"/>
      <c r="R39" s="66"/>
    </row>
    <row r="40" spans="1:18">
      <c r="A40" s="62"/>
      <c r="B40" s="65"/>
      <c r="C40" s="65"/>
      <c r="D40" s="65"/>
      <c r="E40" s="65"/>
      <c r="F40" s="65"/>
      <c r="G40" s="65"/>
      <c r="H40" s="65"/>
      <c r="I40" s="65"/>
      <c r="J40" s="65"/>
      <c r="K40" s="65"/>
      <c r="L40" s="66"/>
      <c r="M40" s="66"/>
      <c r="N40" s="66"/>
      <c r="O40" s="66"/>
      <c r="P40" s="66"/>
      <c r="Q40" s="66"/>
      <c r="R40" s="66"/>
    </row>
    <row r="41" spans="1:18">
      <c r="A41" s="62"/>
      <c r="B41" s="65"/>
      <c r="C41" s="65"/>
      <c r="D41" s="65"/>
      <c r="E41" s="65"/>
      <c r="F41" s="65"/>
      <c r="G41" s="65"/>
      <c r="H41" s="65"/>
      <c r="I41" s="65"/>
      <c r="J41" s="65"/>
      <c r="K41" s="65"/>
      <c r="L41" s="66"/>
      <c r="M41" s="66"/>
      <c r="N41" s="66"/>
      <c r="O41" s="66"/>
      <c r="P41" s="66"/>
      <c r="Q41" s="66"/>
      <c r="R41" s="66"/>
    </row>
    <row r="42" spans="1:18">
      <c r="A42" s="62"/>
      <c r="B42" s="82"/>
      <c r="C42" s="82"/>
      <c r="D42" s="82"/>
      <c r="E42" s="82"/>
      <c r="F42" s="83"/>
      <c r="G42" s="65"/>
      <c r="H42" s="65"/>
      <c r="I42" s="65"/>
      <c r="J42" s="65"/>
      <c r="K42" s="65"/>
      <c r="L42" s="66"/>
      <c r="M42" s="66"/>
      <c r="N42" s="66"/>
      <c r="O42" s="66"/>
      <c r="P42" s="66"/>
      <c r="Q42" s="66"/>
      <c r="R42" s="66"/>
    </row>
    <row r="43" spans="1:18">
      <c r="A43" s="62"/>
      <c r="B43" s="84" t="s">
        <v>339</v>
      </c>
      <c r="C43" s="84"/>
      <c r="D43" s="84"/>
      <c r="E43" s="84"/>
      <c r="F43" s="85"/>
      <c r="G43" s="65"/>
      <c r="H43" s="65"/>
      <c r="I43" s="65"/>
      <c r="J43" s="65"/>
      <c r="K43" s="65"/>
      <c r="L43" s="66"/>
      <c r="M43" s="66"/>
      <c r="N43" s="66"/>
      <c r="O43" s="66"/>
      <c r="P43" s="66"/>
      <c r="Q43" s="66"/>
      <c r="R43" s="66"/>
    </row>
    <row r="44" spans="1:18">
      <c r="A44" s="62"/>
      <c r="B44" s="86" t="s">
        <v>379</v>
      </c>
      <c r="C44" s="86" t="s">
        <v>340</v>
      </c>
      <c r="D44" s="87"/>
      <c r="E44" s="87"/>
      <c r="F44" s="85"/>
      <c r="G44" s="65"/>
      <c r="H44" s="65"/>
      <c r="I44" s="65"/>
      <c r="J44" s="65"/>
      <c r="K44" s="65"/>
      <c r="L44" s="66"/>
      <c r="M44" s="66"/>
      <c r="N44" s="66"/>
      <c r="O44" s="66"/>
      <c r="P44" s="66"/>
      <c r="Q44" s="66"/>
      <c r="R44" s="66"/>
    </row>
    <row r="45" spans="1:18">
      <c r="A45" s="62"/>
      <c r="B45" s="86" t="s">
        <v>380</v>
      </c>
      <c r="C45" s="86" t="s">
        <v>381</v>
      </c>
      <c r="D45" s="87"/>
      <c r="E45" s="87"/>
      <c r="F45" s="85"/>
      <c r="G45" s="65"/>
      <c r="H45" s="65"/>
      <c r="I45" s="65"/>
      <c r="J45" s="65"/>
      <c r="K45" s="65"/>
      <c r="L45" s="66"/>
      <c r="M45" s="66"/>
      <c r="N45" s="66"/>
      <c r="O45" s="66"/>
      <c r="P45" s="66"/>
      <c r="Q45" s="66"/>
      <c r="R45" s="66"/>
    </row>
    <row r="46" spans="1:18">
      <c r="A46" s="62"/>
      <c r="B46" s="86"/>
      <c r="C46" s="87"/>
      <c r="D46" s="87"/>
      <c r="E46" s="87"/>
      <c r="F46" s="85"/>
      <c r="G46" s="65"/>
      <c r="H46" s="65"/>
      <c r="I46" s="65"/>
      <c r="J46" s="65"/>
      <c r="K46" s="65"/>
      <c r="L46" s="66"/>
      <c r="M46" s="66"/>
      <c r="N46" s="66"/>
      <c r="O46" s="66"/>
      <c r="P46" s="66"/>
      <c r="Q46" s="66"/>
      <c r="R46" s="66"/>
    </row>
  </sheetData>
  <mergeCells count="46">
    <mergeCell ref="B32:K32"/>
    <mergeCell ref="B35:K35"/>
    <mergeCell ref="H37:K37"/>
    <mergeCell ref="B38:E38"/>
    <mergeCell ref="B26:K26"/>
    <mergeCell ref="E27:E28"/>
    <mergeCell ref="F27:H27"/>
    <mergeCell ref="I27:I28"/>
    <mergeCell ref="F28:H28"/>
    <mergeCell ref="B30:K30"/>
    <mergeCell ref="C24:K24"/>
    <mergeCell ref="B17:I17"/>
    <mergeCell ref="M17:O17"/>
    <mergeCell ref="B18:I18"/>
    <mergeCell ref="M18:O18"/>
    <mergeCell ref="B19:I19"/>
    <mergeCell ref="M19:O19"/>
    <mergeCell ref="B20:I20"/>
    <mergeCell ref="M20:O20"/>
    <mergeCell ref="B21:I21"/>
    <mergeCell ref="M21:O21"/>
    <mergeCell ref="B22:I22"/>
    <mergeCell ref="B14:I14"/>
    <mergeCell ref="M14:O14"/>
    <mergeCell ref="B15:I15"/>
    <mergeCell ref="M15:O15"/>
    <mergeCell ref="B16:I16"/>
    <mergeCell ref="M16:O16"/>
    <mergeCell ref="M11:O12"/>
    <mergeCell ref="P11:P12"/>
    <mergeCell ref="Q11:Q12"/>
    <mergeCell ref="R11:R12"/>
    <mergeCell ref="B13:I13"/>
    <mergeCell ref="M13:O13"/>
    <mergeCell ref="A8:A9"/>
    <mergeCell ref="B8:K8"/>
    <mergeCell ref="B9:K9"/>
    <mergeCell ref="B11:I12"/>
    <mergeCell ref="J11:J12"/>
    <mergeCell ref="K11:K12"/>
    <mergeCell ref="B1:K1"/>
    <mergeCell ref="B2:K3"/>
    <mergeCell ref="B5:I5"/>
    <mergeCell ref="J5:K5"/>
    <mergeCell ref="B6:I6"/>
    <mergeCell ref="J6:K6"/>
  </mergeCells>
  <conditionalFormatting sqref="B22:K22">
    <cfRule type="expression" dxfId="3" priority="4" stopIfTrue="1">
      <formula>DESONERACAO="não"</formula>
    </cfRule>
  </conditionalFormatting>
  <conditionalFormatting sqref="M21:O21">
    <cfRule type="expression" dxfId="2" priority="2" stopIfTrue="1">
      <formula>AND(M21&lt;&gt;"OK",M21&lt;&gt;"-",M21&lt;&gt;"")</formula>
    </cfRule>
    <cfRule type="cellIs" dxfId="1" priority="3" stopIfTrue="1" operator="equal">
      <formula>"OK"</formula>
    </cfRule>
  </conditionalFormatting>
  <conditionalFormatting sqref="K21">
    <cfRule type="expression" dxfId="0" priority="1" stopIfTrue="1">
      <formula>DESONERACAO="não"</formula>
    </cfRule>
  </conditionalFormatting>
  <dataValidations count="5">
    <dataValidation operator="greaterThanOrEqual" allowBlank="1" showErrorMessage="1" errorTitle="Erro de valores" error="Digite um valor igual a 0% ou 2%." sqref="K20">
      <formula1>0</formula1>
      <formula2>0</formula2>
    </dataValidation>
    <dataValidation type="decimal" allowBlank="1" showErrorMessage="1" errorTitle="Erro de valores" error="Digite um valor maior do que 0." sqref="K19">
      <formula1>0</formula1>
      <formula2>1</formula2>
    </dataValidation>
    <dataValidation type="decimal" allowBlank="1" showErrorMessage="1" errorTitle="Erro de valores" error="Digite um valor entre 0% e 100%" sqref="K13:K18">
      <formula1>0</formula1>
      <formula2>1</formula2>
    </dataValidation>
    <dataValidation type="decimal" allowBlank="1" showInputMessage="1" showErrorMessage="1" errorTitle="Valor não permitido" error="Digite um percentual entre 0% e 100%." promptTitle="Valores admissíveis:" prompt="Insira valores entre 0 e 100%." sqref="J5:K5">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J6:K6">
      <formula1>0</formula1>
      <formula2>0</formula2>
    </dataValidation>
  </dataValidations>
  <pageMargins left="0.511811024" right="0.511811024" top="0.78740157499999996" bottom="0.78740157499999996" header="0.31496062000000002" footer="0.31496062000000002"/>
  <legacyDrawing r:id="rId1"/>
  <oleObjects>
    <oleObject progId="PBrush" shapeId="2049" r:id="rId2"/>
  </oleObject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Planilhas</vt:lpstr>
      </vt:variant>
      <vt:variant>
        <vt:i4>3</vt:i4>
      </vt:variant>
    </vt:vector>
  </HeadingPairs>
  <TitlesOfParts>
    <vt:vector size="3" baseType="lpstr">
      <vt:lpstr>Orçamento Sintético</vt:lpstr>
      <vt:lpstr>CRONOGRAMA</vt:lpstr>
      <vt:lpstr>BDI</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Engenharia</cp:lastModifiedBy>
  <cp:revision>0</cp:revision>
  <cp:lastPrinted>2026-09-08T17:14:49Z</cp:lastPrinted>
  <dcterms:created xsi:type="dcterms:W3CDTF">2026-09-03T16:38:02Z</dcterms:created>
  <dcterms:modified xsi:type="dcterms:W3CDTF">2026-09-08T17:15:01Z</dcterms:modified>
</cp:coreProperties>
</file>